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12.xml" ContentType="application/vnd.openxmlformats-officedocument.spreadsheetml.comments+xml"/>
  <Override PartName="/xl/drawings/drawing21.xml" ContentType="application/vnd.openxmlformats-officedocument.drawing+xml"/>
  <Override PartName="/xl/comments13.xml" ContentType="application/vnd.openxmlformats-officedocument.spreadsheetml.comments+xml"/>
  <Override PartName="/xl/drawings/drawing22.xml" ContentType="application/vnd.openxmlformats-officedocument.drawing+xml"/>
  <Override PartName="/xl/comments14.xml" ContentType="application/vnd.openxmlformats-officedocument.spreadsheetml.comments+xml"/>
  <Override PartName="/xl/drawings/drawing23.xml" ContentType="application/vnd.openxmlformats-officedocument.drawing+xml"/>
  <Override PartName="/xl/comments15.xml" ContentType="application/vnd.openxmlformats-officedocument.spreadsheetml.comments+xml"/>
  <Override PartName="/xl/drawings/drawing24.xml" ContentType="application/vnd.openxmlformats-officedocument.drawing+xml"/>
  <Override PartName="/xl/comments16.xml" ContentType="application/vnd.openxmlformats-officedocument.spreadsheetml.comments+xml"/>
  <Override PartName="/xl/drawings/drawing25.xml" ContentType="application/vnd.openxmlformats-officedocument.drawing+xml"/>
  <Override PartName="/xl/comments17.xml" ContentType="application/vnd.openxmlformats-officedocument.spreadsheetml.comments+xml"/>
  <Override PartName="/xl/drawings/drawing26.xml" ContentType="application/vnd.openxmlformats-officedocument.drawing+xml"/>
  <Override PartName="/xl/comments18.xml" ContentType="application/vnd.openxmlformats-officedocument.spreadsheetml.comments+xml"/>
  <Override PartName="/xl/drawings/drawing27.xml" ContentType="application/vnd.openxmlformats-officedocument.drawing+xml"/>
  <Override PartName="/xl/comments19.xml" ContentType="application/vnd.openxmlformats-officedocument.spreadsheetml.comments+xml"/>
  <Override PartName="/xl/drawings/drawing28.xml" ContentType="application/vnd.openxmlformats-officedocument.drawing+xml"/>
  <Override PartName="/xl/comments20.xml" ContentType="application/vnd.openxmlformats-officedocument.spreadsheetml.comments+xml"/>
  <Override PartName="/xl/drawings/drawing29.xml" ContentType="application/vnd.openxmlformats-officedocument.drawing+xml"/>
  <Override PartName="/xl/comments21.xml" ContentType="application/vnd.openxmlformats-officedocument.spreadsheetml.comments+xml"/>
  <Override PartName="/xl/drawings/drawing30.xml" ContentType="application/vnd.openxmlformats-officedocument.drawing+xml"/>
  <Override PartName="/xl/comments22.xml" ContentType="application/vnd.openxmlformats-officedocument.spreadsheetml.comments+xml"/>
  <Override PartName="/xl/drawings/drawing31.xml" ContentType="application/vnd.openxmlformats-officedocument.drawing+xml"/>
  <Override PartName="/xl/activeX/activeX13.xml" ContentType="application/vnd.ms-office.activeX+xml"/>
  <Override PartName="/xl/activeX/activeX13.bin" ContentType="application/vnd.ms-office.activeX"/>
  <Override PartName="/xl/comments23.xml" ContentType="application/vnd.openxmlformats-officedocument.spreadsheetml.comments+xml"/>
  <Override PartName="/xl/drawings/drawing32.xml" ContentType="application/vnd.openxmlformats-officedocument.drawing+xml"/>
  <Override PartName="/xl/comments24.xml" ContentType="application/vnd.openxmlformats-officedocument.spreadsheetml.comments+xml"/>
  <Override PartName="/xl/drawings/drawing33.xml" ContentType="application/vnd.openxmlformats-officedocument.drawing+xml"/>
  <Override PartName="/xl/comments25.xml" ContentType="application/vnd.openxmlformats-officedocument.spreadsheetml.comments+xml"/>
  <Override PartName="/xl/drawings/drawing34.xml" ContentType="application/vnd.openxmlformats-officedocument.drawing+xml"/>
  <Override PartName="/xl/comments26.xml" ContentType="application/vnd.openxmlformats-officedocument.spreadsheetml.comments+xml"/>
  <Override PartName="/xl/drawings/drawing35.xml" ContentType="application/vnd.openxmlformats-officedocument.drawing+xml"/>
  <Override PartName="/xl/comments27.xml" ContentType="application/vnd.openxmlformats-officedocument.spreadsheetml.comments+xml"/>
  <Override PartName="/xl/drawings/drawing36.xml" ContentType="application/vnd.openxmlformats-officedocument.drawing+xml"/>
  <Override PartName="/xl/comments28.xml" ContentType="application/vnd.openxmlformats-officedocument.spreadsheetml.comments+xml"/>
  <Override PartName="/xl/drawings/drawing37.xml" ContentType="application/vnd.openxmlformats-officedocument.drawing+xml"/>
  <Override PartName="/xl/comments29.xml" ContentType="application/vnd.openxmlformats-officedocument.spreadsheetml.comments+xml"/>
  <Override PartName="/xl/drawings/drawing38.xml" ContentType="application/vnd.openxmlformats-officedocument.drawing+xml"/>
  <Override PartName="/xl/comments30.xml" ContentType="application/vnd.openxmlformats-officedocument.spreadsheetml.comments+xml"/>
  <Override PartName="/xl/drawings/drawing39.xml" ContentType="application/vnd.openxmlformats-officedocument.drawing+xml"/>
  <Override PartName="/xl/comments31.xml" ContentType="application/vnd.openxmlformats-officedocument.spreadsheetml.comments+xml"/>
  <Override PartName="/xl/drawings/drawing40.xml" ContentType="application/vnd.openxmlformats-officedocument.drawing+xml"/>
  <Override PartName="/xl/comments3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AddSpNote320.png" ContentType="image/.png"/>
  <Override PartName="/customUI/images/ReNum320.png" ContentType="image/.png"/>
  <Override PartName="/customUI/images/AddBrdg320.png" ContentType="image/.png"/>
  <Override PartName="/customUI/images/PrintInput320.png" ContentType="image/.png"/>
  <Override PartName="/customUI/images/PrintSel320.png" ContentType="image/.png"/>
  <Override PartName="/customUI/images/AddJSeq320.png" ContentType="image/.png"/>
  <Override PartName="/customUI/images/AddKey320.png" ContentType="image/.png"/>
  <Override PartName="/customUI/images/AddLdNote320.png" ContentType="image/.png"/>
  <Override PartName="/customUI/images/AddPrNote320.png" ContentType="image/.png"/>
  <Override PartName="/customUI/images/AddJst320.png" ContentType="image/.png"/>
  <Override PartName="/customUI/images/BOMSet320.png" ContentType="image/.png"/>
  <Override PartName="/customUI/images/AddGir320.png" ContentType="image/.png"/>
  <Override PartName="/customUI/images/DelPage320.png" ContentType="image/.png"/>
  <Override PartName="/customUI/images/AddSpNote32.png" ContentType="image/.png"/>
  <Override PartName="/customUI/images/ReNum32.png" ContentType="image/.png"/>
  <Override PartName="/customUI/images/AddBrdg32.png" ContentType="image/.png"/>
  <Override PartName="/customUI/images/PrintInput32.png" ContentType="image/.png"/>
  <Override PartName="/customUI/images/PrintSel32.png" ContentType="image/.png"/>
  <Override PartName="/customUI/images/AddJSeq32.png" ContentType="image/.png"/>
  <Override PartName="/customUI/images/AddKey32.png" ContentType="image/.png"/>
  <Override PartName="/customUI/images/AddLdNote32.png" ContentType="image/.png"/>
  <Override PartName="/customUI/images/AddPrNote32.png" ContentType="image/.png"/>
  <Override PartName="/customUI/images/AddJst32.png" ContentType="image/.png"/>
  <Override PartName="/customUI/images/BOMSet32.png" ContentType="image/.png"/>
  <Override PartName="/customUI/images/AddGir32.png" ContentType="image/.png"/>
  <Override PartName="/customUI/images/DelPage32.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75839249704409e" Type="http://schemas.microsoft.com/office/2006/relationships/ui/extensibility" Target="customUI/customUI.xml"/><Relationship Id="R3b06d2a0029d434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C:\USERS\DARIEN.SHANNON\DOCUMENTS\CODE\BOM-TOOLS\TESTBOMS\"/>
    </mc:Choice>
  </mc:AlternateContent>
  <xr:revisionPtr revIDLastSave="0" documentId="8_{0CA0B037-DFAE-409F-AF52-DDC9ED743C56}" xr6:coauthVersionLast="47" xr6:coauthVersionMax="47" xr10:uidLastSave="{00000000-0000-0000-0000-000000000000}"/>
  <bookViews>
    <workbookView xWindow="345" yWindow="360" windowWidth="28800" windowHeight="15435" tabRatio="815" firstSheet="16" activeTab="31" xr2:uid="{00000000-000D-0000-FFFF-FFFF00000000}"/>
  </bookViews>
  <sheets>
    <sheet name="TblJoistSize" sheetId="115" state="hidden" r:id="rId1"/>
    <sheet name="tblGirderData" sheetId="167" state="hidden" r:id="rId2"/>
    <sheet name="tblJoistData" sheetId="168" state="hidden" r:id="rId3"/>
    <sheet name="C_A" sheetId="2" state="hidden" r:id="rId4"/>
    <sheet name="P_A" sheetId="164" state="hidden" r:id="rId5"/>
    <sheet name="P_B" sheetId="169" state="hidden" r:id="rId6"/>
    <sheet name="L_A" sheetId="114" state="hidden" r:id="rId7"/>
    <sheet name="N_A" sheetId="80" state="hidden" r:id="rId8"/>
    <sheet name="K_A" sheetId="117" state="hidden" r:id="rId9"/>
    <sheet name="S_A" sheetId="145" state="hidden" r:id="rId10"/>
    <sheet name="G_A" sheetId="84" state="hidden" r:id="rId11"/>
    <sheet name="G_B" sheetId="160" state="hidden" r:id="rId12"/>
    <sheet name="J_A" sheetId="147" state="hidden" r:id="rId13"/>
    <sheet name="J_B" sheetId="165" state="hidden" r:id="rId14"/>
    <sheet name="B_A" sheetId="162" state="hidden" r:id="rId15"/>
    <sheet name="B_B" sheetId="163" state="hidden" r:id="rId16"/>
    <sheet name="Discrepancy Check" sheetId="116" r:id="rId17"/>
    <sheet name="SectInfo" sheetId="146" state="hidden" r:id="rId18"/>
    <sheet name="Job Info." sheetId="13" r:id="rId19"/>
    <sheet name="C (1)" sheetId="181" r:id="rId20"/>
    <sheet name="P (1)" sheetId="188" r:id="rId21"/>
    <sheet name="N (1)" sheetId="178" r:id="rId22"/>
    <sheet name="L (1)" sheetId="175" r:id="rId23"/>
    <sheet name="L (2)" sheetId="176" r:id="rId24"/>
    <sheet name="L (3)" sheetId="177" r:id="rId25"/>
    <sheet name="L (4)" sheetId="189" r:id="rId26"/>
    <sheet name="L (5)" sheetId="190" r:id="rId27"/>
    <sheet name="L (6)" sheetId="191" r:id="rId28"/>
    <sheet name="L (7)" sheetId="192" r:id="rId29"/>
    <sheet name="L (8)" sheetId="193" r:id="rId30"/>
    <sheet name="L (9)" sheetId="194" r:id="rId31"/>
    <sheet name="L (10)" sheetId="195" r:id="rId32"/>
    <sheet name="K (1)" sheetId="170" r:id="rId33"/>
    <sheet name="S (1)" sheetId="171" r:id="rId34"/>
    <sheet name="S (2)" sheetId="172" r:id="rId35"/>
    <sheet name="S (3)" sheetId="173" r:id="rId36"/>
    <sheet name="S (4)" sheetId="174" r:id="rId37"/>
    <sheet name="J (1)" sheetId="182" r:id="rId38"/>
    <sheet name="J (2)" sheetId="183" r:id="rId39"/>
    <sheet name="J (3)" sheetId="184" r:id="rId40"/>
    <sheet name="J (4)" sheetId="185" r:id="rId41"/>
    <sheet name="B (1)" sheetId="186" r:id="rId42"/>
  </sheets>
  <functionGroups builtInGroupCount="19"/>
  <definedNames>
    <definedName name="_xlpm.highlightRed" hidden="1" xlm="1">#NAME?</definedName>
    <definedName name="_xlpm.Load1IsPresent" hidden="1" xlm="1">#NAME?</definedName>
    <definedName name="_xlpm.Load2IsPresent" hidden="1" xlm="1">#NAME?</definedName>
    <definedName name="_xlpm.ThisCellIsEmpty" hidden="1" xlm="1">#NAME?</definedName>
    <definedName name="masterFinishList" localSheetId="41">tblFinishList[Finish Types]</definedName>
    <definedName name="masterFinishList" comment="Lists all the options for joist, girder, and bridging paint/finishes." localSheetId="19">tblFinishList[Finish Types]</definedName>
    <definedName name="masterFinishList" localSheetId="37">tblFinishList[Finish Types]</definedName>
    <definedName name="masterFinishList" localSheetId="38">tblFinishList[Finish Types]</definedName>
    <definedName name="masterFinishList" localSheetId="39">tblFinishList[Finish Types]</definedName>
    <definedName name="masterFinishList" localSheetId="40">tblFinishList[Finish Types]</definedName>
    <definedName name="masterFinishList" comment="Lists all the options for joist, girder, and bridging paint/finishes." localSheetId="32">tblFinishList[Finish Types]</definedName>
    <definedName name="masterFinishList" comment="Lists all the options for joist, girder, and bridging paint/finishes." localSheetId="22">tblFinishList[Finish Types]</definedName>
    <definedName name="masterFinishList" comment="Lists all the options for joist, girder, and bridging paint/finishes." localSheetId="31">tblFinishList[Finish Types]</definedName>
    <definedName name="masterFinishList" comment="Lists all the options for joist, girder, and bridging paint/finishes." localSheetId="23">tblFinishList[Finish Types]</definedName>
    <definedName name="masterFinishList" comment="Lists all the options for joist, girder, and bridging paint/finishes." localSheetId="24">tblFinishList[Finish Types]</definedName>
    <definedName name="masterFinishList" comment="Lists all the options for joist, girder, and bridging paint/finishes." localSheetId="25">tblFinishList[Finish Types]</definedName>
    <definedName name="masterFinishList" comment="Lists all the options for joist, girder, and bridging paint/finishes." localSheetId="26">tblFinishList[Finish Types]</definedName>
    <definedName name="masterFinishList" comment="Lists all the options for joist, girder, and bridging paint/finishes." localSheetId="27">tblFinishList[Finish Types]</definedName>
    <definedName name="masterFinishList" comment="Lists all the options for joist, girder, and bridging paint/finishes." localSheetId="28">tblFinishList[Finish Types]</definedName>
    <definedName name="masterFinishList" comment="Lists all the options for joist, girder, and bridging paint/finishes." localSheetId="29">tblFinishList[Finish Types]</definedName>
    <definedName name="masterFinishList" comment="Lists all the options for joist, girder, and bridging paint/finishes." localSheetId="30">tblFinishList[Finish Types]</definedName>
    <definedName name="masterFinishList" comment="Lists all the options for joist, girder, and bridging paint/finishes." localSheetId="21">tblFinishList[Finish Types]</definedName>
    <definedName name="masterFinishList" comment="Lists all the options for joist, girder, and bridging paint/finishes." localSheetId="20">tblFinishList[Finish Types]</definedName>
    <definedName name="masterFinishList" comment="Lists all the options for joist, girder, and bridging paint/finishes." localSheetId="33">tblFinishList[Finish Types]</definedName>
    <definedName name="masterFinishList" comment="Lists all the options for joist, girder, and bridging paint/finishes." localSheetId="34">tblFinishList[Finish Types]</definedName>
    <definedName name="masterFinishList" comment="Lists all the options for joist, girder, and bridging paint/finishes." localSheetId="35">tblFinishList[Finish Types]</definedName>
    <definedName name="masterFinishList" comment="Lists all the options for joist, girder, and bridging paint/finishes." localSheetId="36">tblFinishList[Finish Types]</definedName>
    <definedName name="masterFinishList" comment="Lists all the options for joist, girder, and bridging paint/finishes.">tblFinishList[Finish Types]</definedName>
    <definedName name="Pos" localSheetId="22">'L (1)'!$BF$14:$BS$14</definedName>
    <definedName name="Pos" localSheetId="31">'L (10)'!$BF$14:$BS$14</definedName>
    <definedName name="Pos" localSheetId="23">'L (2)'!$BF$14:$BS$14</definedName>
    <definedName name="Pos" localSheetId="24">'L (3)'!$BF$14:$BS$14</definedName>
    <definedName name="Pos" localSheetId="25">'L (4)'!$BF$14:$BS$14</definedName>
    <definedName name="Pos" localSheetId="26">'L (5)'!$BF$14:$BS$14</definedName>
    <definedName name="Pos" localSheetId="27">'L (6)'!$BF$14:$BS$14</definedName>
    <definedName name="Pos" localSheetId="28">'L (7)'!$BF$14:$BS$14</definedName>
    <definedName name="Pos" localSheetId="29">'L (8)'!$BF$14:$BS$14</definedName>
    <definedName name="Pos" localSheetId="30">'L (9)'!$BF$14:$BS$14</definedName>
    <definedName name="Pos">L_A!$BF$14:$BS$14</definedName>
    <definedName name="_xlnm.Print_Area" localSheetId="41">'B (1)'!$A$1:$P$42</definedName>
    <definedName name="_xlnm.Print_Area" localSheetId="14">B_A!$A$1:$P$42</definedName>
    <definedName name="_xlnm.Print_Area" localSheetId="15">B_B!$A$1:$P$42</definedName>
    <definedName name="_xlnm.Print_Area" localSheetId="19">'C (1)'!$A$1:$H$47</definedName>
    <definedName name="_xlnm.Print_Area" localSheetId="3">C_A!$A$1:$H$47</definedName>
    <definedName name="_xlnm.Print_Area" localSheetId="16">'Discrepancy Check'!$A$1:$AB$54</definedName>
    <definedName name="_xlnm.Print_Area" localSheetId="10">G_A!$CB$1:$DE$45,G_A!$DH$1:$EU$45</definedName>
    <definedName name="_xlnm.Print_Area" localSheetId="11">G_B!$A$1:$BG$45</definedName>
    <definedName name="_xlnm.Print_Area" localSheetId="37">'J (1)'!$A$1:$AA$40</definedName>
    <definedName name="_xlnm.Print_Area" localSheetId="38">'J (2)'!$A$1:$AA$45</definedName>
    <definedName name="_xlnm.Print_Area" localSheetId="39">'J (3)'!$A$1:$AA$45</definedName>
    <definedName name="_xlnm.Print_Area" localSheetId="40">'J (4)'!$A$1:$AA$45</definedName>
    <definedName name="_xlnm.Print_Area" localSheetId="12">J_A!$A$1:$AA$40</definedName>
    <definedName name="_xlnm.Print_Area" localSheetId="13">J_B!$A$1:$AA$45</definedName>
    <definedName name="_xlnm.Print_Area" localSheetId="18">'Job Info.'!$A$1:$F$50</definedName>
    <definedName name="_xlnm.Print_Area" localSheetId="32">'K (1)'!$A$1:$N$49</definedName>
    <definedName name="_xlnm.Print_Area" localSheetId="8">K_A!$A$1:$N$49</definedName>
    <definedName name="_xlnm.Print_Area" localSheetId="22">'L (1)'!$A$1:$N$55</definedName>
    <definedName name="_xlnm.Print_Area" localSheetId="31">'L (10)'!$A$1:$N$55</definedName>
    <definedName name="_xlnm.Print_Area" localSheetId="23">'L (2)'!$A$1:$N$55</definedName>
    <definedName name="_xlnm.Print_Area" localSheetId="24">'L (3)'!$A$1:$N$55</definedName>
    <definedName name="_xlnm.Print_Area" localSheetId="25">'L (4)'!$A$1:$N$55</definedName>
    <definedName name="_xlnm.Print_Area" localSheetId="26">'L (5)'!$A$1:$N$55</definedName>
    <definedName name="_xlnm.Print_Area" localSheetId="27">'L (6)'!$A$1:$N$55</definedName>
    <definedName name="_xlnm.Print_Area" localSheetId="28">'L (7)'!$A$1:$N$55</definedName>
    <definedName name="_xlnm.Print_Area" localSheetId="29">'L (8)'!$A$1:$N$55</definedName>
    <definedName name="_xlnm.Print_Area" localSheetId="30">'L (9)'!$A$1:$N$55</definedName>
    <definedName name="_xlnm.Print_Area" localSheetId="6">L_A!$A$1:$N$55</definedName>
    <definedName name="_xlnm.Print_Area" localSheetId="21">'N (1)'!$A$1:$J$51</definedName>
    <definedName name="_xlnm.Print_Area" localSheetId="7">N_A!$A$1:$J$51</definedName>
    <definedName name="_xlnm.Print_Area" localSheetId="20">'P (1)'!$A$1:$J$51</definedName>
    <definedName name="_xlnm.Print_Area" localSheetId="4">P_A!$A$1:$H$47</definedName>
    <definedName name="_xlnm.Print_Area" localSheetId="5">P_B!$A$1:$J$51</definedName>
    <definedName name="_xlnm.Print_Area" localSheetId="33">'S (1)'!$A$1:$P$50</definedName>
    <definedName name="_xlnm.Print_Area" localSheetId="34">'S (2)'!$A$1:$P$50</definedName>
    <definedName name="_xlnm.Print_Area" localSheetId="35">'S (3)'!$A$1:$P$50</definedName>
    <definedName name="_xlnm.Print_Area" localSheetId="36">'S (4)'!$A$1:$P$50</definedName>
    <definedName name="_xlnm.Print_Area" localSheetId="9">S_A!$A$1:$P$50</definedName>
    <definedName name="_xlnm.Print_Area" localSheetId="17">SectInfo!$A$1:$T$64</definedName>
    <definedName name="_xlnm.Print_Titles" localSheetId="37">'J (1)'!$BB:$BB</definedName>
    <definedName name="_xlnm.Print_Titles" localSheetId="12">J_A!$BB:$BB</definedName>
    <definedName name="_xlnm.Print_Titles" localSheetId="17">SectInfo!$1:$2</definedName>
    <definedName name="Type" localSheetId="22">'L (1)'!$BF$15:$BU$15</definedName>
    <definedName name="Type" localSheetId="31">'L (10)'!$BF$15:$BU$15</definedName>
    <definedName name="Type" localSheetId="23">'L (2)'!$BF$15:$BU$15</definedName>
    <definedName name="Type" localSheetId="24">'L (3)'!$BF$15:$BU$15</definedName>
    <definedName name="Type" localSheetId="25">'L (4)'!$BF$15:$BU$15</definedName>
    <definedName name="Type" localSheetId="26">'L (5)'!$BF$15:$BU$15</definedName>
    <definedName name="Type" localSheetId="27">'L (6)'!$BF$15:$BU$15</definedName>
    <definedName name="Type" localSheetId="28">'L (7)'!$BF$15:$BU$15</definedName>
    <definedName name="Type" localSheetId="29">'L (8)'!$BF$15:$BU$15</definedName>
    <definedName name="Type" localSheetId="30">'L (9)'!$BF$15:$BU$15</definedName>
    <definedName name="Type">L_A!$BF$15:$BU$15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55" i="195" l="1"/>
  <c r="R54" i="195"/>
  <c r="R53" i="195"/>
  <c r="R52" i="195"/>
  <c r="R51" i="195"/>
  <c r="R50" i="195"/>
  <c r="R49" i="195"/>
  <c r="R48" i="195"/>
  <c r="R47" i="195"/>
  <c r="R46" i="195"/>
  <c r="R45" i="195"/>
  <c r="R44" i="195"/>
  <c r="R43" i="195"/>
  <c r="R42" i="195"/>
  <c r="R41" i="195"/>
  <c r="R40" i="195"/>
  <c r="R39" i="195"/>
  <c r="R38" i="195"/>
  <c r="R37" i="195"/>
  <c r="R36" i="195"/>
  <c r="R35" i="195"/>
  <c r="R34" i="195"/>
  <c r="R33" i="195"/>
  <c r="R32" i="195"/>
  <c r="R31" i="195"/>
  <c r="CC30" i="195"/>
  <c r="CB30" i="195"/>
  <c r="CA30" i="195"/>
  <c r="BZ30" i="195"/>
  <c r="BY30" i="195"/>
  <c r="BX30" i="195"/>
  <c r="BW30" i="195"/>
  <c r="BV30" i="195"/>
  <c r="BU30" i="195"/>
  <c r="BT30" i="195"/>
  <c r="BS30" i="195"/>
  <c r="BR30" i="195"/>
  <c r="BQ30" i="195"/>
  <c r="BP30" i="195"/>
  <c r="BO30" i="195"/>
  <c r="BN30" i="195"/>
  <c r="BM30" i="195"/>
  <c r="BL30" i="195"/>
  <c r="BK30" i="195"/>
  <c r="BJ30" i="195"/>
  <c r="BI30" i="195"/>
  <c r="BH30" i="195"/>
  <c r="BG30" i="195"/>
  <c r="BF30" i="195"/>
  <c r="R30" i="195"/>
  <c r="R29" i="195"/>
  <c r="R28" i="195"/>
  <c r="R27" i="195"/>
  <c r="R26" i="195"/>
  <c r="R25" i="195"/>
  <c r="R24" i="195"/>
  <c r="R23" i="195"/>
  <c r="R22" i="195"/>
  <c r="R21" i="195"/>
  <c r="R20" i="195"/>
  <c r="R19" i="195"/>
  <c r="R18" i="195"/>
  <c r="R17" i="195"/>
  <c r="R16" i="195"/>
  <c r="R15" i="195"/>
  <c r="AO14" i="195"/>
  <c r="AO15" i="195" s="1"/>
  <c r="R14" i="195"/>
  <c r="N10" i="195"/>
  <c r="K10" i="195"/>
  <c r="B10" i="195"/>
  <c r="K9" i="195"/>
  <c r="B9" i="195"/>
  <c r="N7" i="195"/>
  <c r="N6" i="195"/>
  <c r="T1" i="195"/>
  <c r="S1" i="195"/>
  <c r="I4" i="195" s="1"/>
  <c r="I1" i="195"/>
  <c r="R55" i="194"/>
  <c r="R54" i="194"/>
  <c r="R53" i="194"/>
  <c r="R52" i="194"/>
  <c r="R51" i="194"/>
  <c r="R50" i="194"/>
  <c r="R49" i="194"/>
  <c r="R48" i="194"/>
  <c r="R47" i="194"/>
  <c r="R46" i="194"/>
  <c r="R45" i="194"/>
  <c r="R44" i="194"/>
  <c r="R43" i="194"/>
  <c r="R42" i="194"/>
  <c r="R41" i="194"/>
  <c r="R40" i="194"/>
  <c r="R39" i="194"/>
  <c r="R38" i="194"/>
  <c r="R37" i="194"/>
  <c r="R36" i="194"/>
  <c r="R35" i="194"/>
  <c r="R34" i="194"/>
  <c r="R33" i="194"/>
  <c r="R32" i="194"/>
  <c r="R31" i="194"/>
  <c r="CC30" i="194"/>
  <c r="CB30" i="194"/>
  <c r="CA30" i="194"/>
  <c r="BZ30" i="194"/>
  <c r="BY30" i="194"/>
  <c r="BX30" i="194"/>
  <c r="BW30" i="194"/>
  <c r="BV30" i="194"/>
  <c r="BU30" i="194"/>
  <c r="BT30" i="194"/>
  <c r="BS30" i="194"/>
  <c r="BR30" i="194"/>
  <c r="BQ30" i="194"/>
  <c r="BP30" i="194"/>
  <c r="BO30" i="194"/>
  <c r="BN30" i="194"/>
  <c r="BM30" i="194"/>
  <c r="BL30" i="194"/>
  <c r="BK30" i="194"/>
  <c r="BJ30" i="194"/>
  <c r="BI30" i="194"/>
  <c r="BH30" i="194"/>
  <c r="BG30" i="194"/>
  <c r="BF30" i="194"/>
  <c r="R30" i="194"/>
  <c r="R29" i="194"/>
  <c r="R28" i="194"/>
  <c r="R27" i="194"/>
  <c r="R26" i="194"/>
  <c r="R25" i="194"/>
  <c r="R24" i="194"/>
  <c r="R23" i="194"/>
  <c r="R22" i="194"/>
  <c r="R21" i="194"/>
  <c r="R20" i="194"/>
  <c r="R19" i="194"/>
  <c r="R18" i="194"/>
  <c r="R17" i="194"/>
  <c r="R16" i="194"/>
  <c r="R15" i="194"/>
  <c r="AO14" i="194"/>
  <c r="AO15" i="194" s="1"/>
  <c r="R14" i="194"/>
  <c r="N10" i="194"/>
  <c r="K10" i="194"/>
  <c r="B10" i="194"/>
  <c r="K9" i="194"/>
  <c r="B9" i="194"/>
  <c r="N7" i="194"/>
  <c r="N6" i="194"/>
  <c r="T1" i="194"/>
  <c r="S1" i="194"/>
  <c r="I4" i="194" s="1"/>
  <c r="I1" i="194"/>
  <c r="R55" i="193"/>
  <c r="R54" i="193"/>
  <c r="R53" i="193"/>
  <c r="R52" i="193"/>
  <c r="R51" i="193"/>
  <c r="R50" i="193"/>
  <c r="R49" i="193"/>
  <c r="R48" i="193"/>
  <c r="R47" i="193"/>
  <c r="R46" i="193"/>
  <c r="R45" i="193"/>
  <c r="R44" i="193"/>
  <c r="R43" i="193"/>
  <c r="R42" i="193"/>
  <c r="R41" i="193"/>
  <c r="R40" i="193"/>
  <c r="R39" i="193"/>
  <c r="R38" i="193"/>
  <c r="R37" i="193"/>
  <c r="R36" i="193"/>
  <c r="R35" i="193"/>
  <c r="R34" i="193"/>
  <c r="R33" i="193"/>
  <c r="R32" i="193"/>
  <c r="R31" i="193"/>
  <c r="CC30" i="193"/>
  <c r="CB30" i="193"/>
  <c r="CA30" i="193"/>
  <c r="BZ30" i="193"/>
  <c r="BY30" i="193"/>
  <c r="BX30" i="193"/>
  <c r="BW30" i="193"/>
  <c r="BV30" i="193"/>
  <c r="BU30" i="193"/>
  <c r="BT30" i="193"/>
  <c r="BS30" i="193"/>
  <c r="BR30" i="193"/>
  <c r="BQ30" i="193"/>
  <c r="BP30" i="193"/>
  <c r="BO30" i="193"/>
  <c r="BN30" i="193"/>
  <c r="BM30" i="193"/>
  <c r="BL30" i="193"/>
  <c r="BK30" i="193"/>
  <c r="BJ30" i="193"/>
  <c r="BI30" i="193"/>
  <c r="BH30" i="193"/>
  <c r="BG30" i="193"/>
  <c r="BF30" i="193"/>
  <c r="R30" i="193"/>
  <c r="R29" i="193"/>
  <c r="R28" i="193"/>
  <c r="R27" i="193"/>
  <c r="R26" i="193"/>
  <c r="R25" i="193"/>
  <c r="R24" i="193"/>
  <c r="R23" i="193"/>
  <c r="R22" i="193"/>
  <c r="R21" i="193"/>
  <c r="R20" i="193"/>
  <c r="R19" i="193"/>
  <c r="R18" i="193"/>
  <c r="R17" i="193"/>
  <c r="R16" i="193"/>
  <c r="R15" i="193"/>
  <c r="AO14" i="193"/>
  <c r="AO15" i="193" s="1"/>
  <c r="R14" i="193"/>
  <c r="N10" i="193"/>
  <c r="K10" i="193"/>
  <c r="B10" i="193"/>
  <c r="K9" i="193"/>
  <c r="B9" i="193"/>
  <c r="N7" i="193"/>
  <c r="N6" i="193"/>
  <c r="T1" i="193"/>
  <c r="S1" i="193"/>
  <c r="I4" i="193" s="1"/>
  <c r="I1" i="193"/>
  <c r="R55" i="192"/>
  <c r="R54" i="192"/>
  <c r="R53" i="192"/>
  <c r="R52" i="192"/>
  <c r="R51" i="192"/>
  <c r="R50" i="192"/>
  <c r="R49" i="192"/>
  <c r="R48" i="192"/>
  <c r="R47" i="192"/>
  <c r="R46" i="192"/>
  <c r="R45" i="192"/>
  <c r="R44" i="192"/>
  <c r="R43" i="192"/>
  <c r="R42" i="192"/>
  <c r="R41" i="192"/>
  <c r="R40" i="192"/>
  <c r="R39" i="192"/>
  <c r="R38" i="192"/>
  <c r="R37" i="192"/>
  <c r="R36" i="192"/>
  <c r="R35" i="192"/>
  <c r="R34" i="192"/>
  <c r="R33" i="192"/>
  <c r="R32" i="192"/>
  <c r="R31" i="192"/>
  <c r="CC30" i="192"/>
  <c r="CB30" i="192"/>
  <c r="CA30" i="192"/>
  <c r="BZ30" i="192"/>
  <c r="BY30" i="192"/>
  <c r="BX30" i="192"/>
  <c r="BW30" i="192"/>
  <c r="BV30" i="192"/>
  <c r="BU30" i="192"/>
  <c r="BT30" i="192"/>
  <c r="BS30" i="192"/>
  <c r="BR30" i="192"/>
  <c r="BQ30" i="192"/>
  <c r="BP30" i="192"/>
  <c r="BO30" i="192"/>
  <c r="BN30" i="192"/>
  <c r="BM30" i="192"/>
  <c r="BL30" i="192"/>
  <c r="BK30" i="192"/>
  <c r="BJ30" i="192"/>
  <c r="BI30" i="192"/>
  <c r="BH30" i="192"/>
  <c r="BG30" i="192"/>
  <c r="BF30" i="192"/>
  <c r="R30" i="192"/>
  <c r="R29" i="192"/>
  <c r="R28" i="192"/>
  <c r="R27" i="192"/>
  <c r="R26" i="192"/>
  <c r="R25" i="192"/>
  <c r="R24" i="192"/>
  <c r="R23" i="192"/>
  <c r="R22" i="192"/>
  <c r="R21" i="192"/>
  <c r="R20" i="192"/>
  <c r="R19" i="192"/>
  <c r="R18" i="192"/>
  <c r="R17" i="192"/>
  <c r="R16" i="192"/>
  <c r="R15" i="192"/>
  <c r="AO14" i="192"/>
  <c r="AO15" i="192" s="1"/>
  <c r="R14" i="192"/>
  <c r="N10" i="192"/>
  <c r="K10" i="192"/>
  <c r="B10" i="192"/>
  <c r="K9" i="192"/>
  <c r="B9" i="192"/>
  <c r="N7" i="192"/>
  <c r="N6" i="192"/>
  <c r="T1" i="192"/>
  <c r="S1" i="192"/>
  <c r="I4" i="192" s="1"/>
  <c r="I1" i="192"/>
  <c r="R55" i="191"/>
  <c r="R54" i="191"/>
  <c r="R53" i="191"/>
  <c r="R52" i="191"/>
  <c r="R51" i="191"/>
  <c r="R50" i="191"/>
  <c r="R49" i="191"/>
  <c r="R48" i="191"/>
  <c r="R47" i="191"/>
  <c r="R46" i="191"/>
  <c r="R45" i="191"/>
  <c r="R44" i="191"/>
  <c r="R43" i="191"/>
  <c r="R42" i="191"/>
  <c r="R41" i="191"/>
  <c r="R40" i="191"/>
  <c r="R39" i="191"/>
  <c r="R38" i="191"/>
  <c r="R37" i="191"/>
  <c r="R36" i="191"/>
  <c r="R35" i="191"/>
  <c r="R34" i="191"/>
  <c r="R33" i="191"/>
  <c r="R32" i="191"/>
  <c r="R31" i="191"/>
  <c r="CC30" i="191"/>
  <c r="CB30" i="191"/>
  <c r="CA30" i="191"/>
  <c r="BZ30" i="191"/>
  <c r="BY30" i="191"/>
  <c r="BX30" i="191"/>
  <c r="BW30" i="191"/>
  <c r="BV30" i="191"/>
  <c r="BU30" i="191"/>
  <c r="BT30" i="191"/>
  <c r="BS30" i="191"/>
  <c r="BR30" i="191"/>
  <c r="BQ30" i="191"/>
  <c r="BP30" i="191"/>
  <c r="BO30" i="191"/>
  <c r="BN30" i="191"/>
  <c r="BM30" i="191"/>
  <c r="BL30" i="191"/>
  <c r="BK30" i="191"/>
  <c r="BJ30" i="191"/>
  <c r="BI30" i="191"/>
  <c r="BH30" i="191"/>
  <c r="BG30" i="191"/>
  <c r="BF30" i="191"/>
  <c r="R30" i="191"/>
  <c r="R29" i="191"/>
  <c r="R28" i="191"/>
  <c r="R27" i="191"/>
  <c r="R26" i="191"/>
  <c r="R25" i="191"/>
  <c r="R24" i="191"/>
  <c r="R23" i="191"/>
  <c r="R22" i="191"/>
  <c r="R21" i="191"/>
  <c r="R20" i="191"/>
  <c r="R19" i="191"/>
  <c r="R18" i="191"/>
  <c r="R17" i="191"/>
  <c r="R16" i="191"/>
  <c r="R15" i="191"/>
  <c r="AO14" i="191"/>
  <c r="AO15" i="191" s="1"/>
  <c r="R14" i="191"/>
  <c r="N10" i="191"/>
  <c r="K10" i="191"/>
  <c r="B10" i="191"/>
  <c r="K9" i="191"/>
  <c r="B9" i="191"/>
  <c r="N7" i="191"/>
  <c r="N6" i="191"/>
  <c r="T1" i="191"/>
  <c r="S1" i="191"/>
  <c r="I4" i="191" s="1"/>
  <c r="I1" i="191"/>
  <c r="R55" i="190"/>
  <c r="R54" i="190"/>
  <c r="R53" i="190"/>
  <c r="R52" i="190"/>
  <c r="R51" i="190"/>
  <c r="R50" i="190"/>
  <c r="R49" i="190"/>
  <c r="R48" i="190"/>
  <c r="R47" i="190"/>
  <c r="R46" i="190"/>
  <c r="R45" i="190"/>
  <c r="R44" i="190"/>
  <c r="R43" i="190"/>
  <c r="R42" i="190"/>
  <c r="R41" i="190"/>
  <c r="R40" i="190"/>
  <c r="R39" i="190"/>
  <c r="R38" i="190"/>
  <c r="R37" i="190"/>
  <c r="R36" i="190"/>
  <c r="R35" i="190"/>
  <c r="R34" i="190"/>
  <c r="R33" i="190"/>
  <c r="R32" i="190"/>
  <c r="R31" i="190"/>
  <c r="CC30" i="190"/>
  <c r="CB30" i="190"/>
  <c r="CA30" i="190"/>
  <c r="BZ30" i="190"/>
  <c r="BY30" i="190"/>
  <c r="BX30" i="190"/>
  <c r="BW30" i="190"/>
  <c r="BV30" i="190"/>
  <c r="BU30" i="190"/>
  <c r="BT30" i="190"/>
  <c r="BS30" i="190"/>
  <c r="BR30" i="190"/>
  <c r="BQ30" i="190"/>
  <c r="BP30" i="190"/>
  <c r="BO30" i="190"/>
  <c r="BN30" i="190"/>
  <c r="BM30" i="190"/>
  <c r="BL30" i="190"/>
  <c r="BK30" i="190"/>
  <c r="BJ30" i="190"/>
  <c r="BI30" i="190"/>
  <c r="BH30" i="190"/>
  <c r="BG30" i="190"/>
  <c r="BF30" i="190"/>
  <c r="R30" i="190"/>
  <c r="R29" i="190"/>
  <c r="R28" i="190"/>
  <c r="R27" i="190"/>
  <c r="R26" i="190"/>
  <c r="R25" i="190"/>
  <c r="R24" i="190"/>
  <c r="R23" i="190"/>
  <c r="R22" i="190"/>
  <c r="R21" i="190"/>
  <c r="R20" i="190"/>
  <c r="R19" i="190"/>
  <c r="R18" i="190"/>
  <c r="R17" i="190"/>
  <c r="R16" i="190"/>
  <c r="R15" i="190"/>
  <c r="AO14" i="190"/>
  <c r="AO15" i="190" s="1"/>
  <c r="R14" i="190"/>
  <c r="N10" i="190"/>
  <c r="K10" i="190"/>
  <c r="B10" i="190"/>
  <c r="K9" i="190"/>
  <c r="B9" i="190"/>
  <c r="N7" i="190"/>
  <c r="N6" i="190"/>
  <c r="I2" i="190"/>
  <c r="T1" i="190"/>
  <c r="S1" i="190"/>
  <c r="I4" i="190" s="1"/>
  <c r="I1" i="190"/>
  <c r="R55" i="189"/>
  <c r="R54" i="189"/>
  <c r="R53" i="189"/>
  <c r="R52" i="189"/>
  <c r="R51" i="189"/>
  <c r="R50" i="189"/>
  <c r="R49" i="189"/>
  <c r="R48" i="189"/>
  <c r="R47" i="189"/>
  <c r="R46" i="189"/>
  <c r="R45" i="189"/>
  <c r="R44" i="189"/>
  <c r="R43" i="189"/>
  <c r="R42" i="189"/>
  <c r="R41" i="189"/>
  <c r="R40" i="189"/>
  <c r="R39" i="189"/>
  <c r="R38" i="189"/>
  <c r="R37" i="189"/>
  <c r="R36" i="189"/>
  <c r="R35" i="189"/>
  <c r="R34" i="189"/>
  <c r="R33" i="189"/>
  <c r="R32" i="189"/>
  <c r="R31" i="189"/>
  <c r="CC30" i="189"/>
  <c r="CB30" i="189"/>
  <c r="CA30" i="189"/>
  <c r="BZ30" i="189"/>
  <c r="BY30" i="189"/>
  <c r="BX30" i="189"/>
  <c r="BW30" i="189"/>
  <c r="BV30" i="189"/>
  <c r="BU30" i="189"/>
  <c r="BT30" i="189"/>
  <c r="BS30" i="189"/>
  <c r="BR30" i="189"/>
  <c r="BQ30" i="189"/>
  <c r="BP30" i="189"/>
  <c r="BO30" i="189"/>
  <c r="BN30" i="189"/>
  <c r="BM30" i="189"/>
  <c r="BL30" i="189"/>
  <c r="BK30" i="189"/>
  <c r="BJ30" i="189"/>
  <c r="BI30" i="189"/>
  <c r="BH30" i="189"/>
  <c r="BG30" i="189"/>
  <c r="BF30" i="189"/>
  <c r="R30" i="189"/>
  <c r="R29" i="189"/>
  <c r="R28" i="189"/>
  <c r="R27" i="189"/>
  <c r="R26" i="189"/>
  <c r="R25" i="189"/>
  <c r="R24" i="189"/>
  <c r="R23" i="189"/>
  <c r="R22" i="189"/>
  <c r="R21" i="189"/>
  <c r="R20" i="189"/>
  <c r="R19" i="189"/>
  <c r="R18" i="189"/>
  <c r="R17" i="189"/>
  <c r="R16" i="189"/>
  <c r="R15" i="189"/>
  <c r="AO14" i="189"/>
  <c r="AO15" i="189" s="1"/>
  <c r="R14" i="189"/>
  <c r="N10" i="189"/>
  <c r="K10" i="189"/>
  <c r="B10" i="189"/>
  <c r="K9" i="189"/>
  <c r="B9" i="189"/>
  <c r="N7" i="189"/>
  <c r="N6" i="189"/>
  <c r="T1" i="189"/>
  <c r="S1" i="189"/>
  <c r="I4" i="189" s="1"/>
  <c r="I1" i="189"/>
  <c r="O7" i="186"/>
  <c r="Y7" i="185"/>
  <c r="Y7" i="184"/>
  <c r="Y7" i="183"/>
  <c r="Y7" i="182"/>
  <c r="L7" i="174"/>
  <c r="L7" i="173"/>
  <c r="L7" i="172"/>
  <c r="L7" i="171"/>
  <c r="L7" i="170"/>
  <c r="N7" i="177"/>
  <c r="N7" i="176"/>
  <c r="N7" i="175"/>
  <c r="H7" i="178"/>
  <c r="H7" i="188"/>
  <c r="R99" i="188"/>
  <c r="R98" i="188"/>
  <c r="R97" i="188"/>
  <c r="R96" i="188"/>
  <c r="R95" i="188"/>
  <c r="R94" i="188"/>
  <c r="R93" i="188"/>
  <c r="R92" i="188"/>
  <c r="R91" i="188"/>
  <c r="R90" i="188"/>
  <c r="R89" i="188"/>
  <c r="R88" i="188"/>
  <c r="R87" i="188"/>
  <c r="R86" i="188"/>
  <c r="R85" i="188"/>
  <c r="R84" i="188"/>
  <c r="R83" i="188"/>
  <c r="R82" i="188"/>
  <c r="R81" i="188"/>
  <c r="R80" i="188"/>
  <c r="R79" i="188"/>
  <c r="R78" i="188"/>
  <c r="R77" i="188"/>
  <c r="R76" i="188"/>
  <c r="R75" i="188"/>
  <c r="R74" i="188"/>
  <c r="R73" i="188"/>
  <c r="R72" i="188"/>
  <c r="R71" i="188"/>
  <c r="R70" i="188"/>
  <c r="R69" i="188"/>
  <c r="R68" i="188"/>
  <c r="R67" i="188"/>
  <c r="R66" i="188"/>
  <c r="R65" i="188"/>
  <c r="R64" i="188"/>
  <c r="R63" i="188"/>
  <c r="R62" i="188"/>
  <c r="R61" i="188"/>
  <c r="R60" i="188"/>
  <c r="R59" i="188"/>
  <c r="R58" i="188"/>
  <c r="R57" i="188"/>
  <c r="R56" i="188"/>
  <c r="R55" i="188"/>
  <c r="R54" i="188"/>
  <c r="R53" i="188"/>
  <c r="R52" i="188"/>
  <c r="R51" i="188"/>
  <c r="R50" i="188"/>
  <c r="R49" i="188"/>
  <c r="R48" i="188"/>
  <c r="R47" i="188"/>
  <c r="R46" i="188"/>
  <c r="R45" i="188"/>
  <c r="R44" i="188"/>
  <c r="R43" i="188"/>
  <c r="R42" i="188"/>
  <c r="R41" i="188"/>
  <c r="R40" i="188"/>
  <c r="R39" i="188"/>
  <c r="R38" i="188"/>
  <c r="R37" i="188"/>
  <c r="R36" i="188"/>
  <c r="R35" i="188"/>
  <c r="R34" i="188"/>
  <c r="R33" i="188"/>
  <c r="R32" i="188"/>
  <c r="R31" i="188"/>
  <c r="R30" i="188"/>
  <c r="R29" i="188"/>
  <c r="R28" i="188"/>
  <c r="R27" i="188"/>
  <c r="R26" i="188"/>
  <c r="R25" i="188"/>
  <c r="L25" i="188"/>
  <c r="L26" i="188" s="1"/>
  <c r="L27" i="188" s="1"/>
  <c r="L28" i="188" s="1"/>
  <c r="L29" i="188" s="1"/>
  <c r="L30" i="188" s="1"/>
  <c r="L31" i="188" s="1"/>
  <c r="L32" i="188" s="1"/>
  <c r="L33" i="188" s="1"/>
  <c r="L34" i="188" s="1"/>
  <c r="L35" i="188" s="1"/>
  <c r="L36" i="188" s="1"/>
  <c r="L37" i="188" s="1"/>
  <c r="L38" i="188" s="1"/>
  <c r="L39" i="188" s="1"/>
  <c r="L40" i="188" s="1"/>
  <c r="L41" i="188" s="1"/>
  <c r="L42" i="188" s="1"/>
  <c r="L43" i="188" s="1"/>
  <c r="L44" i="188" s="1"/>
  <c r="L45" i="188" s="1"/>
  <c r="L46" i="188" s="1"/>
  <c r="L47" i="188" s="1"/>
  <c r="L48" i="188" s="1"/>
  <c r="L49" i="188" s="1"/>
  <c r="L50" i="188" s="1"/>
  <c r="L51" i="188" s="1"/>
  <c r="R24" i="188"/>
  <c r="L24" i="188"/>
  <c r="R23" i="188"/>
  <c r="L23" i="188"/>
  <c r="R22" i="188"/>
  <c r="L22" i="188"/>
  <c r="R21" i="188"/>
  <c r="L21" i="188"/>
  <c r="R20" i="188"/>
  <c r="L20" i="188"/>
  <c r="R19" i="188"/>
  <c r="L19" i="188"/>
  <c r="R18" i="188"/>
  <c r="L18" i="188"/>
  <c r="R17" i="188"/>
  <c r="L17" i="188"/>
  <c r="R16" i="188"/>
  <c r="L16" i="188"/>
  <c r="R15" i="188"/>
  <c r="L15" i="188"/>
  <c r="R14" i="188"/>
  <c r="L14" i="188"/>
  <c r="R13" i="188"/>
  <c r="L13" i="188"/>
  <c r="P10" i="188"/>
  <c r="J10" i="188"/>
  <c r="G10" i="188"/>
  <c r="B10" i="188"/>
  <c r="G9" i="188"/>
  <c r="B9" i="188"/>
  <c r="H6" i="188"/>
  <c r="D4" i="188"/>
  <c r="D2" i="188"/>
  <c r="M1" i="188"/>
  <c r="N52" i="188" s="1"/>
  <c r="L1" i="188"/>
  <c r="D1" i="188"/>
  <c r="E47" i="186"/>
  <c r="C47" i="186"/>
  <c r="T42" i="186"/>
  <c r="S42" i="186"/>
  <c r="T41" i="186"/>
  <c r="T40" i="186"/>
  <c r="T39" i="186"/>
  <c r="S39" i="186"/>
  <c r="T38" i="186"/>
  <c r="S38" i="186"/>
  <c r="T37" i="186"/>
  <c r="T36" i="186"/>
  <c r="S36" i="186"/>
  <c r="T35" i="186"/>
  <c r="T34" i="186"/>
  <c r="S34" i="186"/>
  <c r="T33" i="186"/>
  <c r="T32" i="186"/>
  <c r="S32" i="186"/>
  <c r="T31" i="186"/>
  <c r="S31" i="186"/>
  <c r="T30" i="186"/>
  <c r="S30" i="186"/>
  <c r="T29" i="186"/>
  <c r="T28" i="186"/>
  <c r="S28" i="186"/>
  <c r="T27" i="186"/>
  <c r="AE25" i="186"/>
  <c r="W25" i="186"/>
  <c r="U25" i="186"/>
  <c r="HB22" i="186"/>
  <c r="HC22" i="186" s="1"/>
  <c r="HD22" i="186" s="1"/>
  <c r="HE22" i="186" s="1"/>
  <c r="HF22" i="186" s="1"/>
  <c r="HG22" i="186" s="1"/>
  <c r="HH22" i="186" s="1"/>
  <c r="HI22" i="186" s="1"/>
  <c r="HJ22" i="186" s="1"/>
  <c r="HK22" i="186" s="1"/>
  <c r="HL22" i="186" s="1"/>
  <c r="HM22" i="186" s="1"/>
  <c r="HN22" i="186" s="1"/>
  <c r="HO22" i="186" s="1"/>
  <c r="HP22" i="186" s="1"/>
  <c r="O10" i="186"/>
  <c r="J10" i="186"/>
  <c r="C10" i="186"/>
  <c r="J9" i="186"/>
  <c r="C9" i="186"/>
  <c r="I8" i="186"/>
  <c r="O6" i="186"/>
  <c r="S1" i="186"/>
  <c r="S37" i="186" s="1"/>
  <c r="R1" i="186"/>
  <c r="J4" i="186" s="1"/>
  <c r="EO104" i="185"/>
  <c r="EN104" i="185"/>
  <c r="EM104" i="185"/>
  <c r="EO103" i="185"/>
  <c r="EN103" i="185"/>
  <c r="EM103" i="185"/>
  <c r="EO102" i="185"/>
  <c r="EN102" i="185"/>
  <c r="EM102" i="185"/>
  <c r="EO101" i="185"/>
  <c r="EN101" i="185"/>
  <c r="EM101" i="185"/>
  <c r="EO100" i="185"/>
  <c r="EN100" i="185"/>
  <c r="EM100" i="185"/>
  <c r="EO99" i="185"/>
  <c r="EN99" i="185"/>
  <c r="EM99" i="185"/>
  <c r="EO98" i="185"/>
  <c r="EN98" i="185"/>
  <c r="EM98" i="185"/>
  <c r="EO97" i="185"/>
  <c r="EN97" i="185"/>
  <c r="EM97" i="185"/>
  <c r="EO96" i="185"/>
  <c r="EN96" i="185"/>
  <c r="EM96" i="185"/>
  <c r="EO95" i="185"/>
  <c r="EN95" i="185"/>
  <c r="EM95" i="185"/>
  <c r="EO94" i="185"/>
  <c r="EN94" i="185"/>
  <c r="EM94" i="185"/>
  <c r="EO93" i="185"/>
  <c r="EN93" i="185"/>
  <c r="EM93" i="185"/>
  <c r="EO92" i="185"/>
  <c r="EN92" i="185"/>
  <c r="EM92" i="185"/>
  <c r="EO91" i="185"/>
  <c r="EN91" i="185"/>
  <c r="EM91" i="185"/>
  <c r="EO90" i="185"/>
  <c r="EN90" i="185"/>
  <c r="EM90" i="185"/>
  <c r="EO89" i="185"/>
  <c r="EN89" i="185"/>
  <c r="EM89" i="185"/>
  <c r="EO88" i="185"/>
  <c r="EN88" i="185"/>
  <c r="EM88" i="185"/>
  <c r="EO87" i="185"/>
  <c r="EN87" i="185"/>
  <c r="EM87" i="185"/>
  <c r="EO86" i="185"/>
  <c r="EN86" i="185"/>
  <c r="EM86" i="185"/>
  <c r="EO85" i="185"/>
  <c r="EN85" i="185"/>
  <c r="EM85" i="185"/>
  <c r="EO84" i="185"/>
  <c r="EN84" i="185"/>
  <c r="EM84" i="185"/>
  <c r="EO83" i="185"/>
  <c r="EN83" i="185"/>
  <c r="EM83" i="185"/>
  <c r="EO82" i="185"/>
  <c r="EN82" i="185"/>
  <c r="EM82" i="185"/>
  <c r="EO81" i="185"/>
  <c r="EN81" i="185"/>
  <c r="EM81" i="185"/>
  <c r="EO80" i="185"/>
  <c r="EN80" i="185"/>
  <c r="EM80" i="185"/>
  <c r="EO79" i="185"/>
  <c r="EN79" i="185"/>
  <c r="EM79" i="185"/>
  <c r="EO78" i="185"/>
  <c r="EN78" i="185"/>
  <c r="EM78" i="185"/>
  <c r="EO77" i="185"/>
  <c r="EN77" i="185"/>
  <c r="EM77" i="185"/>
  <c r="EO76" i="185"/>
  <c r="EN76" i="185"/>
  <c r="EM76" i="185"/>
  <c r="EO75" i="185"/>
  <c r="EN75" i="185"/>
  <c r="EM75" i="185"/>
  <c r="AW57" i="185"/>
  <c r="AA57" i="185"/>
  <c r="Z57" i="185"/>
  <c r="Y57" i="185"/>
  <c r="X57" i="185"/>
  <c r="W57" i="185"/>
  <c r="V57" i="185"/>
  <c r="AT57" i="185" s="1"/>
  <c r="U57" i="185"/>
  <c r="T57" i="185"/>
  <c r="AR57" i="185" s="1"/>
  <c r="S57" i="185"/>
  <c r="R57" i="185"/>
  <c r="Q57" i="185"/>
  <c r="P57" i="185"/>
  <c r="O57" i="185"/>
  <c r="N57" i="185"/>
  <c r="M57" i="185"/>
  <c r="L57" i="185"/>
  <c r="K57" i="185"/>
  <c r="J57" i="185"/>
  <c r="I57" i="185"/>
  <c r="H57" i="185"/>
  <c r="G57" i="185"/>
  <c r="F57" i="185"/>
  <c r="E57" i="185"/>
  <c r="D57" i="185"/>
  <c r="C57" i="185"/>
  <c r="B57" i="185"/>
  <c r="A57" i="185"/>
  <c r="GF57" i="185" s="1"/>
  <c r="FV45" i="185"/>
  <c r="FS45" i="185"/>
  <c r="FI45" i="185"/>
  <c r="FJ45" i="185" s="1"/>
  <c r="FK45" i="185" s="1"/>
  <c r="FL45" i="185" s="1"/>
  <c r="Z45" i="185" s="1"/>
  <c r="FD45" i="185"/>
  <c r="FC45" i="185"/>
  <c r="EZ45" i="185"/>
  <c r="EE45" i="185" s="1"/>
  <c r="EY45" i="185"/>
  <c r="EX45" i="185"/>
  <c r="EL45" i="185"/>
  <c r="EN45" i="185" s="1"/>
  <c r="ER45" i="185" s="1"/>
  <c r="EC45" i="185"/>
  <c r="EB45" i="185"/>
  <c r="DY45" i="185"/>
  <c r="DS45" i="185"/>
  <c r="DO45" i="185"/>
  <c r="FE45" i="185" s="1"/>
  <c r="FF45" i="185" s="1"/>
  <c r="FG45" i="185" s="1"/>
  <c r="Y45" i="185" s="1"/>
  <c r="DN45" i="185"/>
  <c r="DM45" i="185"/>
  <c r="DL45" i="185"/>
  <c r="DK45" i="185"/>
  <c r="DJ45" i="185"/>
  <c r="DI45" i="185"/>
  <c r="FT45" i="185" s="1"/>
  <c r="DH45" i="185"/>
  <c r="FM45" i="185" s="1"/>
  <c r="DG45" i="185"/>
  <c r="DF45" i="185"/>
  <c r="EA45" i="185" s="1"/>
  <c r="DE45" i="185"/>
  <c r="FR45" i="185" s="1"/>
  <c r="DD45" i="185"/>
  <c r="DC45" i="185"/>
  <c r="DB45" i="185"/>
  <c r="DA45" i="185"/>
  <c r="CZ45" i="185"/>
  <c r="CY45" i="185"/>
  <c r="CX45" i="185"/>
  <c r="FH45" i="185" s="1"/>
  <c r="CW45" i="185"/>
  <c r="CV45" i="185"/>
  <c r="CU45" i="185"/>
  <c r="FQ45" i="185" s="1"/>
  <c r="CQ45" i="185"/>
  <c r="CP45" i="185"/>
  <c r="CO45" i="185"/>
  <c r="CN45" i="185"/>
  <c r="CK45" i="185"/>
  <c r="CA45" i="185"/>
  <c r="BQ45" i="185"/>
  <c r="BO45" i="185"/>
  <c r="C45" i="185"/>
  <c r="A45" i="185"/>
  <c r="AX45" i="185" s="1"/>
  <c r="GF44" i="185"/>
  <c r="GE44" i="185" s="1"/>
  <c r="FR44" i="185"/>
  <c r="FI44" i="185"/>
  <c r="FH44" i="185"/>
  <c r="FC44" i="185"/>
  <c r="EL44" i="185" s="1"/>
  <c r="FB44" i="185"/>
  <c r="EZ44" i="185"/>
  <c r="EE44" i="185"/>
  <c r="DY44" i="185"/>
  <c r="DV44" i="185"/>
  <c r="DU44" i="185"/>
  <c r="DS44" i="185"/>
  <c r="DO44" i="185"/>
  <c r="DN44" i="185"/>
  <c r="DM44" i="185"/>
  <c r="DL44" i="185"/>
  <c r="DK44" i="185"/>
  <c r="DJ44" i="185"/>
  <c r="DI44" i="185"/>
  <c r="FT44" i="185" s="1"/>
  <c r="DH44" i="185"/>
  <c r="FM44" i="185" s="1"/>
  <c r="DG44" i="185"/>
  <c r="DF44" i="185"/>
  <c r="DE44" i="185"/>
  <c r="DD44" i="185"/>
  <c r="FD44" i="185" s="1"/>
  <c r="DC44" i="185"/>
  <c r="DB44" i="185"/>
  <c r="DA44" i="185"/>
  <c r="CZ44" i="185"/>
  <c r="CY44" i="185"/>
  <c r="CX44" i="185"/>
  <c r="FU44" i="185" s="1"/>
  <c r="CW44" i="185"/>
  <c r="CV44" i="185"/>
  <c r="CU44" i="185"/>
  <c r="FQ44" i="185" s="1"/>
  <c r="CQ44" i="185"/>
  <c r="CP44" i="185"/>
  <c r="CO44" i="185"/>
  <c r="CN44" i="185"/>
  <c r="CK44" i="185"/>
  <c r="BQ44" i="185"/>
  <c r="BO44" i="185"/>
  <c r="AV44" i="185"/>
  <c r="AE44" i="185"/>
  <c r="AD44" i="185"/>
  <c r="C44" i="185"/>
  <c r="A44" i="185"/>
  <c r="AX44" i="185" s="1"/>
  <c r="GF43" i="185"/>
  <c r="GE43" i="185"/>
  <c r="FU43" i="185"/>
  <c r="FT43" i="185"/>
  <c r="FC43" i="185"/>
  <c r="EZ43" i="185"/>
  <c r="EE43" i="185"/>
  <c r="ED43" i="185"/>
  <c r="EB43" i="185"/>
  <c r="EA43" i="185"/>
  <c r="DY43" i="185"/>
  <c r="DX43" i="185"/>
  <c r="DW43" i="185"/>
  <c r="DU43" i="185"/>
  <c r="DS43" i="185"/>
  <c r="DO43" i="185"/>
  <c r="DN43" i="185"/>
  <c r="FI43" i="185" s="1"/>
  <c r="DM43" i="185"/>
  <c r="DL43" i="185"/>
  <c r="DK43" i="185"/>
  <c r="EL43" i="185" s="1"/>
  <c r="EM43" i="185" s="1"/>
  <c r="EQ43" i="185" s="1"/>
  <c r="DJ43" i="185"/>
  <c r="DI43" i="185"/>
  <c r="DH43" i="185"/>
  <c r="DG43" i="185"/>
  <c r="DF43" i="185"/>
  <c r="EC43" i="185" s="1"/>
  <c r="DE43" i="185"/>
  <c r="DD43" i="185"/>
  <c r="FD43" i="185" s="1"/>
  <c r="DC43" i="185"/>
  <c r="DB43" i="185"/>
  <c r="DA43" i="185"/>
  <c r="CZ43" i="185"/>
  <c r="CY43" i="185"/>
  <c r="CX43" i="185"/>
  <c r="FH43" i="185" s="1"/>
  <c r="CW43" i="185"/>
  <c r="CV43" i="185"/>
  <c r="DV43" i="185" s="1"/>
  <c r="CU43" i="185"/>
  <c r="BQ43" i="185" s="1"/>
  <c r="CQ43" i="185"/>
  <c r="CP43" i="185"/>
  <c r="CO43" i="185"/>
  <c r="CN43" i="185"/>
  <c r="CL43" i="185"/>
  <c r="BO43" i="185"/>
  <c r="AX43" i="185"/>
  <c r="AW43" i="185"/>
  <c r="AG43" i="185"/>
  <c r="AF43" i="185"/>
  <c r="AD43" i="185"/>
  <c r="J43" i="185"/>
  <c r="F43" i="185"/>
  <c r="C43" i="185"/>
  <c r="A43" i="185"/>
  <c r="FT42" i="185"/>
  <c r="FM42" i="185"/>
  <c r="FC42" i="185"/>
  <c r="FA42" i="185"/>
  <c r="EZ42" i="185"/>
  <c r="EY42" i="185"/>
  <c r="EX42" i="185"/>
  <c r="EN42" i="185"/>
  <c r="ER42" i="185" s="1"/>
  <c r="EM42" i="185"/>
  <c r="EQ42" i="185" s="1"/>
  <c r="CI42" i="185" s="1"/>
  <c r="EG42" i="185"/>
  <c r="EK42" i="185" s="1"/>
  <c r="EV42" i="185" s="1"/>
  <c r="CJ42" i="185" s="1"/>
  <c r="EF42" i="185"/>
  <c r="EJ42" i="185" s="1"/>
  <c r="CH42" i="185" s="1"/>
  <c r="ED42" i="185"/>
  <c r="EC42" i="185"/>
  <c r="EB42" i="185"/>
  <c r="DY42" i="185"/>
  <c r="DX42" i="185"/>
  <c r="F42" i="185" s="1"/>
  <c r="DW42" i="185"/>
  <c r="DS42" i="185"/>
  <c r="DO42" i="185"/>
  <c r="DN42" i="185"/>
  <c r="FI42" i="185" s="1"/>
  <c r="FJ42" i="185" s="1"/>
  <c r="FK42" i="185" s="1"/>
  <c r="FL42" i="185" s="1"/>
  <c r="Z42" i="185" s="1"/>
  <c r="DM42" i="185"/>
  <c r="DL42" i="185"/>
  <c r="DK42" i="185"/>
  <c r="EL42" i="185" s="1"/>
  <c r="DJ42" i="185"/>
  <c r="DI42" i="185"/>
  <c r="DH42" i="185"/>
  <c r="FV42" i="185" s="1"/>
  <c r="DG42" i="185"/>
  <c r="CC42" i="185" s="1"/>
  <c r="DF42" i="185"/>
  <c r="EA42" i="185" s="1"/>
  <c r="DE42" i="185"/>
  <c r="DD42" i="185"/>
  <c r="FD42" i="185" s="1"/>
  <c r="FE42" i="185" s="1"/>
  <c r="FF42" i="185" s="1"/>
  <c r="FG42" i="185" s="1"/>
  <c r="Y42" i="185" s="1"/>
  <c r="DC42" i="185"/>
  <c r="DB42" i="185"/>
  <c r="DA42" i="185"/>
  <c r="EE42" i="185" s="1"/>
  <c r="CZ42" i="185"/>
  <c r="CY42" i="185"/>
  <c r="FS42" i="185" s="1"/>
  <c r="CX42" i="185"/>
  <c r="FH42" i="185" s="1"/>
  <c r="CW42" i="185"/>
  <c r="BQ42" i="185" s="1"/>
  <c r="CV42" i="185"/>
  <c r="CU42" i="185"/>
  <c r="CQ42" i="185"/>
  <c r="CP42" i="185"/>
  <c r="CO42" i="185"/>
  <c r="CN42" i="185"/>
  <c r="CA42" i="185"/>
  <c r="BO42" i="185"/>
  <c r="AW42" i="185"/>
  <c r="AG42" i="185"/>
  <c r="AF42" i="185"/>
  <c r="AX42" i="185"/>
  <c r="K42" i="185"/>
  <c r="C42" i="185"/>
  <c r="A42" i="185"/>
  <c r="GF42" i="185" s="1"/>
  <c r="GE42" i="185" s="1"/>
  <c r="FV41" i="185"/>
  <c r="FS41" i="185"/>
  <c r="FR41" i="185"/>
  <c r="FM41" i="185"/>
  <c r="FJ41" i="185"/>
  <c r="FK41" i="185" s="1"/>
  <c r="FL41" i="185" s="1"/>
  <c r="Z41" i="185" s="1"/>
  <c r="FD41" i="185"/>
  <c r="FE41" i="185" s="1"/>
  <c r="FF41" i="185" s="1"/>
  <c r="FG41" i="185" s="1"/>
  <c r="Y41" i="185" s="1"/>
  <c r="FC41" i="185"/>
  <c r="EL41" i="185" s="1"/>
  <c r="EZ41" i="185"/>
  <c r="EE41" i="185" s="1"/>
  <c r="EG41" i="185" s="1"/>
  <c r="EX41" i="185"/>
  <c r="EK41" i="185"/>
  <c r="EF41" i="185"/>
  <c r="EJ41" i="185" s="1"/>
  <c r="DY41" i="185"/>
  <c r="DX41" i="185"/>
  <c r="F41" i="185" s="1"/>
  <c r="DW41" i="185"/>
  <c r="DV41" i="185"/>
  <c r="DU41" i="185"/>
  <c r="DS41" i="185"/>
  <c r="DO41" i="185"/>
  <c r="DN41" i="185"/>
  <c r="FI41" i="185" s="1"/>
  <c r="DM41" i="185"/>
  <c r="DL41" i="185"/>
  <c r="DK41" i="185"/>
  <c r="DJ41" i="185"/>
  <c r="DI41" i="185"/>
  <c r="DH41" i="185"/>
  <c r="DG41" i="185"/>
  <c r="DF41" i="185"/>
  <c r="DE41" i="185"/>
  <c r="CA41" i="185" s="1"/>
  <c r="DD41" i="185"/>
  <c r="DC41" i="185"/>
  <c r="DB41" i="185"/>
  <c r="DA41" i="185"/>
  <c r="CZ41" i="185"/>
  <c r="CY41" i="185"/>
  <c r="CX41" i="185"/>
  <c r="FH41" i="185" s="1"/>
  <c r="CW41" i="185"/>
  <c r="CV41" i="185"/>
  <c r="CU41" i="185"/>
  <c r="CQ41" i="185"/>
  <c r="CP41" i="185"/>
  <c r="CK41" i="185" s="1"/>
  <c r="CO41" i="185"/>
  <c r="CN41" i="185"/>
  <c r="BO41" i="185"/>
  <c r="AW41" i="185"/>
  <c r="AV41" i="185"/>
  <c r="AK41" i="185" s="1"/>
  <c r="AH41" i="185"/>
  <c r="AG41" i="185"/>
  <c r="AF41" i="185"/>
  <c r="AE41" i="185"/>
  <c r="AD41" i="185"/>
  <c r="H41" i="185"/>
  <c r="G41" i="185"/>
  <c r="C41" i="185"/>
  <c r="A41" i="185"/>
  <c r="FV40" i="185"/>
  <c r="FS40" i="185"/>
  <c r="FM40" i="185"/>
  <c r="FD40" i="185"/>
  <c r="FC40" i="185"/>
  <c r="EL40" i="185" s="1"/>
  <c r="FA40" i="185"/>
  <c r="EZ40" i="185"/>
  <c r="EE40" i="185" s="1"/>
  <c r="EY40" i="185"/>
  <c r="ED40" i="185"/>
  <c r="DY40" i="185"/>
  <c r="DW40" i="185"/>
  <c r="DV40" i="185"/>
  <c r="DS40" i="185"/>
  <c r="DO40" i="185"/>
  <c r="DN40" i="185"/>
  <c r="FI40" i="185" s="1"/>
  <c r="DM40" i="185"/>
  <c r="DL40" i="185"/>
  <c r="DK40" i="185"/>
  <c r="DJ40" i="185"/>
  <c r="DI40" i="185"/>
  <c r="FT40" i="185" s="1"/>
  <c r="DH40" i="185"/>
  <c r="DG40" i="185"/>
  <c r="CC40" i="185" s="1"/>
  <c r="DF40" i="185"/>
  <c r="DE40" i="185"/>
  <c r="DD40" i="185"/>
  <c r="DC40" i="185"/>
  <c r="DB40" i="185"/>
  <c r="DA40" i="185"/>
  <c r="CZ40" i="185"/>
  <c r="CY40" i="185"/>
  <c r="CX40" i="185"/>
  <c r="CW40" i="185"/>
  <c r="BQ40" i="185" s="1"/>
  <c r="CV40" i="185"/>
  <c r="DX40" i="185" s="1"/>
  <c r="H40" i="185" s="1"/>
  <c r="CU40" i="185"/>
  <c r="FQ40" i="185" s="1"/>
  <c r="CQ40" i="185"/>
  <c r="CP40" i="185"/>
  <c r="CK40" i="185" s="1"/>
  <c r="CO40" i="185"/>
  <c r="CN40" i="185"/>
  <c r="CA40" i="185"/>
  <c r="BO40" i="185"/>
  <c r="AW40" i="185"/>
  <c r="AV40" i="185"/>
  <c r="AH40" i="185"/>
  <c r="AF40" i="185"/>
  <c r="AE40" i="185"/>
  <c r="J40" i="185"/>
  <c r="C40" i="185"/>
  <c r="AG40" i="185" s="1"/>
  <c r="A40" i="185"/>
  <c r="AX40" i="185" s="1"/>
  <c r="GF39" i="185"/>
  <c r="GC39" i="185"/>
  <c r="GB39" i="185"/>
  <c r="FV39" i="185"/>
  <c r="FU39" i="185"/>
  <c r="FT39" i="185"/>
  <c r="FI39" i="185"/>
  <c r="FH39" i="185"/>
  <c r="FC39" i="185"/>
  <c r="FA39" i="185"/>
  <c r="EZ39" i="185"/>
  <c r="EE39" i="185" s="1"/>
  <c r="EG39" i="185" s="1"/>
  <c r="EK39" i="185" s="1"/>
  <c r="EL39" i="185"/>
  <c r="EJ39" i="185"/>
  <c r="CH39" i="185" s="1"/>
  <c r="U39" i="185" s="1"/>
  <c r="EF39" i="185"/>
  <c r="EA39" i="185"/>
  <c r="DY39" i="185"/>
  <c r="DW39" i="185"/>
  <c r="DS39" i="185"/>
  <c r="DO39" i="185"/>
  <c r="FJ39" i="185" s="1"/>
  <c r="FK39" i="185" s="1"/>
  <c r="FL39" i="185" s="1"/>
  <c r="DN39" i="185"/>
  <c r="DM39" i="185"/>
  <c r="DL39" i="185"/>
  <c r="DK39" i="185"/>
  <c r="DJ39" i="185"/>
  <c r="DI39" i="185"/>
  <c r="DH39" i="185"/>
  <c r="FM39" i="185" s="1"/>
  <c r="DG39" i="185"/>
  <c r="DF39" i="185"/>
  <c r="EB39" i="185" s="1"/>
  <c r="DE39" i="185"/>
  <c r="DD39" i="185"/>
  <c r="FD39" i="185" s="1"/>
  <c r="DC39" i="185"/>
  <c r="DB39" i="185"/>
  <c r="DA39" i="185"/>
  <c r="CZ39" i="185"/>
  <c r="CY39" i="185"/>
  <c r="CX39" i="185"/>
  <c r="CW39" i="185"/>
  <c r="CV39" i="185"/>
  <c r="CU39" i="185"/>
  <c r="EY39" i="185" s="1"/>
  <c r="CQ39" i="185"/>
  <c r="CP39" i="185"/>
  <c r="CK39" i="185" s="1"/>
  <c r="CO39" i="185"/>
  <c r="CN39" i="185"/>
  <c r="CA39" i="185"/>
  <c r="BQ39" i="185"/>
  <c r="BO39" i="185"/>
  <c r="AX39" i="185"/>
  <c r="AW39" i="185"/>
  <c r="AE39" i="185"/>
  <c r="AD39" i="185"/>
  <c r="Z39" i="185"/>
  <c r="T39" i="185"/>
  <c r="AR39" i="185" s="1"/>
  <c r="C39" i="185"/>
  <c r="A39" i="185"/>
  <c r="GF38" i="185"/>
  <c r="FU38" i="185"/>
  <c r="FQ38" i="185"/>
  <c r="FI38" i="185"/>
  <c r="FJ38" i="185" s="1"/>
  <c r="FK38" i="185" s="1"/>
  <c r="FL38" i="185" s="1"/>
  <c r="Z38" i="185" s="1"/>
  <c r="FC38" i="185"/>
  <c r="EL38" i="185" s="1"/>
  <c r="EZ38" i="185"/>
  <c r="EY38" i="185"/>
  <c r="EX38" i="185"/>
  <c r="EG38" i="185"/>
  <c r="EK38" i="185" s="1"/>
  <c r="EE38" i="185"/>
  <c r="EF38" i="185" s="1"/>
  <c r="EJ38" i="185" s="1"/>
  <c r="DY38" i="185"/>
  <c r="DS38" i="185"/>
  <c r="DO38" i="185"/>
  <c r="FE38" i="185" s="1"/>
  <c r="FF38" i="185" s="1"/>
  <c r="FG38" i="185" s="1"/>
  <c r="Y38" i="185" s="1"/>
  <c r="DN38" i="185"/>
  <c r="DM38" i="185"/>
  <c r="DL38" i="185"/>
  <c r="DK38" i="185"/>
  <c r="DJ38" i="185"/>
  <c r="DI38" i="185"/>
  <c r="FT38" i="185" s="1"/>
  <c r="DH38" i="185"/>
  <c r="FV38" i="185" s="1"/>
  <c r="DG38" i="185"/>
  <c r="DF38" i="185"/>
  <c r="EA38" i="185" s="1"/>
  <c r="DE38" i="185"/>
  <c r="FB38" i="185" s="1"/>
  <c r="DD38" i="185"/>
  <c r="FD38" i="185" s="1"/>
  <c r="DC38" i="185"/>
  <c r="DB38" i="185"/>
  <c r="DA38" i="185"/>
  <c r="CZ38" i="185"/>
  <c r="CY38" i="185"/>
  <c r="FS38" i="185" s="1"/>
  <c r="CX38" i="185"/>
  <c r="FH38" i="185" s="1"/>
  <c r="CW38" i="185"/>
  <c r="CV38" i="185"/>
  <c r="CU38" i="185"/>
  <c r="CQ38" i="185"/>
  <c r="CK38" i="185" s="1"/>
  <c r="CP38" i="185"/>
  <c r="CO38" i="185"/>
  <c r="CN38" i="185"/>
  <c r="CM38" i="185"/>
  <c r="CC38" i="185"/>
  <c r="CA38" i="185"/>
  <c r="BO38" i="185"/>
  <c r="AH38" i="185"/>
  <c r="AE38" i="185"/>
  <c r="AD38" i="185"/>
  <c r="AX38" i="185"/>
  <c r="C38" i="185"/>
  <c r="A38" i="185"/>
  <c r="GB37" i="185"/>
  <c r="FV37" i="185"/>
  <c r="FU37" i="185"/>
  <c r="FR37" i="185"/>
  <c r="FQ37" i="185"/>
  <c r="FE37" i="185"/>
  <c r="FF37" i="185" s="1"/>
  <c r="FG37" i="185" s="1"/>
  <c r="Y37" i="185" s="1"/>
  <c r="FD37" i="185"/>
  <c r="FC37" i="185"/>
  <c r="EL37" i="185" s="1"/>
  <c r="EN37" i="185" s="1"/>
  <c r="ER37" i="185" s="1"/>
  <c r="FB37" i="185"/>
  <c r="FA37" i="185"/>
  <c r="EZ37" i="185"/>
  <c r="EY37" i="185"/>
  <c r="EX37" i="185"/>
  <c r="EJ37" i="185"/>
  <c r="EE37" i="185"/>
  <c r="EF37" i="185" s="1"/>
  <c r="ED37" i="185"/>
  <c r="EC37" i="185"/>
  <c r="EA37" i="185"/>
  <c r="DY37" i="185"/>
  <c r="DX37" i="185"/>
  <c r="G37" i="185" s="1"/>
  <c r="DW37" i="185"/>
  <c r="DV37" i="185"/>
  <c r="DU37" i="185"/>
  <c r="DS37" i="185"/>
  <c r="DO37" i="185"/>
  <c r="FJ37" i="185" s="1"/>
  <c r="FK37" i="185" s="1"/>
  <c r="FL37" i="185" s="1"/>
  <c r="Z37" i="185" s="1"/>
  <c r="DN37" i="185"/>
  <c r="FI37" i="185" s="1"/>
  <c r="DM37" i="185"/>
  <c r="DL37" i="185"/>
  <c r="DK37" i="185"/>
  <c r="DJ37" i="185"/>
  <c r="DI37" i="185"/>
  <c r="FT37" i="185" s="1"/>
  <c r="DH37" i="185"/>
  <c r="FM37" i="185" s="1"/>
  <c r="DG37" i="185"/>
  <c r="DF37" i="185"/>
  <c r="EB37" i="185" s="1"/>
  <c r="DE37" i="185"/>
  <c r="DD37" i="185"/>
  <c r="DC37" i="185"/>
  <c r="DB37" i="185"/>
  <c r="DA37" i="185"/>
  <c r="CZ37" i="185"/>
  <c r="CY37" i="185"/>
  <c r="FS37" i="185" s="1"/>
  <c r="CX37" i="185"/>
  <c r="FH37" i="185" s="1"/>
  <c r="FO37" i="185" s="1"/>
  <c r="CW37" i="185"/>
  <c r="CV37" i="185"/>
  <c r="DP37" i="185" s="1"/>
  <c r="CU37" i="185"/>
  <c r="CQ37" i="185"/>
  <c r="CP37" i="185"/>
  <c r="CO37" i="185"/>
  <c r="CN37" i="185"/>
  <c r="CK37" i="185"/>
  <c r="CC37" i="185"/>
  <c r="CA37" i="185"/>
  <c r="AW37" i="185"/>
  <c r="AV37" i="185"/>
  <c r="AH37" i="185"/>
  <c r="AG37" i="185"/>
  <c r="AF37" i="185"/>
  <c r="AE37" i="185"/>
  <c r="AD37" i="185"/>
  <c r="AX37" i="185"/>
  <c r="H37" i="185"/>
  <c r="F37" i="185"/>
  <c r="E37" i="185"/>
  <c r="D37" i="185"/>
  <c r="GK37" i="185" s="1"/>
  <c r="C37" i="185"/>
  <c r="A37" i="185"/>
  <c r="GF37" i="185" s="1"/>
  <c r="FU36" i="185"/>
  <c r="FT36" i="185"/>
  <c r="FC36" i="185"/>
  <c r="FA36" i="185"/>
  <c r="EZ36" i="185"/>
  <c r="EE36" i="185" s="1"/>
  <c r="EY36" i="185"/>
  <c r="EX36" i="185"/>
  <c r="EN36" i="185"/>
  <c r="ER36" i="185" s="1"/>
  <c r="CI36" i="185" s="1"/>
  <c r="EL36" i="185"/>
  <c r="EM36" i="185" s="1"/>
  <c r="EQ36" i="185" s="1"/>
  <c r="DY36" i="185"/>
  <c r="DX36" i="185"/>
  <c r="DW36" i="185"/>
  <c r="DV36" i="185"/>
  <c r="DU36" i="185"/>
  <c r="DS36" i="185"/>
  <c r="DO36" i="185"/>
  <c r="DN36" i="185"/>
  <c r="FI36" i="185" s="1"/>
  <c r="DM36" i="185"/>
  <c r="DL36" i="185"/>
  <c r="DK36" i="185"/>
  <c r="DJ36" i="185"/>
  <c r="DI36" i="185"/>
  <c r="DH36" i="185"/>
  <c r="FV36" i="185" s="1"/>
  <c r="DG36" i="185"/>
  <c r="CC36" i="185" s="1"/>
  <c r="DF36" i="185"/>
  <c r="DP36" i="185" s="1"/>
  <c r="DE36" i="185"/>
  <c r="DD36" i="185"/>
  <c r="FD36" i="185" s="1"/>
  <c r="DC36" i="185"/>
  <c r="DB36" i="185"/>
  <c r="DA36" i="185"/>
  <c r="CZ36" i="185"/>
  <c r="CY36" i="185"/>
  <c r="CX36" i="185"/>
  <c r="FH36" i="185" s="1"/>
  <c r="CW36" i="185"/>
  <c r="CV36" i="185"/>
  <c r="CU36" i="185"/>
  <c r="CQ36" i="185"/>
  <c r="CP36" i="185"/>
  <c r="CO36" i="185"/>
  <c r="CN36" i="185"/>
  <c r="CK36" i="185"/>
  <c r="CA36" i="185"/>
  <c r="BO36" i="185"/>
  <c r="AW36" i="185"/>
  <c r="AV36" i="185"/>
  <c r="AK36" i="185"/>
  <c r="AJ36" i="185" s="1"/>
  <c r="AH36" i="185"/>
  <c r="AG36" i="185"/>
  <c r="AF36" i="185"/>
  <c r="AE36" i="185"/>
  <c r="AD36" i="185"/>
  <c r="H36" i="185"/>
  <c r="G36" i="185"/>
  <c r="F36" i="185"/>
  <c r="C36" i="185"/>
  <c r="A36" i="185"/>
  <c r="FU35" i="185"/>
  <c r="FT35" i="185"/>
  <c r="FS35" i="185"/>
  <c r="FQ35" i="185"/>
  <c r="FM35" i="185"/>
  <c r="FI35" i="185"/>
  <c r="FJ35" i="185" s="1"/>
  <c r="FK35" i="185" s="1"/>
  <c r="FL35" i="185" s="1"/>
  <c r="FH35" i="185"/>
  <c r="FC35" i="185"/>
  <c r="EL35" i="185" s="1"/>
  <c r="EZ35" i="185"/>
  <c r="EE35" i="185" s="1"/>
  <c r="EG35" i="185" s="1"/>
  <c r="EK35" i="185" s="1"/>
  <c r="DY35" i="185"/>
  <c r="DX35" i="185"/>
  <c r="F35" i="185" s="1"/>
  <c r="DW35" i="185"/>
  <c r="DV35" i="185"/>
  <c r="DU35" i="185"/>
  <c r="DS35" i="185"/>
  <c r="DO35" i="185"/>
  <c r="DN35" i="185"/>
  <c r="DM35" i="185"/>
  <c r="DL35" i="185"/>
  <c r="DK35" i="185"/>
  <c r="DJ35" i="185"/>
  <c r="DI35" i="185"/>
  <c r="DH35" i="185"/>
  <c r="FV35" i="185" s="1"/>
  <c r="DG35" i="185"/>
  <c r="DF35" i="185"/>
  <c r="DE35" i="185"/>
  <c r="DD35" i="185"/>
  <c r="FD35" i="185" s="1"/>
  <c r="FE35" i="185" s="1"/>
  <c r="FF35" i="185" s="1"/>
  <c r="FG35" i="185" s="1"/>
  <c r="Y35" i="185" s="1"/>
  <c r="DC35" i="185"/>
  <c r="DB35" i="185"/>
  <c r="DA35" i="185"/>
  <c r="CZ35" i="185"/>
  <c r="CY35" i="185"/>
  <c r="CX35" i="185"/>
  <c r="CW35" i="185"/>
  <c r="CV35" i="185"/>
  <c r="CU35" i="185"/>
  <c r="BQ35" i="185" s="1"/>
  <c r="CQ35" i="185"/>
  <c r="CP35" i="185"/>
  <c r="CK35" i="185" s="1"/>
  <c r="CO35" i="185"/>
  <c r="CN35" i="185"/>
  <c r="AW35" i="185"/>
  <c r="AV35" i="185"/>
  <c r="AK35" i="185"/>
  <c r="AJ35" i="185" s="1"/>
  <c r="AH35" i="185"/>
  <c r="AG35" i="185"/>
  <c r="AF35" i="185"/>
  <c r="AE35" i="185"/>
  <c r="AD35" i="185"/>
  <c r="Z35" i="185"/>
  <c r="C35" i="185"/>
  <c r="A35" i="185"/>
  <c r="GF35" i="185" s="1"/>
  <c r="FV34" i="185"/>
  <c r="FM34" i="185"/>
  <c r="FH34" i="185"/>
  <c r="FF34" i="185"/>
  <c r="FG34" i="185" s="1"/>
  <c r="Y34" i="185" s="1"/>
  <c r="FC34" i="185"/>
  <c r="FA34" i="185"/>
  <c r="EZ34" i="185"/>
  <c r="EF34" i="185"/>
  <c r="EJ34" i="185" s="1"/>
  <c r="EE34" i="185"/>
  <c r="EG34" i="185" s="1"/>
  <c r="EK34" i="185" s="1"/>
  <c r="ED34" i="185"/>
  <c r="EC34" i="185"/>
  <c r="EB34" i="185"/>
  <c r="EA34" i="185"/>
  <c r="DY34" i="185"/>
  <c r="DS34" i="185"/>
  <c r="DO34" i="185"/>
  <c r="FE34" i="185" s="1"/>
  <c r="DN34" i="185"/>
  <c r="FI34" i="185" s="1"/>
  <c r="DM34" i="185"/>
  <c r="DL34" i="185"/>
  <c r="DK34" i="185"/>
  <c r="EL34" i="185" s="1"/>
  <c r="DJ34" i="185"/>
  <c r="DI34" i="185"/>
  <c r="DH34" i="185"/>
  <c r="DG34" i="185"/>
  <c r="DF34" i="185"/>
  <c r="DE34" i="185"/>
  <c r="DD34" i="185"/>
  <c r="FD34" i="185" s="1"/>
  <c r="DC34" i="185"/>
  <c r="DB34" i="185"/>
  <c r="DA34" i="185"/>
  <c r="CZ34" i="185"/>
  <c r="CY34" i="185"/>
  <c r="CX34" i="185"/>
  <c r="FU34" i="185" s="1"/>
  <c r="CW34" i="185"/>
  <c r="CV34" i="185"/>
  <c r="CU34" i="185"/>
  <c r="CQ34" i="185"/>
  <c r="CP34" i="185"/>
  <c r="CO34" i="185"/>
  <c r="CN34" i="185"/>
  <c r="CK34" i="185"/>
  <c r="CH34" i="185"/>
  <c r="T34" i="185" s="1"/>
  <c r="CC34" i="185"/>
  <c r="CM34" i="185" s="1"/>
  <c r="CA34" i="185"/>
  <c r="BO34" i="185"/>
  <c r="J34" i="185"/>
  <c r="C34" i="185"/>
  <c r="A34" i="185"/>
  <c r="FU33" i="185"/>
  <c r="FS33" i="185"/>
  <c r="FJ33" i="185"/>
  <c r="FK33" i="185" s="1"/>
  <c r="FL33" i="185" s="1"/>
  <c r="Z33" i="185" s="1"/>
  <c r="FI33" i="185"/>
  <c r="FH33" i="185"/>
  <c r="FC33" i="185"/>
  <c r="EL33" i="185" s="1"/>
  <c r="EN33" i="185" s="1"/>
  <c r="FA33" i="185"/>
  <c r="EZ33" i="185"/>
  <c r="EE33" i="185" s="1"/>
  <c r="EY33" i="185"/>
  <c r="ER33" i="185"/>
  <c r="DY33" i="185"/>
  <c r="DS33" i="185"/>
  <c r="DO33" i="185"/>
  <c r="DN33" i="185"/>
  <c r="DM33" i="185"/>
  <c r="DL33" i="185"/>
  <c r="DK33" i="185"/>
  <c r="DJ33" i="185"/>
  <c r="DI33" i="185"/>
  <c r="DH33" i="185"/>
  <c r="DG33" i="185"/>
  <c r="DF33" i="185"/>
  <c r="DE33" i="185"/>
  <c r="DD33" i="185"/>
  <c r="FD33" i="185" s="1"/>
  <c r="FE33" i="185" s="1"/>
  <c r="FF33" i="185" s="1"/>
  <c r="FG33" i="185" s="1"/>
  <c r="Y33" i="185" s="1"/>
  <c r="DC33" i="185"/>
  <c r="DB33" i="185"/>
  <c r="DA33" i="185"/>
  <c r="CZ33" i="185"/>
  <c r="CY33" i="185"/>
  <c r="CX33" i="185"/>
  <c r="CW33" i="185"/>
  <c r="CV33" i="185"/>
  <c r="CU33" i="185"/>
  <c r="EX33" i="185" s="1"/>
  <c r="CQ33" i="185"/>
  <c r="CP33" i="185"/>
  <c r="CK33" i="185" s="1"/>
  <c r="CO33" i="185"/>
  <c r="CN33" i="185"/>
  <c r="CA33" i="185"/>
  <c r="AV33" i="185"/>
  <c r="C33" i="185"/>
  <c r="A33" i="185"/>
  <c r="GF33" i="185" s="1"/>
  <c r="GF32" i="185"/>
  <c r="GE32" i="185"/>
  <c r="GD32" i="185"/>
  <c r="FT32" i="185"/>
  <c r="FM32" i="185"/>
  <c r="FI32" i="185"/>
  <c r="FH32" i="185"/>
  <c r="FC32" i="185"/>
  <c r="EL32" i="185" s="1"/>
  <c r="FA32" i="185"/>
  <c r="EZ32" i="185"/>
  <c r="DY32" i="185"/>
  <c r="DW32" i="185"/>
  <c r="DV32" i="185"/>
  <c r="DU32" i="185"/>
  <c r="DS32" i="185"/>
  <c r="DO32" i="185"/>
  <c r="DN32" i="185"/>
  <c r="DM32" i="185"/>
  <c r="DL32" i="185"/>
  <c r="DK32" i="185"/>
  <c r="DJ32" i="185"/>
  <c r="DI32" i="185"/>
  <c r="DH32" i="185"/>
  <c r="FV32" i="185" s="1"/>
  <c r="DG32" i="185"/>
  <c r="DF32" i="185"/>
  <c r="DE32" i="185"/>
  <c r="FR32" i="185" s="1"/>
  <c r="DD32" i="185"/>
  <c r="FD32" i="185" s="1"/>
  <c r="DC32" i="185"/>
  <c r="FO32" i="185" s="1"/>
  <c r="DB32" i="185"/>
  <c r="DA32" i="185"/>
  <c r="CZ32" i="185"/>
  <c r="CY32" i="185"/>
  <c r="FS32" i="185" s="1"/>
  <c r="CX32" i="185"/>
  <c r="FU32" i="185" s="1"/>
  <c r="CW32" i="185"/>
  <c r="CV32" i="185"/>
  <c r="DX32" i="185" s="1"/>
  <c r="G32" i="185" s="1"/>
  <c r="CU32" i="185"/>
  <c r="EY32" i="185" s="1"/>
  <c r="CQ32" i="185"/>
  <c r="CP32" i="185"/>
  <c r="CO32" i="185"/>
  <c r="CN32" i="185"/>
  <c r="CK32" i="185"/>
  <c r="CA32" i="185"/>
  <c r="BQ32" i="185"/>
  <c r="CL32" i="185" s="1"/>
  <c r="AX32" i="185"/>
  <c r="H32" i="185"/>
  <c r="F32" i="185"/>
  <c r="C32" i="185"/>
  <c r="A32" i="185"/>
  <c r="GF31" i="185"/>
  <c r="GE31" i="185" s="1"/>
  <c r="FS31" i="185"/>
  <c r="FQ31" i="185"/>
  <c r="FI31" i="185"/>
  <c r="FJ31" i="185" s="1"/>
  <c r="FK31" i="185" s="1"/>
  <c r="FL31" i="185" s="1"/>
  <c r="Z31" i="185" s="1"/>
  <c r="FH31" i="185"/>
  <c r="FE31" i="185"/>
  <c r="FF31" i="185" s="1"/>
  <c r="FG31" i="185" s="1"/>
  <c r="Y31" i="185" s="1"/>
  <c r="FC31" i="185"/>
  <c r="EZ31" i="185"/>
  <c r="EK31" i="185"/>
  <c r="EF31" i="185"/>
  <c r="EJ31" i="185" s="1"/>
  <c r="CH31" i="185" s="1"/>
  <c r="U31" i="185" s="1"/>
  <c r="EE31" i="185"/>
  <c r="EG31" i="185" s="1"/>
  <c r="EC31" i="185"/>
  <c r="EA31" i="185"/>
  <c r="DY31" i="185"/>
  <c r="DW31" i="185"/>
  <c r="DU31" i="185"/>
  <c r="DS31" i="185"/>
  <c r="DO31" i="185"/>
  <c r="DN31" i="185"/>
  <c r="DM31" i="185"/>
  <c r="DL31" i="185"/>
  <c r="DK31" i="185"/>
  <c r="EL31" i="185" s="1"/>
  <c r="DJ31" i="185"/>
  <c r="DI31" i="185"/>
  <c r="FT31" i="185" s="1"/>
  <c r="DH31" i="185"/>
  <c r="FV31" i="185" s="1"/>
  <c r="DG31" i="185"/>
  <c r="DF31" i="185"/>
  <c r="DP31" i="185" s="1"/>
  <c r="DE31" i="185"/>
  <c r="DD31" i="185"/>
  <c r="FD31" i="185" s="1"/>
  <c r="DC31" i="185"/>
  <c r="DB31" i="185"/>
  <c r="DA31" i="185"/>
  <c r="CZ31" i="185"/>
  <c r="CY31" i="185"/>
  <c r="CX31" i="185"/>
  <c r="FU31" i="185" s="1"/>
  <c r="CW31" i="185"/>
  <c r="CV31" i="185"/>
  <c r="DX31" i="185" s="1"/>
  <c r="CU31" i="185"/>
  <c r="CQ31" i="185"/>
  <c r="CP31" i="185"/>
  <c r="CO31" i="185"/>
  <c r="CN31" i="185"/>
  <c r="CC31" i="185"/>
  <c r="CM31" i="185" s="1"/>
  <c r="CA31" i="185"/>
  <c r="AV31" i="185"/>
  <c r="C31" i="185"/>
  <c r="AD31" i="185" s="1"/>
  <c r="A31" i="185"/>
  <c r="AX31" i="185" s="1"/>
  <c r="GD30" i="185"/>
  <c r="FU30" i="185"/>
  <c r="FS30" i="185"/>
  <c r="FR30" i="185"/>
  <c r="FO30" i="185"/>
  <c r="FM30" i="185"/>
  <c r="FJ30" i="185"/>
  <c r="FK30" i="185" s="1"/>
  <c r="FL30" i="185" s="1"/>
  <c r="Z30" i="185" s="1"/>
  <c r="FC30" i="185"/>
  <c r="EZ30" i="185"/>
  <c r="EE30" i="185"/>
  <c r="ED30" i="185"/>
  <c r="J30" i="185" s="1"/>
  <c r="DY30" i="185"/>
  <c r="DX30" i="185"/>
  <c r="H30" i="185" s="1"/>
  <c r="DW30" i="185"/>
  <c r="DV30" i="185"/>
  <c r="DU30" i="185"/>
  <c r="DS30" i="185"/>
  <c r="DO30" i="185"/>
  <c r="DN30" i="185"/>
  <c r="FI30" i="185" s="1"/>
  <c r="DM30" i="185"/>
  <c r="DL30" i="185"/>
  <c r="DK30" i="185"/>
  <c r="EL30" i="185" s="1"/>
  <c r="DJ30" i="185"/>
  <c r="DI30" i="185"/>
  <c r="FT30" i="185" s="1"/>
  <c r="DH30" i="185"/>
  <c r="FV30" i="185" s="1"/>
  <c r="DG30" i="185"/>
  <c r="DF30" i="185"/>
  <c r="DE30" i="185"/>
  <c r="DD30" i="185"/>
  <c r="FD30" i="185" s="1"/>
  <c r="FE30" i="185" s="1"/>
  <c r="FF30" i="185" s="1"/>
  <c r="FG30" i="185" s="1"/>
  <c r="Y30" i="185" s="1"/>
  <c r="DC30" i="185"/>
  <c r="DB30" i="185"/>
  <c r="DA30" i="185"/>
  <c r="CZ30" i="185"/>
  <c r="CY30" i="185"/>
  <c r="CX30" i="185"/>
  <c r="FH30" i="185" s="1"/>
  <c r="CW30" i="185"/>
  <c r="CV30" i="185"/>
  <c r="CU30" i="185"/>
  <c r="CQ30" i="185"/>
  <c r="CP30" i="185"/>
  <c r="CK30" i="185" s="1"/>
  <c r="CO30" i="185"/>
  <c r="CN30" i="185"/>
  <c r="CA30" i="185"/>
  <c r="AW30" i="185"/>
  <c r="AH30" i="185"/>
  <c r="AX30" i="185"/>
  <c r="K30" i="185"/>
  <c r="I30" i="185"/>
  <c r="C30" i="185"/>
  <c r="AV30" i="185" s="1"/>
  <c r="A30" i="185"/>
  <c r="GF30" i="185" s="1"/>
  <c r="GE30" i="185" s="1"/>
  <c r="FT29" i="185"/>
  <c r="FM29" i="185"/>
  <c r="FH29" i="185"/>
  <c r="FC29" i="185"/>
  <c r="EL29" i="185" s="1"/>
  <c r="FA29" i="185"/>
  <c r="EZ29" i="185"/>
  <c r="EE29" i="185"/>
  <c r="DY29" i="185"/>
  <c r="DV29" i="185"/>
  <c r="DU29" i="185"/>
  <c r="DS29" i="185"/>
  <c r="DO29" i="185"/>
  <c r="DN29" i="185"/>
  <c r="FI29" i="185" s="1"/>
  <c r="DM29" i="185"/>
  <c r="DL29" i="185"/>
  <c r="DK29" i="185"/>
  <c r="DJ29" i="185"/>
  <c r="DI29" i="185"/>
  <c r="DH29" i="185"/>
  <c r="FV29" i="185" s="1"/>
  <c r="DG29" i="185"/>
  <c r="DF29" i="185"/>
  <c r="DE29" i="185"/>
  <c r="FB29" i="185" s="1"/>
  <c r="DD29" i="185"/>
  <c r="FD29" i="185" s="1"/>
  <c r="DC29" i="185"/>
  <c r="DB29" i="185"/>
  <c r="DA29" i="185"/>
  <c r="CZ29" i="185"/>
  <c r="CY29" i="185"/>
  <c r="FS29" i="185" s="1"/>
  <c r="CX29" i="185"/>
  <c r="FU29" i="185" s="1"/>
  <c r="CW29" i="185"/>
  <c r="CV29" i="185"/>
  <c r="DX29" i="185" s="1"/>
  <c r="CU29" i="185"/>
  <c r="EY29" i="185" s="1"/>
  <c r="CQ29" i="185"/>
  <c r="CP29" i="185"/>
  <c r="CO29" i="185"/>
  <c r="CN29" i="185"/>
  <c r="CK29" i="185"/>
  <c r="CC29" i="185"/>
  <c r="BQ29" i="185"/>
  <c r="CL29" i="185" s="1"/>
  <c r="BO29" i="185"/>
  <c r="AV29" i="185"/>
  <c r="AG29" i="185"/>
  <c r="AE29" i="185"/>
  <c r="AD29" i="185"/>
  <c r="C29" i="185"/>
  <c r="A29" i="185"/>
  <c r="AX29" i="185" s="1"/>
  <c r="FV28" i="185"/>
  <c r="FS28" i="185"/>
  <c r="FI28" i="185"/>
  <c r="FJ28" i="185" s="1"/>
  <c r="FK28" i="185" s="1"/>
  <c r="FL28" i="185" s="1"/>
  <c r="Z28" i="185" s="1"/>
  <c r="FC28" i="185"/>
  <c r="FA28" i="185"/>
  <c r="EZ28" i="185"/>
  <c r="EE28" i="185" s="1"/>
  <c r="EX28" i="185"/>
  <c r="EN28" i="185"/>
  <c r="ER28" i="185" s="1"/>
  <c r="EM28" i="185"/>
  <c r="EQ28" i="185" s="1"/>
  <c r="EL28" i="185"/>
  <c r="DY28" i="185"/>
  <c r="DX28" i="185"/>
  <c r="DV28" i="185"/>
  <c r="DU28" i="185"/>
  <c r="DS28" i="185"/>
  <c r="DO28" i="185"/>
  <c r="DN28" i="185"/>
  <c r="DM28" i="185"/>
  <c r="DL28" i="185"/>
  <c r="DK28" i="185"/>
  <c r="DJ28" i="185"/>
  <c r="DI28" i="185"/>
  <c r="DH28" i="185"/>
  <c r="FM28" i="185" s="1"/>
  <c r="DG28" i="185"/>
  <c r="DF28" i="185"/>
  <c r="DE28" i="185"/>
  <c r="FB28" i="185" s="1"/>
  <c r="DD28" i="185"/>
  <c r="FD28" i="185" s="1"/>
  <c r="FE28" i="185" s="1"/>
  <c r="FF28" i="185" s="1"/>
  <c r="FG28" i="185" s="1"/>
  <c r="Y28" i="185" s="1"/>
  <c r="DC28" i="185"/>
  <c r="DB28" i="185"/>
  <c r="DA28" i="185"/>
  <c r="CZ28" i="185"/>
  <c r="CY28" i="185"/>
  <c r="CX28" i="185"/>
  <c r="FH28" i="185" s="1"/>
  <c r="CW28" i="185"/>
  <c r="BQ28" i="185" s="1"/>
  <c r="CV28" i="185"/>
  <c r="CU28" i="185"/>
  <c r="EY28" i="185" s="1"/>
  <c r="CQ28" i="185"/>
  <c r="CP28" i="185"/>
  <c r="CO28" i="185"/>
  <c r="CN28" i="185"/>
  <c r="CM28" i="185"/>
  <c r="CL28" i="185"/>
  <c r="CC28" i="185"/>
  <c r="CA28" i="185"/>
  <c r="BO28" i="185"/>
  <c r="C28" i="185"/>
  <c r="A28" i="185"/>
  <c r="AX28" i="185" s="1"/>
  <c r="GF27" i="185"/>
  <c r="FV27" i="185"/>
  <c r="FT27" i="185"/>
  <c r="FR27" i="185"/>
  <c r="FQ27" i="185"/>
  <c r="FC27" i="185"/>
  <c r="EL27" i="185" s="1"/>
  <c r="FA27" i="185"/>
  <c r="EZ27" i="185"/>
  <c r="EE27" i="185" s="1"/>
  <c r="EY27" i="185"/>
  <c r="EX27" i="185"/>
  <c r="EC27" i="185"/>
  <c r="FP27" i="185" s="1"/>
  <c r="EB27" i="185"/>
  <c r="DY27" i="185"/>
  <c r="DW27" i="185"/>
  <c r="DS27" i="185"/>
  <c r="DO27" i="185"/>
  <c r="DN27" i="185"/>
  <c r="FI27" i="185" s="1"/>
  <c r="DM27" i="185"/>
  <c r="DL27" i="185"/>
  <c r="DK27" i="185"/>
  <c r="DJ27" i="185"/>
  <c r="DI27" i="185"/>
  <c r="DH27" i="185"/>
  <c r="FM27" i="185" s="1"/>
  <c r="DG27" i="185"/>
  <c r="CC27" i="185" s="1"/>
  <c r="DF27" i="185"/>
  <c r="EA27" i="185" s="1"/>
  <c r="DE27" i="185"/>
  <c r="FB27" i="185" s="1"/>
  <c r="DD27" i="185"/>
  <c r="FD27" i="185" s="1"/>
  <c r="DC27" i="185"/>
  <c r="DB27" i="185"/>
  <c r="DA27" i="185"/>
  <c r="CZ27" i="185"/>
  <c r="CY27" i="185"/>
  <c r="FS27" i="185" s="1"/>
  <c r="CX27" i="185"/>
  <c r="FH27" i="185" s="1"/>
  <c r="CW27" i="185"/>
  <c r="CV27" i="185"/>
  <c r="DX27" i="185" s="1"/>
  <c r="H27" i="185" s="1"/>
  <c r="CU27" i="185"/>
  <c r="CQ27" i="185"/>
  <c r="CP27" i="185"/>
  <c r="CK27" i="185" s="1"/>
  <c r="CO27" i="185"/>
  <c r="CN27" i="185"/>
  <c r="CM27" i="185"/>
  <c r="BQ27" i="185"/>
  <c r="CL27" i="185" s="1"/>
  <c r="BO27" i="185"/>
  <c r="AW27" i="185"/>
  <c r="AE27" i="185"/>
  <c r="C27" i="185"/>
  <c r="AH27" i="185" s="1"/>
  <c r="A27" i="185"/>
  <c r="AX27" i="185" s="1"/>
  <c r="GE26" i="185"/>
  <c r="FV26" i="185"/>
  <c r="FT26" i="185"/>
  <c r="FM26" i="185"/>
  <c r="FJ26" i="185"/>
  <c r="FK26" i="185" s="1"/>
  <c r="FL26" i="185" s="1"/>
  <c r="FD26" i="185"/>
  <c r="FC26" i="185"/>
  <c r="EZ26" i="185"/>
  <c r="EX26" i="185"/>
  <c r="ER26" i="185"/>
  <c r="EM26" i="185"/>
  <c r="EQ26" i="185" s="1"/>
  <c r="CI26" i="185" s="1"/>
  <c r="EL26" i="185"/>
  <c r="EN26" i="185" s="1"/>
  <c r="EF26" i="185"/>
  <c r="EJ26" i="185" s="1"/>
  <c r="EE26" i="185"/>
  <c r="EG26" i="185" s="1"/>
  <c r="EK26" i="185" s="1"/>
  <c r="EV26" i="185" s="1"/>
  <c r="ED26" i="185"/>
  <c r="K26" i="185" s="1"/>
  <c r="EA26" i="185"/>
  <c r="DY26" i="185"/>
  <c r="DX26" i="185"/>
  <c r="F26" i="185" s="1"/>
  <c r="DW26" i="185"/>
  <c r="DV26" i="185"/>
  <c r="DU26" i="185"/>
  <c r="DS26" i="185"/>
  <c r="DO26" i="185"/>
  <c r="FE26" i="185" s="1"/>
  <c r="FF26" i="185" s="1"/>
  <c r="FG26" i="185" s="1"/>
  <c r="Y26" i="185" s="1"/>
  <c r="DN26" i="185"/>
  <c r="FI26" i="185" s="1"/>
  <c r="DM26" i="185"/>
  <c r="DL26" i="185"/>
  <c r="DK26" i="185"/>
  <c r="DJ26" i="185"/>
  <c r="DI26" i="185"/>
  <c r="DH26" i="185"/>
  <c r="DG26" i="185"/>
  <c r="CC26" i="185" s="1"/>
  <c r="DF26" i="185"/>
  <c r="EC26" i="185" s="1"/>
  <c r="DE26" i="185"/>
  <c r="DD26" i="185"/>
  <c r="DC26" i="185"/>
  <c r="DB26" i="185"/>
  <c r="DA26" i="185"/>
  <c r="CZ26" i="185"/>
  <c r="CY26" i="185"/>
  <c r="CX26" i="185"/>
  <c r="FH26" i="185" s="1"/>
  <c r="FO26" i="185" s="1"/>
  <c r="CW26" i="185"/>
  <c r="CV26" i="185"/>
  <c r="CU26" i="185"/>
  <c r="EY26" i="185" s="1"/>
  <c r="CQ26" i="185"/>
  <c r="CP26" i="185"/>
  <c r="CK26" i="185" s="1"/>
  <c r="CO26" i="185"/>
  <c r="CN26" i="185"/>
  <c r="CL26" i="185"/>
  <c r="CA26" i="185"/>
  <c r="BQ26" i="185"/>
  <c r="Z26" i="185"/>
  <c r="I26" i="185"/>
  <c r="H26" i="185"/>
  <c r="C26" i="185"/>
  <c r="AG26" i="185" s="1"/>
  <c r="A26" i="185"/>
  <c r="GF26" i="185" s="1"/>
  <c r="GC25" i="185"/>
  <c r="GA25" i="185"/>
  <c r="FV25" i="185"/>
  <c r="FU25" i="185"/>
  <c r="FT25" i="185"/>
  <c r="FS25" i="185"/>
  <c r="FQ25" i="185"/>
  <c r="FI25" i="185"/>
  <c r="FH25" i="185"/>
  <c r="FE25" i="185"/>
  <c r="FF25" i="185" s="1"/>
  <c r="FG25" i="185" s="1"/>
  <c r="Y25" i="185" s="1"/>
  <c r="FD25" i="185"/>
  <c r="FC25" i="185"/>
  <c r="EZ25" i="185"/>
  <c r="EE25" i="185" s="1"/>
  <c r="EF25" i="185" s="1"/>
  <c r="EJ25" i="185" s="1"/>
  <c r="EY25" i="185"/>
  <c r="EX25" i="185"/>
  <c r="ET25" i="185"/>
  <c r="EL25" i="185"/>
  <c r="EN25" i="185" s="1"/>
  <c r="ER25" i="185" s="1"/>
  <c r="DY25" i="185"/>
  <c r="DX25" i="185"/>
  <c r="F25" i="185" s="1"/>
  <c r="DW25" i="185"/>
  <c r="DV25" i="185"/>
  <c r="DU25" i="185"/>
  <c r="DS25" i="185"/>
  <c r="DQ25" i="185"/>
  <c r="L25" i="185" s="1"/>
  <c r="DO25" i="185"/>
  <c r="DN25" i="185"/>
  <c r="DM25" i="185"/>
  <c r="DL25" i="185"/>
  <c r="DK25" i="185"/>
  <c r="DJ25" i="185"/>
  <c r="DI25" i="185"/>
  <c r="DH25" i="185"/>
  <c r="FM25" i="185" s="1"/>
  <c r="DG25" i="185"/>
  <c r="DF25" i="185"/>
  <c r="DE25" i="185"/>
  <c r="CC25" i="185" s="1"/>
  <c r="DD25" i="185"/>
  <c r="DC25" i="185"/>
  <c r="DB25" i="185"/>
  <c r="DA25" i="185"/>
  <c r="CZ25" i="185"/>
  <c r="CY25" i="185"/>
  <c r="CX25" i="185"/>
  <c r="CW25" i="185"/>
  <c r="BQ25" i="185" s="1"/>
  <c r="EH25" i="185" s="1"/>
  <c r="CV25" i="185"/>
  <c r="CU25" i="185"/>
  <c r="CQ25" i="185"/>
  <c r="CP25" i="185"/>
  <c r="CK25" i="185" s="1"/>
  <c r="CO25" i="185"/>
  <c r="CN25" i="185"/>
  <c r="CA25" i="185"/>
  <c r="BO25" i="185"/>
  <c r="AZ25" i="185"/>
  <c r="AW25" i="185"/>
  <c r="AV25" i="185"/>
  <c r="AK25" i="185" s="1"/>
  <c r="AJ25" i="185"/>
  <c r="AU25" i="185" s="1"/>
  <c r="DR25" i="185" s="1"/>
  <c r="M25" i="185" s="1"/>
  <c r="AG25" i="185"/>
  <c r="AF25" i="185"/>
  <c r="AE25" i="185"/>
  <c r="AD25" i="185"/>
  <c r="G25" i="185"/>
  <c r="C25" i="185"/>
  <c r="AH25" i="185" s="1"/>
  <c r="A25" i="185"/>
  <c r="GF25" i="185" s="1"/>
  <c r="FV24" i="185"/>
  <c r="FS24" i="185"/>
  <c r="FM24" i="185"/>
  <c r="FH24" i="185"/>
  <c r="FC24" i="185"/>
  <c r="EL24" i="185" s="1"/>
  <c r="EZ24" i="185"/>
  <c r="EE24" i="185" s="1"/>
  <c r="EX24" i="185"/>
  <c r="ED24" i="185"/>
  <c r="DY24" i="185"/>
  <c r="DW24" i="185"/>
  <c r="DV24" i="185"/>
  <c r="DU24" i="185"/>
  <c r="DS24" i="185"/>
  <c r="DO24" i="185"/>
  <c r="DN24" i="185"/>
  <c r="FI24" i="185" s="1"/>
  <c r="DM24" i="185"/>
  <c r="DL24" i="185"/>
  <c r="DK24" i="185"/>
  <c r="DJ24" i="185"/>
  <c r="DI24" i="185"/>
  <c r="FT24" i="185" s="1"/>
  <c r="DH24" i="185"/>
  <c r="DG24" i="185"/>
  <c r="DF24" i="185"/>
  <c r="EB24" i="185" s="1"/>
  <c r="DE24" i="185"/>
  <c r="DD24" i="185"/>
  <c r="FD24" i="185" s="1"/>
  <c r="DC24" i="185"/>
  <c r="DB24" i="185"/>
  <c r="DA24" i="185"/>
  <c r="CZ24" i="185"/>
  <c r="CY24" i="185"/>
  <c r="CX24" i="185"/>
  <c r="FU24" i="185" s="1"/>
  <c r="CW24" i="185"/>
  <c r="CV24" i="185"/>
  <c r="DX24" i="185" s="1"/>
  <c r="H24" i="185" s="1"/>
  <c r="CU24" i="185"/>
  <c r="CQ24" i="185"/>
  <c r="CP24" i="185"/>
  <c r="CK24" i="185" s="1"/>
  <c r="CO24" i="185"/>
  <c r="CN24" i="185"/>
  <c r="CC24" i="185"/>
  <c r="CM24" i="185" s="1"/>
  <c r="CA24" i="185"/>
  <c r="BO24" i="185"/>
  <c r="AW24" i="185"/>
  <c r="AV24" i="185"/>
  <c r="AK24" i="185" s="1"/>
  <c r="AM24" i="185" s="1"/>
  <c r="AH24" i="185"/>
  <c r="AF24" i="185"/>
  <c r="AE24" i="185"/>
  <c r="AD24" i="185"/>
  <c r="G24" i="185"/>
  <c r="C24" i="185"/>
  <c r="AG24" i="185" s="1"/>
  <c r="A24" i="185"/>
  <c r="AX24" i="185" s="1"/>
  <c r="FU23" i="185"/>
  <c r="FI23" i="185"/>
  <c r="FE23" i="185"/>
  <c r="FF23" i="185" s="1"/>
  <c r="FG23" i="185" s="1"/>
  <c r="Y23" i="185" s="1"/>
  <c r="FD23" i="185"/>
  <c r="FC23" i="185"/>
  <c r="FA23" i="185"/>
  <c r="EZ23" i="185"/>
  <c r="EY23" i="185"/>
  <c r="EN23" i="185"/>
  <c r="ER23" i="185" s="1"/>
  <c r="EL23" i="185"/>
  <c r="EM23" i="185" s="1"/>
  <c r="EE23" i="185"/>
  <c r="DY23" i="185"/>
  <c r="DX23" i="185"/>
  <c r="DW23" i="185"/>
  <c r="DV23" i="185"/>
  <c r="DS23" i="185"/>
  <c r="DO23" i="185"/>
  <c r="FJ23" i="185" s="1"/>
  <c r="FK23" i="185" s="1"/>
  <c r="FL23" i="185" s="1"/>
  <c r="Z23" i="185" s="1"/>
  <c r="DN23" i="185"/>
  <c r="DM23" i="185"/>
  <c r="DL23" i="185"/>
  <c r="DK23" i="185"/>
  <c r="DJ23" i="185"/>
  <c r="DI23" i="185"/>
  <c r="DH23" i="185"/>
  <c r="FM23" i="185" s="1"/>
  <c r="DG23" i="185"/>
  <c r="CC23" i="185" s="1"/>
  <c r="DF23" i="185"/>
  <c r="DE23" i="185"/>
  <c r="DD23" i="185"/>
  <c r="DC23" i="185"/>
  <c r="DB23" i="185"/>
  <c r="DA23" i="185"/>
  <c r="CZ23" i="185"/>
  <c r="CY23" i="185"/>
  <c r="CX23" i="185"/>
  <c r="FH23" i="185" s="1"/>
  <c r="CW23" i="185"/>
  <c r="CV23" i="185"/>
  <c r="CU23" i="185"/>
  <c r="EX23" i="185" s="1"/>
  <c r="CQ23" i="185"/>
  <c r="CP23" i="185"/>
  <c r="CK23" i="185" s="1"/>
  <c r="CO23" i="185"/>
  <c r="CN23" i="185"/>
  <c r="CM23" i="185"/>
  <c r="CL23" i="185"/>
  <c r="CA23" i="185"/>
  <c r="BQ23" i="185"/>
  <c r="BO23" i="185"/>
  <c r="AX23" i="185"/>
  <c r="AV23" i="185"/>
  <c r="AE23" i="185"/>
  <c r="C23" i="185"/>
  <c r="AD23" i="185" s="1"/>
  <c r="A23" i="185"/>
  <c r="GF23" i="185" s="1"/>
  <c r="GK22" i="185"/>
  <c r="GF22" i="185"/>
  <c r="FV22" i="185"/>
  <c r="FU22" i="185"/>
  <c r="FT22" i="185"/>
  <c r="FH22" i="185"/>
  <c r="FD22" i="185"/>
  <c r="FE22" i="185" s="1"/>
  <c r="FF22" i="185" s="1"/>
  <c r="FG22" i="185" s="1"/>
  <c r="Y22" i="185" s="1"/>
  <c r="FC22" i="185"/>
  <c r="FA22" i="185"/>
  <c r="EZ22" i="185"/>
  <c r="EX22" i="185"/>
  <c r="EE22" i="185"/>
  <c r="EF22" i="185" s="1"/>
  <c r="EJ22" i="185" s="1"/>
  <c r="ED22" i="185"/>
  <c r="I22" i="185" s="1"/>
  <c r="EC22" i="185"/>
  <c r="EB22" i="185"/>
  <c r="EA22" i="185"/>
  <c r="DY22" i="185"/>
  <c r="DW22" i="185"/>
  <c r="DS22" i="185"/>
  <c r="DO22" i="185"/>
  <c r="DN22" i="185"/>
  <c r="FI22" i="185" s="1"/>
  <c r="DM22" i="185"/>
  <c r="DL22" i="185"/>
  <c r="DK22" i="185"/>
  <c r="EL22" i="185" s="1"/>
  <c r="EN22" i="185" s="1"/>
  <c r="ER22" i="185" s="1"/>
  <c r="DJ22" i="185"/>
  <c r="DI22" i="185"/>
  <c r="DH22" i="185"/>
  <c r="FM22" i="185" s="1"/>
  <c r="DG22" i="185"/>
  <c r="DF22" i="185"/>
  <c r="DE22" i="185"/>
  <c r="FR22" i="185" s="1"/>
  <c r="DD22" i="185"/>
  <c r="DC22" i="185"/>
  <c r="FO22" i="185" s="1"/>
  <c r="DB22" i="185"/>
  <c r="DA22" i="185"/>
  <c r="CZ22" i="185"/>
  <c r="CY22" i="185"/>
  <c r="FS22" i="185" s="1"/>
  <c r="CX22" i="185"/>
  <c r="CW22" i="185"/>
  <c r="CV22" i="185"/>
  <c r="DX22" i="185" s="1"/>
  <c r="CU22" i="185"/>
  <c r="EY22" i="185" s="1"/>
  <c r="CQ22" i="185"/>
  <c r="CP22" i="185"/>
  <c r="CK22" i="185" s="1"/>
  <c r="CO22" i="185"/>
  <c r="CN22" i="185"/>
  <c r="CM22" i="185"/>
  <c r="CC22" i="185"/>
  <c r="CA22" i="185"/>
  <c r="AX22" i="185"/>
  <c r="AW22" i="185"/>
  <c r="AV22" i="185"/>
  <c r="AO22" i="185"/>
  <c r="AN22" i="185"/>
  <c r="AL22" i="185"/>
  <c r="AK22" i="185"/>
  <c r="AJ22" i="185" s="1"/>
  <c r="AH22" i="185"/>
  <c r="AG22" i="185"/>
  <c r="AF22" i="185"/>
  <c r="AE22" i="185"/>
  <c r="K22" i="185"/>
  <c r="J22" i="185"/>
  <c r="GK21" i="185"/>
  <c r="GF21" i="185"/>
  <c r="FV21" i="185"/>
  <c r="FS21" i="185"/>
  <c r="FM21" i="185"/>
  <c r="FI21" i="185"/>
  <c r="FJ21" i="185" s="1"/>
  <c r="FK21" i="185" s="1"/>
  <c r="FL21" i="185" s="1"/>
  <c r="Z21" i="185" s="1"/>
  <c r="FH21" i="185"/>
  <c r="FD21" i="185"/>
  <c r="FC21" i="185"/>
  <c r="FA21" i="185"/>
  <c r="EZ21" i="185"/>
  <c r="DY21" i="185"/>
  <c r="DW21" i="185"/>
  <c r="DU21" i="185"/>
  <c r="DS21" i="185"/>
  <c r="DP21" i="185"/>
  <c r="DO21" i="185"/>
  <c r="DN21" i="185"/>
  <c r="DM21" i="185"/>
  <c r="FR21" i="185" s="1"/>
  <c r="DL21" i="185"/>
  <c r="DK21" i="185"/>
  <c r="EL21" i="185" s="1"/>
  <c r="DJ21" i="185"/>
  <c r="DI21" i="185"/>
  <c r="DH21" i="185"/>
  <c r="DG21" i="185"/>
  <c r="DF21" i="185"/>
  <c r="ED21" i="185" s="1"/>
  <c r="K21" i="185" s="1"/>
  <c r="DE21" i="185"/>
  <c r="DD21" i="185"/>
  <c r="DC21" i="185"/>
  <c r="DB21" i="185"/>
  <c r="DA21" i="185"/>
  <c r="EE21" i="185" s="1"/>
  <c r="CZ21" i="185"/>
  <c r="CY21" i="185"/>
  <c r="CX21" i="185"/>
  <c r="FU21" i="185" s="1"/>
  <c r="CW21" i="185"/>
  <c r="CV21" i="185"/>
  <c r="DX21" i="185" s="1"/>
  <c r="H21" i="185" s="1"/>
  <c r="CU21" i="185"/>
  <c r="EY21" i="185" s="1"/>
  <c r="CQ21" i="185"/>
  <c r="CP21" i="185"/>
  <c r="CK21" i="185" s="1"/>
  <c r="CO21" i="185"/>
  <c r="CN21" i="185"/>
  <c r="BO21" i="185"/>
  <c r="AX21" i="185"/>
  <c r="AW21" i="185"/>
  <c r="AV21" i="185"/>
  <c r="AK21" i="185" s="1"/>
  <c r="AL21" i="185" s="1"/>
  <c r="AM21" i="185"/>
  <c r="AH21" i="185"/>
  <c r="AG21" i="185"/>
  <c r="AF21" i="185"/>
  <c r="AE21" i="185"/>
  <c r="J21" i="185"/>
  <c r="I21" i="185"/>
  <c r="F21" i="185"/>
  <c r="GK20" i="185"/>
  <c r="GF20" i="185"/>
  <c r="FT20" i="185"/>
  <c r="FQ20" i="185"/>
  <c r="FN20" i="185"/>
  <c r="FM20" i="185"/>
  <c r="FC20" i="185"/>
  <c r="FB20" i="185"/>
  <c r="EZ20" i="185"/>
  <c r="EE20" i="185"/>
  <c r="ED20" i="185"/>
  <c r="EB20" i="185"/>
  <c r="EA20" i="185"/>
  <c r="DY20" i="185"/>
  <c r="DW20" i="185"/>
  <c r="DU20" i="185"/>
  <c r="DS20" i="185"/>
  <c r="DO20" i="185"/>
  <c r="DN20" i="185"/>
  <c r="FI20" i="185" s="1"/>
  <c r="DM20" i="185"/>
  <c r="DL20" i="185"/>
  <c r="DK20" i="185"/>
  <c r="EL20" i="185" s="1"/>
  <c r="DJ20" i="185"/>
  <c r="DI20" i="185"/>
  <c r="DH20" i="185"/>
  <c r="FV20" i="185" s="1"/>
  <c r="DG20" i="185"/>
  <c r="DF20" i="185"/>
  <c r="EC20" i="185" s="1"/>
  <c r="FP20" i="185" s="1"/>
  <c r="DE20" i="185"/>
  <c r="CA20" i="185" s="1"/>
  <c r="DD20" i="185"/>
  <c r="FD20" i="185" s="1"/>
  <c r="DC20" i="185"/>
  <c r="DB20" i="185"/>
  <c r="DA20" i="185"/>
  <c r="CZ20" i="185"/>
  <c r="CY20" i="185"/>
  <c r="CX20" i="185"/>
  <c r="CW20" i="185"/>
  <c r="CV20" i="185"/>
  <c r="DX20" i="185" s="1"/>
  <c r="CU20" i="185"/>
  <c r="BQ20" i="185" s="1"/>
  <c r="CQ20" i="185"/>
  <c r="CP20" i="185"/>
  <c r="CO20" i="185"/>
  <c r="CN20" i="185"/>
  <c r="CK20" i="185"/>
  <c r="CC20" i="185"/>
  <c r="BO20" i="185"/>
  <c r="AX20" i="185"/>
  <c r="AW20" i="185"/>
  <c r="AK20" i="185" s="1"/>
  <c r="AO20" i="185" s="1"/>
  <c r="AV20" i="185"/>
  <c r="AN20" i="185"/>
  <c r="AH20" i="185"/>
  <c r="AG20" i="185"/>
  <c r="AF20" i="185"/>
  <c r="AE20" i="185"/>
  <c r="GK19" i="185"/>
  <c r="GF19" i="185"/>
  <c r="FV19" i="185"/>
  <c r="FT19" i="185"/>
  <c r="FS19" i="185"/>
  <c r="FI19" i="185"/>
  <c r="FD19" i="185"/>
  <c r="FC19" i="185"/>
  <c r="EL19" i="185" s="1"/>
  <c r="EZ19" i="185"/>
  <c r="EY19" i="185"/>
  <c r="EX19" i="185"/>
  <c r="EE19" i="185"/>
  <c r="EG19" i="185" s="1"/>
  <c r="EK19" i="185" s="1"/>
  <c r="DY19" i="185"/>
  <c r="DW19" i="185"/>
  <c r="DV19" i="185"/>
  <c r="DS19" i="185"/>
  <c r="DO19" i="185"/>
  <c r="FJ19" i="185" s="1"/>
  <c r="FK19" i="185" s="1"/>
  <c r="FL19" i="185" s="1"/>
  <c r="Z19" i="185" s="1"/>
  <c r="DN19" i="185"/>
  <c r="DM19" i="185"/>
  <c r="DL19" i="185"/>
  <c r="DK19" i="185"/>
  <c r="DJ19" i="185"/>
  <c r="DI19" i="185"/>
  <c r="DH19" i="185"/>
  <c r="FM19" i="185" s="1"/>
  <c r="DG19" i="185"/>
  <c r="DF19" i="185"/>
  <c r="DE19" i="185"/>
  <c r="DD19" i="185"/>
  <c r="DC19" i="185"/>
  <c r="FQ19" i="185" s="1"/>
  <c r="DB19" i="185"/>
  <c r="DA19" i="185"/>
  <c r="CZ19" i="185"/>
  <c r="CY19" i="185"/>
  <c r="CX19" i="185"/>
  <c r="FH19" i="185" s="1"/>
  <c r="CW19" i="185"/>
  <c r="CV19" i="185"/>
  <c r="DU19" i="185" s="1"/>
  <c r="CU19" i="185"/>
  <c r="CQ19" i="185"/>
  <c r="CP19" i="185"/>
  <c r="CK19" i="185" s="1"/>
  <c r="CO19" i="185"/>
  <c r="CN19" i="185"/>
  <c r="CA19" i="185"/>
  <c r="BQ19" i="185"/>
  <c r="BO19" i="185"/>
  <c r="AX19" i="185"/>
  <c r="AW19" i="185"/>
  <c r="AV19" i="185"/>
  <c r="AH19" i="185"/>
  <c r="AG19" i="185"/>
  <c r="AF19" i="185"/>
  <c r="AE19" i="185"/>
  <c r="GK18" i="185"/>
  <c r="GF18" i="185"/>
  <c r="FV18" i="185"/>
  <c r="FT18" i="185"/>
  <c r="FQ18" i="185"/>
  <c r="FM18" i="185"/>
  <c r="FD18" i="185"/>
  <c r="FC18" i="185"/>
  <c r="FA18" i="185"/>
  <c r="EZ18" i="185"/>
  <c r="EY18" i="185"/>
  <c r="EE18" i="185"/>
  <c r="ED18" i="185"/>
  <c r="EC18" i="185"/>
  <c r="EA18" i="185"/>
  <c r="DY18" i="185"/>
  <c r="DW18" i="185"/>
  <c r="DV18" i="185"/>
  <c r="DU18" i="185"/>
  <c r="DS18" i="185"/>
  <c r="DO18" i="185"/>
  <c r="DN18" i="185"/>
  <c r="FI18" i="185" s="1"/>
  <c r="DM18" i="185"/>
  <c r="DL18" i="185"/>
  <c r="DK18" i="185"/>
  <c r="EL18" i="185" s="1"/>
  <c r="EN18" i="185" s="1"/>
  <c r="ER18" i="185" s="1"/>
  <c r="DJ18" i="185"/>
  <c r="DI18" i="185"/>
  <c r="DH18" i="185"/>
  <c r="DG18" i="185"/>
  <c r="DF18" i="185"/>
  <c r="EB18" i="185" s="1"/>
  <c r="DE18" i="185"/>
  <c r="CA18" i="185" s="1"/>
  <c r="DD18" i="185"/>
  <c r="DC18" i="185"/>
  <c r="DB18" i="185"/>
  <c r="DA18" i="185"/>
  <c r="CZ18" i="185"/>
  <c r="CY18" i="185"/>
  <c r="CX18" i="185"/>
  <c r="CW18" i="185"/>
  <c r="CV18" i="185"/>
  <c r="DX18" i="185" s="1"/>
  <c r="CU18" i="185"/>
  <c r="BQ18" i="185" s="1"/>
  <c r="CQ18" i="185"/>
  <c r="CP18" i="185"/>
  <c r="CK18" i="185" s="1"/>
  <c r="CO18" i="185"/>
  <c r="CN18" i="185"/>
  <c r="CM18" i="185"/>
  <c r="CC18" i="185"/>
  <c r="BO18" i="185"/>
  <c r="AX18" i="185"/>
  <c r="AW18" i="185"/>
  <c r="AK18" i="185" s="1"/>
  <c r="AO18" i="185" s="1"/>
  <c r="AV18" i="185"/>
  <c r="AN18" i="185"/>
  <c r="AH18" i="185"/>
  <c r="AG18" i="185"/>
  <c r="AF18" i="185"/>
  <c r="AE18" i="185"/>
  <c r="F18" i="185"/>
  <c r="GK17" i="185"/>
  <c r="GF17" i="185"/>
  <c r="FV17" i="185"/>
  <c r="FT17" i="185"/>
  <c r="FS17" i="185"/>
  <c r="FI17" i="185"/>
  <c r="FD17" i="185"/>
  <c r="FC17" i="185"/>
  <c r="EZ17" i="185"/>
  <c r="EY17" i="185"/>
  <c r="EX17" i="185"/>
  <c r="EM17" i="185"/>
  <c r="EQ17" i="185" s="1"/>
  <c r="EL17" i="185"/>
  <c r="EN17" i="185" s="1"/>
  <c r="ER17" i="185" s="1"/>
  <c r="EE17" i="185"/>
  <c r="DY17" i="185"/>
  <c r="DW17" i="185"/>
  <c r="DV17" i="185"/>
  <c r="DS17" i="185"/>
  <c r="DO17" i="185"/>
  <c r="DN17" i="185"/>
  <c r="DM17" i="185"/>
  <c r="DL17" i="185"/>
  <c r="DK17" i="185"/>
  <c r="DJ17" i="185"/>
  <c r="DI17" i="185"/>
  <c r="DH17" i="185"/>
  <c r="FM17" i="185" s="1"/>
  <c r="DG17" i="185"/>
  <c r="DF17" i="185"/>
  <c r="EB17" i="185" s="1"/>
  <c r="DE17" i="185"/>
  <c r="DD17" i="185"/>
  <c r="DC17" i="185"/>
  <c r="FQ17" i="185" s="1"/>
  <c r="DB17" i="185"/>
  <c r="DA17" i="185"/>
  <c r="CZ17" i="185"/>
  <c r="CY17" i="185"/>
  <c r="CX17" i="185"/>
  <c r="FH17" i="185" s="1"/>
  <c r="CW17" i="185"/>
  <c r="CV17" i="185"/>
  <c r="CU17" i="185"/>
  <c r="CQ17" i="185"/>
  <c r="CP17" i="185"/>
  <c r="CK17" i="185" s="1"/>
  <c r="CO17" i="185"/>
  <c r="CN17" i="185"/>
  <c r="CA17" i="185"/>
  <c r="BQ17" i="185"/>
  <c r="BO17" i="185"/>
  <c r="AX17" i="185"/>
  <c r="AW17" i="185"/>
  <c r="AV17" i="185"/>
  <c r="AH17" i="185"/>
  <c r="AG17" i="185"/>
  <c r="AF17" i="185"/>
  <c r="AE17" i="185"/>
  <c r="GK16" i="185"/>
  <c r="GF16" i="185"/>
  <c r="FV16" i="185"/>
  <c r="FT16" i="185"/>
  <c r="FQ16" i="185"/>
  <c r="FM16" i="185"/>
  <c r="FC16" i="185"/>
  <c r="FA16" i="185"/>
  <c r="EZ16" i="185"/>
  <c r="EY16" i="185"/>
  <c r="EE16" i="185"/>
  <c r="ED16" i="185"/>
  <c r="EC16" i="185"/>
  <c r="EA16" i="185"/>
  <c r="DY16" i="185"/>
  <c r="DW16" i="185"/>
  <c r="DV16" i="185"/>
  <c r="DU16" i="185"/>
  <c r="DT16" i="185"/>
  <c r="DS16" i="185"/>
  <c r="DO16" i="185"/>
  <c r="DN16" i="185"/>
  <c r="FI16" i="185" s="1"/>
  <c r="DM16" i="185"/>
  <c r="DL16" i="185"/>
  <c r="DK16" i="185"/>
  <c r="EL16" i="185" s="1"/>
  <c r="EN16" i="185" s="1"/>
  <c r="ER16" i="185" s="1"/>
  <c r="DJ16" i="185"/>
  <c r="DI16" i="185"/>
  <c r="DH16" i="185"/>
  <c r="DG16" i="185"/>
  <c r="DF16" i="185"/>
  <c r="EB16" i="185" s="1"/>
  <c r="DE16" i="185"/>
  <c r="CA16" i="185" s="1"/>
  <c r="DD16" i="185"/>
  <c r="FD16" i="185" s="1"/>
  <c r="DC16" i="185"/>
  <c r="DB16" i="185"/>
  <c r="DA16" i="185"/>
  <c r="CZ16" i="185"/>
  <c r="CY16" i="185"/>
  <c r="CX16" i="185"/>
  <c r="CW16" i="185"/>
  <c r="CV16" i="185"/>
  <c r="DX16" i="185" s="1"/>
  <c r="CU16" i="185"/>
  <c r="BQ16" i="185" s="1"/>
  <c r="CQ16" i="185"/>
  <c r="CP16" i="185"/>
  <c r="CK16" i="185" s="1"/>
  <c r="CO16" i="185"/>
  <c r="CN16" i="185"/>
  <c r="CC16" i="185"/>
  <c r="BO16" i="185"/>
  <c r="AX16" i="185"/>
  <c r="AW16" i="185"/>
  <c r="AK16" i="185" s="1"/>
  <c r="AV16" i="185"/>
  <c r="AO16" i="185"/>
  <c r="AN16" i="185"/>
  <c r="AH16" i="185"/>
  <c r="AG16" i="185"/>
  <c r="AF16" i="185"/>
  <c r="AE16" i="185"/>
  <c r="IF14" i="185"/>
  <c r="IE14" i="185"/>
  <c r="ID14" i="185"/>
  <c r="IB14" i="185"/>
  <c r="HY14" i="185"/>
  <c r="HX14" i="185"/>
  <c r="HW14" i="185"/>
  <c r="HU14" i="185"/>
  <c r="HT14" i="185"/>
  <c r="HR14" i="185"/>
  <c r="HQ14" i="185"/>
  <c r="HP14" i="185"/>
  <c r="HO14" i="185"/>
  <c r="HN14" i="185"/>
  <c r="HL14" i="185"/>
  <c r="HI14" i="185"/>
  <c r="HH14" i="185"/>
  <c r="HG14" i="185"/>
  <c r="HD14" i="185"/>
  <c r="AB12" i="185"/>
  <c r="AA12" i="185"/>
  <c r="HF11" i="185"/>
  <c r="HG11" i="185" s="1"/>
  <c r="HH11" i="185" s="1"/>
  <c r="HI11" i="185" s="1"/>
  <c r="HJ11" i="185" s="1"/>
  <c r="HK11" i="185" s="1"/>
  <c r="HL11" i="185" s="1"/>
  <c r="HM11" i="185" s="1"/>
  <c r="HN11" i="185" s="1"/>
  <c r="HO11" i="185" s="1"/>
  <c r="HP11" i="185" s="1"/>
  <c r="HQ11" i="185" s="1"/>
  <c r="HR11" i="185" s="1"/>
  <c r="HS11" i="185" s="1"/>
  <c r="HT11" i="185" s="1"/>
  <c r="HU11" i="185" s="1"/>
  <c r="HV11" i="185" s="1"/>
  <c r="HW11" i="185" s="1"/>
  <c r="HX11" i="185" s="1"/>
  <c r="HY11" i="185" s="1"/>
  <c r="HZ11" i="185" s="1"/>
  <c r="IA11" i="185" s="1"/>
  <c r="IB11" i="185" s="1"/>
  <c r="IC11" i="185" s="1"/>
  <c r="ID11" i="185" s="1"/>
  <c r="IE11" i="185" s="1"/>
  <c r="IF11" i="185" s="1"/>
  <c r="HC11" i="185"/>
  <c r="HD11" i="185" s="1"/>
  <c r="HE11" i="185" s="1"/>
  <c r="HB11" i="185"/>
  <c r="CG10" i="185"/>
  <c r="CF10" i="185"/>
  <c r="CE10" i="185"/>
  <c r="CD10" i="185"/>
  <c r="CC10" i="185"/>
  <c r="CB10" i="185"/>
  <c r="CA10" i="185"/>
  <c r="BZ10" i="185"/>
  <c r="BY10" i="185"/>
  <c r="BX10" i="185"/>
  <c r="BW10" i="185"/>
  <c r="BV10" i="185"/>
  <c r="BU10" i="185"/>
  <c r="BT10" i="185"/>
  <c r="BS10" i="185"/>
  <c r="BR10" i="185"/>
  <c r="BQ10" i="185"/>
  <c r="BP10" i="185"/>
  <c r="BO10" i="185"/>
  <c r="BN10" i="185"/>
  <c r="BM10" i="185"/>
  <c r="BL10" i="185"/>
  <c r="BK10" i="185"/>
  <c r="BJ10" i="185"/>
  <c r="BI10" i="185"/>
  <c r="BH10" i="185"/>
  <c r="BG10" i="185"/>
  <c r="BF10" i="185"/>
  <c r="BE10" i="185"/>
  <c r="BD10" i="185"/>
  <c r="BC10" i="185"/>
  <c r="BB10" i="185"/>
  <c r="Z10" i="185"/>
  <c r="S10" i="185"/>
  <c r="C10" i="185"/>
  <c r="DN9" i="185"/>
  <c r="DM9" i="185"/>
  <c r="DL9" i="185"/>
  <c r="DK9" i="185"/>
  <c r="DJ9" i="185"/>
  <c r="DI9" i="185"/>
  <c r="DH9" i="185"/>
  <c r="DG9" i="185"/>
  <c r="S9" i="185"/>
  <c r="C9" i="185"/>
  <c r="DN8" i="185"/>
  <c r="DM8" i="185"/>
  <c r="DL8" i="185"/>
  <c r="DK8" i="185"/>
  <c r="DJ8" i="185"/>
  <c r="DI8" i="185"/>
  <c r="DH8" i="185"/>
  <c r="DG8" i="185"/>
  <c r="DN7" i="185"/>
  <c r="DM7" i="185"/>
  <c r="DL7" i="185"/>
  <c r="DK7" i="185"/>
  <c r="DJ7" i="185"/>
  <c r="DI7" i="185"/>
  <c r="DH7" i="185"/>
  <c r="DG7" i="185"/>
  <c r="DN6" i="185"/>
  <c r="DM6" i="185"/>
  <c r="DL6" i="185"/>
  <c r="DK6" i="185"/>
  <c r="DJ6" i="185"/>
  <c r="DI6" i="185"/>
  <c r="DH6" i="185"/>
  <c r="DG6" i="185"/>
  <c r="DC6" i="185"/>
  <c r="DB6" i="185"/>
  <c r="DA6" i="185"/>
  <c r="CZ6" i="185"/>
  <c r="CY6" i="185"/>
  <c r="CX6" i="185"/>
  <c r="CW6" i="185"/>
  <c r="CV6" i="185"/>
  <c r="Y6" i="185"/>
  <c r="M6" i="185"/>
  <c r="DN5" i="185"/>
  <c r="DM5" i="185"/>
  <c r="DL5" i="185"/>
  <c r="DK5" i="185"/>
  <c r="DJ5" i="185"/>
  <c r="DI5" i="185"/>
  <c r="DH5" i="185"/>
  <c r="DG5" i="185"/>
  <c r="DC5" i="185"/>
  <c r="DB5" i="185"/>
  <c r="DA5" i="185"/>
  <c r="CZ5" i="185"/>
  <c r="CY5" i="185"/>
  <c r="CX5" i="185"/>
  <c r="CW5" i="185"/>
  <c r="CV5" i="185"/>
  <c r="DN4" i="185"/>
  <c r="DM4" i="185"/>
  <c r="DL4" i="185"/>
  <c r="DK4" i="185"/>
  <c r="DJ4" i="185"/>
  <c r="DI4" i="185"/>
  <c r="DH4" i="185"/>
  <c r="DG4" i="185"/>
  <c r="DC4" i="185"/>
  <c r="DB4" i="185"/>
  <c r="DA4" i="185"/>
  <c r="CZ4" i="185"/>
  <c r="CY4" i="185"/>
  <c r="CX4" i="185"/>
  <c r="CW4" i="185"/>
  <c r="CV4" i="185"/>
  <c r="P4" i="185"/>
  <c r="DN3" i="185"/>
  <c r="DM3" i="185"/>
  <c r="DL3" i="185"/>
  <c r="DK3" i="185"/>
  <c r="DJ3" i="185"/>
  <c r="DI3" i="185"/>
  <c r="DH3" i="185"/>
  <c r="DG3" i="185"/>
  <c r="DN2" i="185"/>
  <c r="DM2" i="185"/>
  <c r="DL2" i="185"/>
  <c r="DK2" i="185"/>
  <c r="DJ2" i="185"/>
  <c r="DI2" i="185"/>
  <c r="DH2" i="185"/>
  <c r="DG2" i="185"/>
  <c r="DD2" i="185"/>
  <c r="DB2" i="185"/>
  <c r="CZ2" i="185"/>
  <c r="CX2" i="185"/>
  <c r="HA1" i="185"/>
  <c r="HV14" i="185" s="1"/>
  <c r="DQ1" i="185"/>
  <c r="DD1" i="185"/>
  <c r="DZ17" i="185" s="1"/>
  <c r="CY1" i="185"/>
  <c r="CX1" i="185"/>
  <c r="AE1" i="185"/>
  <c r="AD1" i="185"/>
  <c r="P2" i="185" s="1"/>
  <c r="P1" i="185"/>
  <c r="EO104" i="184"/>
  <c r="EN104" i="184"/>
  <c r="EM104" i="184"/>
  <c r="EO103" i="184"/>
  <c r="EN103" i="184"/>
  <c r="EM103" i="184"/>
  <c r="EO102" i="184"/>
  <c r="EN102" i="184"/>
  <c r="EM102" i="184"/>
  <c r="EO101" i="184"/>
  <c r="EN101" i="184"/>
  <c r="EM101" i="184"/>
  <c r="EO100" i="184"/>
  <c r="EN100" i="184"/>
  <c r="EM100" i="184"/>
  <c r="EO99" i="184"/>
  <c r="EN99" i="184"/>
  <c r="EM99" i="184"/>
  <c r="EO98" i="184"/>
  <c r="EN98" i="184"/>
  <c r="EM98" i="184"/>
  <c r="EO97" i="184"/>
  <c r="EN97" i="184"/>
  <c r="EM97" i="184"/>
  <c r="EO96" i="184"/>
  <c r="EN96" i="184"/>
  <c r="EM96" i="184"/>
  <c r="EO95" i="184"/>
  <c r="EN95" i="184"/>
  <c r="EM95" i="184"/>
  <c r="EO94" i="184"/>
  <c r="EN94" i="184"/>
  <c r="EM94" i="184"/>
  <c r="EO93" i="184"/>
  <c r="EN93" i="184"/>
  <c r="EM93" i="184"/>
  <c r="EO92" i="184"/>
  <c r="EN92" i="184"/>
  <c r="EM92" i="184"/>
  <c r="EO91" i="184"/>
  <c r="EN91" i="184"/>
  <c r="EM91" i="184"/>
  <c r="EO90" i="184"/>
  <c r="EN90" i="184"/>
  <c r="EM90" i="184"/>
  <c r="EO89" i="184"/>
  <c r="EN89" i="184"/>
  <c r="EM89" i="184"/>
  <c r="EO88" i="184"/>
  <c r="EN88" i="184"/>
  <c r="EM88" i="184"/>
  <c r="EO87" i="184"/>
  <c r="EN87" i="184"/>
  <c r="EM87" i="184"/>
  <c r="EO86" i="184"/>
  <c r="EN86" i="184"/>
  <c r="EM86" i="184"/>
  <c r="EO85" i="184"/>
  <c r="EN85" i="184"/>
  <c r="EM85" i="184"/>
  <c r="EO84" i="184"/>
  <c r="EN84" i="184"/>
  <c r="EM84" i="184"/>
  <c r="EO83" i="184"/>
  <c r="EN83" i="184"/>
  <c r="EM83" i="184"/>
  <c r="EO82" i="184"/>
  <c r="EN82" i="184"/>
  <c r="EM82" i="184"/>
  <c r="EO81" i="184"/>
  <c r="EN81" i="184"/>
  <c r="EM81" i="184"/>
  <c r="EO80" i="184"/>
  <c r="EN80" i="184"/>
  <c r="EM80" i="184"/>
  <c r="EO79" i="184"/>
  <c r="EN79" i="184"/>
  <c r="EM79" i="184"/>
  <c r="EO78" i="184"/>
  <c r="EN78" i="184"/>
  <c r="EM78" i="184"/>
  <c r="EO77" i="184"/>
  <c r="EN77" i="184"/>
  <c r="EM77" i="184"/>
  <c r="EO76" i="184"/>
  <c r="EN76" i="184"/>
  <c r="EM76" i="184"/>
  <c r="EO75" i="184"/>
  <c r="EN75" i="184"/>
  <c r="EM75" i="184"/>
  <c r="AA57" i="184"/>
  <c r="Z57" i="184"/>
  <c r="Y57" i="184"/>
  <c r="X57" i="184"/>
  <c r="W57" i="184"/>
  <c r="V57" i="184"/>
  <c r="AT57" i="184" s="1"/>
  <c r="U57" i="184"/>
  <c r="T57" i="184"/>
  <c r="S57" i="184"/>
  <c r="R57" i="184"/>
  <c r="Q57" i="184"/>
  <c r="P57" i="184"/>
  <c r="O57" i="184"/>
  <c r="N57" i="184"/>
  <c r="M57" i="184"/>
  <c r="L57" i="184"/>
  <c r="K57" i="184"/>
  <c r="J57" i="184"/>
  <c r="I57" i="184"/>
  <c r="H57" i="184"/>
  <c r="G57" i="184"/>
  <c r="F57" i="184"/>
  <c r="E57" i="184"/>
  <c r="D57" i="184"/>
  <c r="C57" i="184"/>
  <c r="AW57" i="184" s="1"/>
  <c r="B57" i="184"/>
  <c r="A57" i="184"/>
  <c r="AX57" i="184" s="1"/>
  <c r="GF45" i="184"/>
  <c r="GE45" i="184" s="1"/>
  <c r="GD45" i="184"/>
  <c r="GB45" i="184"/>
  <c r="FU45" i="184"/>
  <c r="FT45" i="184"/>
  <c r="FQ45" i="184"/>
  <c r="FM45" i="184"/>
  <c r="FH45" i="184"/>
  <c r="FC45" i="184"/>
  <c r="FA45" i="184"/>
  <c r="EZ45" i="184"/>
  <c r="EX45" i="184"/>
  <c r="EL45" i="184"/>
  <c r="EN45" i="184" s="1"/>
  <c r="ER45" i="184" s="1"/>
  <c r="EG45" i="184"/>
  <c r="EK45" i="184" s="1"/>
  <c r="DY45" i="184"/>
  <c r="DX45" i="184"/>
  <c r="G45" i="184" s="1"/>
  <c r="DW45" i="184"/>
  <c r="DV45" i="184"/>
  <c r="DS45" i="184"/>
  <c r="DP45" i="184"/>
  <c r="DO45" i="184"/>
  <c r="DN45" i="184"/>
  <c r="FI45" i="184" s="1"/>
  <c r="DM45" i="184"/>
  <c r="DL45" i="184"/>
  <c r="DK45" i="184"/>
  <c r="DJ45" i="184"/>
  <c r="DI45" i="184"/>
  <c r="DH45" i="184"/>
  <c r="FV45" i="184" s="1"/>
  <c r="DG45" i="184"/>
  <c r="DF45" i="184"/>
  <c r="EB45" i="184" s="1"/>
  <c r="DE45" i="184"/>
  <c r="DD45" i="184"/>
  <c r="FD45" i="184" s="1"/>
  <c r="DC45" i="184"/>
  <c r="DB45" i="184"/>
  <c r="DA45" i="184"/>
  <c r="EE45" i="184" s="1"/>
  <c r="EF45" i="184" s="1"/>
  <c r="EJ45" i="184" s="1"/>
  <c r="CZ45" i="184"/>
  <c r="CY45" i="184"/>
  <c r="CX45" i="184"/>
  <c r="CW45" i="184"/>
  <c r="CV45" i="184"/>
  <c r="DU45" i="184" s="1"/>
  <c r="CU45" i="184"/>
  <c r="CQ45" i="184"/>
  <c r="CP45" i="184"/>
  <c r="CK45" i="184" s="1"/>
  <c r="CO45" i="184"/>
  <c r="CN45" i="184"/>
  <c r="CC45" i="184"/>
  <c r="CA45" i="184"/>
  <c r="BO45" i="184"/>
  <c r="AX45" i="184"/>
  <c r="AF45" i="184"/>
  <c r="AE45" i="184"/>
  <c r="H45" i="184"/>
  <c r="F45" i="184"/>
  <c r="E45" i="184"/>
  <c r="D45" i="184"/>
  <c r="GK45" i="184" s="1"/>
  <c r="C45" i="184"/>
  <c r="AW45" i="184" s="1"/>
  <c r="A45" i="184"/>
  <c r="FS44" i="184"/>
  <c r="FQ44" i="184"/>
  <c r="FL44" i="184"/>
  <c r="Z44" i="184" s="1"/>
  <c r="FD44" i="184"/>
  <c r="FC44" i="184"/>
  <c r="EL44" i="184" s="1"/>
  <c r="EZ44" i="184"/>
  <c r="EJ44" i="184"/>
  <c r="CH44" i="184" s="1"/>
  <c r="EG44" i="184"/>
  <c r="EK44" i="184" s="1"/>
  <c r="EF44" i="184"/>
  <c r="EE44" i="184"/>
  <c r="EC44" i="184"/>
  <c r="DY44" i="184"/>
  <c r="DX44" i="184"/>
  <c r="DV44" i="184"/>
  <c r="DS44" i="184"/>
  <c r="DP44" i="184"/>
  <c r="D44" i="184" s="1"/>
  <c r="GK44" i="184" s="1"/>
  <c r="DO44" i="184"/>
  <c r="FJ44" i="184" s="1"/>
  <c r="FK44" i="184" s="1"/>
  <c r="DN44" i="184"/>
  <c r="FI44" i="184" s="1"/>
  <c r="DM44" i="184"/>
  <c r="DL44" i="184"/>
  <c r="DK44" i="184"/>
  <c r="DJ44" i="184"/>
  <c r="DI44" i="184"/>
  <c r="DH44" i="184"/>
  <c r="DG44" i="184"/>
  <c r="DF44" i="184"/>
  <c r="EB44" i="184" s="1"/>
  <c r="DE44" i="184"/>
  <c r="DD44" i="184"/>
  <c r="DC44" i="184"/>
  <c r="DB44" i="184"/>
  <c r="DA44" i="184"/>
  <c r="CZ44" i="184"/>
  <c r="CY44" i="184"/>
  <c r="CX44" i="184"/>
  <c r="FH44" i="184" s="1"/>
  <c r="CW44" i="184"/>
  <c r="CV44" i="184"/>
  <c r="DW44" i="184" s="1"/>
  <c r="CU44" i="184"/>
  <c r="EY44" i="184" s="1"/>
  <c r="CQ44" i="184"/>
  <c r="CP44" i="184"/>
  <c r="CK44" i="184" s="1"/>
  <c r="CO44" i="184"/>
  <c r="CN44" i="184"/>
  <c r="BO44" i="184"/>
  <c r="AX44" i="184"/>
  <c r="AW44" i="184"/>
  <c r="AH44" i="184"/>
  <c r="AG44" i="184"/>
  <c r="AF44" i="184"/>
  <c r="AD44" i="184"/>
  <c r="E44" i="184"/>
  <c r="C44" i="184"/>
  <c r="AV44" i="184" s="1"/>
  <c r="A44" i="184"/>
  <c r="GF44" i="184" s="1"/>
  <c r="GK43" i="184"/>
  <c r="GF43" i="184"/>
  <c r="GD43" i="184" s="1"/>
  <c r="GE43" i="184"/>
  <c r="FV43" i="184"/>
  <c r="FT43" i="184"/>
  <c r="FS43" i="184"/>
  <c r="FQ43" i="184"/>
  <c r="FM43" i="184"/>
  <c r="FC43" i="184"/>
  <c r="FA43" i="184"/>
  <c r="EZ43" i="184"/>
  <c r="EY43" i="184"/>
  <c r="EX43" i="184"/>
  <c r="ED43" i="184"/>
  <c r="DY43" i="184"/>
  <c r="DX43" i="184"/>
  <c r="DW43" i="184"/>
  <c r="DV43" i="184"/>
  <c r="DU43" i="184"/>
  <c r="DS43" i="184"/>
  <c r="DP43" i="184"/>
  <c r="D43" i="184" s="1"/>
  <c r="DO43" i="184"/>
  <c r="DN43" i="184"/>
  <c r="FI43" i="184" s="1"/>
  <c r="DM43" i="184"/>
  <c r="DL43" i="184"/>
  <c r="DK43" i="184"/>
  <c r="EL43" i="184" s="1"/>
  <c r="DJ43" i="184"/>
  <c r="DI43" i="184"/>
  <c r="DH43" i="184"/>
  <c r="DG43" i="184"/>
  <c r="DF43" i="184"/>
  <c r="EC43" i="184" s="1"/>
  <c r="DE43" i="184"/>
  <c r="CA43" i="184" s="1"/>
  <c r="DD43" i="184"/>
  <c r="FD43" i="184" s="1"/>
  <c r="DC43" i="184"/>
  <c r="DB43" i="184"/>
  <c r="DA43" i="184"/>
  <c r="EE43" i="184" s="1"/>
  <c r="EG43" i="184" s="1"/>
  <c r="EK43" i="184" s="1"/>
  <c r="CZ43" i="184"/>
  <c r="CY43" i="184"/>
  <c r="CX43" i="184"/>
  <c r="CW43" i="184"/>
  <c r="CV43" i="184"/>
  <c r="CU43" i="184"/>
  <c r="BQ43" i="184" s="1"/>
  <c r="CQ43" i="184"/>
  <c r="CP43" i="184"/>
  <c r="CO43" i="184"/>
  <c r="CN43" i="184"/>
  <c r="CK43" i="184"/>
  <c r="CC43" i="184"/>
  <c r="BO43" i="184"/>
  <c r="AW43" i="184"/>
  <c r="AV43" i="184"/>
  <c r="AK43" i="184" s="1"/>
  <c r="AQ43" i="184"/>
  <c r="AH43" i="184"/>
  <c r="AG43" i="184"/>
  <c r="AF43" i="184"/>
  <c r="AE43" i="184"/>
  <c r="AD43" i="184"/>
  <c r="AX43" i="184"/>
  <c r="I43" i="184"/>
  <c r="H43" i="184"/>
  <c r="G43" i="184"/>
  <c r="F43" i="184"/>
  <c r="C43" i="184"/>
  <c r="A43" i="184"/>
  <c r="FV42" i="184"/>
  <c r="FT42" i="184"/>
  <c r="FM42" i="184"/>
  <c r="FH42" i="184"/>
  <c r="FD42" i="184"/>
  <c r="FC42" i="184"/>
  <c r="FA42" i="184"/>
  <c r="EZ42" i="184"/>
  <c r="EF42" i="184"/>
  <c r="EJ42" i="184" s="1"/>
  <c r="CH42" i="184" s="1"/>
  <c r="U42" i="184" s="1"/>
  <c r="EE42" i="184"/>
  <c r="EG42" i="184" s="1"/>
  <c r="EK42" i="184" s="1"/>
  <c r="ED42" i="184"/>
  <c r="J42" i="184" s="1"/>
  <c r="EC42" i="184"/>
  <c r="EB42" i="184"/>
  <c r="EA42" i="184"/>
  <c r="DY42" i="184"/>
  <c r="DX42" i="184"/>
  <c r="DW42" i="184"/>
  <c r="FO42" i="184" s="1"/>
  <c r="DS42" i="184"/>
  <c r="DP42" i="184"/>
  <c r="E42" i="184" s="1"/>
  <c r="DO42" i="184"/>
  <c r="DN42" i="184"/>
  <c r="FI42" i="184" s="1"/>
  <c r="FJ42" i="184" s="1"/>
  <c r="FK42" i="184" s="1"/>
  <c r="FL42" i="184" s="1"/>
  <c r="Z42" i="184" s="1"/>
  <c r="DM42" i="184"/>
  <c r="FP42" i="184" s="1"/>
  <c r="DL42" i="184"/>
  <c r="DK42" i="184"/>
  <c r="EL42" i="184" s="1"/>
  <c r="EN42" i="184" s="1"/>
  <c r="ER42" i="184" s="1"/>
  <c r="DJ42" i="184"/>
  <c r="DI42" i="184"/>
  <c r="DH42" i="184"/>
  <c r="DG42" i="184"/>
  <c r="CC42" i="184" s="1"/>
  <c r="CM42" i="184" s="1"/>
  <c r="DF42" i="184"/>
  <c r="DE42" i="184"/>
  <c r="FR42" i="184" s="1"/>
  <c r="DD42" i="184"/>
  <c r="DC42" i="184"/>
  <c r="DB42" i="184"/>
  <c r="DA42" i="184"/>
  <c r="CZ42" i="184"/>
  <c r="CY42" i="184"/>
  <c r="FS42" i="184" s="1"/>
  <c r="CX42" i="184"/>
  <c r="FU42" i="184" s="1"/>
  <c r="CW42" i="184"/>
  <c r="CV42" i="184"/>
  <c r="DV42" i="184" s="1"/>
  <c r="CU42" i="184"/>
  <c r="CQ42" i="184"/>
  <c r="CP42" i="184"/>
  <c r="CK42" i="184" s="1"/>
  <c r="CO42" i="184"/>
  <c r="CN42" i="184"/>
  <c r="CA42" i="184"/>
  <c r="BO42" i="184"/>
  <c r="AW42" i="184"/>
  <c r="AH42" i="184"/>
  <c r="AG42" i="184"/>
  <c r="AF42" i="184"/>
  <c r="T42" i="184"/>
  <c r="AR42" i="184" s="1"/>
  <c r="K42" i="184"/>
  <c r="I42" i="184"/>
  <c r="H42" i="184"/>
  <c r="G42" i="184"/>
  <c r="F42" i="184"/>
  <c r="D42" i="184"/>
  <c r="GK42" i="184" s="1"/>
  <c r="C42" i="184"/>
  <c r="AV42" i="184" s="1"/>
  <c r="AK42" i="184" s="1"/>
  <c r="A42" i="184"/>
  <c r="FV41" i="184"/>
  <c r="FU41" i="184"/>
  <c r="FS41" i="184"/>
  <c r="FQ41" i="184"/>
  <c r="FO41" i="184"/>
  <c r="FM41" i="184"/>
  <c r="FH41" i="184"/>
  <c r="FC41" i="184"/>
  <c r="FA41" i="184"/>
  <c r="EZ41" i="184"/>
  <c r="EE41" i="184" s="1"/>
  <c r="EG41" i="184" s="1"/>
  <c r="EK41" i="184" s="1"/>
  <c r="EY41" i="184"/>
  <c r="EL41" i="184"/>
  <c r="EJ41" i="184"/>
  <c r="CH41" i="184" s="1"/>
  <c r="EF41" i="184"/>
  <c r="DY41" i="184"/>
  <c r="DX41" i="184"/>
  <c r="H41" i="184" s="1"/>
  <c r="DW41" i="184"/>
  <c r="DV41" i="184"/>
  <c r="DU41" i="184"/>
  <c r="DS41" i="184"/>
  <c r="DO41" i="184"/>
  <c r="DN41" i="184"/>
  <c r="FI41" i="184" s="1"/>
  <c r="FJ41" i="184" s="1"/>
  <c r="FK41" i="184" s="1"/>
  <c r="FL41" i="184" s="1"/>
  <c r="Z41" i="184" s="1"/>
  <c r="DM41" i="184"/>
  <c r="DL41" i="184"/>
  <c r="DK41" i="184"/>
  <c r="DJ41" i="184"/>
  <c r="DI41" i="184"/>
  <c r="DH41" i="184"/>
  <c r="DG41" i="184"/>
  <c r="DF41" i="184"/>
  <c r="DP41" i="184" s="1"/>
  <c r="DE41" i="184"/>
  <c r="CC41" i="184" s="1"/>
  <c r="DD41" i="184"/>
  <c r="FD41" i="184" s="1"/>
  <c r="FE41" i="184" s="1"/>
  <c r="FF41" i="184" s="1"/>
  <c r="FG41" i="184" s="1"/>
  <c r="Y41" i="184" s="1"/>
  <c r="DC41" i="184"/>
  <c r="DB41" i="184"/>
  <c r="DA41" i="184"/>
  <c r="CZ41" i="184"/>
  <c r="CY41" i="184"/>
  <c r="CX41" i="184"/>
  <c r="CW41" i="184"/>
  <c r="CV41" i="184"/>
  <c r="CU41" i="184"/>
  <c r="EX41" i="184" s="1"/>
  <c r="CQ41" i="184"/>
  <c r="CP41" i="184"/>
  <c r="CO41" i="184"/>
  <c r="CN41" i="184"/>
  <c r="CM41" i="184"/>
  <c r="CK41" i="184"/>
  <c r="CA41" i="184"/>
  <c r="BO41" i="184"/>
  <c r="AW41" i="184"/>
  <c r="AV41" i="184"/>
  <c r="AK41" i="184" s="1"/>
  <c r="AH41" i="184"/>
  <c r="AG41" i="184"/>
  <c r="AF41" i="184"/>
  <c r="AE41" i="184"/>
  <c r="AD41" i="184"/>
  <c r="AX41" i="184"/>
  <c r="G41" i="184"/>
  <c r="C41" i="184"/>
  <c r="A41" i="184"/>
  <c r="GF41" i="184" s="1"/>
  <c r="GK40" i="184"/>
  <c r="GF40" i="184"/>
  <c r="FE40" i="184"/>
  <c r="FF40" i="184" s="1"/>
  <c r="FG40" i="184" s="1"/>
  <c r="Y40" i="184" s="1"/>
  <c r="FD40" i="184"/>
  <c r="FC40" i="184"/>
  <c r="FB40" i="184"/>
  <c r="EZ40" i="184"/>
  <c r="EN40" i="184"/>
  <c r="ER40" i="184" s="1"/>
  <c r="EK40" i="184"/>
  <c r="EF40" i="184"/>
  <c r="EJ40" i="184" s="1"/>
  <c r="EE40" i="184"/>
  <c r="EG40" i="184" s="1"/>
  <c r="ED40" i="184"/>
  <c r="EC40" i="184"/>
  <c r="EB40" i="184"/>
  <c r="EA40" i="184"/>
  <c r="DY40" i="184"/>
  <c r="DX40" i="184"/>
  <c r="F40" i="184" s="1"/>
  <c r="DW40" i="184"/>
  <c r="DU40" i="184"/>
  <c r="DS40" i="184"/>
  <c r="DP40" i="184"/>
  <c r="DO40" i="184"/>
  <c r="DN40" i="184"/>
  <c r="FI40" i="184" s="1"/>
  <c r="FJ40" i="184" s="1"/>
  <c r="FK40" i="184" s="1"/>
  <c r="FL40" i="184" s="1"/>
  <c r="Z40" i="184" s="1"/>
  <c r="DM40" i="184"/>
  <c r="DL40" i="184"/>
  <c r="DK40" i="184"/>
  <c r="EL40" i="184" s="1"/>
  <c r="EM40" i="184" s="1"/>
  <c r="EQ40" i="184" s="1"/>
  <c r="CI40" i="184" s="1"/>
  <c r="DJ40" i="184"/>
  <c r="DI40" i="184"/>
  <c r="FT40" i="184" s="1"/>
  <c r="DH40" i="184"/>
  <c r="FM40" i="184" s="1"/>
  <c r="DG40" i="184"/>
  <c r="CC40" i="184" s="1"/>
  <c r="DF40" i="184"/>
  <c r="DE40" i="184"/>
  <c r="FA40" i="184" s="1"/>
  <c r="DD40" i="184"/>
  <c r="DC40" i="184"/>
  <c r="DB40" i="184"/>
  <c r="DA40" i="184"/>
  <c r="CZ40" i="184"/>
  <c r="CY40" i="184"/>
  <c r="FS40" i="184" s="1"/>
  <c r="CX40" i="184"/>
  <c r="FU40" i="184" s="1"/>
  <c r="CW40" i="184"/>
  <c r="CV40" i="184"/>
  <c r="DV40" i="184" s="1"/>
  <c r="CU40" i="184"/>
  <c r="CQ40" i="184"/>
  <c r="CP40" i="184"/>
  <c r="CK40" i="184" s="1"/>
  <c r="CO40" i="184"/>
  <c r="CN40" i="184"/>
  <c r="CA40" i="184"/>
  <c r="BO40" i="184"/>
  <c r="AX40" i="184"/>
  <c r="AW40" i="184"/>
  <c r="AV40" i="184"/>
  <c r="AM40" i="184"/>
  <c r="AK40" i="184"/>
  <c r="AH40" i="184"/>
  <c r="AG40" i="184"/>
  <c r="AF40" i="184"/>
  <c r="AE40" i="184"/>
  <c r="J40" i="184"/>
  <c r="H40" i="184"/>
  <c r="G40" i="184"/>
  <c r="GK39" i="184"/>
  <c r="GF39" i="184"/>
  <c r="FT39" i="184"/>
  <c r="FS39" i="184"/>
  <c r="FM39" i="184"/>
  <c r="FG39" i="184"/>
  <c r="Y39" i="184" s="1"/>
  <c r="FC39" i="184"/>
  <c r="EL39" i="184" s="1"/>
  <c r="FB39" i="184"/>
  <c r="EZ39" i="184"/>
  <c r="EE39" i="184" s="1"/>
  <c r="EY39" i="184"/>
  <c r="EX39" i="184"/>
  <c r="DY39" i="184"/>
  <c r="DX39" i="184"/>
  <c r="H39" i="184" s="1"/>
  <c r="DW39" i="184"/>
  <c r="DV39" i="184"/>
  <c r="DU39" i="184"/>
  <c r="DS39" i="184"/>
  <c r="DO39" i="184"/>
  <c r="FE39" i="184" s="1"/>
  <c r="FF39" i="184" s="1"/>
  <c r="DN39" i="184"/>
  <c r="FI39" i="184" s="1"/>
  <c r="DM39" i="184"/>
  <c r="DL39" i="184"/>
  <c r="DK39" i="184"/>
  <c r="DJ39" i="184"/>
  <c r="DI39" i="184"/>
  <c r="DH39" i="184"/>
  <c r="FV39" i="184" s="1"/>
  <c r="DG39" i="184"/>
  <c r="DF39" i="184"/>
  <c r="DE39" i="184"/>
  <c r="DD39" i="184"/>
  <c r="FD39" i="184" s="1"/>
  <c r="DC39" i="184"/>
  <c r="DB39" i="184"/>
  <c r="DA39" i="184"/>
  <c r="CZ39" i="184"/>
  <c r="CY39" i="184"/>
  <c r="CX39" i="184"/>
  <c r="FH39" i="184" s="1"/>
  <c r="CW39" i="184"/>
  <c r="BQ39" i="184" s="1"/>
  <c r="CV39" i="184"/>
  <c r="CU39" i="184"/>
  <c r="CQ39" i="184"/>
  <c r="CP39" i="184"/>
  <c r="CK39" i="184" s="1"/>
  <c r="CO39" i="184"/>
  <c r="CN39" i="184"/>
  <c r="CA39" i="184"/>
  <c r="BO39" i="184"/>
  <c r="AX39" i="184"/>
  <c r="AW39" i="184"/>
  <c r="AV39" i="184"/>
  <c r="AK39" i="184" s="1"/>
  <c r="AO39" i="184"/>
  <c r="AM39" i="184"/>
  <c r="AH39" i="184"/>
  <c r="AG39" i="184"/>
  <c r="AF39" i="184"/>
  <c r="AE39" i="184"/>
  <c r="G39" i="184"/>
  <c r="GK38" i="184"/>
  <c r="GF38" i="184"/>
  <c r="FV38" i="184"/>
  <c r="FT38" i="184"/>
  <c r="FM38" i="184"/>
  <c r="FD38" i="184"/>
  <c r="FC38" i="184"/>
  <c r="EL38" i="184" s="1"/>
  <c r="EZ38" i="184"/>
  <c r="EY38" i="184"/>
  <c r="EF38" i="184"/>
  <c r="EJ38" i="184" s="1"/>
  <c r="CH38" i="184" s="1"/>
  <c r="EE38" i="184"/>
  <c r="EG38" i="184" s="1"/>
  <c r="EK38" i="184" s="1"/>
  <c r="ED38" i="184"/>
  <c r="EC38" i="184"/>
  <c r="EA38" i="184"/>
  <c r="DY38" i="184"/>
  <c r="DX38" i="184"/>
  <c r="DW38" i="184"/>
  <c r="DV38" i="184"/>
  <c r="DU38" i="184"/>
  <c r="DS38" i="184"/>
  <c r="DP38" i="184"/>
  <c r="DO38" i="184"/>
  <c r="FJ38" i="184" s="1"/>
  <c r="FK38" i="184" s="1"/>
  <c r="FL38" i="184" s="1"/>
  <c r="Z38" i="184" s="1"/>
  <c r="DN38" i="184"/>
  <c r="FI38" i="184" s="1"/>
  <c r="DM38" i="184"/>
  <c r="DL38" i="184"/>
  <c r="DK38" i="184"/>
  <c r="DJ38" i="184"/>
  <c r="DI38" i="184"/>
  <c r="DH38" i="184"/>
  <c r="DG38" i="184"/>
  <c r="DF38" i="184"/>
  <c r="EB38" i="184" s="1"/>
  <c r="DE38" i="184"/>
  <c r="FA38" i="184" s="1"/>
  <c r="DD38" i="184"/>
  <c r="DC38" i="184"/>
  <c r="DB38" i="184"/>
  <c r="DA38" i="184"/>
  <c r="CZ38" i="184"/>
  <c r="CY38" i="184"/>
  <c r="FS38" i="184" s="1"/>
  <c r="CX38" i="184"/>
  <c r="FU38" i="184" s="1"/>
  <c r="CW38" i="184"/>
  <c r="CV38" i="184"/>
  <c r="CU38" i="184"/>
  <c r="CQ38" i="184"/>
  <c r="CP38" i="184"/>
  <c r="CO38" i="184"/>
  <c r="CN38" i="184"/>
  <c r="CK38" i="184"/>
  <c r="CA38" i="184"/>
  <c r="AX38" i="184"/>
  <c r="AW38" i="184"/>
  <c r="AV38" i="184"/>
  <c r="AK38" i="184" s="1"/>
  <c r="AH38" i="184"/>
  <c r="AG38" i="184"/>
  <c r="AF38" i="184"/>
  <c r="AE38" i="184"/>
  <c r="J38" i="184"/>
  <c r="H38" i="184"/>
  <c r="G38" i="184"/>
  <c r="F38" i="184"/>
  <c r="GK37" i="184"/>
  <c r="GF37" i="184"/>
  <c r="FU37" i="184"/>
  <c r="FT37" i="184"/>
  <c r="FM37" i="184"/>
  <c r="FD37" i="184"/>
  <c r="FC37" i="184"/>
  <c r="EL37" i="184" s="1"/>
  <c r="EM37" i="184" s="1"/>
  <c r="EQ37" i="184" s="1"/>
  <c r="EZ37" i="184"/>
  <c r="EE37" i="184" s="1"/>
  <c r="EY37" i="184"/>
  <c r="EX37" i="184"/>
  <c r="ED37" i="184"/>
  <c r="J37" i="184" s="1"/>
  <c r="EC37" i="184"/>
  <c r="DY37" i="184"/>
  <c r="DX37" i="184"/>
  <c r="DW37" i="184"/>
  <c r="DV37" i="184"/>
  <c r="DU37" i="184"/>
  <c r="DS37" i="184"/>
  <c r="DP37" i="184"/>
  <c r="DO37" i="184"/>
  <c r="FJ37" i="184" s="1"/>
  <c r="FK37" i="184" s="1"/>
  <c r="FL37" i="184" s="1"/>
  <c r="Z37" i="184" s="1"/>
  <c r="DN37" i="184"/>
  <c r="FI37" i="184" s="1"/>
  <c r="DM37" i="184"/>
  <c r="DL37" i="184"/>
  <c r="DK37" i="184"/>
  <c r="DJ37" i="184"/>
  <c r="DI37" i="184"/>
  <c r="DH37" i="184"/>
  <c r="FV37" i="184" s="1"/>
  <c r="DG37" i="184"/>
  <c r="DF37" i="184"/>
  <c r="DE37" i="184"/>
  <c r="FA37" i="184" s="1"/>
  <c r="DD37" i="184"/>
  <c r="DC37" i="184"/>
  <c r="DB37" i="184"/>
  <c r="DA37" i="184"/>
  <c r="CZ37" i="184"/>
  <c r="CY37" i="184"/>
  <c r="FS37" i="184" s="1"/>
  <c r="CX37" i="184"/>
  <c r="FH37" i="184" s="1"/>
  <c r="CW37" i="184"/>
  <c r="BQ37" i="184" s="1"/>
  <c r="CV37" i="184"/>
  <c r="CU37" i="184"/>
  <c r="CQ37" i="184"/>
  <c r="CP37" i="184"/>
  <c r="CO37" i="184"/>
  <c r="CN37" i="184"/>
  <c r="CL37" i="184"/>
  <c r="CA37" i="184"/>
  <c r="BO37" i="184"/>
  <c r="AX37" i="184"/>
  <c r="AW37" i="184"/>
  <c r="AV37" i="184"/>
  <c r="AK37" i="184" s="1"/>
  <c r="AL37" i="184" s="1"/>
  <c r="AO37" i="184"/>
  <c r="AN37" i="184"/>
  <c r="AM37" i="184"/>
  <c r="AH37" i="184"/>
  <c r="AG37" i="184"/>
  <c r="AF37" i="184"/>
  <c r="AE37" i="184"/>
  <c r="K37" i="184"/>
  <c r="I37" i="184"/>
  <c r="F37" i="184"/>
  <c r="GK36" i="184"/>
  <c r="GF36" i="184"/>
  <c r="FV36" i="184"/>
  <c r="FU36" i="184"/>
  <c r="FI36" i="184"/>
  <c r="FH36" i="184"/>
  <c r="FE36" i="184"/>
  <c r="FF36" i="184" s="1"/>
  <c r="FG36" i="184" s="1"/>
  <c r="Y36" i="184" s="1"/>
  <c r="FC36" i="184"/>
  <c r="FA36" i="184"/>
  <c r="EZ36" i="184"/>
  <c r="EY36" i="184"/>
  <c r="EQ36" i="184"/>
  <c r="EL36" i="184"/>
  <c r="EM36" i="184" s="1"/>
  <c r="EE36" i="184"/>
  <c r="EC36" i="184"/>
  <c r="EA36" i="184"/>
  <c r="DY36" i="184"/>
  <c r="DX36" i="184"/>
  <c r="F36" i="184" s="1"/>
  <c r="DV36" i="184"/>
  <c r="DU36" i="184"/>
  <c r="DS36" i="184"/>
  <c r="DO36" i="184"/>
  <c r="FJ36" i="184" s="1"/>
  <c r="FK36" i="184" s="1"/>
  <c r="DN36" i="184"/>
  <c r="DM36" i="184"/>
  <c r="DL36" i="184"/>
  <c r="DK36" i="184"/>
  <c r="DJ36" i="184"/>
  <c r="DI36" i="184"/>
  <c r="DH36" i="184"/>
  <c r="FM36" i="184" s="1"/>
  <c r="DG36" i="184"/>
  <c r="DF36" i="184"/>
  <c r="ED36" i="184" s="1"/>
  <c r="DE36" i="184"/>
  <c r="CC36" i="184" s="1"/>
  <c r="DD36" i="184"/>
  <c r="FD36" i="184" s="1"/>
  <c r="DC36" i="184"/>
  <c r="FQ36" i="184" s="1"/>
  <c r="DB36" i="184"/>
  <c r="DA36" i="184"/>
  <c r="CZ36" i="184"/>
  <c r="CY36" i="184"/>
  <c r="FS36" i="184" s="1"/>
  <c r="CX36" i="184"/>
  <c r="CW36" i="184"/>
  <c r="BQ36" i="184" s="1"/>
  <c r="CV36" i="184"/>
  <c r="CU36" i="184"/>
  <c r="EX36" i="184" s="1"/>
  <c r="CQ36" i="184"/>
  <c r="CK36" i="184" s="1"/>
  <c r="CP36" i="184"/>
  <c r="CO36" i="184"/>
  <c r="CN36" i="184"/>
  <c r="CM36" i="184"/>
  <c r="BO36" i="184"/>
  <c r="AX36" i="184"/>
  <c r="AW36" i="184"/>
  <c r="AV36" i="184"/>
  <c r="AU36" i="184"/>
  <c r="AO36" i="184"/>
  <c r="AM36" i="184"/>
  <c r="AL36" i="184"/>
  <c r="AK36" i="184"/>
  <c r="AJ36" i="184"/>
  <c r="AH36" i="184"/>
  <c r="AG36" i="184"/>
  <c r="AF36" i="184"/>
  <c r="AE36" i="184"/>
  <c r="K36" i="184"/>
  <c r="J36" i="184"/>
  <c r="I36" i="184"/>
  <c r="H36" i="184"/>
  <c r="GK35" i="184"/>
  <c r="GF35" i="184"/>
  <c r="FT35" i="184"/>
  <c r="FR35" i="184"/>
  <c r="FM35" i="184"/>
  <c r="FD35" i="184"/>
  <c r="FC35" i="184"/>
  <c r="FB35" i="184"/>
  <c r="EZ35" i="184"/>
  <c r="ED35" i="184"/>
  <c r="J35" i="184" s="1"/>
  <c r="EC35" i="184"/>
  <c r="FP35" i="184" s="1"/>
  <c r="EB35" i="184"/>
  <c r="EA35" i="184"/>
  <c r="DY35" i="184"/>
  <c r="DW35" i="184"/>
  <c r="DU35" i="184"/>
  <c r="DS35" i="184"/>
  <c r="DP35" i="184"/>
  <c r="DO35" i="184"/>
  <c r="DN35" i="184"/>
  <c r="FI35" i="184" s="1"/>
  <c r="FJ35" i="184" s="1"/>
  <c r="FK35" i="184" s="1"/>
  <c r="FL35" i="184" s="1"/>
  <c r="Z35" i="184" s="1"/>
  <c r="DM35" i="184"/>
  <c r="DL35" i="184"/>
  <c r="DK35" i="184"/>
  <c r="EL35" i="184" s="1"/>
  <c r="DJ35" i="184"/>
  <c r="DI35" i="184"/>
  <c r="DH35" i="184"/>
  <c r="FV35" i="184" s="1"/>
  <c r="DG35" i="184"/>
  <c r="DF35" i="184"/>
  <c r="DE35" i="184"/>
  <c r="FA35" i="184" s="1"/>
  <c r="DD35" i="184"/>
  <c r="DC35" i="184"/>
  <c r="DB35" i="184"/>
  <c r="DA35" i="184"/>
  <c r="CZ35" i="184"/>
  <c r="CY35" i="184"/>
  <c r="FS35" i="184" s="1"/>
  <c r="CX35" i="184"/>
  <c r="CW35" i="184"/>
  <c r="CV35" i="184"/>
  <c r="CU35" i="184"/>
  <c r="CQ35" i="184"/>
  <c r="CP35" i="184"/>
  <c r="CO35" i="184"/>
  <c r="CN35" i="184"/>
  <c r="CK35" i="184"/>
  <c r="CA35" i="184"/>
  <c r="AX35" i="184"/>
  <c r="AW35" i="184"/>
  <c r="AK35" i="184" s="1"/>
  <c r="AV35" i="184"/>
  <c r="AL35" i="184"/>
  <c r="AH35" i="184"/>
  <c r="AG35" i="184"/>
  <c r="AF35" i="184"/>
  <c r="AE35" i="184"/>
  <c r="K35" i="184"/>
  <c r="I35" i="184"/>
  <c r="GK34" i="184"/>
  <c r="GF34" i="184"/>
  <c r="FT34" i="184"/>
  <c r="FJ34" i="184"/>
  <c r="FK34" i="184" s="1"/>
  <c r="FL34" i="184" s="1"/>
  <c r="Z34" i="184" s="1"/>
  <c r="FC34" i="184"/>
  <c r="FB34" i="184"/>
  <c r="EZ34" i="184"/>
  <c r="EY34" i="184"/>
  <c r="ER34" i="184"/>
  <c r="EL34" i="184"/>
  <c r="EN34" i="184" s="1"/>
  <c r="EJ34" i="184"/>
  <c r="EF34" i="184"/>
  <c r="EE34" i="184"/>
  <c r="EG34" i="184" s="1"/>
  <c r="EK34" i="184" s="1"/>
  <c r="EV34" i="184" s="1"/>
  <c r="CJ34" i="184" s="1"/>
  <c r="ED34" i="184"/>
  <c r="K34" i="184" s="1"/>
  <c r="EA34" i="184"/>
  <c r="DY34" i="184"/>
  <c r="DW34" i="184"/>
  <c r="DV34" i="184"/>
  <c r="DU34" i="184"/>
  <c r="DS34" i="184"/>
  <c r="DP34" i="184"/>
  <c r="DO34" i="184"/>
  <c r="DN34" i="184"/>
  <c r="FI34" i="184" s="1"/>
  <c r="DM34" i="184"/>
  <c r="DL34" i="184"/>
  <c r="DK34" i="184"/>
  <c r="DJ34" i="184"/>
  <c r="DI34" i="184"/>
  <c r="DH34" i="184"/>
  <c r="DG34" i="184"/>
  <c r="DF34" i="184"/>
  <c r="EC34" i="184" s="1"/>
  <c r="DE34" i="184"/>
  <c r="FA34" i="184" s="1"/>
  <c r="DD34" i="184"/>
  <c r="FD34" i="184" s="1"/>
  <c r="DC34" i="184"/>
  <c r="DB34" i="184"/>
  <c r="DA34" i="184"/>
  <c r="CZ34" i="184"/>
  <c r="CY34" i="184"/>
  <c r="CX34" i="184"/>
  <c r="FU34" i="184" s="1"/>
  <c r="CW34" i="184"/>
  <c r="BQ34" i="184" s="1"/>
  <c r="CV34" i="184"/>
  <c r="DX34" i="184" s="1"/>
  <c r="CU34" i="184"/>
  <c r="EX34" i="184" s="1"/>
  <c r="CQ34" i="184"/>
  <c r="CK34" i="184" s="1"/>
  <c r="CP34" i="184"/>
  <c r="CO34" i="184"/>
  <c r="CN34" i="184"/>
  <c r="CC34" i="184"/>
  <c r="CA34" i="184"/>
  <c r="AX34" i="184"/>
  <c r="AW34" i="184"/>
  <c r="AK34" i="184" s="1"/>
  <c r="AV34" i="184"/>
  <c r="AH34" i="184"/>
  <c r="AG34" i="184"/>
  <c r="AF34" i="184"/>
  <c r="AE34" i="184"/>
  <c r="GK33" i="184"/>
  <c r="GF33" i="184"/>
  <c r="FU33" i="184"/>
  <c r="FT33" i="184"/>
  <c r="FI33" i="184"/>
  <c r="FH33" i="184"/>
  <c r="FC33" i="184"/>
  <c r="EL33" i="184" s="1"/>
  <c r="EZ33" i="184"/>
  <c r="EY33" i="184"/>
  <c r="EX33" i="184"/>
  <c r="EG33" i="184"/>
  <c r="EK33" i="184" s="1"/>
  <c r="EF33" i="184"/>
  <c r="EJ33" i="184" s="1"/>
  <c r="CH33" i="184" s="1"/>
  <c r="EE33" i="184"/>
  <c r="EB33" i="184"/>
  <c r="DY33" i="184"/>
  <c r="DS33" i="184"/>
  <c r="DP33" i="184"/>
  <c r="DO33" i="184"/>
  <c r="DN33" i="184"/>
  <c r="DM33" i="184"/>
  <c r="DL33" i="184"/>
  <c r="DK33" i="184"/>
  <c r="DJ33" i="184"/>
  <c r="DI33" i="184"/>
  <c r="DH33" i="184"/>
  <c r="FV33" i="184" s="1"/>
  <c r="DG33" i="184"/>
  <c r="DF33" i="184"/>
  <c r="ED33" i="184" s="1"/>
  <c r="DE33" i="184"/>
  <c r="DD33" i="184"/>
  <c r="FD33" i="184" s="1"/>
  <c r="DC33" i="184"/>
  <c r="DB33" i="184"/>
  <c r="DA33" i="184"/>
  <c r="CZ33" i="184"/>
  <c r="CY33" i="184"/>
  <c r="CX33" i="184"/>
  <c r="CW33" i="184"/>
  <c r="CV33" i="184"/>
  <c r="CU33" i="184"/>
  <c r="CQ33" i="184"/>
  <c r="CP33" i="184"/>
  <c r="CK33" i="184" s="1"/>
  <c r="CO33" i="184"/>
  <c r="CN33" i="184"/>
  <c r="BQ33" i="184"/>
  <c r="BO33" i="184"/>
  <c r="AX33" i="184"/>
  <c r="AW33" i="184"/>
  <c r="AV33" i="184"/>
  <c r="AK33" i="184" s="1"/>
  <c r="AO33" i="184"/>
  <c r="AL33" i="184"/>
  <c r="AJ33" i="184"/>
  <c r="AH33" i="184"/>
  <c r="AG33" i="184"/>
  <c r="AF33" i="184"/>
  <c r="AE33" i="184"/>
  <c r="GK32" i="184"/>
  <c r="GF32" i="184"/>
  <c r="FV32" i="184"/>
  <c r="FS32" i="184"/>
  <c r="FM32" i="184"/>
  <c r="FI32" i="184"/>
  <c r="FH32" i="184"/>
  <c r="FC32" i="184"/>
  <c r="EL32" i="184" s="1"/>
  <c r="EZ32" i="184"/>
  <c r="DY32" i="184"/>
  <c r="DS32" i="184"/>
  <c r="DO32" i="184"/>
  <c r="DN32" i="184"/>
  <c r="DM32" i="184"/>
  <c r="DL32" i="184"/>
  <c r="DK32" i="184"/>
  <c r="DJ32" i="184"/>
  <c r="DI32" i="184"/>
  <c r="DH32" i="184"/>
  <c r="DG32" i="184"/>
  <c r="DF32" i="184"/>
  <c r="DE32" i="184"/>
  <c r="DD32" i="184"/>
  <c r="FD32" i="184" s="1"/>
  <c r="DC32" i="184"/>
  <c r="DB32" i="184"/>
  <c r="DA32" i="184"/>
  <c r="EE32" i="184" s="1"/>
  <c r="CZ32" i="184"/>
  <c r="CY32" i="184"/>
  <c r="CX32" i="184"/>
  <c r="FU32" i="184" s="1"/>
  <c r="CW32" i="184"/>
  <c r="CV32" i="184"/>
  <c r="DV32" i="184" s="1"/>
  <c r="CU32" i="184"/>
  <c r="EY32" i="184" s="1"/>
  <c r="CQ32" i="184"/>
  <c r="CP32" i="184"/>
  <c r="CK32" i="184" s="1"/>
  <c r="CO32" i="184"/>
  <c r="CN32" i="184"/>
  <c r="BQ32" i="184"/>
  <c r="AX32" i="184"/>
  <c r="AW32" i="184"/>
  <c r="AV32" i="184"/>
  <c r="AK32" i="184" s="1"/>
  <c r="AH32" i="184"/>
  <c r="AG32" i="184"/>
  <c r="AF32" i="184"/>
  <c r="AE32" i="184"/>
  <c r="GK31" i="184"/>
  <c r="GF31" i="184"/>
  <c r="FV31" i="184"/>
  <c r="FT31" i="184"/>
  <c r="FC31" i="184"/>
  <c r="FA31" i="184"/>
  <c r="EZ31" i="184"/>
  <c r="EY31" i="184"/>
  <c r="EX31" i="184"/>
  <c r="EM31" i="184"/>
  <c r="EQ31" i="184" s="1"/>
  <c r="EL31" i="184"/>
  <c r="EN31" i="184" s="1"/>
  <c r="ER31" i="184" s="1"/>
  <c r="EE31" i="184"/>
  <c r="EF31" i="184" s="1"/>
  <c r="EJ31" i="184" s="1"/>
  <c r="ED31" i="184"/>
  <c r="EC31" i="184"/>
  <c r="EB31" i="184"/>
  <c r="DY31" i="184"/>
  <c r="DW31" i="184"/>
  <c r="DS31" i="184"/>
  <c r="DO31" i="184"/>
  <c r="DN31" i="184"/>
  <c r="FI31" i="184" s="1"/>
  <c r="DM31" i="184"/>
  <c r="DL31" i="184"/>
  <c r="DK31" i="184"/>
  <c r="DJ31" i="184"/>
  <c r="DI31" i="184"/>
  <c r="DH31" i="184"/>
  <c r="FM31" i="184" s="1"/>
  <c r="DG31" i="184"/>
  <c r="CC31" i="184" s="1"/>
  <c r="DF31" i="184"/>
  <c r="EA31" i="184" s="1"/>
  <c r="DE31" i="184"/>
  <c r="FR31" i="184" s="1"/>
  <c r="DD31" i="184"/>
  <c r="FD31" i="184" s="1"/>
  <c r="DC31" i="184"/>
  <c r="FQ31" i="184" s="1"/>
  <c r="DB31" i="184"/>
  <c r="DA31" i="184"/>
  <c r="CZ31" i="184"/>
  <c r="CY31" i="184"/>
  <c r="CX31" i="184"/>
  <c r="CW31" i="184"/>
  <c r="CV31" i="184"/>
  <c r="CU31" i="184"/>
  <c r="CQ31" i="184"/>
  <c r="CP31" i="184"/>
  <c r="CK31" i="184" s="1"/>
  <c r="CO31" i="184"/>
  <c r="CN31" i="184"/>
  <c r="CL31" i="184"/>
  <c r="CA31" i="184"/>
  <c r="BQ31" i="184"/>
  <c r="BO31" i="184"/>
  <c r="AX31" i="184"/>
  <c r="AW31" i="184"/>
  <c r="AV31" i="184"/>
  <c r="AK31" i="184" s="1"/>
  <c r="AJ31" i="184" s="1"/>
  <c r="AO31" i="184"/>
  <c r="AH31" i="184"/>
  <c r="AG31" i="184"/>
  <c r="AF31" i="184"/>
  <c r="AE31" i="184"/>
  <c r="K31" i="184"/>
  <c r="GK30" i="184"/>
  <c r="GF30" i="184"/>
  <c r="FV30" i="184"/>
  <c r="FQ30" i="184"/>
  <c r="FM30" i="184"/>
  <c r="FI30" i="184"/>
  <c r="FH30" i="184"/>
  <c r="FC30" i="184"/>
  <c r="FB30" i="184"/>
  <c r="FA30" i="184"/>
  <c r="EZ30" i="184"/>
  <c r="EX30" i="184"/>
  <c r="EL30" i="184"/>
  <c r="ED30" i="184"/>
  <c r="EB30" i="184"/>
  <c r="DY30" i="184"/>
  <c r="DW30" i="184"/>
  <c r="DV30" i="184"/>
  <c r="DU30" i="184"/>
  <c r="DS30" i="184"/>
  <c r="DO30" i="184"/>
  <c r="DN30" i="184"/>
  <c r="DM30" i="184"/>
  <c r="DL30" i="184"/>
  <c r="DK30" i="184"/>
  <c r="DJ30" i="184"/>
  <c r="DI30" i="184"/>
  <c r="DH30" i="184"/>
  <c r="DG30" i="184"/>
  <c r="DF30" i="184"/>
  <c r="EC30" i="184" s="1"/>
  <c r="DE30" i="184"/>
  <c r="DD30" i="184"/>
  <c r="FD30" i="184" s="1"/>
  <c r="DC30" i="184"/>
  <c r="DB30" i="184"/>
  <c r="DA30" i="184"/>
  <c r="EE30" i="184" s="1"/>
  <c r="CZ30" i="184"/>
  <c r="CY30" i="184"/>
  <c r="CX30" i="184"/>
  <c r="FU30" i="184" s="1"/>
  <c r="CW30" i="184"/>
  <c r="CV30" i="184"/>
  <c r="CU30" i="184"/>
  <c r="EY30" i="184" s="1"/>
  <c r="CQ30" i="184"/>
  <c r="CP30" i="184"/>
  <c r="CK30" i="184" s="1"/>
  <c r="CO30" i="184"/>
  <c r="CN30" i="184"/>
  <c r="CM30" i="184"/>
  <c r="CC30" i="184"/>
  <c r="CA30" i="184"/>
  <c r="BQ30" i="184"/>
  <c r="AX30" i="184"/>
  <c r="AW30" i="184"/>
  <c r="AV30" i="184"/>
  <c r="AK30" i="184" s="1"/>
  <c r="AH30" i="184"/>
  <c r="AG30" i="184"/>
  <c r="AF30" i="184"/>
  <c r="AE30" i="184"/>
  <c r="GK29" i="184"/>
  <c r="GF29" i="184"/>
  <c r="FV29" i="184"/>
  <c r="FS29" i="184"/>
  <c r="FR29" i="184"/>
  <c r="FD29" i="184"/>
  <c r="FC29" i="184"/>
  <c r="EZ29" i="184"/>
  <c r="EE29" i="184" s="1"/>
  <c r="EY29" i="184"/>
  <c r="EX29" i="184"/>
  <c r="EM29" i="184"/>
  <c r="EQ29" i="184" s="1"/>
  <c r="EL29" i="184"/>
  <c r="EN29" i="184" s="1"/>
  <c r="ER29" i="184" s="1"/>
  <c r="EC29" i="184"/>
  <c r="EB29" i="184"/>
  <c r="DY29" i="184"/>
  <c r="DW29" i="184"/>
  <c r="DV29" i="184"/>
  <c r="DU29" i="184"/>
  <c r="DS29" i="184"/>
  <c r="DO29" i="184"/>
  <c r="DN29" i="184"/>
  <c r="FI29" i="184" s="1"/>
  <c r="DM29" i="184"/>
  <c r="DL29" i="184"/>
  <c r="DK29" i="184"/>
  <c r="DJ29" i="184"/>
  <c r="DI29" i="184"/>
  <c r="DH29" i="184"/>
  <c r="FM29" i="184" s="1"/>
  <c r="DG29" i="184"/>
  <c r="DF29" i="184"/>
  <c r="EA29" i="184" s="1"/>
  <c r="DE29" i="184"/>
  <c r="FB29" i="184" s="1"/>
  <c r="DD29" i="184"/>
  <c r="DC29" i="184"/>
  <c r="FQ29" i="184" s="1"/>
  <c r="DB29" i="184"/>
  <c r="DA29" i="184"/>
  <c r="CZ29" i="184"/>
  <c r="CY29" i="184"/>
  <c r="CX29" i="184"/>
  <c r="CW29" i="184"/>
  <c r="CV29" i="184"/>
  <c r="CU29" i="184"/>
  <c r="CQ29" i="184"/>
  <c r="CP29" i="184"/>
  <c r="CK29" i="184" s="1"/>
  <c r="CO29" i="184"/>
  <c r="CN29" i="184"/>
  <c r="CC29" i="184"/>
  <c r="CA29" i="184"/>
  <c r="BQ29" i="184"/>
  <c r="BO29" i="184"/>
  <c r="AX29" i="184"/>
  <c r="AW29" i="184"/>
  <c r="AV29" i="184"/>
  <c r="AK29" i="184" s="1"/>
  <c r="AH29" i="184"/>
  <c r="AG29" i="184"/>
  <c r="AF29" i="184"/>
  <c r="AE29" i="184"/>
  <c r="GK28" i="184"/>
  <c r="GF28" i="184"/>
  <c r="FV28" i="184"/>
  <c r="FT28" i="184"/>
  <c r="FS28" i="184"/>
  <c r="FR28" i="184"/>
  <c r="FM28" i="184"/>
  <c r="FC28" i="184"/>
  <c r="FA28" i="184"/>
  <c r="EZ28" i="184"/>
  <c r="EM28" i="184"/>
  <c r="EQ28" i="184" s="1"/>
  <c r="CI28" i="184" s="1"/>
  <c r="EE28" i="184"/>
  <c r="EF28" i="184" s="1"/>
  <c r="EJ28" i="184" s="1"/>
  <c r="EC28" i="184"/>
  <c r="EB28" i="184"/>
  <c r="DY28" i="184"/>
  <c r="DW28" i="184"/>
  <c r="DV28" i="184"/>
  <c r="DU28" i="184"/>
  <c r="DS28" i="184"/>
  <c r="DO28" i="184"/>
  <c r="DN28" i="184"/>
  <c r="FI28" i="184" s="1"/>
  <c r="DM28" i="184"/>
  <c r="DL28" i="184"/>
  <c r="DK28" i="184"/>
  <c r="EL28" i="184" s="1"/>
  <c r="EN28" i="184" s="1"/>
  <c r="ER28" i="184" s="1"/>
  <c r="DJ28" i="184"/>
  <c r="DI28" i="184"/>
  <c r="DH28" i="184"/>
  <c r="DG28" i="184"/>
  <c r="DF28" i="184"/>
  <c r="ED28" i="184" s="1"/>
  <c r="DE28" i="184"/>
  <c r="CC28" i="184" s="1"/>
  <c r="DD28" i="184"/>
  <c r="FD28" i="184" s="1"/>
  <c r="DC28" i="184"/>
  <c r="DB28" i="184"/>
  <c r="DA28" i="184"/>
  <c r="CZ28" i="184"/>
  <c r="CY28" i="184"/>
  <c r="CX28" i="184"/>
  <c r="CW28" i="184"/>
  <c r="BQ28" i="184" s="1"/>
  <c r="CV28" i="184"/>
  <c r="CU28" i="184"/>
  <c r="FQ28" i="184" s="1"/>
  <c r="CQ28" i="184"/>
  <c r="CP28" i="184"/>
  <c r="CO28" i="184"/>
  <c r="CN28" i="184"/>
  <c r="CK28" i="184"/>
  <c r="BO28" i="184"/>
  <c r="AX28" i="184"/>
  <c r="AW28" i="184"/>
  <c r="AV28" i="184"/>
  <c r="AK28" i="184" s="1"/>
  <c r="AJ28" i="184" s="1"/>
  <c r="AO28" i="184"/>
  <c r="AH28" i="184"/>
  <c r="AG28" i="184"/>
  <c r="AF28" i="184"/>
  <c r="AE28" i="184"/>
  <c r="GK27" i="184"/>
  <c r="GF27" i="184"/>
  <c r="FV27" i="184"/>
  <c r="FM27" i="184"/>
  <c r="FP27" i="184" s="1"/>
  <c r="FD27" i="184"/>
  <c r="FC27" i="184"/>
  <c r="FB27" i="184"/>
  <c r="FA27" i="184"/>
  <c r="EZ27" i="184"/>
  <c r="EL27" i="184"/>
  <c r="ED27" i="184"/>
  <c r="EB27" i="184"/>
  <c r="EA27" i="184"/>
  <c r="DY27" i="184"/>
  <c r="DS27" i="184"/>
  <c r="DO27" i="184"/>
  <c r="DN27" i="184"/>
  <c r="FI27" i="184" s="1"/>
  <c r="DM27" i="184"/>
  <c r="DL27" i="184"/>
  <c r="DK27" i="184"/>
  <c r="DJ27" i="184"/>
  <c r="DI27" i="184"/>
  <c r="DH27" i="184"/>
  <c r="DG27" i="184"/>
  <c r="DF27" i="184"/>
  <c r="EC27" i="184" s="1"/>
  <c r="DE27" i="184"/>
  <c r="DD27" i="184"/>
  <c r="DC27" i="184"/>
  <c r="DT27" i="184" s="1"/>
  <c r="DB27" i="184"/>
  <c r="DA27" i="184"/>
  <c r="EE27" i="184" s="1"/>
  <c r="CZ27" i="184"/>
  <c r="CY27" i="184"/>
  <c r="CX27" i="184"/>
  <c r="FU27" i="184" s="1"/>
  <c r="CW27" i="184"/>
  <c r="CV27" i="184"/>
  <c r="DX27" i="184" s="1"/>
  <c r="CU27" i="184"/>
  <c r="CQ27" i="184"/>
  <c r="CP27" i="184"/>
  <c r="CK27" i="184" s="1"/>
  <c r="CO27" i="184"/>
  <c r="CN27" i="184"/>
  <c r="CM27" i="184"/>
  <c r="CC27" i="184"/>
  <c r="AX27" i="184"/>
  <c r="AW27" i="184"/>
  <c r="AV27" i="184"/>
  <c r="AL27" i="184"/>
  <c r="AK27" i="184"/>
  <c r="AM27" i="184" s="1"/>
  <c r="AH27" i="184"/>
  <c r="AG27" i="184"/>
  <c r="AF27" i="184"/>
  <c r="AE27" i="184"/>
  <c r="K27" i="184"/>
  <c r="J27" i="184"/>
  <c r="I27" i="184"/>
  <c r="H27" i="184"/>
  <c r="G27" i="184"/>
  <c r="F27" i="184"/>
  <c r="GK26" i="184"/>
  <c r="GF26" i="184"/>
  <c r="FV26" i="184"/>
  <c r="FU26" i="184"/>
  <c r="FT26" i="184"/>
  <c r="FS26" i="184"/>
  <c r="FM26" i="184"/>
  <c r="FL26" i="184"/>
  <c r="Z26" i="184" s="1"/>
  <c r="FK26" i="184"/>
  <c r="FJ26" i="184"/>
  <c r="FE26" i="184"/>
  <c r="FF26" i="184" s="1"/>
  <c r="FG26" i="184" s="1"/>
  <c r="Y26" i="184" s="1"/>
  <c r="FD26" i="184"/>
  <c r="FC26" i="184"/>
  <c r="FA26" i="184"/>
  <c r="EZ26" i="184"/>
  <c r="EY26" i="184"/>
  <c r="EX26" i="184"/>
  <c r="ER26" i="184"/>
  <c r="EL26" i="184"/>
  <c r="EN26" i="184" s="1"/>
  <c r="EC26" i="184"/>
  <c r="EB26" i="184"/>
  <c r="DY26" i="184"/>
  <c r="DW26" i="184"/>
  <c r="DS26" i="184"/>
  <c r="DO26" i="184"/>
  <c r="DN26" i="184"/>
  <c r="FI26" i="184" s="1"/>
  <c r="DM26" i="184"/>
  <c r="DL26" i="184"/>
  <c r="DK26" i="184"/>
  <c r="DJ26" i="184"/>
  <c r="DI26" i="184"/>
  <c r="DH26" i="184"/>
  <c r="DG26" i="184"/>
  <c r="DF26" i="184"/>
  <c r="EA26" i="184" s="1"/>
  <c r="DE26" i="184"/>
  <c r="DD26" i="184"/>
  <c r="DC26" i="184"/>
  <c r="DB26" i="184"/>
  <c r="DA26" i="184"/>
  <c r="EE26" i="184" s="1"/>
  <c r="CZ26" i="184"/>
  <c r="CY26" i="184"/>
  <c r="CX26" i="184"/>
  <c r="FH26" i="184" s="1"/>
  <c r="CW26" i="184"/>
  <c r="CV26" i="184"/>
  <c r="DV26" i="184" s="1"/>
  <c r="CU26" i="184"/>
  <c r="CQ26" i="184"/>
  <c r="CP26" i="184"/>
  <c r="CK26" i="184" s="1"/>
  <c r="CO26" i="184"/>
  <c r="CN26" i="184"/>
  <c r="CC26" i="184"/>
  <c r="CA26" i="184"/>
  <c r="BQ26" i="184"/>
  <c r="BO26" i="184"/>
  <c r="AX26" i="184"/>
  <c r="AW26" i="184"/>
  <c r="AV26" i="184"/>
  <c r="AH26" i="184"/>
  <c r="AG26" i="184"/>
  <c r="AF26" i="184"/>
  <c r="AE26" i="184"/>
  <c r="GK25" i="184"/>
  <c r="GF25" i="184"/>
  <c r="FV25" i="184"/>
  <c r="FS25" i="184"/>
  <c r="FR25" i="184"/>
  <c r="FQ25" i="184"/>
  <c r="FC25" i="184"/>
  <c r="FB25" i="184"/>
  <c r="FA25" i="184"/>
  <c r="EZ25" i="184"/>
  <c r="EL25" i="184"/>
  <c r="EE25" i="184"/>
  <c r="DY25" i="184"/>
  <c r="DV25" i="184"/>
  <c r="DU25" i="184"/>
  <c r="DS25" i="184"/>
  <c r="DO25" i="184"/>
  <c r="DN25" i="184"/>
  <c r="FI25" i="184" s="1"/>
  <c r="DM25" i="184"/>
  <c r="DL25" i="184"/>
  <c r="DK25" i="184"/>
  <c r="DJ25" i="184"/>
  <c r="DI25" i="184"/>
  <c r="FT25" i="184" s="1"/>
  <c r="DH25" i="184"/>
  <c r="FM25" i="184" s="1"/>
  <c r="DG25" i="184"/>
  <c r="DF25" i="184"/>
  <c r="ED25" i="184" s="1"/>
  <c r="DE25" i="184"/>
  <c r="DD25" i="184"/>
  <c r="FD25" i="184" s="1"/>
  <c r="DC25" i="184"/>
  <c r="DB25" i="184"/>
  <c r="DA25" i="184"/>
  <c r="CZ25" i="184"/>
  <c r="CY25" i="184"/>
  <c r="CX25" i="184"/>
  <c r="CW25" i="184"/>
  <c r="CV25" i="184"/>
  <c r="CU25" i="184"/>
  <c r="EY25" i="184" s="1"/>
  <c r="CQ25" i="184"/>
  <c r="CP25" i="184"/>
  <c r="CK25" i="184" s="1"/>
  <c r="CO25" i="184"/>
  <c r="CN25" i="184"/>
  <c r="CC25" i="184"/>
  <c r="BQ25" i="184"/>
  <c r="BO25" i="184"/>
  <c r="AX25" i="184"/>
  <c r="AW25" i="184"/>
  <c r="AV25" i="184"/>
  <c r="AK25" i="184" s="1"/>
  <c r="AO25" i="184" s="1"/>
  <c r="AH25" i="184"/>
  <c r="AG25" i="184"/>
  <c r="AF25" i="184"/>
  <c r="AE25" i="184"/>
  <c r="GK24" i="184"/>
  <c r="GF24" i="184"/>
  <c r="FT24" i="184"/>
  <c r="FS24" i="184"/>
  <c r="FM24" i="184"/>
  <c r="FJ24" i="184"/>
  <c r="FK24" i="184" s="1"/>
  <c r="FL24" i="184" s="1"/>
  <c r="Z24" i="184" s="1"/>
  <c r="FI24" i="184"/>
  <c r="FD24" i="184"/>
  <c r="FC24" i="184"/>
  <c r="EL24" i="184" s="1"/>
  <c r="FA24" i="184"/>
  <c r="EZ24" i="184"/>
  <c r="EY24" i="184"/>
  <c r="EX24" i="184"/>
  <c r="EG24" i="184"/>
  <c r="EK24" i="184" s="1"/>
  <c r="DY24" i="184"/>
  <c r="DS24" i="184"/>
  <c r="DO24" i="184"/>
  <c r="DN24" i="184"/>
  <c r="DM24" i="184"/>
  <c r="DL24" i="184"/>
  <c r="DK24" i="184"/>
  <c r="DJ24" i="184"/>
  <c r="DI24" i="184"/>
  <c r="DH24" i="184"/>
  <c r="FV24" i="184" s="1"/>
  <c r="DG24" i="184"/>
  <c r="CC24" i="184" s="1"/>
  <c r="DF24" i="184"/>
  <c r="EA24" i="184" s="1"/>
  <c r="DE24" i="184"/>
  <c r="FR24" i="184" s="1"/>
  <c r="DD24" i="184"/>
  <c r="DC24" i="184"/>
  <c r="DB24" i="184"/>
  <c r="DA24" i="184"/>
  <c r="EE24" i="184" s="1"/>
  <c r="EF24" i="184" s="1"/>
  <c r="EJ24" i="184" s="1"/>
  <c r="CH24" i="184" s="1"/>
  <c r="CZ24" i="184"/>
  <c r="CY24" i="184"/>
  <c r="CX24" i="184"/>
  <c r="CW24" i="184"/>
  <c r="CV24" i="184"/>
  <c r="CU24" i="184"/>
  <c r="CQ24" i="184"/>
  <c r="CP24" i="184"/>
  <c r="CK24" i="184" s="1"/>
  <c r="CO24" i="184"/>
  <c r="CN24" i="184"/>
  <c r="CA24" i="184"/>
  <c r="BQ24" i="184"/>
  <c r="BO24" i="184"/>
  <c r="AX24" i="184"/>
  <c r="AW24" i="184"/>
  <c r="AV24" i="184"/>
  <c r="AH24" i="184"/>
  <c r="AG24" i="184"/>
  <c r="AF24" i="184"/>
  <c r="AE24" i="184"/>
  <c r="GK23" i="184"/>
  <c r="GF23" i="184"/>
  <c r="FV23" i="184"/>
  <c r="FU23" i="184"/>
  <c r="FQ23" i="184"/>
  <c r="FK23" i="184"/>
  <c r="FL23" i="184" s="1"/>
  <c r="Z23" i="184" s="1"/>
  <c r="FC23" i="184"/>
  <c r="EZ23" i="184"/>
  <c r="EN23" i="184"/>
  <c r="ER23" i="184" s="1"/>
  <c r="EL23" i="184"/>
  <c r="EM23" i="184" s="1"/>
  <c r="EQ23" i="184" s="1"/>
  <c r="EE23" i="184"/>
  <c r="DY23" i="184"/>
  <c r="DU23" i="184"/>
  <c r="DS23" i="184"/>
  <c r="DO23" i="184"/>
  <c r="FJ23" i="184" s="1"/>
  <c r="DN23" i="184"/>
  <c r="FI23" i="184" s="1"/>
  <c r="DM23" i="184"/>
  <c r="DL23" i="184"/>
  <c r="DK23" i="184"/>
  <c r="DJ23" i="184"/>
  <c r="DI23" i="184"/>
  <c r="FT23" i="184" s="1"/>
  <c r="DH23" i="184"/>
  <c r="FM23" i="184" s="1"/>
  <c r="DG23" i="184"/>
  <c r="DF23" i="184"/>
  <c r="DE23" i="184"/>
  <c r="DD23" i="184"/>
  <c r="FD23" i="184" s="1"/>
  <c r="DC23" i="184"/>
  <c r="DB23" i="184"/>
  <c r="DA23" i="184"/>
  <c r="CZ23" i="184"/>
  <c r="CY23" i="184"/>
  <c r="FS23" i="184" s="1"/>
  <c r="CX23" i="184"/>
  <c r="FH23" i="184" s="1"/>
  <c r="CW23" i="184"/>
  <c r="CV23" i="184"/>
  <c r="CU23" i="184"/>
  <c r="EY23" i="184" s="1"/>
  <c r="CQ23" i="184"/>
  <c r="CP23" i="184"/>
  <c r="CK23" i="184" s="1"/>
  <c r="CO23" i="184"/>
  <c r="CN23" i="184"/>
  <c r="BQ23" i="184"/>
  <c r="BO23" i="184"/>
  <c r="AX23" i="184"/>
  <c r="AW23" i="184"/>
  <c r="AV23" i="184"/>
  <c r="AK23" i="184" s="1"/>
  <c r="AN23" i="184" s="1"/>
  <c r="AO23" i="184"/>
  <c r="AL23" i="184"/>
  <c r="AH23" i="184"/>
  <c r="AG23" i="184"/>
  <c r="AF23" i="184"/>
  <c r="AE23" i="184"/>
  <c r="GK22" i="184"/>
  <c r="GF22" i="184"/>
  <c r="FT22" i="184"/>
  <c r="FS22" i="184"/>
  <c r="FQ22" i="184"/>
  <c r="FM22" i="184"/>
  <c r="FJ22" i="184"/>
  <c r="FK22" i="184" s="1"/>
  <c r="FL22" i="184" s="1"/>
  <c r="Z22" i="184" s="1"/>
  <c r="FI22" i="184"/>
  <c r="FC22" i="184"/>
  <c r="EL22" i="184" s="1"/>
  <c r="FA22" i="184"/>
  <c r="EZ22" i="184"/>
  <c r="EY22" i="184"/>
  <c r="EX22" i="184"/>
  <c r="EB22" i="184"/>
  <c r="DY22" i="184"/>
  <c r="DS22" i="184"/>
  <c r="DO22" i="184"/>
  <c r="DN22" i="184"/>
  <c r="DM22" i="184"/>
  <c r="DL22" i="184"/>
  <c r="DK22" i="184"/>
  <c r="DJ22" i="184"/>
  <c r="DI22" i="184"/>
  <c r="DH22" i="184"/>
  <c r="FV22" i="184" s="1"/>
  <c r="DG22" i="184"/>
  <c r="CC22" i="184" s="1"/>
  <c r="DF22" i="184"/>
  <c r="EA22" i="184" s="1"/>
  <c r="DE22" i="184"/>
  <c r="DD22" i="184"/>
  <c r="FD22" i="184" s="1"/>
  <c r="DC22" i="184"/>
  <c r="DB22" i="184"/>
  <c r="DA22" i="184"/>
  <c r="EE22" i="184" s="1"/>
  <c r="CZ22" i="184"/>
  <c r="CY22" i="184"/>
  <c r="CX22" i="184"/>
  <c r="CW22" i="184"/>
  <c r="BQ22" i="184" s="1"/>
  <c r="CV22" i="184"/>
  <c r="DW22" i="184" s="1"/>
  <c r="CU22" i="184"/>
  <c r="CQ22" i="184"/>
  <c r="CP22" i="184"/>
  <c r="CK22" i="184" s="1"/>
  <c r="CO22" i="184"/>
  <c r="CN22" i="184"/>
  <c r="CA22" i="184"/>
  <c r="BO22" i="184"/>
  <c r="AX22" i="184"/>
  <c r="AW22" i="184"/>
  <c r="AV22" i="184"/>
  <c r="AK22" i="184" s="1"/>
  <c r="AH22" i="184"/>
  <c r="AG22" i="184"/>
  <c r="AF22" i="184"/>
  <c r="AE22" i="184"/>
  <c r="GK21" i="184"/>
  <c r="GF21" i="184"/>
  <c r="FE21" i="184"/>
  <c r="FF21" i="184" s="1"/>
  <c r="FG21" i="184" s="1"/>
  <c r="Y21" i="184" s="1"/>
  <c r="FD21" i="184"/>
  <c r="FC21" i="184"/>
  <c r="FB21" i="184"/>
  <c r="EZ21" i="184"/>
  <c r="EL21" i="184"/>
  <c r="EN21" i="184" s="1"/>
  <c r="ER21" i="184" s="1"/>
  <c r="EE21" i="184"/>
  <c r="ED21" i="184"/>
  <c r="I21" i="184" s="1"/>
  <c r="EC21" i="184"/>
  <c r="DY21" i="184"/>
  <c r="DX21" i="184"/>
  <c r="H21" i="184" s="1"/>
  <c r="DV21" i="184"/>
  <c r="DU21" i="184"/>
  <c r="DS21" i="184"/>
  <c r="DO21" i="184"/>
  <c r="DN21" i="184"/>
  <c r="FI21" i="184" s="1"/>
  <c r="FJ21" i="184" s="1"/>
  <c r="FK21" i="184" s="1"/>
  <c r="FL21" i="184" s="1"/>
  <c r="Z21" i="184" s="1"/>
  <c r="DM21" i="184"/>
  <c r="DL21" i="184"/>
  <c r="DK21" i="184"/>
  <c r="DJ21" i="184"/>
  <c r="DI21" i="184"/>
  <c r="FT21" i="184" s="1"/>
  <c r="DH21" i="184"/>
  <c r="DG21" i="184"/>
  <c r="DF21" i="184"/>
  <c r="EA21" i="184" s="1"/>
  <c r="DE21" i="184"/>
  <c r="FA21" i="184" s="1"/>
  <c r="DD21" i="184"/>
  <c r="DC21" i="184"/>
  <c r="FQ21" i="184" s="1"/>
  <c r="DB21" i="184"/>
  <c r="DA21" i="184"/>
  <c r="CZ21" i="184"/>
  <c r="CY21" i="184"/>
  <c r="FS21" i="184" s="1"/>
  <c r="CX21" i="184"/>
  <c r="FH21" i="184" s="1"/>
  <c r="CW21" i="184"/>
  <c r="BQ21" i="184" s="1"/>
  <c r="CV21" i="184"/>
  <c r="CU21" i="184"/>
  <c r="EY21" i="184" s="1"/>
  <c r="CQ21" i="184"/>
  <c r="CP21" i="184"/>
  <c r="CK21" i="184" s="1"/>
  <c r="CO21" i="184"/>
  <c r="CN21" i="184"/>
  <c r="CC21" i="184"/>
  <c r="BO21" i="184"/>
  <c r="AX21" i="184"/>
  <c r="AW21" i="184"/>
  <c r="AV21" i="184"/>
  <c r="AK21" i="184"/>
  <c r="AH21" i="184"/>
  <c r="AG21" i="184"/>
  <c r="AF21" i="184"/>
  <c r="AE21" i="184"/>
  <c r="K21" i="184"/>
  <c r="AS21" i="184" s="1"/>
  <c r="G21" i="184"/>
  <c r="GK20" i="184"/>
  <c r="GF20" i="184"/>
  <c r="FT20" i="184"/>
  <c r="FS20" i="184"/>
  <c r="FM20" i="184"/>
  <c r="FC20" i="184"/>
  <c r="EL20" i="184" s="1"/>
  <c r="EZ20" i="184"/>
  <c r="EX20" i="184"/>
  <c r="EG20" i="184"/>
  <c r="EK20" i="184" s="1"/>
  <c r="EE20" i="184"/>
  <c r="EF20" i="184" s="1"/>
  <c r="EJ20" i="184" s="1"/>
  <c r="EC20" i="184"/>
  <c r="FP20" i="184" s="1"/>
  <c r="EB20" i="184"/>
  <c r="DY20" i="184"/>
  <c r="DV20" i="184"/>
  <c r="DU20" i="184"/>
  <c r="DS20" i="184"/>
  <c r="DO20" i="184"/>
  <c r="DN20" i="184"/>
  <c r="FI20" i="184" s="1"/>
  <c r="DM20" i="184"/>
  <c r="DL20" i="184"/>
  <c r="DK20" i="184"/>
  <c r="DJ20" i="184"/>
  <c r="DI20" i="184"/>
  <c r="DH20" i="184"/>
  <c r="FV20" i="184" s="1"/>
  <c r="DG20" i="184"/>
  <c r="DF20" i="184"/>
  <c r="ED20" i="184" s="1"/>
  <c r="DE20" i="184"/>
  <c r="CC20" i="184" s="1"/>
  <c r="DD20" i="184"/>
  <c r="FD20" i="184" s="1"/>
  <c r="DC20" i="184"/>
  <c r="DB20" i="184"/>
  <c r="DA20" i="184"/>
  <c r="CZ20" i="184"/>
  <c r="CY20" i="184"/>
  <c r="CX20" i="184"/>
  <c r="FU20" i="184" s="1"/>
  <c r="CW20" i="184"/>
  <c r="CV20" i="184"/>
  <c r="DX20" i="184" s="1"/>
  <c r="CU20" i="184"/>
  <c r="EY20" i="184" s="1"/>
  <c r="CQ20" i="184"/>
  <c r="CP20" i="184"/>
  <c r="CK20" i="184" s="1"/>
  <c r="CO20" i="184"/>
  <c r="CN20" i="184"/>
  <c r="CL20" i="184"/>
  <c r="BQ20" i="184"/>
  <c r="BO20" i="184"/>
  <c r="AX20" i="184"/>
  <c r="AW20" i="184"/>
  <c r="AV20" i="184"/>
  <c r="AK20" i="184" s="1"/>
  <c r="AN20" i="184"/>
  <c r="AH20" i="184"/>
  <c r="AG20" i="184"/>
  <c r="AF20" i="184"/>
  <c r="AE20" i="184"/>
  <c r="GK19" i="184"/>
  <c r="GF19" i="184"/>
  <c r="FU19" i="184"/>
  <c r="FS19" i="184"/>
  <c r="FJ19" i="184"/>
  <c r="FK19" i="184" s="1"/>
  <c r="FL19" i="184" s="1"/>
  <c r="Z19" i="184" s="1"/>
  <c r="FC19" i="184"/>
  <c r="EL19" i="184" s="1"/>
  <c r="EZ19" i="184"/>
  <c r="EE19" i="184" s="1"/>
  <c r="ED19" i="184"/>
  <c r="I19" i="184" s="1"/>
  <c r="EC19" i="184"/>
  <c r="FP19" i="184" s="1"/>
  <c r="EB19" i="184"/>
  <c r="DY19" i="184"/>
  <c r="DX19" i="184"/>
  <c r="H19" i="184" s="1"/>
  <c r="DW19" i="184"/>
  <c r="DS19" i="184"/>
  <c r="DO19" i="184"/>
  <c r="DN19" i="184"/>
  <c r="FI19" i="184" s="1"/>
  <c r="DM19" i="184"/>
  <c r="DL19" i="184"/>
  <c r="DK19" i="184"/>
  <c r="DJ19" i="184"/>
  <c r="DI19" i="184"/>
  <c r="FT19" i="184" s="1"/>
  <c r="DH19" i="184"/>
  <c r="FM19" i="184" s="1"/>
  <c r="DG19" i="184"/>
  <c r="DF19" i="184"/>
  <c r="EA19" i="184" s="1"/>
  <c r="DE19" i="184"/>
  <c r="CC19" i="184" s="1"/>
  <c r="DD19" i="184"/>
  <c r="FD19" i="184" s="1"/>
  <c r="DC19" i="184"/>
  <c r="DT19" i="184" s="1"/>
  <c r="DB19" i="184"/>
  <c r="DA19" i="184"/>
  <c r="CZ19" i="184"/>
  <c r="CY19" i="184"/>
  <c r="CX19" i="184"/>
  <c r="FH19" i="184" s="1"/>
  <c r="CW19" i="184"/>
  <c r="CV19" i="184"/>
  <c r="CU19" i="184"/>
  <c r="FQ19" i="184" s="1"/>
  <c r="CQ19" i="184"/>
  <c r="CP19" i="184"/>
  <c r="CK19" i="184" s="1"/>
  <c r="CO19" i="184"/>
  <c r="CN19" i="184"/>
  <c r="BQ19" i="184"/>
  <c r="BO19" i="184"/>
  <c r="AX19" i="184"/>
  <c r="AW19" i="184"/>
  <c r="AV19" i="184"/>
  <c r="AK19" i="184" s="1"/>
  <c r="AN19" i="184"/>
  <c r="AH19" i="184"/>
  <c r="AG19" i="184"/>
  <c r="AF19" i="184"/>
  <c r="AE19" i="184"/>
  <c r="K19" i="184"/>
  <c r="J19" i="184"/>
  <c r="GK18" i="184"/>
  <c r="GF18" i="184"/>
  <c r="FT18" i="184"/>
  <c r="FS18" i="184"/>
  <c r="FN18" i="184"/>
  <c r="FM18" i="184"/>
  <c r="FD18" i="184"/>
  <c r="FC18" i="184"/>
  <c r="EL18" i="184" s="1"/>
  <c r="FB18" i="184"/>
  <c r="FA18" i="184"/>
  <c r="EZ18" i="184"/>
  <c r="EE18" i="184" s="1"/>
  <c r="EG18" i="184" s="1"/>
  <c r="EK18" i="184" s="1"/>
  <c r="EY18" i="184"/>
  <c r="EF18" i="184"/>
  <c r="EJ18" i="184" s="1"/>
  <c r="CH18" i="184" s="1"/>
  <c r="ED18" i="184"/>
  <c r="J18" i="184" s="1"/>
  <c r="EC18" i="184"/>
  <c r="EB18" i="184"/>
  <c r="EA18" i="184"/>
  <c r="DY18" i="184"/>
  <c r="DW18" i="184"/>
  <c r="DS18" i="184"/>
  <c r="DP18" i="184"/>
  <c r="DO18" i="184"/>
  <c r="DN18" i="184"/>
  <c r="FI18" i="184" s="1"/>
  <c r="DM18" i="184"/>
  <c r="DZ18" i="184" s="1"/>
  <c r="DL18" i="184"/>
  <c r="DK18" i="184"/>
  <c r="DJ18" i="184"/>
  <c r="DI18" i="184"/>
  <c r="DH18" i="184"/>
  <c r="FV18" i="184" s="1"/>
  <c r="DG18" i="184"/>
  <c r="DF18" i="184"/>
  <c r="DE18" i="184"/>
  <c r="DD18" i="184"/>
  <c r="DC18" i="184"/>
  <c r="DT18" i="184" s="1"/>
  <c r="DB18" i="184"/>
  <c r="DA18" i="184"/>
  <c r="CZ18" i="184"/>
  <c r="CY18" i="184"/>
  <c r="CX18" i="184"/>
  <c r="CW18" i="184"/>
  <c r="CV18" i="184"/>
  <c r="DX18" i="184" s="1"/>
  <c r="H18" i="184" s="1"/>
  <c r="CU18" i="184"/>
  <c r="FQ18" i="184" s="1"/>
  <c r="CQ18" i="184"/>
  <c r="CP18" i="184"/>
  <c r="CK18" i="184" s="1"/>
  <c r="CO18" i="184"/>
  <c r="CN18" i="184"/>
  <c r="CC18" i="184"/>
  <c r="CA18" i="184"/>
  <c r="BQ18" i="184"/>
  <c r="BO18" i="184"/>
  <c r="AX18" i="184"/>
  <c r="AW18" i="184"/>
  <c r="AK18" i="184" s="1"/>
  <c r="AV18" i="184"/>
  <c r="AH18" i="184"/>
  <c r="AG18" i="184"/>
  <c r="AF18" i="184"/>
  <c r="AE18" i="184"/>
  <c r="K18" i="184"/>
  <c r="I18" i="184"/>
  <c r="G18" i="184"/>
  <c r="F18" i="184"/>
  <c r="GK17" i="184"/>
  <c r="GF17" i="184"/>
  <c r="FV17" i="184"/>
  <c r="FU17" i="184"/>
  <c r="FQ17" i="184"/>
  <c r="FM17" i="184"/>
  <c r="FC17" i="184"/>
  <c r="EZ17" i="184"/>
  <c r="EE17" i="184" s="1"/>
  <c r="EF17" i="184" s="1"/>
  <c r="EJ17" i="184" s="1"/>
  <c r="EY17" i="184"/>
  <c r="EX17" i="184"/>
  <c r="EM17" i="184"/>
  <c r="EQ17" i="184" s="1"/>
  <c r="EL17" i="184"/>
  <c r="EN17" i="184" s="1"/>
  <c r="ER17" i="184" s="1"/>
  <c r="EG17" i="184"/>
  <c r="EK17" i="184" s="1"/>
  <c r="EV17" i="184" s="1"/>
  <c r="CJ17" i="184" s="1"/>
  <c r="DY17" i="184"/>
  <c r="DX17" i="184"/>
  <c r="G17" i="184" s="1"/>
  <c r="DW17" i="184"/>
  <c r="DV17" i="184"/>
  <c r="DU17" i="184"/>
  <c r="DT17" i="184"/>
  <c r="DS17" i="184"/>
  <c r="DP17" i="184"/>
  <c r="DO17" i="184"/>
  <c r="DN17" i="184"/>
  <c r="FI17" i="184" s="1"/>
  <c r="DM17" i="184"/>
  <c r="DL17" i="184"/>
  <c r="DK17" i="184"/>
  <c r="DJ17" i="184"/>
  <c r="DI17" i="184"/>
  <c r="FT17" i="184" s="1"/>
  <c r="DH17" i="184"/>
  <c r="DG17" i="184"/>
  <c r="DF17" i="184"/>
  <c r="DE17" i="184"/>
  <c r="FR17" i="184" s="1"/>
  <c r="DD17" i="184"/>
  <c r="FD17" i="184" s="1"/>
  <c r="DC17" i="184"/>
  <c r="FO17" i="184" s="1"/>
  <c r="DB17" i="184"/>
  <c r="DA17" i="184"/>
  <c r="CZ17" i="184"/>
  <c r="CY17" i="184"/>
  <c r="CX17" i="184"/>
  <c r="FH17" i="184" s="1"/>
  <c r="CW17" i="184"/>
  <c r="CV17" i="184"/>
  <c r="CU17" i="184"/>
  <c r="CQ17" i="184"/>
  <c r="CP17" i="184"/>
  <c r="CK17" i="184" s="1"/>
  <c r="CO17" i="184"/>
  <c r="CN17" i="184"/>
  <c r="CH17" i="184"/>
  <c r="BO17" i="184"/>
  <c r="AX17" i="184"/>
  <c r="AW17" i="184"/>
  <c r="AV17" i="184"/>
  <c r="AK17" i="184" s="1"/>
  <c r="AL17" i="184" s="1"/>
  <c r="AO17" i="184"/>
  <c r="AN17" i="184"/>
  <c r="AH17" i="184"/>
  <c r="AG17" i="184"/>
  <c r="AF17" i="184"/>
  <c r="AE17" i="184"/>
  <c r="H17" i="184"/>
  <c r="F17" i="184"/>
  <c r="GK16" i="184"/>
  <c r="GF16" i="184"/>
  <c r="FU16" i="184"/>
  <c r="FT16" i="184"/>
  <c r="FN16" i="184"/>
  <c r="FM16" i="184"/>
  <c r="FE16" i="184"/>
  <c r="FF16" i="184" s="1"/>
  <c r="FG16" i="184" s="1"/>
  <c r="Y16" i="184" s="1"/>
  <c r="FD16" i="184"/>
  <c r="FC16" i="184"/>
  <c r="EL16" i="184" s="1"/>
  <c r="FB16" i="184"/>
  <c r="EZ16" i="184"/>
  <c r="EY16" i="184"/>
  <c r="EX16" i="184"/>
  <c r="EE16" i="184"/>
  <c r="ED16" i="184"/>
  <c r="I16" i="184" s="1"/>
  <c r="EC16" i="184"/>
  <c r="DY16" i="184"/>
  <c r="DX16" i="184"/>
  <c r="H16" i="184" s="1"/>
  <c r="DV16" i="184"/>
  <c r="DS16" i="184"/>
  <c r="DP16" i="184"/>
  <c r="DO16" i="184"/>
  <c r="DN16" i="184"/>
  <c r="FI16" i="184" s="1"/>
  <c r="DM16" i="184"/>
  <c r="DL16" i="184"/>
  <c r="DK16" i="184"/>
  <c r="DJ16" i="184"/>
  <c r="DI16" i="184"/>
  <c r="DH16" i="184"/>
  <c r="FV16" i="184" s="1"/>
  <c r="DG16" i="184"/>
  <c r="DF16" i="184"/>
  <c r="EB16" i="184" s="1"/>
  <c r="DE16" i="184"/>
  <c r="FA16" i="184" s="1"/>
  <c r="DD16" i="184"/>
  <c r="DC16" i="184"/>
  <c r="DB16" i="184"/>
  <c r="DA16" i="184"/>
  <c r="CZ16" i="184"/>
  <c r="CY16" i="184"/>
  <c r="CX16" i="184"/>
  <c r="FH16" i="184" s="1"/>
  <c r="CW16" i="184"/>
  <c r="BQ16" i="184" s="1"/>
  <c r="CV16" i="184"/>
  <c r="DW16" i="184" s="1"/>
  <c r="CU16" i="184"/>
  <c r="CQ16" i="184"/>
  <c r="CP16" i="184"/>
  <c r="CO16" i="184"/>
  <c r="CN16" i="184"/>
  <c r="CK16" i="184"/>
  <c r="CA16" i="184"/>
  <c r="BO16" i="184"/>
  <c r="AX16" i="184"/>
  <c r="AW16" i="184"/>
  <c r="AV16" i="184"/>
  <c r="AK16" i="184"/>
  <c r="AH16" i="184"/>
  <c r="AG16" i="184"/>
  <c r="AF16" i="184"/>
  <c r="AE16" i="184"/>
  <c r="J16" i="184"/>
  <c r="IA14" i="184"/>
  <c r="HU14" i="184"/>
  <c r="HF14" i="184"/>
  <c r="AB12" i="184"/>
  <c r="AA12" i="184"/>
  <c r="HC11" i="184"/>
  <c r="HD11" i="184" s="1"/>
  <c r="HE11" i="184" s="1"/>
  <c r="HF11" i="184" s="1"/>
  <c r="HG11" i="184" s="1"/>
  <c r="HH11" i="184" s="1"/>
  <c r="HI11" i="184" s="1"/>
  <c r="HJ11" i="184" s="1"/>
  <c r="HK11" i="184" s="1"/>
  <c r="HL11" i="184" s="1"/>
  <c r="HM11" i="184" s="1"/>
  <c r="HN11" i="184" s="1"/>
  <c r="HO11" i="184" s="1"/>
  <c r="HP11" i="184" s="1"/>
  <c r="HQ11" i="184" s="1"/>
  <c r="HR11" i="184" s="1"/>
  <c r="HS11" i="184" s="1"/>
  <c r="HT11" i="184" s="1"/>
  <c r="HU11" i="184" s="1"/>
  <c r="HV11" i="184" s="1"/>
  <c r="HW11" i="184" s="1"/>
  <c r="HX11" i="184" s="1"/>
  <c r="HY11" i="184" s="1"/>
  <c r="HZ11" i="184" s="1"/>
  <c r="IA11" i="184" s="1"/>
  <c r="IB11" i="184" s="1"/>
  <c r="IC11" i="184" s="1"/>
  <c r="ID11" i="184" s="1"/>
  <c r="IE11" i="184" s="1"/>
  <c r="IF11" i="184" s="1"/>
  <c r="HB11" i="184"/>
  <c r="CG10" i="184"/>
  <c r="CF10" i="184"/>
  <c r="CE10" i="184"/>
  <c r="CD10" i="184"/>
  <c r="CC10" i="184"/>
  <c r="CB10" i="184"/>
  <c r="CA10" i="184"/>
  <c r="BZ10" i="184"/>
  <c r="BY10" i="184"/>
  <c r="BX10" i="184"/>
  <c r="BW10" i="184"/>
  <c r="BV10" i="184"/>
  <c r="BU10" i="184"/>
  <c r="BT10" i="184"/>
  <c r="BS10" i="184"/>
  <c r="BR10" i="184"/>
  <c r="BQ10" i="184"/>
  <c r="BP10" i="184"/>
  <c r="BO10" i="184"/>
  <c r="BN10" i="184"/>
  <c r="BM10" i="184"/>
  <c r="BL10" i="184"/>
  <c r="BK10" i="184"/>
  <c r="BJ10" i="184"/>
  <c r="BI10" i="184"/>
  <c r="BH10" i="184"/>
  <c r="BG10" i="184"/>
  <c r="BF10" i="184"/>
  <c r="BE10" i="184"/>
  <c r="BD10" i="184"/>
  <c r="BC10" i="184"/>
  <c r="BB10" i="184"/>
  <c r="Z10" i="184"/>
  <c r="S10" i="184"/>
  <c r="C10" i="184"/>
  <c r="DN9" i="184"/>
  <c r="DM9" i="184"/>
  <c r="DL9" i="184"/>
  <c r="DK9" i="184"/>
  <c r="DJ9" i="184"/>
  <c r="DI9" i="184"/>
  <c r="DH9" i="184"/>
  <c r="DG9" i="184"/>
  <c r="S9" i="184"/>
  <c r="C9" i="184"/>
  <c r="DN8" i="184"/>
  <c r="DM8" i="184"/>
  <c r="DL8" i="184"/>
  <c r="DK8" i="184"/>
  <c r="DJ8" i="184"/>
  <c r="DI8" i="184"/>
  <c r="DH8" i="184"/>
  <c r="DG8" i="184"/>
  <c r="DN7" i="184"/>
  <c r="DM7" i="184"/>
  <c r="DL7" i="184"/>
  <c r="DK7" i="184"/>
  <c r="DJ7" i="184"/>
  <c r="DI7" i="184"/>
  <c r="DH7" i="184"/>
  <c r="DG7" i="184"/>
  <c r="DN6" i="184"/>
  <c r="DM6" i="184"/>
  <c r="DL6" i="184"/>
  <c r="DK6" i="184"/>
  <c r="DJ6" i="184"/>
  <c r="DI6" i="184"/>
  <c r="AS27" i="184" s="1"/>
  <c r="DH6" i="184"/>
  <c r="DG6" i="184"/>
  <c r="DC6" i="184"/>
  <c r="DB6" i="184"/>
  <c r="DA6" i="184"/>
  <c r="CZ6" i="184"/>
  <c r="CY6" i="184"/>
  <c r="CX6" i="184"/>
  <c r="CW6" i="184"/>
  <c r="CV6" i="184"/>
  <c r="Y6" i="184"/>
  <c r="M6" i="184"/>
  <c r="DN5" i="184"/>
  <c r="DM5" i="184"/>
  <c r="DL5" i="184"/>
  <c r="DK5" i="184"/>
  <c r="DJ5" i="184"/>
  <c r="DI5" i="184"/>
  <c r="DH5" i="184"/>
  <c r="DG5" i="184"/>
  <c r="DC5" i="184"/>
  <c r="DB5" i="184"/>
  <c r="DA5" i="184"/>
  <c r="CZ5" i="184"/>
  <c r="CY5" i="184"/>
  <c r="CX5" i="184"/>
  <c r="CW5" i="184"/>
  <c r="CV5" i="184"/>
  <c r="DN4" i="184"/>
  <c r="DM4" i="184"/>
  <c r="DL4" i="184"/>
  <c r="DK4" i="184"/>
  <c r="DJ4" i="184"/>
  <c r="DI4" i="184"/>
  <c r="DH4" i="184"/>
  <c r="DG4" i="184"/>
  <c r="DC4" i="184"/>
  <c r="DB4" i="184"/>
  <c r="DA4" i="184"/>
  <c r="CZ4" i="184"/>
  <c r="CY4" i="184"/>
  <c r="CX4" i="184"/>
  <c r="CW4" i="184"/>
  <c r="CV4" i="184"/>
  <c r="DN3" i="184"/>
  <c r="DM3" i="184"/>
  <c r="DL3" i="184"/>
  <c r="DK3" i="184"/>
  <c r="DJ3" i="184"/>
  <c r="DI3" i="184"/>
  <c r="DH3" i="184"/>
  <c r="DG3" i="184"/>
  <c r="DN2" i="184"/>
  <c r="DM2" i="184"/>
  <c r="DL2" i="184"/>
  <c r="DK2" i="184"/>
  <c r="DJ2" i="184"/>
  <c r="DI2" i="184"/>
  <c r="DH2" i="184"/>
  <c r="DG2" i="184"/>
  <c r="DD2" i="184"/>
  <c r="DB2" i="184"/>
  <c r="CZ2" i="184"/>
  <c r="CX2" i="184"/>
  <c r="P2" i="184"/>
  <c r="HA1" i="184"/>
  <c r="HD14" i="184" s="1"/>
  <c r="DQ1" i="184"/>
  <c r="DD1" i="184"/>
  <c r="DT22" i="184" s="1"/>
  <c r="CX1" i="184"/>
  <c r="CY1" i="184" s="1"/>
  <c r="AE1" i="184"/>
  <c r="AD1" i="184"/>
  <c r="P4" i="184" s="1"/>
  <c r="EO104" i="183"/>
  <c r="EN104" i="183"/>
  <c r="EM104" i="183"/>
  <c r="EO103" i="183"/>
  <c r="EN103" i="183"/>
  <c r="EM103" i="183"/>
  <c r="EO102" i="183"/>
  <c r="EN102" i="183"/>
  <c r="EM102" i="183"/>
  <c r="EO101" i="183"/>
  <c r="EN101" i="183"/>
  <c r="EM101" i="183"/>
  <c r="EO100" i="183"/>
  <c r="EN100" i="183"/>
  <c r="EM100" i="183"/>
  <c r="EO99" i="183"/>
  <c r="EN99" i="183"/>
  <c r="EM99" i="183"/>
  <c r="EO98" i="183"/>
  <c r="EN98" i="183"/>
  <c r="EM98" i="183"/>
  <c r="EO97" i="183"/>
  <c r="EN97" i="183"/>
  <c r="EM97" i="183"/>
  <c r="EO96" i="183"/>
  <c r="EN96" i="183"/>
  <c r="EM96" i="183"/>
  <c r="EO95" i="183"/>
  <c r="EN95" i="183"/>
  <c r="EM95" i="183"/>
  <c r="EO94" i="183"/>
  <c r="EN94" i="183"/>
  <c r="EM94" i="183"/>
  <c r="EO93" i="183"/>
  <c r="EN93" i="183"/>
  <c r="EM93" i="183"/>
  <c r="EO92" i="183"/>
  <c r="EN92" i="183"/>
  <c r="EM92" i="183"/>
  <c r="EO91" i="183"/>
  <c r="EN91" i="183"/>
  <c r="EM91" i="183"/>
  <c r="EO90" i="183"/>
  <c r="EN90" i="183"/>
  <c r="EM90" i="183"/>
  <c r="EO89" i="183"/>
  <c r="EN89" i="183"/>
  <c r="EM89" i="183"/>
  <c r="EO88" i="183"/>
  <c r="EN88" i="183"/>
  <c r="EM88" i="183"/>
  <c r="EO87" i="183"/>
  <c r="EN87" i="183"/>
  <c r="EM87" i="183"/>
  <c r="EO86" i="183"/>
  <c r="EN86" i="183"/>
  <c r="EM86" i="183"/>
  <c r="EO85" i="183"/>
  <c r="EN85" i="183"/>
  <c r="EM85" i="183"/>
  <c r="EO84" i="183"/>
  <c r="EN84" i="183"/>
  <c r="EM84" i="183"/>
  <c r="EO83" i="183"/>
  <c r="EN83" i="183"/>
  <c r="EM83" i="183"/>
  <c r="EO82" i="183"/>
  <c r="EN82" i="183"/>
  <c r="EM82" i="183"/>
  <c r="EO81" i="183"/>
  <c r="EN81" i="183"/>
  <c r="EM81" i="183"/>
  <c r="EO80" i="183"/>
  <c r="EN80" i="183"/>
  <c r="EM80" i="183"/>
  <c r="EO79" i="183"/>
  <c r="EN79" i="183"/>
  <c r="EM79" i="183"/>
  <c r="EO78" i="183"/>
  <c r="EN78" i="183"/>
  <c r="EM78" i="183"/>
  <c r="EO77" i="183"/>
  <c r="EN77" i="183"/>
  <c r="EM77" i="183"/>
  <c r="EO76" i="183"/>
  <c r="EN76" i="183"/>
  <c r="EM76" i="183"/>
  <c r="EO75" i="183"/>
  <c r="EN75" i="183"/>
  <c r="EM75" i="183"/>
  <c r="AA57" i="183"/>
  <c r="Z57" i="183"/>
  <c r="Y57" i="183"/>
  <c r="X57" i="183"/>
  <c r="W57" i="183"/>
  <c r="V57" i="183"/>
  <c r="AT57" i="183" s="1"/>
  <c r="U57" i="183"/>
  <c r="T57" i="183"/>
  <c r="AR57" i="183" s="1"/>
  <c r="S57" i="183"/>
  <c r="R57" i="183"/>
  <c r="Q57" i="183"/>
  <c r="P57" i="183"/>
  <c r="O57" i="183"/>
  <c r="N57" i="183"/>
  <c r="M57" i="183"/>
  <c r="L57" i="183"/>
  <c r="K57" i="183"/>
  <c r="J57" i="183"/>
  <c r="I57" i="183"/>
  <c r="H57" i="183"/>
  <c r="G57" i="183"/>
  <c r="F57" i="183"/>
  <c r="E57" i="183"/>
  <c r="D57" i="183"/>
  <c r="C57" i="183"/>
  <c r="AW57" i="183" s="1"/>
  <c r="B57" i="183"/>
  <c r="A57" i="183"/>
  <c r="AX57" i="183" s="1"/>
  <c r="FV45" i="183"/>
  <c r="FQ45" i="183"/>
  <c r="FI45" i="183"/>
  <c r="FC45" i="183"/>
  <c r="FB45" i="183"/>
  <c r="FA45" i="183"/>
  <c r="EZ45" i="183"/>
  <c r="EE45" i="183"/>
  <c r="EG45" i="183" s="1"/>
  <c r="EK45" i="183" s="1"/>
  <c r="ED45" i="183"/>
  <c r="J45" i="183" s="1"/>
  <c r="EB45" i="183"/>
  <c r="EA45" i="183"/>
  <c r="DY45" i="183"/>
  <c r="DU45" i="183"/>
  <c r="DS45" i="183"/>
  <c r="DO45" i="183"/>
  <c r="FJ45" i="183" s="1"/>
  <c r="FK45" i="183" s="1"/>
  <c r="FL45" i="183" s="1"/>
  <c r="Z45" i="183" s="1"/>
  <c r="DN45" i="183"/>
  <c r="DM45" i="183"/>
  <c r="DL45" i="183"/>
  <c r="DK45" i="183"/>
  <c r="EL45" i="183" s="1"/>
  <c r="DJ45" i="183"/>
  <c r="DI45" i="183"/>
  <c r="DH45" i="183"/>
  <c r="FM45" i="183" s="1"/>
  <c r="DG45" i="183"/>
  <c r="DF45" i="183"/>
  <c r="EC45" i="183" s="1"/>
  <c r="DE45" i="183"/>
  <c r="DD45" i="183"/>
  <c r="FD45" i="183" s="1"/>
  <c r="DC45" i="183"/>
  <c r="DB45" i="183"/>
  <c r="DA45" i="183"/>
  <c r="CZ45" i="183"/>
  <c r="CY45" i="183"/>
  <c r="CX45" i="183"/>
  <c r="FH45" i="183" s="1"/>
  <c r="CW45" i="183"/>
  <c r="CV45" i="183"/>
  <c r="CU45" i="183"/>
  <c r="EY45" i="183" s="1"/>
  <c r="CQ45" i="183"/>
  <c r="CP45" i="183"/>
  <c r="CK45" i="183" s="1"/>
  <c r="CO45" i="183"/>
  <c r="CN45" i="183"/>
  <c r="BQ45" i="183"/>
  <c r="BO45" i="183"/>
  <c r="K45" i="183"/>
  <c r="C45" i="183"/>
  <c r="A45" i="183"/>
  <c r="GF44" i="183"/>
  <c r="GB44" i="183" s="1"/>
  <c r="GE44" i="183"/>
  <c r="GD44" i="183"/>
  <c r="GC44" i="183"/>
  <c r="FT44" i="183"/>
  <c r="FJ44" i="183"/>
  <c r="FK44" i="183" s="1"/>
  <c r="FL44" i="183" s="1"/>
  <c r="Z44" i="183" s="1"/>
  <c r="FE44" i="183"/>
  <c r="FF44" i="183" s="1"/>
  <c r="FG44" i="183" s="1"/>
  <c r="FD44" i="183"/>
  <c r="FC44" i="183"/>
  <c r="EZ44" i="183"/>
  <c r="EE44" i="183" s="1"/>
  <c r="EY44" i="183"/>
  <c r="EN44" i="183"/>
  <c r="ER44" i="183" s="1"/>
  <c r="EM44" i="183"/>
  <c r="EQ44" i="183" s="1"/>
  <c r="CI44" i="183" s="1"/>
  <c r="EL44" i="183"/>
  <c r="ED44" i="183"/>
  <c r="K44" i="183" s="1"/>
  <c r="EC44" i="183"/>
  <c r="EB44" i="183"/>
  <c r="DY44" i="183"/>
  <c r="DX44" i="183"/>
  <c r="H44" i="183" s="1"/>
  <c r="DW44" i="183"/>
  <c r="DU44" i="183"/>
  <c r="DS44" i="183"/>
  <c r="DP44" i="183"/>
  <c r="DO44" i="183"/>
  <c r="DN44" i="183"/>
  <c r="FI44" i="183" s="1"/>
  <c r="DM44" i="183"/>
  <c r="DL44" i="183"/>
  <c r="DK44" i="183"/>
  <c r="DJ44" i="183"/>
  <c r="DI44" i="183"/>
  <c r="DH44" i="183"/>
  <c r="DG44" i="183"/>
  <c r="DF44" i="183"/>
  <c r="EA44" i="183" s="1"/>
  <c r="DE44" i="183"/>
  <c r="FA44" i="183" s="1"/>
  <c r="DD44" i="183"/>
  <c r="DC44" i="183"/>
  <c r="DB44" i="183"/>
  <c r="DA44" i="183"/>
  <c r="CZ44" i="183"/>
  <c r="CY44" i="183"/>
  <c r="FS44" i="183" s="1"/>
  <c r="CX44" i="183"/>
  <c r="CW44" i="183"/>
  <c r="BQ44" i="183" s="1"/>
  <c r="CL44" i="183" s="1"/>
  <c r="CV44" i="183"/>
  <c r="DV44" i="183" s="1"/>
  <c r="CU44" i="183"/>
  <c r="EX44" i="183" s="1"/>
  <c r="CQ44" i="183"/>
  <c r="CK44" i="183" s="1"/>
  <c r="CP44" i="183"/>
  <c r="CO44" i="183"/>
  <c r="CN44" i="183"/>
  <c r="BO44" i="183"/>
  <c r="AX44" i="183"/>
  <c r="AW44" i="183"/>
  <c r="AG44" i="183"/>
  <c r="AF44" i="183"/>
  <c r="AD44" i="183"/>
  <c r="Y44" i="183"/>
  <c r="E44" i="183"/>
  <c r="D44" i="183"/>
  <c r="GK44" i="183" s="1"/>
  <c r="C44" i="183"/>
  <c r="A44" i="183"/>
  <c r="GF43" i="183"/>
  <c r="GA43" i="183" s="1"/>
  <c r="GL43" i="183" s="1"/>
  <c r="GE43" i="183"/>
  <c r="GD43" i="183"/>
  <c r="GC43" i="183"/>
  <c r="GB43" i="183"/>
  <c r="FV43" i="183"/>
  <c r="FT43" i="183"/>
  <c r="FS43" i="183"/>
  <c r="FM43" i="183"/>
  <c r="FD43" i="183"/>
  <c r="FE43" i="183" s="1"/>
  <c r="FF43" i="183" s="1"/>
  <c r="FG43" i="183" s="1"/>
  <c r="Y43" i="183" s="1"/>
  <c r="FC43" i="183"/>
  <c r="EL43" i="183" s="1"/>
  <c r="EZ43" i="183"/>
  <c r="EX43" i="183"/>
  <c r="ED43" i="183"/>
  <c r="DY43" i="183"/>
  <c r="DW43" i="183"/>
  <c r="DS43" i="183"/>
  <c r="DO43" i="183"/>
  <c r="DN43" i="183"/>
  <c r="FI43" i="183" s="1"/>
  <c r="FJ43" i="183" s="1"/>
  <c r="FK43" i="183" s="1"/>
  <c r="FL43" i="183" s="1"/>
  <c r="Z43" i="183" s="1"/>
  <c r="DM43" i="183"/>
  <c r="DL43" i="183"/>
  <c r="DK43" i="183"/>
  <c r="DJ43" i="183"/>
  <c r="DI43" i="183"/>
  <c r="DH43" i="183"/>
  <c r="DG43" i="183"/>
  <c r="CC43" i="183" s="1"/>
  <c r="DF43" i="183"/>
  <c r="EC43" i="183" s="1"/>
  <c r="DE43" i="183"/>
  <c r="DD43" i="183"/>
  <c r="DC43" i="183"/>
  <c r="DB43" i="183"/>
  <c r="DA43" i="183"/>
  <c r="EE43" i="183" s="1"/>
  <c r="EF43" i="183" s="1"/>
  <c r="EJ43" i="183" s="1"/>
  <c r="CZ43" i="183"/>
  <c r="CY43" i="183"/>
  <c r="CX43" i="183"/>
  <c r="CW43" i="183"/>
  <c r="CV43" i="183"/>
  <c r="CU43" i="183"/>
  <c r="BQ43" i="183" s="1"/>
  <c r="CQ43" i="183"/>
  <c r="CP43" i="183"/>
  <c r="CK43" i="183" s="1"/>
  <c r="CO43" i="183"/>
  <c r="CN43" i="183"/>
  <c r="AX43" i="183"/>
  <c r="C43" i="183"/>
  <c r="AF43" i="183" s="1"/>
  <c r="A43" i="183"/>
  <c r="FV42" i="183"/>
  <c r="FR42" i="183"/>
  <c r="FQ42" i="183"/>
  <c r="FM42" i="183"/>
  <c r="FD42" i="183"/>
  <c r="FC42" i="183"/>
  <c r="FB42" i="183"/>
  <c r="FA42" i="183"/>
  <c r="EZ42" i="183"/>
  <c r="EY42" i="183"/>
  <c r="EX42" i="183"/>
  <c r="EM42" i="183"/>
  <c r="EQ42" i="183" s="1"/>
  <c r="CI42" i="183" s="1"/>
  <c r="EL42" i="183"/>
  <c r="EN42" i="183" s="1"/>
  <c r="ER42" i="183" s="1"/>
  <c r="EE42" i="183"/>
  <c r="DY42" i="183"/>
  <c r="DX42" i="183"/>
  <c r="DW42" i="183"/>
  <c r="DV42" i="183"/>
  <c r="DU42" i="183"/>
  <c r="DS42" i="183"/>
  <c r="DP42" i="183"/>
  <c r="DO42" i="183"/>
  <c r="DN42" i="183"/>
  <c r="FI42" i="183" s="1"/>
  <c r="DM42" i="183"/>
  <c r="DL42" i="183"/>
  <c r="DK42" i="183"/>
  <c r="DJ42" i="183"/>
  <c r="DI42" i="183"/>
  <c r="DH42" i="183"/>
  <c r="DG42" i="183"/>
  <c r="DF42" i="183"/>
  <c r="ED42" i="183" s="1"/>
  <c r="DE42" i="183"/>
  <c r="DD42" i="183"/>
  <c r="DC42" i="183"/>
  <c r="DB42" i="183"/>
  <c r="DA42" i="183"/>
  <c r="CZ42" i="183"/>
  <c r="CY42" i="183"/>
  <c r="CX42" i="183"/>
  <c r="FH42" i="183" s="1"/>
  <c r="CW42" i="183"/>
  <c r="CV42" i="183"/>
  <c r="CU42" i="183"/>
  <c r="CQ42" i="183"/>
  <c r="CP42" i="183"/>
  <c r="CK42" i="183" s="1"/>
  <c r="CO42" i="183"/>
  <c r="CN42" i="183"/>
  <c r="BQ42" i="183"/>
  <c r="BO42" i="183"/>
  <c r="AW42" i="183"/>
  <c r="AV42" i="183"/>
  <c r="AK42" i="183" s="1"/>
  <c r="AJ42" i="183"/>
  <c r="AH42" i="183"/>
  <c r="AF42" i="183"/>
  <c r="AE42" i="183"/>
  <c r="AD42" i="183"/>
  <c r="H42" i="183"/>
  <c r="G42" i="183"/>
  <c r="F42" i="183"/>
  <c r="C42" i="183"/>
  <c r="AG42" i="183" s="1"/>
  <c r="A42" i="183"/>
  <c r="GF42" i="183" s="1"/>
  <c r="GF41" i="183"/>
  <c r="GC41" i="183" s="1"/>
  <c r="GE41" i="183"/>
  <c r="GD41" i="183"/>
  <c r="GB41" i="183"/>
  <c r="FO41" i="183"/>
  <c r="FK41" i="183"/>
  <c r="FL41" i="183" s="1"/>
  <c r="Z41" i="183" s="1"/>
  <c r="FE41" i="183"/>
  <c r="FF41" i="183" s="1"/>
  <c r="FG41" i="183" s="1"/>
  <c r="Y41" i="183" s="1"/>
  <c r="FD41" i="183"/>
  <c r="FC41" i="183"/>
  <c r="EZ41" i="183"/>
  <c r="EE41" i="183" s="1"/>
  <c r="EG41" i="183" s="1"/>
  <c r="EK41" i="183" s="1"/>
  <c r="EF41" i="183"/>
  <c r="EJ41" i="183" s="1"/>
  <c r="CH41" i="183" s="1"/>
  <c r="ED41" i="183"/>
  <c r="EC41" i="183"/>
  <c r="EA41" i="183"/>
  <c r="DY41" i="183"/>
  <c r="DX41" i="183"/>
  <c r="DW41" i="183"/>
  <c r="DV41" i="183"/>
  <c r="DU41" i="183"/>
  <c r="DS41" i="183"/>
  <c r="DP41" i="183"/>
  <c r="E41" i="183" s="1"/>
  <c r="DO41" i="183"/>
  <c r="DN41" i="183"/>
  <c r="FI41" i="183" s="1"/>
  <c r="FJ41" i="183" s="1"/>
  <c r="DM41" i="183"/>
  <c r="DL41" i="183"/>
  <c r="DK41" i="183"/>
  <c r="EL41" i="183" s="1"/>
  <c r="EM41" i="183" s="1"/>
  <c r="EQ41" i="183" s="1"/>
  <c r="DJ41" i="183"/>
  <c r="DI41" i="183"/>
  <c r="FT41" i="183" s="1"/>
  <c r="DH41" i="183"/>
  <c r="FM41" i="183" s="1"/>
  <c r="DG41" i="183"/>
  <c r="DF41" i="183"/>
  <c r="EB41" i="183" s="1"/>
  <c r="DE41" i="183"/>
  <c r="DD41" i="183"/>
  <c r="DC41" i="183"/>
  <c r="DB41" i="183"/>
  <c r="DA41" i="183"/>
  <c r="CZ41" i="183"/>
  <c r="CY41" i="183"/>
  <c r="FS41" i="183" s="1"/>
  <c r="CX41" i="183"/>
  <c r="FH41" i="183" s="1"/>
  <c r="CW41" i="183"/>
  <c r="CV41" i="183"/>
  <c r="CU41" i="183"/>
  <c r="CQ41" i="183"/>
  <c r="CP41" i="183"/>
  <c r="CO41" i="183"/>
  <c r="CN41" i="183"/>
  <c r="CK41" i="183"/>
  <c r="CC41" i="183"/>
  <c r="CA41" i="183"/>
  <c r="AX41" i="183"/>
  <c r="AW41" i="183"/>
  <c r="AV41" i="183"/>
  <c r="AN41" i="183"/>
  <c r="AM41" i="183"/>
  <c r="AK41" i="183"/>
  <c r="AH41" i="183"/>
  <c r="AG41" i="183"/>
  <c r="AF41" i="183"/>
  <c r="AE41" i="183"/>
  <c r="AD41" i="183"/>
  <c r="U41" i="183"/>
  <c r="AR41" i="183" s="1"/>
  <c r="T41" i="183"/>
  <c r="G41" i="183"/>
  <c r="C41" i="183"/>
  <c r="A41" i="183"/>
  <c r="GK40" i="183"/>
  <c r="GF40" i="183"/>
  <c r="FU40" i="183"/>
  <c r="FT40" i="183"/>
  <c r="FK40" i="183"/>
  <c r="FL40" i="183" s="1"/>
  <c r="Z40" i="183" s="1"/>
  <c r="FJ40" i="183"/>
  <c r="FE40" i="183"/>
  <c r="FF40" i="183" s="1"/>
  <c r="FG40" i="183" s="1"/>
  <c r="FD40" i="183"/>
  <c r="FC40" i="183"/>
  <c r="EZ40" i="183"/>
  <c r="EE40" i="183" s="1"/>
  <c r="EY40" i="183"/>
  <c r="EN40" i="183"/>
  <c r="ER40" i="183" s="1"/>
  <c r="ED40" i="183"/>
  <c r="EC40" i="183"/>
  <c r="EB40" i="183"/>
  <c r="DY40" i="183"/>
  <c r="DX40" i="183"/>
  <c r="H40" i="183" s="1"/>
  <c r="DW40" i="183"/>
  <c r="FO40" i="183" s="1"/>
  <c r="DU40" i="183"/>
  <c r="DS40" i="183"/>
  <c r="DP40" i="183"/>
  <c r="DO40" i="183"/>
  <c r="DN40" i="183"/>
  <c r="FI40" i="183" s="1"/>
  <c r="DM40" i="183"/>
  <c r="DL40" i="183"/>
  <c r="DK40" i="183"/>
  <c r="EL40" i="183" s="1"/>
  <c r="EM40" i="183" s="1"/>
  <c r="EQ40" i="183" s="1"/>
  <c r="DJ40" i="183"/>
  <c r="DI40" i="183"/>
  <c r="DH40" i="183"/>
  <c r="FV40" i="183" s="1"/>
  <c r="DG40" i="183"/>
  <c r="DF40" i="183"/>
  <c r="EA40" i="183" s="1"/>
  <c r="DE40" i="183"/>
  <c r="FA40" i="183" s="1"/>
  <c r="DD40" i="183"/>
  <c r="DC40" i="183"/>
  <c r="DB40" i="183"/>
  <c r="DA40" i="183"/>
  <c r="CZ40" i="183"/>
  <c r="CY40" i="183"/>
  <c r="FS40" i="183" s="1"/>
  <c r="CX40" i="183"/>
  <c r="FH40" i="183" s="1"/>
  <c r="CW40" i="183"/>
  <c r="BQ40" i="183" s="1"/>
  <c r="CV40" i="183"/>
  <c r="DV40" i="183" s="1"/>
  <c r="CU40" i="183"/>
  <c r="EX40" i="183" s="1"/>
  <c r="CQ40" i="183"/>
  <c r="CP40" i="183"/>
  <c r="CO40" i="183"/>
  <c r="CN40" i="183"/>
  <c r="CK40" i="183"/>
  <c r="CI40" i="183"/>
  <c r="CC40" i="183"/>
  <c r="CA40" i="183"/>
  <c r="BO40" i="183"/>
  <c r="AX40" i="183"/>
  <c r="AW40" i="183"/>
  <c r="AV40" i="183"/>
  <c r="AH40" i="183"/>
  <c r="AG40" i="183"/>
  <c r="AF40" i="183"/>
  <c r="AE40" i="183"/>
  <c r="Y40" i="183"/>
  <c r="GE40" i="183" s="1"/>
  <c r="GL40" i="183" s="1"/>
  <c r="GM40" i="183" s="1"/>
  <c r="K40" i="183"/>
  <c r="F40" i="183"/>
  <c r="GK39" i="183"/>
  <c r="GF39" i="183"/>
  <c r="FU39" i="183"/>
  <c r="FT39" i="183"/>
  <c r="FR39" i="183"/>
  <c r="FM39" i="183"/>
  <c r="FI39" i="183"/>
  <c r="FH39" i="183"/>
  <c r="FC39" i="183"/>
  <c r="FB39" i="183"/>
  <c r="FA39" i="183"/>
  <c r="EZ39" i="183"/>
  <c r="EL39" i="183"/>
  <c r="EF39" i="183"/>
  <c r="EJ39" i="183" s="1"/>
  <c r="CH39" i="183" s="1"/>
  <c r="EE39" i="183"/>
  <c r="EG39" i="183" s="1"/>
  <c r="EK39" i="183" s="1"/>
  <c r="EC39" i="183"/>
  <c r="DY39" i="183"/>
  <c r="DS39" i="183"/>
  <c r="DO39" i="183"/>
  <c r="FJ39" i="183" s="1"/>
  <c r="FK39" i="183" s="1"/>
  <c r="FL39" i="183" s="1"/>
  <c r="DN39" i="183"/>
  <c r="DM39" i="183"/>
  <c r="DL39" i="183"/>
  <c r="DK39" i="183"/>
  <c r="DJ39" i="183"/>
  <c r="DI39" i="183"/>
  <c r="DH39" i="183"/>
  <c r="FV39" i="183" s="1"/>
  <c r="DG39" i="183"/>
  <c r="DF39" i="183"/>
  <c r="DE39" i="183"/>
  <c r="CC39" i="183" s="1"/>
  <c r="DD39" i="183"/>
  <c r="FD39" i="183" s="1"/>
  <c r="DC39" i="183"/>
  <c r="DB39" i="183"/>
  <c r="DA39" i="183"/>
  <c r="CZ39" i="183"/>
  <c r="CY39" i="183"/>
  <c r="CX39" i="183"/>
  <c r="CW39" i="183"/>
  <c r="CV39" i="183"/>
  <c r="CU39" i="183"/>
  <c r="CQ39" i="183"/>
  <c r="CP39" i="183"/>
  <c r="CO39" i="183"/>
  <c r="CN39" i="183"/>
  <c r="CM39" i="183"/>
  <c r="CA39" i="183"/>
  <c r="AX39" i="183"/>
  <c r="AW39" i="183"/>
  <c r="AV39" i="183"/>
  <c r="AK39" i="183" s="1"/>
  <c r="AH39" i="183"/>
  <c r="AG39" i="183"/>
  <c r="AF39" i="183"/>
  <c r="AE39" i="183"/>
  <c r="Z39" i="183"/>
  <c r="GK38" i="183"/>
  <c r="GF38" i="183"/>
  <c r="FU38" i="183"/>
  <c r="FT38" i="183"/>
  <c r="FR38" i="183"/>
  <c r="FP38" i="183"/>
  <c r="FM38" i="183"/>
  <c r="FI38" i="183"/>
  <c r="FD38" i="183"/>
  <c r="FC38" i="183"/>
  <c r="EZ38" i="183"/>
  <c r="EE38" i="183" s="1"/>
  <c r="EY38" i="183"/>
  <c r="EN38" i="183"/>
  <c r="ER38" i="183" s="1"/>
  <c r="CI38" i="183" s="1"/>
  <c r="EM38" i="183"/>
  <c r="EQ38" i="183" s="1"/>
  <c r="EL38" i="183"/>
  <c r="ED38" i="183"/>
  <c r="K38" i="183" s="1"/>
  <c r="EC38" i="183"/>
  <c r="EB38" i="183"/>
  <c r="DY38" i="183"/>
  <c r="DX38" i="183"/>
  <c r="DW38" i="183"/>
  <c r="DS38" i="183"/>
  <c r="DP38" i="183"/>
  <c r="DO38" i="183"/>
  <c r="FJ38" i="183" s="1"/>
  <c r="FK38" i="183" s="1"/>
  <c r="FL38" i="183" s="1"/>
  <c r="Z38" i="183" s="1"/>
  <c r="DN38" i="183"/>
  <c r="DM38" i="183"/>
  <c r="DL38" i="183"/>
  <c r="DK38" i="183"/>
  <c r="DJ38" i="183"/>
  <c r="DI38" i="183"/>
  <c r="DH38" i="183"/>
  <c r="FV38" i="183" s="1"/>
  <c r="DG38" i="183"/>
  <c r="DF38" i="183"/>
  <c r="EA38" i="183" s="1"/>
  <c r="DE38" i="183"/>
  <c r="DD38" i="183"/>
  <c r="DC38" i="183"/>
  <c r="FO38" i="183" s="1"/>
  <c r="DB38" i="183"/>
  <c r="DA38" i="183"/>
  <c r="CZ38" i="183"/>
  <c r="CY38" i="183"/>
  <c r="FS38" i="183" s="1"/>
  <c r="CX38" i="183"/>
  <c r="FH38" i="183" s="1"/>
  <c r="CW38" i="183"/>
  <c r="BQ38" i="183" s="1"/>
  <c r="CV38" i="183"/>
  <c r="CU38" i="183"/>
  <c r="EX38" i="183" s="1"/>
  <c r="CQ38" i="183"/>
  <c r="CP38" i="183"/>
  <c r="CO38" i="183"/>
  <c r="CN38" i="183"/>
  <c r="CL38" i="183"/>
  <c r="BO38" i="183"/>
  <c r="AX38" i="183"/>
  <c r="AW38" i="183"/>
  <c r="AV38" i="183"/>
  <c r="AK38" i="183" s="1"/>
  <c r="AO38" i="183"/>
  <c r="AM38" i="183"/>
  <c r="AL38" i="183"/>
  <c r="AH38" i="183"/>
  <c r="AG38" i="183"/>
  <c r="AF38" i="183"/>
  <c r="AE38" i="183"/>
  <c r="F38" i="183"/>
  <c r="GK37" i="183"/>
  <c r="GF37" i="183"/>
  <c r="FU37" i="183"/>
  <c r="FT37" i="183"/>
  <c r="FS37" i="183"/>
  <c r="FQ37" i="183"/>
  <c r="FH37" i="183"/>
  <c r="FC37" i="183"/>
  <c r="EZ37" i="183"/>
  <c r="EM37" i="183"/>
  <c r="EQ37" i="183" s="1"/>
  <c r="EL37" i="183"/>
  <c r="EN37" i="183" s="1"/>
  <c r="ER37" i="183" s="1"/>
  <c r="EE37" i="183"/>
  <c r="EG37" i="183" s="1"/>
  <c r="EK37" i="183" s="1"/>
  <c r="EA37" i="183"/>
  <c r="DY37" i="183"/>
  <c r="DX37" i="183"/>
  <c r="DW37" i="183"/>
  <c r="DV37" i="183"/>
  <c r="DS37" i="183"/>
  <c r="DO37" i="183"/>
  <c r="DN37" i="183"/>
  <c r="FI37" i="183" s="1"/>
  <c r="FJ37" i="183" s="1"/>
  <c r="FK37" i="183" s="1"/>
  <c r="FL37" i="183" s="1"/>
  <c r="Z37" i="183" s="1"/>
  <c r="DM37" i="183"/>
  <c r="DL37" i="183"/>
  <c r="DK37" i="183"/>
  <c r="DJ37" i="183"/>
  <c r="DI37" i="183"/>
  <c r="DH37" i="183"/>
  <c r="DG37" i="183"/>
  <c r="DF37" i="183"/>
  <c r="DE37" i="183"/>
  <c r="CC37" i="183" s="1"/>
  <c r="DD37" i="183"/>
  <c r="FD37" i="183" s="1"/>
  <c r="DC37" i="183"/>
  <c r="DB37" i="183"/>
  <c r="DA37" i="183"/>
  <c r="CZ37" i="183"/>
  <c r="CY37" i="183"/>
  <c r="CX37" i="183"/>
  <c r="CW37" i="183"/>
  <c r="CV37" i="183"/>
  <c r="CU37" i="183"/>
  <c r="CQ37" i="183"/>
  <c r="CP37" i="183"/>
  <c r="CO37" i="183"/>
  <c r="CN37" i="183"/>
  <c r="BO37" i="183"/>
  <c r="AX37" i="183"/>
  <c r="AW37" i="183"/>
  <c r="AV37" i="183"/>
  <c r="AK37" i="183" s="1"/>
  <c r="AM37" i="183"/>
  <c r="AL37" i="183"/>
  <c r="AH37" i="183"/>
  <c r="AG37" i="183"/>
  <c r="AF37" i="183"/>
  <c r="AE37" i="183"/>
  <c r="G37" i="183"/>
  <c r="GK36" i="183"/>
  <c r="GF36" i="183"/>
  <c r="FT36" i="183"/>
  <c r="FS36" i="183"/>
  <c r="FM36" i="183"/>
  <c r="FH36" i="183"/>
  <c r="FE36" i="183"/>
  <c r="FF36" i="183" s="1"/>
  <c r="FG36" i="183" s="1"/>
  <c r="Y36" i="183" s="1"/>
  <c r="FD36" i="183"/>
  <c r="FC36" i="183"/>
  <c r="EZ36" i="183"/>
  <c r="EK36" i="183"/>
  <c r="EE36" i="183"/>
  <c r="EG36" i="183" s="1"/>
  <c r="DY36" i="183"/>
  <c r="DX36" i="183"/>
  <c r="DW36" i="183"/>
  <c r="DV36" i="183"/>
  <c r="DS36" i="183"/>
  <c r="DO36" i="183"/>
  <c r="DN36" i="183"/>
  <c r="FI36" i="183" s="1"/>
  <c r="FJ36" i="183" s="1"/>
  <c r="FK36" i="183" s="1"/>
  <c r="FL36" i="183" s="1"/>
  <c r="Z36" i="183" s="1"/>
  <c r="DM36" i="183"/>
  <c r="DL36" i="183"/>
  <c r="DK36" i="183"/>
  <c r="EL36" i="183" s="1"/>
  <c r="DJ36" i="183"/>
  <c r="DI36" i="183"/>
  <c r="DH36" i="183"/>
  <c r="FV36" i="183" s="1"/>
  <c r="DG36" i="183"/>
  <c r="DF36" i="183"/>
  <c r="DE36" i="183"/>
  <c r="DD36" i="183"/>
  <c r="DC36" i="183"/>
  <c r="DB36" i="183"/>
  <c r="DA36" i="183"/>
  <c r="CZ36" i="183"/>
  <c r="CY36" i="183"/>
  <c r="CX36" i="183"/>
  <c r="FU36" i="183" s="1"/>
  <c r="CW36" i="183"/>
  <c r="CV36" i="183"/>
  <c r="CU36" i="183"/>
  <c r="CQ36" i="183"/>
  <c r="CP36" i="183"/>
  <c r="CK36" i="183" s="1"/>
  <c r="CO36" i="183"/>
  <c r="CN36" i="183"/>
  <c r="CA36" i="183"/>
  <c r="AX36" i="183"/>
  <c r="AW36" i="183"/>
  <c r="AV36" i="183"/>
  <c r="AK36" i="183" s="1"/>
  <c r="AO36" i="183"/>
  <c r="AM36" i="183"/>
  <c r="AH36" i="183"/>
  <c r="AG36" i="183"/>
  <c r="AF36" i="183"/>
  <c r="AE36" i="183"/>
  <c r="G36" i="183"/>
  <c r="GK35" i="183"/>
  <c r="GF35" i="183"/>
  <c r="FU35" i="183"/>
  <c r="FT35" i="183"/>
  <c r="FS35" i="183"/>
  <c r="FQ35" i="183"/>
  <c r="FJ35" i="183"/>
  <c r="FK35" i="183" s="1"/>
  <c r="FL35" i="183" s="1"/>
  <c r="Z35" i="183" s="1"/>
  <c r="FH35" i="183"/>
  <c r="FD35" i="183"/>
  <c r="FE35" i="183" s="1"/>
  <c r="FF35" i="183" s="1"/>
  <c r="FG35" i="183" s="1"/>
  <c r="FC35" i="183"/>
  <c r="FA35" i="183"/>
  <c r="EZ35" i="183"/>
  <c r="EE35" i="183"/>
  <c r="DY35" i="183"/>
  <c r="DS35" i="183"/>
  <c r="DO35" i="183"/>
  <c r="DN35" i="183"/>
  <c r="FI35" i="183" s="1"/>
  <c r="DM35" i="183"/>
  <c r="DL35" i="183"/>
  <c r="DK35" i="183"/>
  <c r="DJ35" i="183"/>
  <c r="DI35" i="183"/>
  <c r="DH35" i="183"/>
  <c r="FV35" i="183" s="1"/>
  <c r="DG35" i="183"/>
  <c r="DF35" i="183"/>
  <c r="ED35" i="183" s="1"/>
  <c r="DE35" i="183"/>
  <c r="CC35" i="183" s="1"/>
  <c r="DD35" i="183"/>
  <c r="DC35" i="183"/>
  <c r="DB35" i="183"/>
  <c r="DA35" i="183"/>
  <c r="CZ35" i="183"/>
  <c r="CY35" i="183"/>
  <c r="CX35" i="183"/>
  <c r="CW35" i="183"/>
  <c r="CV35" i="183"/>
  <c r="DX35" i="183" s="1"/>
  <c r="CU35" i="183"/>
  <c r="CQ35" i="183"/>
  <c r="CP35" i="183"/>
  <c r="CK35" i="183" s="1"/>
  <c r="CO35" i="183"/>
  <c r="CN35" i="183"/>
  <c r="CM35" i="183"/>
  <c r="AX35" i="183"/>
  <c r="AW35" i="183"/>
  <c r="AV35" i="183"/>
  <c r="AH35" i="183"/>
  <c r="AG35" i="183"/>
  <c r="AF35" i="183"/>
  <c r="AE35" i="183"/>
  <c r="Y35" i="183"/>
  <c r="GK34" i="183"/>
  <c r="GF34" i="183"/>
  <c r="FU34" i="183"/>
  <c r="FT34" i="183"/>
  <c r="FI34" i="183"/>
  <c r="FH34" i="183"/>
  <c r="FD34" i="183"/>
  <c r="FC34" i="183"/>
  <c r="EL34" i="183" s="1"/>
  <c r="EZ34" i="183"/>
  <c r="EE34" i="183" s="1"/>
  <c r="EY34" i="183"/>
  <c r="EC34" i="183"/>
  <c r="DY34" i="183"/>
  <c r="DS34" i="183"/>
  <c r="DO34" i="183"/>
  <c r="DN34" i="183"/>
  <c r="DM34" i="183"/>
  <c r="DL34" i="183"/>
  <c r="DK34" i="183"/>
  <c r="DJ34" i="183"/>
  <c r="DI34" i="183"/>
  <c r="DH34" i="183"/>
  <c r="FV34" i="183" s="1"/>
  <c r="DG34" i="183"/>
  <c r="DF34" i="183"/>
  <c r="DE34" i="183"/>
  <c r="FA34" i="183" s="1"/>
  <c r="DD34" i="183"/>
  <c r="DC34" i="183"/>
  <c r="DB34" i="183"/>
  <c r="DA34" i="183"/>
  <c r="CZ34" i="183"/>
  <c r="CY34" i="183"/>
  <c r="CX34" i="183"/>
  <c r="CW34" i="183"/>
  <c r="CV34" i="183"/>
  <c r="CU34" i="183"/>
  <c r="EX34" i="183" s="1"/>
  <c r="CQ34" i="183"/>
  <c r="CP34" i="183"/>
  <c r="CK34" i="183" s="1"/>
  <c r="CO34" i="183"/>
  <c r="CN34" i="183"/>
  <c r="BO34" i="183"/>
  <c r="AX34" i="183"/>
  <c r="AW34" i="183"/>
  <c r="AV34" i="183"/>
  <c r="AK34" i="183" s="1"/>
  <c r="AU34" i="183"/>
  <c r="AO34" i="183"/>
  <c r="AM34" i="183"/>
  <c r="AL34" i="183"/>
  <c r="AJ34" i="183"/>
  <c r="AH34" i="183"/>
  <c r="AG34" i="183"/>
  <c r="AF34" i="183"/>
  <c r="AE34" i="183"/>
  <c r="GK33" i="183"/>
  <c r="GF33" i="183"/>
  <c r="FU33" i="183"/>
  <c r="FO33" i="183"/>
  <c r="FI33" i="183"/>
  <c r="FH33" i="183"/>
  <c r="FC33" i="183"/>
  <c r="EL33" i="183" s="1"/>
  <c r="FA33" i="183"/>
  <c r="EZ33" i="183"/>
  <c r="EG33" i="183"/>
  <c r="EK33" i="183" s="1"/>
  <c r="EB33" i="183"/>
  <c r="EA33" i="183"/>
  <c r="DY33" i="183"/>
  <c r="DX33" i="183"/>
  <c r="H33" i="183" s="1"/>
  <c r="DW33" i="183"/>
  <c r="DV33" i="183"/>
  <c r="DU33" i="183"/>
  <c r="DS33" i="183"/>
  <c r="DO33" i="183"/>
  <c r="FJ33" i="183" s="1"/>
  <c r="FK33" i="183" s="1"/>
  <c r="FL33" i="183" s="1"/>
  <c r="Z33" i="183" s="1"/>
  <c r="DN33" i="183"/>
  <c r="DM33" i="183"/>
  <c r="DL33" i="183"/>
  <c r="DK33" i="183"/>
  <c r="DJ33" i="183"/>
  <c r="DI33" i="183"/>
  <c r="DH33" i="183"/>
  <c r="FV33" i="183" s="1"/>
  <c r="DG33" i="183"/>
  <c r="DF33" i="183"/>
  <c r="ED33" i="183" s="1"/>
  <c r="DE33" i="183"/>
  <c r="CC33" i="183" s="1"/>
  <c r="DD33" i="183"/>
  <c r="FD33" i="183" s="1"/>
  <c r="DC33" i="183"/>
  <c r="DB33" i="183"/>
  <c r="DA33" i="183"/>
  <c r="EE33" i="183" s="1"/>
  <c r="EF33" i="183" s="1"/>
  <c r="EJ33" i="183" s="1"/>
  <c r="CZ33" i="183"/>
  <c r="CY33" i="183"/>
  <c r="FS33" i="183" s="1"/>
  <c r="CX33" i="183"/>
  <c r="CW33" i="183"/>
  <c r="CV33" i="183"/>
  <c r="CU33" i="183"/>
  <c r="FQ33" i="183" s="1"/>
  <c r="CQ33" i="183"/>
  <c r="CP33" i="183"/>
  <c r="CK33" i="183" s="1"/>
  <c r="CO33" i="183"/>
  <c r="CN33" i="183"/>
  <c r="BO33" i="183"/>
  <c r="AX33" i="183"/>
  <c r="AW33" i="183"/>
  <c r="AV33" i="183"/>
  <c r="AH33" i="183"/>
  <c r="AG33" i="183"/>
  <c r="AF33" i="183"/>
  <c r="AE33" i="183"/>
  <c r="K33" i="183"/>
  <c r="J33" i="183"/>
  <c r="I33" i="183"/>
  <c r="GK32" i="183"/>
  <c r="GF32" i="183"/>
  <c r="FV32" i="183"/>
  <c r="FT32" i="183"/>
  <c r="FQ32" i="183"/>
  <c r="FM32" i="183"/>
  <c r="FC32" i="183"/>
  <c r="FB32" i="183"/>
  <c r="FA32" i="183"/>
  <c r="EZ32" i="183"/>
  <c r="EE32" i="183" s="1"/>
  <c r="EY32" i="183"/>
  <c r="EX32" i="183"/>
  <c r="EM32" i="183"/>
  <c r="EQ32" i="183" s="1"/>
  <c r="CI32" i="183" s="1"/>
  <c r="EL32" i="183"/>
  <c r="EN32" i="183" s="1"/>
  <c r="ER32" i="183" s="1"/>
  <c r="ED32" i="183"/>
  <c r="J32" i="183" s="1"/>
  <c r="EC32" i="183"/>
  <c r="EB32" i="183"/>
  <c r="DY32" i="183"/>
  <c r="DW32" i="183"/>
  <c r="DU32" i="183"/>
  <c r="DS32" i="183"/>
  <c r="DP32" i="183"/>
  <c r="DO32" i="183"/>
  <c r="DN32" i="183"/>
  <c r="FI32" i="183" s="1"/>
  <c r="DM32" i="183"/>
  <c r="FR32" i="183" s="1"/>
  <c r="DL32" i="183"/>
  <c r="DK32" i="183"/>
  <c r="DJ32" i="183"/>
  <c r="DI32" i="183"/>
  <c r="DH32" i="183"/>
  <c r="DG32" i="183"/>
  <c r="DF32" i="183"/>
  <c r="EA32" i="183" s="1"/>
  <c r="DE32" i="183"/>
  <c r="DD32" i="183"/>
  <c r="FD32" i="183" s="1"/>
  <c r="DC32" i="183"/>
  <c r="DB32" i="183"/>
  <c r="DA32" i="183"/>
  <c r="CZ32" i="183"/>
  <c r="CY32" i="183"/>
  <c r="FS32" i="183" s="1"/>
  <c r="CX32" i="183"/>
  <c r="CW32" i="183"/>
  <c r="BQ32" i="183" s="1"/>
  <c r="CV32" i="183"/>
  <c r="CU32" i="183"/>
  <c r="CQ32" i="183"/>
  <c r="CP32" i="183"/>
  <c r="CK32" i="183" s="1"/>
  <c r="CO32" i="183"/>
  <c r="CN32" i="183"/>
  <c r="CM32" i="183"/>
  <c r="CC32" i="183"/>
  <c r="CA32" i="183"/>
  <c r="BO32" i="183"/>
  <c r="AX32" i="183"/>
  <c r="AW32" i="183"/>
  <c r="AV32" i="183"/>
  <c r="AK32" i="183" s="1"/>
  <c r="AO32" i="183"/>
  <c r="AN32" i="183"/>
  <c r="AM32" i="183"/>
  <c r="AJ32" i="183"/>
  <c r="AH32" i="183"/>
  <c r="AG32" i="183"/>
  <c r="AF32" i="183"/>
  <c r="AE32" i="183"/>
  <c r="K32" i="183"/>
  <c r="GK31" i="183"/>
  <c r="GF31" i="183"/>
  <c r="FV31" i="183"/>
  <c r="FR31" i="183"/>
  <c r="FD31" i="183"/>
  <c r="FC31" i="183"/>
  <c r="FA31" i="183"/>
  <c r="EZ31" i="183"/>
  <c r="EY31" i="183"/>
  <c r="EX31" i="183"/>
  <c r="EL31" i="183"/>
  <c r="EG31" i="183"/>
  <c r="EK31" i="183" s="1"/>
  <c r="EE31" i="183"/>
  <c r="EF31" i="183" s="1"/>
  <c r="EJ31" i="183" s="1"/>
  <c r="ED31" i="183"/>
  <c r="K31" i="183" s="1"/>
  <c r="EC31" i="183"/>
  <c r="EA31" i="183"/>
  <c r="DY31" i="183"/>
  <c r="DS31" i="183"/>
  <c r="DO31" i="183"/>
  <c r="DN31" i="183"/>
  <c r="FI31" i="183" s="1"/>
  <c r="DM31" i="183"/>
  <c r="DL31" i="183"/>
  <c r="DK31" i="183"/>
  <c r="DJ31" i="183"/>
  <c r="DI31" i="183"/>
  <c r="FT31" i="183" s="1"/>
  <c r="DH31" i="183"/>
  <c r="FM31" i="183" s="1"/>
  <c r="DG31" i="183"/>
  <c r="DF31" i="183"/>
  <c r="EB31" i="183" s="1"/>
  <c r="DE31" i="183"/>
  <c r="FB31" i="183" s="1"/>
  <c r="DD31" i="183"/>
  <c r="DC31" i="183"/>
  <c r="DB31" i="183"/>
  <c r="DA31" i="183"/>
  <c r="CZ31" i="183"/>
  <c r="CY31" i="183"/>
  <c r="CX31" i="183"/>
  <c r="FU31" i="183" s="1"/>
  <c r="CW31" i="183"/>
  <c r="CV31" i="183"/>
  <c r="DP31" i="183" s="1"/>
  <c r="CU31" i="183"/>
  <c r="CQ31" i="183"/>
  <c r="CP31" i="183"/>
  <c r="CO31" i="183"/>
  <c r="CN31" i="183"/>
  <c r="CK31" i="183"/>
  <c r="CC31" i="183"/>
  <c r="CA31" i="183"/>
  <c r="BQ31" i="183"/>
  <c r="BO31" i="183"/>
  <c r="AX31" i="183"/>
  <c r="AW31" i="183"/>
  <c r="AV31" i="183"/>
  <c r="AK31" i="183"/>
  <c r="AH31" i="183"/>
  <c r="AG31" i="183"/>
  <c r="AF31" i="183"/>
  <c r="AE31" i="183"/>
  <c r="I31" i="183"/>
  <c r="GK30" i="183"/>
  <c r="GF30" i="183"/>
  <c r="FV30" i="183"/>
  <c r="FS30" i="183"/>
  <c r="FQ30" i="183"/>
  <c r="FM30" i="183"/>
  <c r="FC30" i="183"/>
  <c r="EZ30" i="183"/>
  <c r="EE30" i="183" s="1"/>
  <c r="EG30" i="183" s="1"/>
  <c r="EK30" i="183" s="1"/>
  <c r="EV30" i="183" s="1"/>
  <c r="CJ30" i="183" s="1"/>
  <c r="EY30" i="183"/>
  <c r="EX30" i="183"/>
  <c r="ER30" i="183"/>
  <c r="EM30" i="183"/>
  <c r="EQ30" i="183" s="1"/>
  <c r="CI30" i="183" s="1"/>
  <c r="EL30" i="183"/>
  <c r="EN30" i="183" s="1"/>
  <c r="EC30" i="183"/>
  <c r="EB30" i="183"/>
  <c r="DY30" i="183"/>
  <c r="DW30" i="183"/>
  <c r="DV30" i="183"/>
  <c r="DU30" i="183"/>
  <c r="DS30" i="183"/>
  <c r="DP30" i="183"/>
  <c r="DO30" i="183"/>
  <c r="DN30" i="183"/>
  <c r="FI30" i="183" s="1"/>
  <c r="FJ30" i="183" s="1"/>
  <c r="FK30" i="183" s="1"/>
  <c r="FL30" i="183" s="1"/>
  <c r="DM30" i="183"/>
  <c r="FP30" i="183" s="1"/>
  <c r="DL30" i="183"/>
  <c r="DK30" i="183"/>
  <c r="DJ30" i="183"/>
  <c r="DI30" i="183"/>
  <c r="FT30" i="183" s="1"/>
  <c r="DH30" i="183"/>
  <c r="DG30" i="183"/>
  <c r="DF30" i="183"/>
  <c r="EA30" i="183" s="1"/>
  <c r="DE30" i="183"/>
  <c r="DD30" i="183"/>
  <c r="FD30" i="183" s="1"/>
  <c r="DC30" i="183"/>
  <c r="DB30" i="183"/>
  <c r="DA30" i="183"/>
  <c r="CZ30" i="183"/>
  <c r="CY30" i="183"/>
  <c r="CX30" i="183"/>
  <c r="CW30" i="183"/>
  <c r="BQ30" i="183" s="1"/>
  <c r="CV30" i="183"/>
  <c r="DX30" i="183" s="1"/>
  <c r="CU30" i="183"/>
  <c r="CQ30" i="183"/>
  <c r="CP30" i="183"/>
  <c r="CK30" i="183" s="1"/>
  <c r="CO30" i="183"/>
  <c r="CN30" i="183"/>
  <c r="CC30" i="183"/>
  <c r="BO30" i="183"/>
  <c r="AX30" i="183"/>
  <c r="AW30" i="183"/>
  <c r="AV30" i="183"/>
  <c r="AH30" i="183"/>
  <c r="AG30" i="183"/>
  <c r="AF30" i="183"/>
  <c r="AE30" i="183"/>
  <c r="Z30" i="183"/>
  <c r="H30" i="183"/>
  <c r="G30" i="183"/>
  <c r="F30" i="183"/>
  <c r="GK29" i="183"/>
  <c r="GF29" i="183"/>
  <c r="FV29" i="183"/>
  <c r="FT29" i="183"/>
  <c r="FS29" i="183"/>
  <c r="FR29" i="183"/>
  <c r="FE29" i="183"/>
  <c r="FF29" i="183" s="1"/>
  <c r="FG29" i="183" s="1"/>
  <c r="Y29" i="183" s="1"/>
  <c r="FD29" i="183"/>
  <c r="FC29" i="183"/>
  <c r="FB29" i="183"/>
  <c r="FA29" i="183"/>
  <c r="EZ29" i="183"/>
  <c r="EY29" i="183"/>
  <c r="EX29" i="183"/>
  <c r="EL29" i="183"/>
  <c r="EK29" i="183"/>
  <c r="ED29" i="183"/>
  <c r="I29" i="183" s="1"/>
  <c r="DY29" i="183"/>
  <c r="DW29" i="183"/>
  <c r="DS29" i="183"/>
  <c r="DP29" i="183"/>
  <c r="DO29" i="183"/>
  <c r="DN29" i="183"/>
  <c r="FI29" i="183" s="1"/>
  <c r="DM29" i="183"/>
  <c r="DL29" i="183"/>
  <c r="DK29" i="183"/>
  <c r="DJ29" i="183"/>
  <c r="DI29" i="183"/>
  <c r="DH29" i="183"/>
  <c r="FM29" i="183" s="1"/>
  <c r="FP29" i="183" s="1"/>
  <c r="DG29" i="183"/>
  <c r="CC29" i="183" s="1"/>
  <c r="DF29" i="183"/>
  <c r="EC29" i="183" s="1"/>
  <c r="DE29" i="183"/>
  <c r="CA29" i="183" s="1"/>
  <c r="DD29" i="183"/>
  <c r="DC29" i="183"/>
  <c r="DB29" i="183"/>
  <c r="DA29" i="183"/>
  <c r="EE29" i="183" s="1"/>
  <c r="EG29" i="183" s="1"/>
  <c r="CZ29" i="183"/>
  <c r="CY29" i="183"/>
  <c r="CX29" i="183"/>
  <c r="CW29" i="183"/>
  <c r="CV29" i="183"/>
  <c r="DV29" i="183" s="1"/>
  <c r="CU29" i="183"/>
  <c r="CQ29" i="183"/>
  <c r="CP29" i="183"/>
  <c r="CO29" i="183"/>
  <c r="CN29" i="183"/>
  <c r="CK29" i="183"/>
  <c r="BQ29" i="183"/>
  <c r="BO29" i="183"/>
  <c r="AX29" i="183"/>
  <c r="AW29" i="183"/>
  <c r="AV29" i="183"/>
  <c r="AK29" i="183" s="1"/>
  <c r="AL29" i="183"/>
  <c r="AH29" i="183"/>
  <c r="AG29" i="183"/>
  <c r="AF29" i="183"/>
  <c r="AE29" i="183"/>
  <c r="K29" i="183"/>
  <c r="J29" i="183"/>
  <c r="GK28" i="183"/>
  <c r="GF28" i="183"/>
  <c r="FU28" i="183"/>
  <c r="FP28" i="183"/>
  <c r="FM28" i="183"/>
  <c r="FL28" i="183"/>
  <c r="Z28" i="183" s="1"/>
  <c r="FJ28" i="183"/>
  <c r="FK28" i="183" s="1"/>
  <c r="FI28" i="183"/>
  <c r="FH28" i="183"/>
  <c r="FC28" i="183"/>
  <c r="EZ28" i="183"/>
  <c r="EX28" i="183"/>
  <c r="EE28" i="183"/>
  <c r="ED28" i="183"/>
  <c r="I28" i="183" s="1"/>
  <c r="EC28" i="183"/>
  <c r="EB28" i="183"/>
  <c r="EA28" i="183"/>
  <c r="DY28" i="183"/>
  <c r="DS28" i="183"/>
  <c r="DO28" i="183"/>
  <c r="DN28" i="183"/>
  <c r="DM28" i="183"/>
  <c r="DL28" i="183"/>
  <c r="DK28" i="183"/>
  <c r="DJ28" i="183"/>
  <c r="DI28" i="183"/>
  <c r="DH28" i="183"/>
  <c r="FV28" i="183" s="1"/>
  <c r="DG28" i="183"/>
  <c r="DF28" i="183"/>
  <c r="DE28" i="183"/>
  <c r="DD28" i="183"/>
  <c r="FD28" i="183" s="1"/>
  <c r="FE28" i="183" s="1"/>
  <c r="FF28" i="183" s="1"/>
  <c r="FG28" i="183" s="1"/>
  <c r="Y28" i="183" s="1"/>
  <c r="DC28" i="183"/>
  <c r="DB28" i="183"/>
  <c r="DA28" i="183"/>
  <c r="CZ28" i="183"/>
  <c r="CY28" i="183"/>
  <c r="FS28" i="183" s="1"/>
  <c r="CX28" i="183"/>
  <c r="CW28" i="183"/>
  <c r="BQ28" i="183" s="1"/>
  <c r="CV28" i="183"/>
  <c r="CU28" i="183"/>
  <c r="EY28" i="183" s="1"/>
  <c r="CQ28" i="183"/>
  <c r="CP28" i="183"/>
  <c r="CK28" i="183" s="1"/>
  <c r="CO28" i="183"/>
  <c r="CN28" i="183"/>
  <c r="CA28" i="183"/>
  <c r="AX28" i="183"/>
  <c r="AW28" i="183"/>
  <c r="AK28" i="183" s="1"/>
  <c r="AV28" i="183"/>
  <c r="AH28" i="183"/>
  <c r="AG28" i="183"/>
  <c r="AF28" i="183"/>
  <c r="AE28" i="183"/>
  <c r="GK27" i="183"/>
  <c r="GF27" i="183"/>
  <c r="FR27" i="183"/>
  <c r="FK27" i="183"/>
  <c r="FL27" i="183" s="1"/>
  <c r="Z27" i="183" s="1"/>
  <c r="FC27" i="183"/>
  <c r="FB27" i="183"/>
  <c r="EZ27" i="183"/>
  <c r="EY27" i="183"/>
  <c r="EX27" i="183"/>
  <c r="EN27" i="183"/>
  <c r="ER27" i="183" s="1"/>
  <c r="ED27" i="183"/>
  <c r="EC27" i="183"/>
  <c r="EB27" i="183"/>
  <c r="EA27" i="183"/>
  <c r="DY27" i="183"/>
  <c r="DX27" i="183"/>
  <c r="DU27" i="183"/>
  <c r="DS27" i="183"/>
  <c r="DP27" i="183"/>
  <c r="DO27" i="183"/>
  <c r="FJ27" i="183" s="1"/>
  <c r="DN27" i="183"/>
  <c r="FI27" i="183" s="1"/>
  <c r="DM27" i="183"/>
  <c r="DL27" i="183"/>
  <c r="DK27" i="183"/>
  <c r="EL27" i="183" s="1"/>
  <c r="EM27" i="183" s="1"/>
  <c r="EQ27" i="183" s="1"/>
  <c r="DJ27" i="183"/>
  <c r="DI27" i="183"/>
  <c r="FT27" i="183" s="1"/>
  <c r="DH27" i="183"/>
  <c r="DG27" i="183"/>
  <c r="DF27" i="183"/>
  <c r="DE27" i="183"/>
  <c r="CA27" i="183" s="1"/>
  <c r="DD27" i="183"/>
  <c r="FD27" i="183" s="1"/>
  <c r="DC27" i="183"/>
  <c r="FO27" i="183" s="1"/>
  <c r="DB27" i="183"/>
  <c r="DA27" i="183"/>
  <c r="EE27" i="183" s="1"/>
  <c r="CZ27" i="183"/>
  <c r="CY27" i="183"/>
  <c r="CX27" i="183"/>
  <c r="FH27" i="183" s="1"/>
  <c r="CW27" i="183"/>
  <c r="CV27" i="183"/>
  <c r="DW27" i="183" s="1"/>
  <c r="CU27" i="183"/>
  <c r="BQ27" i="183" s="1"/>
  <c r="CL27" i="183" s="1"/>
  <c r="CQ27" i="183"/>
  <c r="CK27" i="183" s="1"/>
  <c r="CP27" i="183"/>
  <c r="CO27" i="183"/>
  <c r="CN27" i="183"/>
  <c r="CC27" i="183"/>
  <c r="BO27" i="183"/>
  <c r="AX27" i="183"/>
  <c r="AW27" i="183"/>
  <c r="AK27" i="183" s="1"/>
  <c r="AV27" i="183"/>
  <c r="AO27" i="183"/>
  <c r="AH27" i="183"/>
  <c r="AG27" i="183"/>
  <c r="AF27" i="183"/>
  <c r="AE27" i="183"/>
  <c r="G27" i="183"/>
  <c r="GK26" i="183"/>
  <c r="GF26" i="183"/>
  <c r="FV26" i="183"/>
  <c r="FU26" i="183"/>
  <c r="FS26" i="183"/>
  <c r="FM26" i="183"/>
  <c r="FI26" i="183"/>
  <c r="FJ26" i="183" s="1"/>
  <c r="FK26" i="183" s="1"/>
  <c r="FL26" i="183" s="1"/>
  <c r="Z26" i="183" s="1"/>
  <c r="FH26" i="183"/>
  <c r="FG26" i="183"/>
  <c r="Y26" i="183" s="1"/>
  <c r="FD26" i="183"/>
  <c r="FE26" i="183" s="1"/>
  <c r="FF26" i="183" s="1"/>
  <c r="FC26" i="183"/>
  <c r="EL26" i="183" s="1"/>
  <c r="EZ26" i="183"/>
  <c r="EF26" i="183"/>
  <c r="EJ26" i="183" s="1"/>
  <c r="EE26" i="183"/>
  <c r="EG26" i="183" s="1"/>
  <c r="EK26" i="183" s="1"/>
  <c r="EC26" i="183"/>
  <c r="EB26" i="183"/>
  <c r="DY26" i="183"/>
  <c r="DS26" i="183"/>
  <c r="DO26" i="183"/>
  <c r="DN26" i="183"/>
  <c r="DM26" i="183"/>
  <c r="DL26" i="183"/>
  <c r="DK26" i="183"/>
  <c r="DJ26" i="183"/>
  <c r="DI26" i="183"/>
  <c r="DH26" i="183"/>
  <c r="DG26" i="183"/>
  <c r="DF26" i="183"/>
  <c r="ED26" i="183" s="1"/>
  <c r="K26" i="183" s="1"/>
  <c r="DE26" i="183"/>
  <c r="DD26" i="183"/>
  <c r="DC26" i="183"/>
  <c r="DB26" i="183"/>
  <c r="DA26" i="183"/>
  <c r="CZ26" i="183"/>
  <c r="CY26" i="183"/>
  <c r="CX26" i="183"/>
  <c r="CW26" i="183"/>
  <c r="CV26" i="183"/>
  <c r="CU26" i="183"/>
  <c r="CQ26" i="183"/>
  <c r="CP26" i="183"/>
  <c r="CK26" i="183" s="1"/>
  <c r="CO26" i="183"/>
  <c r="CN26" i="183"/>
  <c r="CA26" i="183"/>
  <c r="BO26" i="183"/>
  <c r="AX26" i="183"/>
  <c r="AW26" i="183"/>
  <c r="AV26" i="183"/>
  <c r="AK26" i="183" s="1"/>
  <c r="AJ26" i="183" s="1"/>
  <c r="AH26" i="183"/>
  <c r="AG26" i="183"/>
  <c r="AF26" i="183"/>
  <c r="AE26" i="183"/>
  <c r="J26" i="183"/>
  <c r="I26" i="183"/>
  <c r="GK25" i="183"/>
  <c r="GF25" i="183"/>
  <c r="FU25" i="183"/>
  <c r="FT25" i="183"/>
  <c r="FQ25" i="183"/>
  <c r="FC25" i="183"/>
  <c r="FB25" i="183"/>
  <c r="FA25" i="183"/>
  <c r="EZ25" i="183"/>
  <c r="EY25" i="183"/>
  <c r="EX25" i="183"/>
  <c r="EG25" i="183"/>
  <c r="EK25" i="183" s="1"/>
  <c r="EE25" i="183"/>
  <c r="EF25" i="183" s="1"/>
  <c r="EJ25" i="183" s="1"/>
  <c r="CH25" i="183" s="1"/>
  <c r="ED25" i="183"/>
  <c r="I25" i="183" s="1"/>
  <c r="EC25" i="183"/>
  <c r="EB25" i="183"/>
  <c r="EA25" i="183"/>
  <c r="DY25" i="183"/>
  <c r="DX25" i="183"/>
  <c r="F25" i="183" s="1"/>
  <c r="DW25" i="183"/>
  <c r="DU25" i="183"/>
  <c r="DS25" i="183"/>
  <c r="DP25" i="183"/>
  <c r="DO25" i="183"/>
  <c r="FJ25" i="183" s="1"/>
  <c r="FK25" i="183" s="1"/>
  <c r="FL25" i="183" s="1"/>
  <c r="Z25" i="183" s="1"/>
  <c r="DN25" i="183"/>
  <c r="FI25" i="183" s="1"/>
  <c r="DM25" i="183"/>
  <c r="DL25" i="183"/>
  <c r="DK25" i="183"/>
  <c r="EL25" i="183" s="1"/>
  <c r="EM25" i="183" s="1"/>
  <c r="EQ25" i="183" s="1"/>
  <c r="DJ25" i="183"/>
  <c r="DI25" i="183"/>
  <c r="DH25" i="183"/>
  <c r="FV25" i="183" s="1"/>
  <c r="DG25" i="183"/>
  <c r="DF25" i="183"/>
  <c r="DE25" i="183"/>
  <c r="DD25" i="183"/>
  <c r="FD25" i="183" s="1"/>
  <c r="DC25" i="183"/>
  <c r="FO25" i="183" s="1"/>
  <c r="DB25" i="183"/>
  <c r="DA25" i="183"/>
  <c r="CZ25" i="183"/>
  <c r="CY25" i="183"/>
  <c r="FS25" i="183" s="1"/>
  <c r="CX25" i="183"/>
  <c r="FH25" i="183" s="1"/>
  <c r="CW25" i="183"/>
  <c r="CV25" i="183"/>
  <c r="DV25" i="183" s="1"/>
  <c r="CU25" i="183"/>
  <c r="BQ25" i="183" s="1"/>
  <c r="CL25" i="183" s="1"/>
  <c r="CQ25" i="183"/>
  <c r="CK25" i="183" s="1"/>
  <c r="CP25" i="183"/>
  <c r="CO25" i="183"/>
  <c r="CN25" i="183"/>
  <c r="CM25" i="183"/>
  <c r="CC25" i="183"/>
  <c r="CA25" i="183"/>
  <c r="BO25" i="183"/>
  <c r="AX25" i="183"/>
  <c r="AW25" i="183"/>
  <c r="AK25" i="183" s="1"/>
  <c r="AV25" i="183"/>
  <c r="AN25" i="183"/>
  <c r="AH25" i="183"/>
  <c r="AG25" i="183"/>
  <c r="AF25" i="183"/>
  <c r="AE25" i="183"/>
  <c r="J25" i="183"/>
  <c r="H25" i="183"/>
  <c r="G25" i="183"/>
  <c r="GK24" i="183"/>
  <c r="GF24" i="183"/>
  <c r="FV24" i="183"/>
  <c r="FT24" i="183"/>
  <c r="FS24" i="183"/>
  <c r="FQ24" i="183"/>
  <c r="FM24" i="183"/>
  <c r="FI24" i="183"/>
  <c r="FC24" i="183"/>
  <c r="EZ24" i="183"/>
  <c r="EY24" i="183"/>
  <c r="EX24" i="183"/>
  <c r="EM24" i="183"/>
  <c r="EQ24" i="183" s="1"/>
  <c r="CI24" i="183" s="1"/>
  <c r="EL24" i="183"/>
  <c r="EN24" i="183" s="1"/>
  <c r="ER24" i="183" s="1"/>
  <c r="EK24" i="183"/>
  <c r="EV24" i="183" s="1"/>
  <c r="CJ24" i="183" s="1"/>
  <c r="EE24" i="183"/>
  <c r="EG24" i="183" s="1"/>
  <c r="DY24" i="183"/>
  <c r="DW24" i="183"/>
  <c r="DV24" i="183"/>
  <c r="DU24" i="183"/>
  <c r="DS24" i="183"/>
  <c r="DP24" i="183"/>
  <c r="DO24" i="183"/>
  <c r="DN24" i="183"/>
  <c r="DM24" i="183"/>
  <c r="DL24" i="183"/>
  <c r="DK24" i="183"/>
  <c r="DJ24" i="183"/>
  <c r="DI24" i="183"/>
  <c r="DH24" i="183"/>
  <c r="DG24" i="183"/>
  <c r="DF24" i="183"/>
  <c r="DE24" i="183"/>
  <c r="DD24" i="183"/>
  <c r="FD24" i="183" s="1"/>
  <c r="DC24" i="183"/>
  <c r="DB24" i="183"/>
  <c r="DA24" i="183"/>
  <c r="CZ24" i="183"/>
  <c r="CY24" i="183"/>
  <c r="CX24" i="183"/>
  <c r="FU24" i="183" s="1"/>
  <c r="CW24" i="183"/>
  <c r="CV24" i="183"/>
  <c r="DX24" i="183" s="1"/>
  <c r="G24" i="183" s="1"/>
  <c r="CU24" i="183"/>
  <c r="CQ24" i="183"/>
  <c r="CP24" i="183"/>
  <c r="CO24" i="183"/>
  <c r="CN24" i="183"/>
  <c r="CL24" i="183"/>
  <c r="CK24" i="183"/>
  <c r="BQ24" i="183"/>
  <c r="BO24" i="183"/>
  <c r="AX24" i="183"/>
  <c r="AW24" i="183"/>
  <c r="AV24" i="183"/>
  <c r="AK24" i="183" s="1"/>
  <c r="AL24" i="183"/>
  <c r="AH24" i="183"/>
  <c r="AG24" i="183"/>
  <c r="AF24" i="183"/>
  <c r="AE24" i="183"/>
  <c r="H24" i="183"/>
  <c r="F24" i="183"/>
  <c r="GK23" i="183"/>
  <c r="GF23" i="183"/>
  <c r="FT23" i="183"/>
  <c r="FJ23" i="183"/>
  <c r="FK23" i="183" s="1"/>
  <c r="FL23" i="183" s="1"/>
  <c r="Z23" i="183" s="1"/>
  <c r="FI23" i="183"/>
  <c r="FH23" i="183"/>
  <c r="FC23" i="183"/>
  <c r="FA23" i="183"/>
  <c r="EZ23" i="183"/>
  <c r="EY23" i="183"/>
  <c r="ER23" i="183"/>
  <c r="EN23" i="183"/>
  <c r="EM23" i="183"/>
  <c r="EQ23" i="183" s="1"/>
  <c r="CI23" i="183" s="1"/>
  <c r="ED23" i="183"/>
  <c r="EC23" i="183"/>
  <c r="EB23" i="183"/>
  <c r="EA23" i="183"/>
  <c r="DY23" i="183"/>
  <c r="DX23" i="183"/>
  <c r="F23" i="183" s="1"/>
  <c r="DW23" i="183"/>
  <c r="DS23" i="183"/>
  <c r="DO23" i="183"/>
  <c r="FE23" i="183" s="1"/>
  <c r="FF23" i="183" s="1"/>
  <c r="FG23" i="183" s="1"/>
  <c r="Y23" i="183" s="1"/>
  <c r="GE23" i="183" s="1"/>
  <c r="GL23" i="183" s="1"/>
  <c r="GM23" i="183" s="1"/>
  <c r="DN23" i="183"/>
  <c r="DM23" i="183"/>
  <c r="DL23" i="183"/>
  <c r="DK23" i="183"/>
  <c r="EL23" i="183" s="1"/>
  <c r="DJ23" i="183"/>
  <c r="DI23" i="183"/>
  <c r="DH23" i="183"/>
  <c r="FM23" i="183" s="1"/>
  <c r="DG23" i="183"/>
  <c r="DF23" i="183"/>
  <c r="DE23" i="183"/>
  <c r="DD23" i="183"/>
  <c r="FD23" i="183" s="1"/>
  <c r="DC23" i="183"/>
  <c r="DB23" i="183"/>
  <c r="DA23" i="183"/>
  <c r="EE23" i="183" s="1"/>
  <c r="CZ23" i="183"/>
  <c r="CY23" i="183"/>
  <c r="FS23" i="183" s="1"/>
  <c r="CX23" i="183"/>
  <c r="FU23" i="183" s="1"/>
  <c r="CW23" i="183"/>
  <c r="BQ23" i="183" s="1"/>
  <c r="CV23" i="183"/>
  <c r="FO23" i="183" s="1"/>
  <c r="CU23" i="183"/>
  <c r="FQ23" i="183" s="1"/>
  <c r="CQ23" i="183"/>
  <c r="CP23" i="183"/>
  <c r="CO23" i="183"/>
  <c r="CN23" i="183"/>
  <c r="CK23" i="183"/>
  <c r="CC23" i="183"/>
  <c r="CA23" i="183"/>
  <c r="BO23" i="183"/>
  <c r="AX23" i="183"/>
  <c r="AW23" i="183"/>
  <c r="AV23" i="183"/>
  <c r="AK23" i="183"/>
  <c r="AH23" i="183"/>
  <c r="AG23" i="183"/>
  <c r="AF23" i="183"/>
  <c r="AE23" i="183"/>
  <c r="K23" i="183"/>
  <c r="J23" i="183"/>
  <c r="I23" i="183"/>
  <c r="G23" i="183"/>
  <c r="GK22" i="183"/>
  <c r="GF22" i="183"/>
  <c r="FV22" i="183"/>
  <c r="FQ22" i="183"/>
  <c r="FM22" i="183"/>
  <c r="FI22" i="183"/>
  <c r="FC22" i="183"/>
  <c r="EL22" i="183" s="1"/>
  <c r="EZ22" i="183"/>
  <c r="EY22" i="183"/>
  <c r="EX22" i="183"/>
  <c r="EE22" i="183"/>
  <c r="EG22" i="183" s="1"/>
  <c r="ED22" i="183"/>
  <c r="EB22" i="183"/>
  <c r="DY22" i="183"/>
  <c r="DW22" i="183"/>
  <c r="DU22" i="183"/>
  <c r="DS22" i="183"/>
  <c r="DO22" i="183"/>
  <c r="DN22" i="183"/>
  <c r="DM22" i="183"/>
  <c r="DL22" i="183"/>
  <c r="DK22" i="183"/>
  <c r="DJ22" i="183"/>
  <c r="DI22" i="183"/>
  <c r="DH22" i="183"/>
  <c r="DG22" i="183"/>
  <c r="DF22" i="183"/>
  <c r="DE22" i="183"/>
  <c r="DD22" i="183"/>
  <c r="FD22" i="183" s="1"/>
  <c r="DC22" i="183"/>
  <c r="DB22" i="183"/>
  <c r="DA22" i="183"/>
  <c r="CZ22" i="183"/>
  <c r="CY22" i="183"/>
  <c r="FS22" i="183" s="1"/>
  <c r="CX22" i="183"/>
  <c r="CW22" i="183"/>
  <c r="CV22" i="183"/>
  <c r="DX22" i="183" s="1"/>
  <c r="H22" i="183" s="1"/>
  <c r="CU22" i="183"/>
  <c r="CQ22" i="183"/>
  <c r="CP22" i="183"/>
  <c r="CK22" i="183" s="1"/>
  <c r="CO22" i="183"/>
  <c r="CN22" i="183"/>
  <c r="BQ22" i="183"/>
  <c r="CL22" i="183" s="1"/>
  <c r="BO22" i="183"/>
  <c r="AX22" i="183"/>
  <c r="AW22" i="183"/>
  <c r="AV22" i="183"/>
  <c r="AK22" i="183" s="1"/>
  <c r="AM22" i="183" s="1"/>
  <c r="AH22" i="183"/>
  <c r="AG22" i="183"/>
  <c r="AF22" i="183"/>
  <c r="AE22" i="183"/>
  <c r="F22" i="183"/>
  <c r="GK21" i="183"/>
  <c r="GF21" i="183"/>
  <c r="FU21" i="183"/>
  <c r="FI21" i="183"/>
  <c r="FH21" i="183"/>
  <c r="FC21" i="183"/>
  <c r="EL21" i="183" s="1"/>
  <c r="EN21" i="183" s="1"/>
  <c r="ER21" i="183" s="1"/>
  <c r="FA21" i="183"/>
  <c r="EZ21" i="183"/>
  <c r="EY21" i="183"/>
  <c r="EM21" i="183"/>
  <c r="EQ21" i="183" s="1"/>
  <c r="CI21" i="183" s="1"/>
  <c r="DY21" i="183"/>
  <c r="DX21" i="183"/>
  <c r="H21" i="183" s="1"/>
  <c r="DW21" i="183"/>
  <c r="DV21" i="183"/>
  <c r="DS21" i="183"/>
  <c r="DO21" i="183"/>
  <c r="FJ21" i="183" s="1"/>
  <c r="FK21" i="183" s="1"/>
  <c r="FL21" i="183" s="1"/>
  <c r="DN21" i="183"/>
  <c r="DM21" i="183"/>
  <c r="DL21" i="183"/>
  <c r="DK21" i="183"/>
  <c r="DJ21" i="183"/>
  <c r="DI21" i="183"/>
  <c r="FT21" i="183" s="1"/>
  <c r="DH21" i="183"/>
  <c r="DG21" i="183"/>
  <c r="CC21" i="183" s="1"/>
  <c r="DF21" i="183"/>
  <c r="DE21" i="183"/>
  <c r="DD21" i="183"/>
  <c r="FD21" i="183" s="1"/>
  <c r="FE21" i="183" s="1"/>
  <c r="FF21" i="183" s="1"/>
  <c r="FG21" i="183" s="1"/>
  <c r="Y21" i="183" s="1"/>
  <c r="GE21" i="183" s="1"/>
  <c r="GL21" i="183" s="1"/>
  <c r="DC21" i="183"/>
  <c r="DB21" i="183"/>
  <c r="DA21" i="183"/>
  <c r="EE21" i="183" s="1"/>
  <c r="CZ21" i="183"/>
  <c r="CY21" i="183"/>
  <c r="FS21" i="183" s="1"/>
  <c r="CX21" i="183"/>
  <c r="CW21" i="183"/>
  <c r="CV21" i="183"/>
  <c r="DU21" i="183" s="1"/>
  <c r="CU21" i="183"/>
  <c r="EX21" i="183" s="1"/>
  <c r="CQ21" i="183"/>
  <c r="CP21" i="183"/>
  <c r="CO21" i="183"/>
  <c r="CN21" i="183"/>
  <c r="CM21" i="183"/>
  <c r="CA21" i="183"/>
  <c r="BQ21" i="183"/>
  <c r="BO21" i="183"/>
  <c r="AX21" i="183"/>
  <c r="AW21" i="183"/>
  <c r="AV21" i="183"/>
  <c r="AK21" i="183" s="1"/>
  <c r="AH21" i="183"/>
  <c r="AG21" i="183"/>
  <c r="AF21" i="183"/>
  <c r="AE21" i="183"/>
  <c r="Z21" i="183"/>
  <c r="GK20" i="183"/>
  <c r="GF20" i="183"/>
  <c r="FV20" i="183"/>
  <c r="FT20" i="183"/>
  <c r="FJ20" i="183"/>
  <c r="FK20" i="183" s="1"/>
  <c r="FL20" i="183" s="1"/>
  <c r="Z20" i="183" s="1"/>
  <c r="FI20" i="183"/>
  <c r="FH20" i="183"/>
  <c r="FD20" i="183"/>
  <c r="FC20" i="183"/>
  <c r="FA20" i="183"/>
  <c r="EZ20" i="183"/>
  <c r="ED20" i="183"/>
  <c r="EC20" i="183"/>
  <c r="EB20" i="183"/>
  <c r="EA20" i="183"/>
  <c r="DY20" i="183"/>
  <c r="DW20" i="183"/>
  <c r="DS20" i="183"/>
  <c r="DO20" i="183"/>
  <c r="FE20" i="183" s="1"/>
  <c r="FF20" i="183" s="1"/>
  <c r="FG20" i="183" s="1"/>
  <c r="Y20" i="183" s="1"/>
  <c r="DN20" i="183"/>
  <c r="DM20" i="183"/>
  <c r="DL20" i="183"/>
  <c r="DK20" i="183"/>
  <c r="EL20" i="183" s="1"/>
  <c r="EN20" i="183" s="1"/>
  <c r="ER20" i="183" s="1"/>
  <c r="DJ20" i="183"/>
  <c r="DI20" i="183"/>
  <c r="DH20" i="183"/>
  <c r="FM20" i="183" s="1"/>
  <c r="DG20" i="183"/>
  <c r="CC20" i="183" s="1"/>
  <c r="DF20" i="183"/>
  <c r="DE20" i="183"/>
  <c r="DD20" i="183"/>
  <c r="DC20" i="183"/>
  <c r="DB20" i="183"/>
  <c r="DA20" i="183"/>
  <c r="EE20" i="183" s="1"/>
  <c r="CZ20" i="183"/>
  <c r="CY20" i="183"/>
  <c r="FS20" i="183" s="1"/>
  <c r="CX20" i="183"/>
  <c r="FU20" i="183" s="1"/>
  <c r="CW20" i="183"/>
  <c r="BQ20" i="183" s="1"/>
  <c r="CV20" i="183"/>
  <c r="CU20" i="183"/>
  <c r="CQ20" i="183"/>
  <c r="CP20" i="183"/>
  <c r="CK20" i="183" s="1"/>
  <c r="CO20" i="183"/>
  <c r="CN20" i="183"/>
  <c r="CA20" i="183"/>
  <c r="BO20" i="183"/>
  <c r="AX20" i="183"/>
  <c r="AW20" i="183"/>
  <c r="AK20" i="183" s="1"/>
  <c r="AV20" i="183"/>
  <c r="AH20" i="183"/>
  <c r="AG20" i="183"/>
  <c r="AF20" i="183"/>
  <c r="AE20" i="183"/>
  <c r="K20" i="183"/>
  <c r="J20" i="183"/>
  <c r="I20" i="183"/>
  <c r="GK19" i="183"/>
  <c r="GF19" i="183"/>
  <c r="FV19" i="183"/>
  <c r="FQ19" i="183"/>
  <c r="FM19" i="183"/>
  <c r="FI19" i="183"/>
  <c r="FC19" i="183"/>
  <c r="FB19" i="183"/>
  <c r="FA19" i="183"/>
  <c r="EZ19" i="183"/>
  <c r="EE19" i="183" s="1"/>
  <c r="EY19" i="183"/>
  <c r="EX19" i="183"/>
  <c r="EL19" i="183"/>
  <c r="EN19" i="183" s="1"/>
  <c r="ER19" i="183" s="1"/>
  <c r="EB19" i="183"/>
  <c r="DY19" i="183"/>
  <c r="DU19" i="183"/>
  <c r="DS19" i="183"/>
  <c r="DO19" i="183"/>
  <c r="DN19" i="183"/>
  <c r="DM19" i="183"/>
  <c r="DL19" i="183"/>
  <c r="DK19" i="183"/>
  <c r="DJ19" i="183"/>
  <c r="DI19" i="183"/>
  <c r="DH19" i="183"/>
  <c r="DG19" i="183"/>
  <c r="DF19" i="183"/>
  <c r="ED19" i="183" s="1"/>
  <c r="DE19" i="183"/>
  <c r="FR19" i="183" s="1"/>
  <c r="DD19" i="183"/>
  <c r="FD19" i="183" s="1"/>
  <c r="DC19" i="183"/>
  <c r="DB19" i="183"/>
  <c r="DA19" i="183"/>
  <c r="CZ19" i="183"/>
  <c r="CY19" i="183"/>
  <c r="CX19" i="183"/>
  <c r="FH19" i="183" s="1"/>
  <c r="CW19" i="183"/>
  <c r="CV19" i="183"/>
  <c r="DX19" i="183" s="1"/>
  <c r="CU19" i="183"/>
  <c r="CQ19" i="183"/>
  <c r="CP19" i="183"/>
  <c r="CO19" i="183"/>
  <c r="CN19" i="183"/>
  <c r="CL19" i="183"/>
  <c r="CK19" i="183"/>
  <c r="BQ19" i="183"/>
  <c r="BO19" i="183"/>
  <c r="AX19" i="183"/>
  <c r="AW19" i="183"/>
  <c r="AV19" i="183"/>
  <c r="AK19" i="183" s="1"/>
  <c r="AH19" i="183"/>
  <c r="AG19" i="183"/>
  <c r="AF19" i="183"/>
  <c r="AE19" i="183"/>
  <c r="GK18" i="183"/>
  <c r="GF18" i="183"/>
  <c r="FV18" i="183"/>
  <c r="FT18" i="183"/>
  <c r="FS18" i="183"/>
  <c r="FD18" i="183"/>
  <c r="FE18" i="183" s="1"/>
  <c r="FF18" i="183" s="1"/>
  <c r="FG18" i="183" s="1"/>
  <c r="Y18" i="183" s="1"/>
  <c r="FC18" i="183"/>
  <c r="FA18" i="183"/>
  <c r="EZ18" i="183"/>
  <c r="EE18" i="183" s="1"/>
  <c r="ER18" i="183"/>
  <c r="EM18" i="183"/>
  <c r="EQ18" i="183" s="1"/>
  <c r="CI18" i="183" s="1"/>
  <c r="ED18" i="183"/>
  <c r="K18" i="183" s="1"/>
  <c r="EC18" i="183"/>
  <c r="EB18" i="183"/>
  <c r="EA18" i="183"/>
  <c r="DY18" i="183"/>
  <c r="DS18" i="183"/>
  <c r="DO18" i="183"/>
  <c r="DN18" i="183"/>
  <c r="FI18" i="183" s="1"/>
  <c r="FJ18" i="183" s="1"/>
  <c r="FK18" i="183" s="1"/>
  <c r="FL18" i="183" s="1"/>
  <c r="Z18" i="183" s="1"/>
  <c r="DM18" i="183"/>
  <c r="DL18" i="183"/>
  <c r="DK18" i="183"/>
  <c r="EL18" i="183" s="1"/>
  <c r="EN18" i="183" s="1"/>
  <c r="DJ18" i="183"/>
  <c r="DI18" i="183"/>
  <c r="DH18" i="183"/>
  <c r="FM18" i="183" s="1"/>
  <c r="DG18" i="183"/>
  <c r="CC18" i="183" s="1"/>
  <c r="DF18" i="183"/>
  <c r="DE18" i="183"/>
  <c r="FR18" i="183" s="1"/>
  <c r="DD18" i="183"/>
  <c r="DC18" i="183"/>
  <c r="DB18" i="183"/>
  <c r="DA18" i="183"/>
  <c r="CZ18" i="183"/>
  <c r="CY18" i="183"/>
  <c r="CX18" i="183"/>
  <c r="FU18" i="183" s="1"/>
  <c r="CW18" i="183"/>
  <c r="CV18" i="183"/>
  <c r="DW18" i="183" s="1"/>
  <c r="CU18" i="183"/>
  <c r="CQ18" i="183"/>
  <c r="CP18" i="183"/>
  <c r="CK18" i="183" s="1"/>
  <c r="CO18" i="183"/>
  <c r="CN18" i="183"/>
  <c r="CA18" i="183"/>
  <c r="BQ18" i="183"/>
  <c r="BO18" i="183"/>
  <c r="AX18" i="183"/>
  <c r="AW18" i="183"/>
  <c r="AV18" i="183"/>
  <c r="AK18" i="183"/>
  <c r="AJ18" i="183" s="1"/>
  <c r="AH18" i="183"/>
  <c r="AG18" i="183"/>
  <c r="AF18" i="183"/>
  <c r="AE18" i="183"/>
  <c r="GK17" i="183"/>
  <c r="GF17" i="183"/>
  <c r="FV17" i="183"/>
  <c r="FP17" i="183"/>
  <c r="FM17" i="183"/>
  <c r="FC17" i="183"/>
  <c r="FA17" i="183"/>
  <c r="EZ17" i="183"/>
  <c r="EE17" i="183" s="1"/>
  <c r="ED17" i="183"/>
  <c r="EB17" i="183"/>
  <c r="EA17" i="183"/>
  <c r="DY17" i="183"/>
  <c r="DS17" i="183"/>
  <c r="DP17" i="183"/>
  <c r="DO17" i="183"/>
  <c r="DN17" i="183"/>
  <c r="FI17" i="183" s="1"/>
  <c r="DM17" i="183"/>
  <c r="DL17" i="183"/>
  <c r="DK17" i="183"/>
  <c r="EL17" i="183" s="1"/>
  <c r="DJ17" i="183"/>
  <c r="DI17" i="183"/>
  <c r="FT17" i="183" s="1"/>
  <c r="DH17" i="183"/>
  <c r="DG17" i="183"/>
  <c r="DF17" i="183"/>
  <c r="EC17" i="183" s="1"/>
  <c r="DE17" i="183"/>
  <c r="FR17" i="183" s="1"/>
  <c r="DD17" i="183"/>
  <c r="FD17" i="183" s="1"/>
  <c r="DC17" i="183"/>
  <c r="DB17" i="183"/>
  <c r="DA17" i="183"/>
  <c r="CZ17" i="183"/>
  <c r="CY17" i="183"/>
  <c r="CX17" i="183"/>
  <c r="FU17" i="183" s="1"/>
  <c r="CW17" i="183"/>
  <c r="CV17" i="183"/>
  <c r="CU17" i="183"/>
  <c r="FQ17" i="183" s="1"/>
  <c r="CQ17" i="183"/>
  <c r="CP17" i="183"/>
  <c r="CO17" i="183"/>
  <c r="CN17" i="183"/>
  <c r="CK17" i="183"/>
  <c r="CC17" i="183"/>
  <c r="CA17" i="183"/>
  <c r="BQ17" i="183"/>
  <c r="CL17" i="183" s="1"/>
  <c r="BO17" i="183"/>
  <c r="AX17" i="183"/>
  <c r="AW17" i="183"/>
  <c r="AV17" i="183"/>
  <c r="AK17" i="183" s="1"/>
  <c r="AH17" i="183"/>
  <c r="AG17" i="183"/>
  <c r="AF17" i="183"/>
  <c r="AE17" i="183"/>
  <c r="GK16" i="183"/>
  <c r="GF16" i="183"/>
  <c r="FT16" i="183"/>
  <c r="FS16" i="183"/>
  <c r="FH16" i="183"/>
  <c r="FD16" i="183"/>
  <c r="FE16" i="183" s="1"/>
  <c r="FF16" i="183" s="1"/>
  <c r="FG16" i="183" s="1"/>
  <c r="Y16" i="183" s="1"/>
  <c r="FC16" i="183"/>
  <c r="FA16" i="183"/>
  <c r="EZ16" i="183"/>
  <c r="EE16" i="183" s="1"/>
  <c r="EF16" i="183" s="1"/>
  <c r="EJ16" i="183"/>
  <c r="EA16" i="183"/>
  <c r="DY16" i="183"/>
  <c r="DX16" i="183"/>
  <c r="H16" i="183" s="1"/>
  <c r="DW16" i="183"/>
  <c r="DV16" i="183"/>
  <c r="DT16" i="183"/>
  <c r="DS16" i="183"/>
  <c r="DO16" i="183"/>
  <c r="DN16" i="183"/>
  <c r="FI16" i="183" s="1"/>
  <c r="DM16" i="183"/>
  <c r="DL16" i="183"/>
  <c r="DK16" i="183"/>
  <c r="EL16" i="183" s="1"/>
  <c r="DJ16" i="183"/>
  <c r="DI16" i="183"/>
  <c r="DH16" i="183"/>
  <c r="FM16" i="183" s="1"/>
  <c r="DG16" i="183"/>
  <c r="DF16" i="183"/>
  <c r="DE16" i="183"/>
  <c r="CA16" i="183" s="1"/>
  <c r="DD16" i="183"/>
  <c r="DC16" i="183"/>
  <c r="FQ16" i="183" s="1"/>
  <c r="DB16" i="183"/>
  <c r="DA16" i="183"/>
  <c r="CZ16" i="183"/>
  <c r="CY16" i="183"/>
  <c r="CX16" i="183"/>
  <c r="FU16" i="183" s="1"/>
  <c r="CW16" i="183"/>
  <c r="CV16" i="183"/>
  <c r="DP16" i="183" s="1"/>
  <c r="CU16" i="183"/>
  <c r="EX16" i="183" s="1"/>
  <c r="CQ16" i="183"/>
  <c r="CP16" i="183"/>
  <c r="CO16" i="183"/>
  <c r="CN16" i="183"/>
  <c r="CC16" i="183"/>
  <c r="CM16" i="183" s="1"/>
  <c r="BO16" i="183"/>
  <c r="AX16" i="183"/>
  <c r="AW16" i="183"/>
  <c r="AV16" i="183"/>
  <c r="AH16" i="183"/>
  <c r="AG16" i="183"/>
  <c r="AF16" i="183"/>
  <c r="AE16" i="183"/>
  <c r="G16" i="183"/>
  <c r="IF14" i="183"/>
  <c r="ID14" i="183"/>
  <c r="IA14" i="183"/>
  <c r="HZ14" i="183"/>
  <c r="HX14" i="183"/>
  <c r="HU14" i="183"/>
  <c r="HR14" i="183"/>
  <c r="HQ14" i="183"/>
  <c r="HP14" i="183"/>
  <c r="HO14" i="183"/>
  <c r="HN14" i="183"/>
  <c r="HK14" i="183"/>
  <c r="HJ14" i="183"/>
  <c r="HH14" i="183"/>
  <c r="AA12" i="183"/>
  <c r="AB12" i="183" s="1"/>
  <c r="HF11" i="183"/>
  <c r="HG11" i="183" s="1"/>
  <c r="HH11" i="183" s="1"/>
  <c r="HI11" i="183" s="1"/>
  <c r="HJ11" i="183" s="1"/>
  <c r="HK11" i="183" s="1"/>
  <c r="HL11" i="183" s="1"/>
  <c r="HM11" i="183" s="1"/>
  <c r="HN11" i="183" s="1"/>
  <c r="HO11" i="183" s="1"/>
  <c r="HP11" i="183" s="1"/>
  <c r="HQ11" i="183" s="1"/>
  <c r="HR11" i="183" s="1"/>
  <c r="HS11" i="183" s="1"/>
  <c r="HT11" i="183" s="1"/>
  <c r="HU11" i="183" s="1"/>
  <c r="HV11" i="183" s="1"/>
  <c r="HW11" i="183" s="1"/>
  <c r="HX11" i="183" s="1"/>
  <c r="HY11" i="183" s="1"/>
  <c r="HZ11" i="183" s="1"/>
  <c r="IA11" i="183" s="1"/>
  <c r="IB11" i="183" s="1"/>
  <c r="IC11" i="183" s="1"/>
  <c r="ID11" i="183" s="1"/>
  <c r="IE11" i="183" s="1"/>
  <c r="IF11" i="183" s="1"/>
  <c r="HC11" i="183"/>
  <c r="HD11" i="183" s="1"/>
  <c r="HE11" i="183" s="1"/>
  <c r="HB11" i="183"/>
  <c r="CG10" i="183"/>
  <c r="CF10" i="183"/>
  <c r="CE10" i="183"/>
  <c r="CD10" i="183"/>
  <c r="CC10" i="183"/>
  <c r="CB10" i="183"/>
  <c r="CA10" i="183"/>
  <c r="BZ10" i="183"/>
  <c r="BY10" i="183"/>
  <c r="BX10" i="183"/>
  <c r="BW10" i="183"/>
  <c r="BV10" i="183"/>
  <c r="BU10" i="183"/>
  <c r="BT10" i="183"/>
  <c r="BS10" i="183"/>
  <c r="BR10" i="183"/>
  <c r="BQ10" i="183"/>
  <c r="BP10" i="183"/>
  <c r="BO10" i="183"/>
  <c r="BN10" i="183"/>
  <c r="BM10" i="183"/>
  <c r="BL10" i="183"/>
  <c r="BK10" i="183"/>
  <c r="BJ10" i="183"/>
  <c r="BI10" i="183"/>
  <c r="BH10" i="183"/>
  <c r="BG10" i="183"/>
  <c r="BF10" i="183"/>
  <c r="BE10" i="183"/>
  <c r="BD10" i="183"/>
  <c r="BC10" i="183"/>
  <c r="BB10" i="183"/>
  <c r="Z10" i="183"/>
  <c r="S10" i="183"/>
  <c r="C10" i="183"/>
  <c r="DN9" i="183"/>
  <c r="DM9" i="183"/>
  <c r="DL9" i="183"/>
  <c r="DK9" i="183"/>
  <c r="DJ9" i="183"/>
  <c r="DI9" i="183"/>
  <c r="DH9" i="183"/>
  <c r="DG9" i="183"/>
  <c r="S9" i="183"/>
  <c r="C9" i="183"/>
  <c r="DN8" i="183"/>
  <c r="DM8" i="183"/>
  <c r="DL8" i="183"/>
  <c r="DK8" i="183"/>
  <c r="DJ8" i="183"/>
  <c r="DI8" i="183"/>
  <c r="DH8" i="183"/>
  <c r="DG8" i="183"/>
  <c r="DN7" i="183"/>
  <c r="DM7" i="183"/>
  <c r="DL7" i="183"/>
  <c r="DK7" i="183"/>
  <c r="DJ7" i="183"/>
  <c r="DI7" i="183"/>
  <c r="DH7" i="183"/>
  <c r="DG7" i="183"/>
  <c r="DN6" i="183"/>
  <c r="DM6" i="183"/>
  <c r="DL6" i="183"/>
  <c r="DK6" i="183"/>
  <c r="DJ6" i="183"/>
  <c r="DI6" i="183"/>
  <c r="AQ25" i="183" s="1"/>
  <c r="DH6" i="183"/>
  <c r="DG6" i="183"/>
  <c r="DC6" i="183"/>
  <c r="DB6" i="183"/>
  <c r="DA6" i="183"/>
  <c r="CZ6" i="183"/>
  <c r="CY6" i="183"/>
  <c r="CX6" i="183"/>
  <c r="CW6" i="183"/>
  <c r="CV6" i="183"/>
  <c r="Y6" i="183"/>
  <c r="M6" i="183"/>
  <c r="DN5" i="183"/>
  <c r="DM5" i="183"/>
  <c r="DL5" i="183"/>
  <c r="DK5" i="183"/>
  <c r="DJ5" i="183"/>
  <c r="DI5" i="183"/>
  <c r="DH5" i="183"/>
  <c r="DG5" i="183"/>
  <c r="DC5" i="183"/>
  <c r="DB5" i="183"/>
  <c r="DA5" i="183"/>
  <c r="CZ5" i="183"/>
  <c r="CY5" i="183"/>
  <c r="CX5" i="183"/>
  <c r="CW5" i="183"/>
  <c r="CV5" i="183"/>
  <c r="DN4" i="183"/>
  <c r="DM4" i="183"/>
  <c r="DL4" i="183"/>
  <c r="DK4" i="183"/>
  <c r="DJ4" i="183"/>
  <c r="DI4" i="183"/>
  <c r="DH4" i="183"/>
  <c r="DG4" i="183"/>
  <c r="DC4" i="183"/>
  <c r="DB4" i="183"/>
  <c r="DA4" i="183"/>
  <c r="CZ4" i="183"/>
  <c r="CY4" i="183"/>
  <c r="CX4" i="183"/>
  <c r="CW4" i="183"/>
  <c r="CV4" i="183"/>
  <c r="P4" i="183"/>
  <c r="DN3" i="183"/>
  <c r="DM3" i="183"/>
  <c r="DL3" i="183"/>
  <c r="DK3" i="183"/>
  <c r="DJ3" i="183"/>
  <c r="DI3" i="183"/>
  <c r="DH3" i="183"/>
  <c r="DG3" i="183"/>
  <c r="DN2" i="183"/>
  <c r="DM2" i="183"/>
  <c r="DL2" i="183"/>
  <c r="DK2" i="183"/>
  <c r="DJ2" i="183"/>
  <c r="DI2" i="183"/>
  <c r="DH2" i="183"/>
  <c r="DG2" i="183"/>
  <c r="DD2" i="183"/>
  <c r="DB2" i="183"/>
  <c r="FN16" i="183" s="1"/>
  <c r="CZ2" i="183"/>
  <c r="CX2" i="183"/>
  <c r="P2" i="183"/>
  <c r="HA1" i="183"/>
  <c r="DQ1" i="183"/>
  <c r="DD1" i="183"/>
  <c r="DZ22" i="183" s="1"/>
  <c r="CY1" i="183"/>
  <c r="CX1" i="183"/>
  <c r="AE1" i="183"/>
  <c r="AY20" i="183" s="1"/>
  <c r="AD1" i="183"/>
  <c r="P1" i="183"/>
  <c r="FV69" i="182"/>
  <c r="CC69" i="182" s="1"/>
  <c r="FU69" i="182"/>
  <c r="CB69" i="182" s="1"/>
  <c r="FT69" i="182"/>
  <c r="FS69" i="182"/>
  <c r="FR69" i="182"/>
  <c r="FM69" i="182"/>
  <c r="FC69" i="182"/>
  <c r="FB69" i="182"/>
  <c r="EZ69" i="182"/>
  <c r="EY69" i="182"/>
  <c r="EW69" i="182"/>
  <c r="EU69" i="182"/>
  <c r="ET69" i="182"/>
  <c r="EL69" i="182"/>
  <c r="DY69" i="182"/>
  <c r="DZ69" i="182" s="1"/>
  <c r="DX69" i="182"/>
  <c r="DW69" i="182"/>
  <c r="DV69" i="182"/>
  <c r="DS69" i="182"/>
  <c r="DR69" i="182"/>
  <c r="DQ69" i="182"/>
  <c r="DN69" i="182"/>
  <c r="FI69" i="182" s="1"/>
  <c r="DM69" i="182"/>
  <c r="DL69" i="182"/>
  <c r="DK69" i="182"/>
  <c r="DJ69" i="182"/>
  <c r="DI69" i="182"/>
  <c r="DH69" i="182"/>
  <c r="DG69" i="182"/>
  <c r="DF69" i="182"/>
  <c r="DE69" i="182"/>
  <c r="FA69" i="182" s="1"/>
  <c r="DD69" i="182"/>
  <c r="DO69" i="182" s="1"/>
  <c r="FJ69" i="182" s="1"/>
  <c r="FK69" i="182" s="1"/>
  <c r="FL69" i="182" s="1"/>
  <c r="DC69" i="182"/>
  <c r="DT69" i="182" s="1"/>
  <c r="DB69" i="182"/>
  <c r="DA69" i="182"/>
  <c r="CZ69" i="182"/>
  <c r="CY69" i="182"/>
  <c r="ES69" i="182" s="1"/>
  <c r="CX69" i="182"/>
  <c r="FH69" i="182" s="1"/>
  <c r="CW69" i="182"/>
  <c r="CV69" i="182"/>
  <c r="CU69" i="182"/>
  <c r="CC68" i="182"/>
  <c r="CB68" i="182"/>
  <c r="GD57" i="182"/>
  <c r="GC57" i="182"/>
  <c r="GB57" i="182"/>
  <c r="GA57" i="182"/>
  <c r="AA57" i="182"/>
  <c r="Z57" i="182"/>
  <c r="Y57" i="182"/>
  <c r="X57" i="182"/>
  <c r="W57" i="182"/>
  <c r="V57" i="182"/>
  <c r="U57" i="182"/>
  <c r="T57" i="182"/>
  <c r="S57" i="182"/>
  <c r="R57" i="182"/>
  <c r="Q57" i="182"/>
  <c r="P57" i="182"/>
  <c r="O57" i="182"/>
  <c r="N57" i="182"/>
  <c r="M57" i="182"/>
  <c r="L57" i="182"/>
  <c r="K57" i="182"/>
  <c r="J57" i="182"/>
  <c r="I57" i="182"/>
  <c r="H57" i="182"/>
  <c r="G57" i="182"/>
  <c r="F57" i="182"/>
  <c r="E57" i="182"/>
  <c r="D57" i="182"/>
  <c r="C57" i="182"/>
  <c r="B57" i="182"/>
  <c r="A57" i="182"/>
  <c r="EG43" i="182"/>
  <c r="EF43" i="182"/>
  <c r="GF40" i="182"/>
  <c r="GC40" i="182" s="1"/>
  <c r="GD40" i="182"/>
  <c r="FS40" i="182"/>
  <c r="FI40" i="182"/>
  <c r="FH40" i="182"/>
  <c r="FC40" i="182"/>
  <c r="EZ40" i="182"/>
  <c r="EE40" i="182" s="1"/>
  <c r="EX40" i="182"/>
  <c r="EM40" i="182"/>
  <c r="EQ40" i="182" s="1"/>
  <c r="CI40" i="182" s="1"/>
  <c r="EC40" i="182"/>
  <c r="FP40" i="182" s="1"/>
  <c r="EA40" i="182"/>
  <c r="DY40" i="182"/>
  <c r="DX40" i="182"/>
  <c r="G40" i="182" s="1"/>
  <c r="DW40" i="182"/>
  <c r="DV40" i="182"/>
  <c r="DS40" i="182"/>
  <c r="DO40" i="182"/>
  <c r="DN40" i="182"/>
  <c r="DM40" i="182"/>
  <c r="DL40" i="182"/>
  <c r="DK40" i="182"/>
  <c r="EL40" i="182" s="1"/>
  <c r="EN40" i="182" s="1"/>
  <c r="ER40" i="182" s="1"/>
  <c r="DJ40" i="182"/>
  <c r="DI40" i="182"/>
  <c r="FT40" i="182" s="1"/>
  <c r="DH40" i="182"/>
  <c r="FM40" i="182" s="1"/>
  <c r="DG40" i="182"/>
  <c r="DF40" i="182"/>
  <c r="ED40" i="182" s="1"/>
  <c r="DE40" i="182"/>
  <c r="DD40" i="182"/>
  <c r="FD40" i="182" s="1"/>
  <c r="DC40" i="182"/>
  <c r="DB40" i="182"/>
  <c r="DA40" i="182"/>
  <c r="CZ40" i="182"/>
  <c r="CY40" i="182"/>
  <c r="CX40" i="182"/>
  <c r="FU40" i="182" s="1"/>
  <c r="CW40" i="182"/>
  <c r="CV40" i="182"/>
  <c r="CU40" i="182"/>
  <c r="EY40" i="182" s="1"/>
  <c r="CQ40" i="182"/>
  <c r="CP40" i="182"/>
  <c r="CK40" i="182" s="1"/>
  <c r="CO40" i="182"/>
  <c r="CN40" i="182"/>
  <c r="AX40" i="182"/>
  <c r="AW40" i="182"/>
  <c r="AV40" i="182"/>
  <c r="AK40" i="182" s="1"/>
  <c r="AM40" i="182"/>
  <c r="AH40" i="182"/>
  <c r="AF40" i="182"/>
  <c r="AE40" i="182"/>
  <c r="AD40" i="182"/>
  <c r="H40" i="182"/>
  <c r="F40" i="182"/>
  <c r="C40" i="182"/>
  <c r="AJ40" i="182" s="1"/>
  <c r="A40" i="182"/>
  <c r="FU39" i="182"/>
  <c r="FI39" i="182"/>
  <c r="FJ39" i="182" s="1"/>
  <c r="FK39" i="182" s="1"/>
  <c r="FL39" i="182" s="1"/>
  <c r="FH39" i="182"/>
  <c r="FD39" i="182"/>
  <c r="FE39" i="182" s="1"/>
  <c r="FF39" i="182" s="1"/>
  <c r="FG39" i="182" s="1"/>
  <c r="Y39" i="182" s="1"/>
  <c r="FC39" i="182"/>
  <c r="EZ39" i="182"/>
  <c r="EE39" i="182" s="1"/>
  <c r="EC39" i="182"/>
  <c r="EB39" i="182"/>
  <c r="EA39" i="182"/>
  <c r="DY39" i="182"/>
  <c r="DS39" i="182"/>
  <c r="DO39" i="182"/>
  <c r="DN39" i="182"/>
  <c r="DM39" i="182"/>
  <c r="DL39" i="182"/>
  <c r="DK39" i="182"/>
  <c r="EL39" i="182" s="1"/>
  <c r="DJ39" i="182"/>
  <c r="DI39" i="182"/>
  <c r="DH39" i="182"/>
  <c r="FV39" i="182" s="1"/>
  <c r="DG39" i="182"/>
  <c r="DF39" i="182"/>
  <c r="ED39" i="182" s="1"/>
  <c r="DE39" i="182"/>
  <c r="CC39" i="182" s="1"/>
  <c r="DD39" i="182"/>
  <c r="DC39" i="182"/>
  <c r="DB39" i="182"/>
  <c r="DA39" i="182"/>
  <c r="CZ39" i="182"/>
  <c r="CY39" i="182"/>
  <c r="FS39" i="182" s="1"/>
  <c r="CX39" i="182"/>
  <c r="CW39" i="182"/>
  <c r="CV39" i="182"/>
  <c r="CU39" i="182"/>
  <c r="EY39" i="182" s="1"/>
  <c r="CQ39" i="182"/>
  <c r="CP39" i="182"/>
  <c r="CK39" i="182" s="1"/>
  <c r="CO39" i="182"/>
  <c r="CN39" i="182"/>
  <c r="CL39" i="182"/>
  <c r="CA39" i="182"/>
  <c r="BQ39" i="182"/>
  <c r="BO39" i="182"/>
  <c r="Z39" i="182"/>
  <c r="J39" i="182"/>
  <c r="C39" i="182"/>
  <c r="A39" i="182"/>
  <c r="GF39" i="182" s="1"/>
  <c r="GK38" i="182"/>
  <c r="GF38" i="182"/>
  <c r="FU38" i="182"/>
  <c r="FT38" i="182"/>
  <c r="FC38" i="182"/>
  <c r="FA38" i="182"/>
  <c r="EZ38" i="182"/>
  <c r="EY38" i="182"/>
  <c r="EX38" i="182"/>
  <c r="EN38" i="182"/>
  <c r="ER38" i="182" s="1"/>
  <c r="EL38" i="182"/>
  <c r="EM38" i="182" s="1"/>
  <c r="EQ38" i="182" s="1"/>
  <c r="CI38" i="182" s="1"/>
  <c r="ED38" i="182"/>
  <c r="J38" i="182" s="1"/>
  <c r="EC38" i="182"/>
  <c r="EB38" i="182"/>
  <c r="DY38" i="182"/>
  <c r="DX38" i="182"/>
  <c r="DS38" i="182"/>
  <c r="DO38" i="182"/>
  <c r="FJ38" i="182" s="1"/>
  <c r="FK38" i="182" s="1"/>
  <c r="FL38" i="182" s="1"/>
  <c r="Z38" i="182" s="1"/>
  <c r="DN38" i="182"/>
  <c r="FI38" i="182" s="1"/>
  <c r="DM38" i="182"/>
  <c r="DL38" i="182"/>
  <c r="DK38" i="182"/>
  <c r="DJ38" i="182"/>
  <c r="DI38" i="182"/>
  <c r="DH38" i="182"/>
  <c r="DG38" i="182"/>
  <c r="CC38" i="182" s="1"/>
  <c r="DF38" i="182"/>
  <c r="EA38" i="182" s="1"/>
  <c r="DE38" i="182"/>
  <c r="FR38" i="182" s="1"/>
  <c r="DD38" i="182"/>
  <c r="FD38" i="182" s="1"/>
  <c r="FE38" i="182" s="1"/>
  <c r="FF38" i="182" s="1"/>
  <c r="FG38" i="182" s="1"/>
  <c r="Y38" i="182" s="1"/>
  <c r="GE38" i="182" s="1"/>
  <c r="GL38" i="182" s="1"/>
  <c r="GM38" i="182" s="1"/>
  <c r="DC38" i="182"/>
  <c r="DB38" i="182"/>
  <c r="DA38" i="182"/>
  <c r="EE38" i="182" s="1"/>
  <c r="CZ38" i="182"/>
  <c r="CY38" i="182"/>
  <c r="FS38" i="182" s="1"/>
  <c r="CX38" i="182"/>
  <c r="FH38" i="182" s="1"/>
  <c r="CW38" i="182"/>
  <c r="CV38" i="182"/>
  <c r="DW38" i="182" s="1"/>
  <c r="CU38" i="182"/>
  <c r="CQ38" i="182"/>
  <c r="CP38" i="182"/>
  <c r="CK38" i="182" s="1"/>
  <c r="CO38" i="182"/>
  <c r="CN38" i="182"/>
  <c r="CA38" i="182"/>
  <c r="BQ38" i="182"/>
  <c r="BO38" i="182"/>
  <c r="AX38" i="182"/>
  <c r="AW38" i="182"/>
  <c r="AV38" i="182"/>
  <c r="AK38" i="182" s="1"/>
  <c r="AH38" i="182"/>
  <c r="AG38" i="182"/>
  <c r="AF38" i="182"/>
  <c r="AE38" i="182"/>
  <c r="K38" i="182"/>
  <c r="GK37" i="182"/>
  <c r="GF37" i="182"/>
  <c r="FV37" i="182"/>
  <c r="FQ37" i="182"/>
  <c r="FM37" i="182"/>
  <c r="FC37" i="182"/>
  <c r="FA37" i="182"/>
  <c r="EZ37" i="182"/>
  <c r="EY37" i="182"/>
  <c r="EX37" i="182"/>
  <c r="EV37" i="182"/>
  <c r="CJ37" i="182" s="1"/>
  <c r="EL37" i="182"/>
  <c r="EN37" i="182" s="1"/>
  <c r="ER37" i="182" s="1"/>
  <c r="EF37" i="182"/>
  <c r="EE37" i="182"/>
  <c r="EG37" i="182" s="1"/>
  <c r="EK37" i="182" s="1"/>
  <c r="DY37" i="182"/>
  <c r="DX37" i="182"/>
  <c r="DW37" i="182"/>
  <c r="DV37" i="182"/>
  <c r="DU37" i="182"/>
  <c r="DS37" i="182"/>
  <c r="DP37" i="182"/>
  <c r="DO37" i="182"/>
  <c r="DN37" i="182"/>
  <c r="FI37" i="182" s="1"/>
  <c r="DM37" i="182"/>
  <c r="DL37" i="182"/>
  <c r="DK37" i="182"/>
  <c r="DJ37" i="182"/>
  <c r="DI37" i="182"/>
  <c r="DH37" i="182"/>
  <c r="DG37" i="182"/>
  <c r="DF37" i="182"/>
  <c r="ED37" i="182" s="1"/>
  <c r="DE37" i="182"/>
  <c r="CC37" i="182" s="1"/>
  <c r="DD37" i="182"/>
  <c r="FD37" i="182" s="1"/>
  <c r="DC37" i="182"/>
  <c r="DB37" i="182"/>
  <c r="DA37" i="182"/>
  <c r="CZ37" i="182"/>
  <c r="CY37" i="182"/>
  <c r="CX37" i="182"/>
  <c r="FH37" i="182" s="1"/>
  <c r="CW37" i="182"/>
  <c r="CV37" i="182"/>
  <c r="CU37" i="182"/>
  <c r="CQ37" i="182"/>
  <c r="CP37" i="182"/>
  <c r="CK37" i="182" s="1"/>
  <c r="CO37" i="182"/>
  <c r="CN37" i="182"/>
  <c r="BQ37" i="182"/>
  <c r="BO37" i="182"/>
  <c r="AX37" i="182"/>
  <c r="AW37" i="182"/>
  <c r="AV37" i="182"/>
  <c r="AK37" i="182" s="1"/>
  <c r="AO37" i="182"/>
  <c r="AH37" i="182"/>
  <c r="AG37" i="182"/>
  <c r="AF37" i="182"/>
  <c r="AE37" i="182"/>
  <c r="H37" i="182"/>
  <c r="G37" i="182"/>
  <c r="F37" i="182"/>
  <c r="GK36" i="182"/>
  <c r="GF36" i="182"/>
  <c r="FU36" i="182"/>
  <c r="FT36" i="182"/>
  <c r="FD36" i="182"/>
  <c r="FE36" i="182" s="1"/>
  <c r="FF36" i="182" s="1"/>
  <c r="FG36" i="182" s="1"/>
  <c r="Y36" i="182" s="1"/>
  <c r="GE36" i="182" s="1"/>
  <c r="GL36" i="182" s="1"/>
  <c r="GM36" i="182" s="1"/>
  <c r="FC36" i="182"/>
  <c r="FA36" i="182"/>
  <c r="EZ36" i="182"/>
  <c r="EX36" i="182"/>
  <c r="EN36" i="182"/>
  <c r="ER36" i="182" s="1"/>
  <c r="EM36" i="182"/>
  <c r="EQ36" i="182" s="1"/>
  <c r="ED36" i="182"/>
  <c r="K36" i="182" s="1"/>
  <c r="EC36" i="182"/>
  <c r="EB36" i="182"/>
  <c r="DY36" i="182"/>
  <c r="DX36" i="182"/>
  <c r="H36" i="182" s="1"/>
  <c r="DW36" i="182"/>
  <c r="DS36" i="182"/>
  <c r="DO36" i="182"/>
  <c r="FJ36" i="182" s="1"/>
  <c r="FK36" i="182" s="1"/>
  <c r="FL36" i="182" s="1"/>
  <c r="Z36" i="182" s="1"/>
  <c r="DN36" i="182"/>
  <c r="FI36" i="182" s="1"/>
  <c r="DM36" i="182"/>
  <c r="DL36" i="182"/>
  <c r="DK36" i="182"/>
  <c r="EL36" i="182" s="1"/>
  <c r="DJ36" i="182"/>
  <c r="DI36" i="182"/>
  <c r="DH36" i="182"/>
  <c r="DG36" i="182"/>
  <c r="CC36" i="182" s="1"/>
  <c r="DF36" i="182"/>
  <c r="EA36" i="182" s="1"/>
  <c r="DE36" i="182"/>
  <c r="FR36" i="182" s="1"/>
  <c r="DD36" i="182"/>
  <c r="DC36" i="182"/>
  <c r="DB36" i="182"/>
  <c r="DA36" i="182"/>
  <c r="EE36" i="182" s="1"/>
  <c r="EF36" i="182" s="1"/>
  <c r="EJ36" i="182" s="1"/>
  <c r="CZ36" i="182"/>
  <c r="CY36" i="182"/>
  <c r="FS36" i="182" s="1"/>
  <c r="CX36" i="182"/>
  <c r="FH36" i="182" s="1"/>
  <c r="CW36" i="182"/>
  <c r="CV36" i="182"/>
  <c r="DV36" i="182" s="1"/>
  <c r="CU36" i="182"/>
  <c r="FQ36" i="182" s="1"/>
  <c r="CQ36" i="182"/>
  <c r="CP36" i="182"/>
  <c r="CO36" i="182"/>
  <c r="CN36" i="182"/>
  <c r="CA36" i="182"/>
  <c r="BQ36" i="182"/>
  <c r="BO36" i="182"/>
  <c r="AX36" i="182"/>
  <c r="AW36" i="182"/>
  <c r="AV36" i="182"/>
  <c r="AH36" i="182"/>
  <c r="AG36" i="182"/>
  <c r="AF36" i="182"/>
  <c r="AE36" i="182"/>
  <c r="GK35" i="182"/>
  <c r="GF35" i="182"/>
  <c r="FV35" i="182"/>
  <c r="FQ35" i="182"/>
  <c r="FM35" i="182"/>
  <c r="FC35" i="182"/>
  <c r="FA35" i="182"/>
  <c r="EZ35" i="182"/>
  <c r="EY35" i="182"/>
  <c r="EL35" i="182"/>
  <c r="EN35" i="182" s="1"/>
  <c r="ER35" i="182" s="1"/>
  <c r="EE35" i="182"/>
  <c r="EG35" i="182" s="1"/>
  <c r="DY35" i="182"/>
  <c r="DX35" i="182"/>
  <c r="DW35" i="182"/>
  <c r="DV35" i="182"/>
  <c r="DU35" i="182"/>
  <c r="DS35" i="182"/>
  <c r="DP35" i="182"/>
  <c r="DO35" i="182"/>
  <c r="DN35" i="182"/>
  <c r="FI35" i="182" s="1"/>
  <c r="DM35" i="182"/>
  <c r="DL35" i="182"/>
  <c r="DK35" i="182"/>
  <c r="DJ35" i="182"/>
  <c r="DI35" i="182"/>
  <c r="DH35" i="182"/>
  <c r="DG35" i="182"/>
  <c r="DF35" i="182"/>
  <c r="ED35" i="182" s="1"/>
  <c r="DE35" i="182"/>
  <c r="CC35" i="182" s="1"/>
  <c r="DD35" i="182"/>
  <c r="FD35" i="182" s="1"/>
  <c r="DC35" i="182"/>
  <c r="FO35" i="182" s="1"/>
  <c r="DB35" i="182"/>
  <c r="DA35" i="182"/>
  <c r="CZ35" i="182"/>
  <c r="CY35" i="182"/>
  <c r="CX35" i="182"/>
  <c r="FH35" i="182" s="1"/>
  <c r="CW35" i="182"/>
  <c r="CV35" i="182"/>
  <c r="CU35" i="182"/>
  <c r="EX35" i="182" s="1"/>
  <c r="CQ35" i="182"/>
  <c r="CP35" i="182"/>
  <c r="CK35" i="182" s="1"/>
  <c r="CO35" i="182"/>
  <c r="CN35" i="182"/>
  <c r="CL35" i="182"/>
  <c r="BQ35" i="182"/>
  <c r="BO35" i="182"/>
  <c r="AX35" i="182"/>
  <c r="AW35" i="182"/>
  <c r="AV35" i="182"/>
  <c r="AK35" i="182" s="1"/>
  <c r="AO35" i="182" s="1"/>
  <c r="AH35" i="182"/>
  <c r="AG35" i="182"/>
  <c r="AF35" i="182"/>
  <c r="AE35" i="182"/>
  <c r="H35" i="182"/>
  <c r="G35" i="182"/>
  <c r="F35" i="182"/>
  <c r="GK34" i="182"/>
  <c r="GF34" i="182"/>
  <c r="FU34" i="182"/>
  <c r="FT34" i="182"/>
  <c r="FE34" i="182"/>
  <c r="FF34" i="182" s="1"/>
  <c r="FG34" i="182" s="1"/>
  <c r="Y34" i="182" s="1"/>
  <c r="FD34" i="182"/>
  <c r="FC34" i="182"/>
  <c r="FA34" i="182"/>
  <c r="EZ34" i="182"/>
  <c r="EX34" i="182"/>
  <c r="EN34" i="182"/>
  <c r="ER34" i="182" s="1"/>
  <c r="EM34" i="182"/>
  <c r="EQ34" i="182" s="1"/>
  <c r="CI34" i="182" s="1"/>
  <c r="EG34" i="182"/>
  <c r="EK34" i="182" s="1"/>
  <c r="ED34" i="182"/>
  <c r="K34" i="182" s="1"/>
  <c r="EB34" i="182"/>
  <c r="DY34" i="182"/>
  <c r="DX34" i="182"/>
  <c r="H34" i="182" s="1"/>
  <c r="DW34" i="182"/>
  <c r="DS34" i="182"/>
  <c r="DO34" i="182"/>
  <c r="FJ34" i="182" s="1"/>
  <c r="FK34" i="182" s="1"/>
  <c r="FL34" i="182" s="1"/>
  <c r="Z34" i="182" s="1"/>
  <c r="DN34" i="182"/>
  <c r="FI34" i="182" s="1"/>
  <c r="DM34" i="182"/>
  <c r="DL34" i="182"/>
  <c r="DK34" i="182"/>
  <c r="EL34" i="182" s="1"/>
  <c r="DJ34" i="182"/>
  <c r="DI34" i="182"/>
  <c r="DH34" i="182"/>
  <c r="DG34" i="182"/>
  <c r="CC34" i="182" s="1"/>
  <c r="DF34" i="182"/>
  <c r="EC34" i="182" s="1"/>
  <c r="DE34" i="182"/>
  <c r="FR34" i="182" s="1"/>
  <c r="DD34" i="182"/>
  <c r="DC34" i="182"/>
  <c r="DB34" i="182"/>
  <c r="DA34" i="182"/>
  <c r="EE34" i="182" s="1"/>
  <c r="EF34" i="182" s="1"/>
  <c r="EJ34" i="182" s="1"/>
  <c r="CZ34" i="182"/>
  <c r="CY34" i="182"/>
  <c r="FS34" i="182" s="1"/>
  <c r="CX34" i="182"/>
  <c r="FH34" i="182" s="1"/>
  <c r="CW34" i="182"/>
  <c r="CV34" i="182"/>
  <c r="DV34" i="182" s="1"/>
  <c r="CU34" i="182"/>
  <c r="FQ34" i="182" s="1"/>
  <c r="CQ34" i="182"/>
  <c r="CP34" i="182"/>
  <c r="CK34" i="182" s="1"/>
  <c r="CO34" i="182"/>
  <c r="CN34" i="182"/>
  <c r="CA34" i="182"/>
  <c r="BQ34" i="182"/>
  <c r="BO34" i="182"/>
  <c r="AX34" i="182"/>
  <c r="AW34" i="182"/>
  <c r="AV34" i="182"/>
  <c r="AK34" i="182" s="1"/>
  <c r="AQ34" i="182" s="1"/>
  <c r="AH34" i="182"/>
  <c r="AG34" i="182"/>
  <c r="AF34" i="182"/>
  <c r="AE34" i="182"/>
  <c r="G34" i="182"/>
  <c r="F34" i="182"/>
  <c r="GK33" i="182"/>
  <c r="GF33" i="182"/>
  <c r="FV33" i="182"/>
  <c r="FQ33" i="182"/>
  <c r="FM33" i="182"/>
  <c r="FD33" i="182"/>
  <c r="FC33" i="182"/>
  <c r="FA33" i="182"/>
  <c r="EZ33" i="182"/>
  <c r="EY33" i="182"/>
  <c r="EL33" i="182"/>
  <c r="EN33" i="182" s="1"/>
  <c r="ER33" i="182" s="1"/>
  <c r="EE33" i="182"/>
  <c r="EG33" i="182" s="1"/>
  <c r="DY33" i="182"/>
  <c r="DX33" i="182"/>
  <c r="H33" i="182" s="1"/>
  <c r="DW33" i="182"/>
  <c r="DV33" i="182"/>
  <c r="DU33" i="182"/>
  <c r="DS33" i="182"/>
  <c r="DP33" i="182"/>
  <c r="DO33" i="182"/>
  <c r="DN33" i="182"/>
  <c r="FI33" i="182" s="1"/>
  <c r="DM33" i="182"/>
  <c r="DL33" i="182"/>
  <c r="DK33" i="182"/>
  <c r="DJ33" i="182"/>
  <c r="DI33" i="182"/>
  <c r="DH33" i="182"/>
  <c r="DG33" i="182"/>
  <c r="CC33" i="182" s="1"/>
  <c r="DF33" i="182"/>
  <c r="DE33" i="182"/>
  <c r="CA33" i="182" s="1"/>
  <c r="DD33" i="182"/>
  <c r="DC33" i="182"/>
  <c r="FO33" i="182" s="1"/>
  <c r="DB33" i="182"/>
  <c r="DA33" i="182"/>
  <c r="CZ33" i="182"/>
  <c r="CY33" i="182"/>
  <c r="CX33" i="182"/>
  <c r="FH33" i="182" s="1"/>
  <c r="CW33" i="182"/>
  <c r="CV33" i="182"/>
  <c r="CU33" i="182"/>
  <c r="EX33" i="182" s="1"/>
  <c r="CQ33" i="182"/>
  <c r="CP33" i="182"/>
  <c r="CK33" i="182" s="1"/>
  <c r="CO33" i="182"/>
  <c r="CN33" i="182"/>
  <c r="CL33" i="182"/>
  <c r="BQ33" i="182"/>
  <c r="BO33" i="182"/>
  <c r="AX33" i="182"/>
  <c r="AW33" i="182"/>
  <c r="AV33" i="182"/>
  <c r="AK33" i="182" s="1"/>
  <c r="AO33" i="182" s="1"/>
  <c r="AH33" i="182"/>
  <c r="AG33" i="182"/>
  <c r="AF33" i="182"/>
  <c r="AE33" i="182"/>
  <c r="F33" i="182"/>
  <c r="GK32" i="182"/>
  <c r="GF32" i="182"/>
  <c r="FV32" i="182"/>
  <c r="FC32" i="182"/>
  <c r="FB32" i="182"/>
  <c r="FA32" i="182"/>
  <c r="EZ32" i="182"/>
  <c r="EE32" i="182" s="1"/>
  <c r="ED32" i="182"/>
  <c r="I32" i="182" s="1"/>
  <c r="EC32" i="182"/>
  <c r="EB32" i="182"/>
  <c r="EA32" i="182"/>
  <c r="DY32" i="182"/>
  <c r="FP32" i="182" s="1"/>
  <c r="DS32" i="182"/>
  <c r="DO32" i="182"/>
  <c r="DN32" i="182"/>
  <c r="FI32" i="182" s="1"/>
  <c r="FJ32" i="182" s="1"/>
  <c r="FK32" i="182" s="1"/>
  <c r="FL32" i="182" s="1"/>
  <c r="Z32" i="182" s="1"/>
  <c r="DM32" i="182"/>
  <c r="DL32" i="182"/>
  <c r="DK32" i="182"/>
  <c r="EL32" i="182" s="1"/>
  <c r="DJ32" i="182"/>
  <c r="DI32" i="182"/>
  <c r="FT32" i="182" s="1"/>
  <c r="DH32" i="182"/>
  <c r="FM32" i="182" s="1"/>
  <c r="DG32" i="182"/>
  <c r="DF32" i="182"/>
  <c r="DE32" i="182"/>
  <c r="DD32" i="182"/>
  <c r="FD32" i="182" s="1"/>
  <c r="FE32" i="182" s="1"/>
  <c r="FF32" i="182" s="1"/>
  <c r="FG32" i="182" s="1"/>
  <c r="Y32" i="182" s="1"/>
  <c r="DC32" i="182"/>
  <c r="DB32" i="182"/>
  <c r="DA32" i="182"/>
  <c r="CZ32" i="182"/>
  <c r="CY32" i="182"/>
  <c r="FS32" i="182" s="1"/>
  <c r="CX32" i="182"/>
  <c r="FU32" i="182" s="1"/>
  <c r="CW32" i="182"/>
  <c r="CV32" i="182"/>
  <c r="CU32" i="182"/>
  <c r="CQ32" i="182"/>
  <c r="CP32" i="182"/>
  <c r="CK32" i="182" s="1"/>
  <c r="CO32" i="182"/>
  <c r="CN32" i="182"/>
  <c r="CM32" i="182"/>
  <c r="CC32" i="182"/>
  <c r="AX32" i="182"/>
  <c r="AW32" i="182"/>
  <c r="AV32" i="182"/>
  <c r="AK32" i="182"/>
  <c r="AH32" i="182"/>
  <c r="AG32" i="182"/>
  <c r="AF32" i="182"/>
  <c r="AE32" i="182"/>
  <c r="K32" i="182"/>
  <c r="GK31" i="182"/>
  <c r="GF31" i="182"/>
  <c r="FV31" i="182"/>
  <c r="FU31" i="182"/>
  <c r="FT31" i="182"/>
  <c r="FS31" i="182"/>
  <c r="FM31" i="182"/>
  <c r="FJ31" i="182"/>
  <c r="FK31" i="182" s="1"/>
  <c r="FL31" i="182" s="1"/>
  <c r="FI31" i="182"/>
  <c r="FH31" i="182"/>
  <c r="FC31" i="182"/>
  <c r="FA31" i="182"/>
  <c r="EZ31" i="182"/>
  <c r="EE31" i="182" s="1"/>
  <c r="EL31" i="182"/>
  <c r="EB31" i="182"/>
  <c r="DY31" i="182"/>
  <c r="DV31" i="182"/>
  <c r="DS31" i="182"/>
  <c r="DO31" i="182"/>
  <c r="DN31" i="182"/>
  <c r="DM31" i="182"/>
  <c r="DL31" i="182"/>
  <c r="DK31" i="182"/>
  <c r="DJ31" i="182"/>
  <c r="DI31" i="182"/>
  <c r="DH31" i="182"/>
  <c r="DG31" i="182"/>
  <c r="DF31" i="182"/>
  <c r="EC31" i="182" s="1"/>
  <c r="FP31" i="182" s="1"/>
  <c r="DE31" i="182"/>
  <c r="DD31" i="182"/>
  <c r="FD31" i="182" s="1"/>
  <c r="DC31" i="182"/>
  <c r="DB31" i="182"/>
  <c r="DA31" i="182"/>
  <c r="CZ31" i="182"/>
  <c r="CY31" i="182"/>
  <c r="CX31" i="182"/>
  <c r="CW31" i="182"/>
  <c r="BQ31" i="182" s="1"/>
  <c r="CV31" i="182"/>
  <c r="CU31" i="182"/>
  <c r="EY31" i="182" s="1"/>
  <c r="CQ31" i="182"/>
  <c r="CP31" i="182"/>
  <c r="CO31" i="182"/>
  <c r="CN31" i="182"/>
  <c r="CK31" i="182"/>
  <c r="CA31" i="182"/>
  <c r="BO31" i="182"/>
  <c r="AX31" i="182"/>
  <c r="AW31" i="182"/>
  <c r="AV31" i="182"/>
  <c r="AK31" i="182" s="1"/>
  <c r="AH31" i="182"/>
  <c r="AG31" i="182"/>
  <c r="AF31" i="182"/>
  <c r="AE31" i="182"/>
  <c r="Z31" i="182"/>
  <c r="GK30" i="182"/>
  <c r="GF30" i="182"/>
  <c r="FV30" i="182"/>
  <c r="FR30" i="182"/>
  <c r="FI30" i="182"/>
  <c r="FF30" i="182"/>
  <c r="FG30" i="182" s="1"/>
  <c r="Y30" i="182" s="1"/>
  <c r="FC30" i="182"/>
  <c r="EZ30" i="182"/>
  <c r="EE30" i="182" s="1"/>
  <c r="ED30" i="182"/>
  <c r="EC30" i="182"/>
  <c r="EB30" i="182"/>
  <c r="EA30" i="182"/>
  <c r="DY30" i="182"/>
  <c r="FP30" i="182" s="1"/>
  <c r="DU30" i="182"/>
  <c r="DS30" i="182"/>
  <c r="DO30" i="182"/>
  <c r="DN30" i="182"/>
  <c r="DM30" i="182"/>
  <c r="DL30" i="182"/>
  <c r="DK30" i="182"/>
  <c r="EL30" i="182" s="1"/>
  <c r="DJ30" i="182"/>
  <c r="DI30" i="182"/>
  <c r="FT30" i="182" s="1"/>
  <c r="DH30" i="182"/>
  <c r="FM30" i="182" s="1"/>
  <c r="DG30" i="182"/>
  <c r="DF30" i="182"/>
  <c r="DE30" i="182"/>
  <c r="DD30" i="182"/>
  <c r="FD30" i="182" s="1"/>
  <c r="FE30" i="182" s="1"/>
  <c r="DC30" i="182"/>
  <c r="DB30" i="182"/>
  <c r="DA30" i="182"/>
  <c r="CZ30" i="182"/>
  <c r="CY30" i="182"/>
  <c r="CX30" i="182"/>
  <c r="FU30" i="182" s="1"/>
  <c r="CW30" i="182"/>
  <c r="CV30" i="182"/>
  <c r="CU30" i="182"/>
  <c r="CQ30" i="182"/>
  <c r="CP30" i="182"/>
  <c r="CK30" i="182" s="1"/>
  <c r="CO30" i="182"/>
  <c r="CN30" i="182"/>
  <c r="CC30" i="182"/>
  <c r="BO30" i="182"/>
  <c r="AX30" i="182"/>
  <c r="AW30" i="182"/>
  <c r="AV30" i="182"/>
  <c r="AN30" i="182"/>
  <c r="AK30" i="182"/>
  <c r="AH30" i="182"/>
  <c r="AG30" i="182"/>
  <c r="AF30" i="182"/>
  <c r="AE30" i="182"/>
  <c r="GK29" i="182"/>
  <c r="GF29" i="182"/>
  <c r="FV29" i="182"/>
  <c r="FU29" i="182"/>
  <c r="FM29" i="182"/>
  <c r="FP29" i="182" s="1"/>
  <c r="FI29" i="182"/>
  <c r="FC29" i="182"/>
  <c r="FA29" i="182"/>
  <c r="EZ29" i="182"/>
  <c r="EY29" i="182"/>
  <c r="EX29" i="182"/>
  <c r="EN29" i="182"/>
  <c r="ER29" i="182" s="1"/>
  <c r="EL29" i="182"/>
  <c r="EM29" i="182" s="1"/>
  <c r="EQ29" i="182" s="1"/>
  <c r="ED29" i="182"/>
  <c r="J29" i="182" s="1"/>
  <c r="EC29" i="182"/>
  <c r="EB29" i="182"/>
  <c r="DY29" i="182"/>
  <c r="DS29" i="182"/>
  <c r="DO29" i="182"/>
  <c r="DN29" i="182"/>
  <c r="DM29" i="182"/>
  <c r="DL29" i="182"/>
  <c r="DK29" i="182"/>
  <c r="DJ29" i="182"/>
  <c r="DI29" i="182"/>
  <c r="FT29" i="182" s="1"/>
  <c r="DH29" i="182"/>
  <c r="DG29" i="182"/>
  <c r="DF29" i="182"/>
  <c r="EA29" i="182" s="1"/>
  <c r="DE29" i="182"/>
  <c r="FR29" i="182" s="1"/>
  <c r="DD29" i="182"/>
  <c r="FD29" i="182" s="1"/>
  <c r="DC29" i="182"/>
  <c r="DB29" i="182"/>
  <c r="DA29" i="182"/>
  <c r="CZ29" i="182"/>
  <c r="CY29" i="182"/>
  <c r="CX29" i="182"/>
  <c r="FH29" i="182" s="1"/>
  <c r="CW29" i="182"/>
  <c r="BQ29" i="182" s="1"/>
  <c r="CV29" i="182"/>
  <c r="DX29" i="182" s="1"/>
  <c r="CU29" i="182"/>
  <c r="CQ29" i="182"/>
  <c r="CK29" i="182" s="1"/>
  <c r="CP29" i="182"/>
  <c r="CO29" i="182"/>
  <c r="CN29" i="182"/>
  <c r="CC29" i="182"/>
  <c r="CM29" i="182" s="1"/>
  <c r="CA29" i="182"/>
  <c r="BO29" i="182"/>
  <c r="AX29" i="182"/>
  <c r="AW29" i="182"/>
  <c r="AV29" i="182"/>
  <c r="AK29" i="182" s="1"/>
  <c r="AP29" i="182"/>
  <c r="AO29" i="182"/>
  <c r="AN29" i="182"/>
  <c r="AM29" i="182"/>
  <c r="AL29" i="182"/>
  <c r="AJ29" i="182"/>
  <c r="AH29" i="182"/>
  <c r="AG29" i="182"/>
  <c r="AF29" i="182"/>
  <c r="AE29" i="182"/>
  <c r="K29" i="182"/>
  <c r="AS29" i="182" s="1"/>
  <c r="I29" i="182"/>
  <c r="GK28" i="182"/>
  <c r="GF28" i="182"/>
  <c r="FU28" i="182"/>
  <c r="FS28" i="182"/>
  <c r="FR28" i="182"/>
  <c r="FI28" i="182"/>
  <c r="FJ28" i="182" s="1"/>
  <c r="FK28" i="182" s="1"/>
  <c r="FL28" i="182" s="1"/>
  <c r="FH28" i="182"/>
  <c r="FC28" i="182"/>
  <c r="FB28" i="182"/>
  <c r="EZ28" i="182"/>
  <c r="EE28" i="182" s="1"/>
  <c r="EF28" i="182" s="1"/>
  <c r="EJ28" i="182" s="1"/>
  <c r="EG28" i="182"/>
  <c r="EK28" i="182" s="1"/>
  <c r="EB28" i="182"/>
  <c r="EA28" i="182"/>
  <c r="DY28" i="182"/>
  <c r="DS28" i="182"/>
  <c r="DO28" i="182"/>
  <c r="DN28" i="182"/>
  <c r="DM28" i="182"/>
  <c r="DL28" i="182"/>
  <c r="DK28" i="182"/>
  <c r="EL28" i="182" s="1"/>
  <c r="DJ28" i="182"/>
  <c r="DI28" i="182"/>
  <c r="DH28" i="182"/>
  <c r="FV28" i="182" s="1"/>
  <c r="DG28" i="182"/>
  <c r="DF28" i="182"/>
  <c r="DE28" i="182"/>
  <c r="DD28" i="182"/>
  <c r="FD28" i="182" s="1"/>
  <c r="FE28" i="182" s="1"/>
  <c r="FF28" i="182" s="1"/>
  <c r="FG28" i="182" s="1"/>
  <c r="Y28" i="182" s="1"/>
  <c r="DC28" i="182"/>
  <c r="DB28" i="182"/>
  <c r="DA28" i="182"/>
  <c r="CZ28" i="182"/>
  <c r="CY28" i="182"/>
  <c r="CX28" i="182"/>
  <c r="CW28" i="182"/>
  <c r="CV28" i="182"/>
  <c r="DX28" i="182" s="1"/>
  <c r="CU28" i="182"/>
  <c r="EY28" i="182" s="1"/>
  <c r="CQ28" i="182"/>
  <c r="CK28" i="182" s="1"/>
  <c r="CP28" i="182"/>
  <c r="CO28" i="182"/>
  <c r="CN28" i="182"/>
  <c r="BQ28" i="182"/>
  <c r="AX28" i="182"/>
  <c r="AW28" i="182"/>
  <c r="AK28" i="182" s="1"/>
  <c r="AV28" i="182"/>
  <c r="AH28" i="182"/>
  <c r="AG28" i="182"/>
  <c r="AF28" i="182"/>
  <c r="AE28" i="182"/>
  <c r="Z28" i="182"/>
  <c r="GK27" i="182"/>
  <c r="GF27" i="182"/>
  <c r="FU27" i="182"/>
  <c r="FC27" i="182"/>
  <c r="FA27" i="182"/>
  <c r="EZ27" i="182"/>
  <c r="EY27" i="182"/>
  <c r="EX27" i="182"/>
  <c r="EN27" i="182"/>
  <c r="ER27" i="182" s="1"/>
  <c r="EL27" i="182"/>
  <c r="EM27" i="182" s="1"/>
  <c r="EQ27" i="182" s="1"/>
  <c r="CI27" i="182" s="1"/>
  <c r="EG27" i="182"/>
  <c r="EK27" i="182" s="1"/>
  <c r="EV27" i="182" s="1"/>
  <c r="CJ27" i="182" s="1"/>
  <c r="EE27" i="182"/>
  <c r="EF27" i="182" s="1"/>
  <c r="EJ27" i="182" s="1"/>
  <c r="CH27" i="182" s="1"/>
  <c r="ED27" i="182"/>
  <c r="J27" i="182" s="1"/>
  <c r="EC27" i="182"/>
  <c r="EB27" i="182"/>
  <c r="DY27" i="182"/>
  <c r="DX27" i="182"/>
  <c r="F27" i="182" s="1"/>
  <c r="DS27" i="182"/>
  <c r="DP27" i="182"/>
  <c r="DO27" i="182"/>
  <c r="FN27" i="182" s="1"/>
  <c r="DN27" i="182"/>
  <c r="FI27" i="182" s="1"/>
  <c r="FJ27" i="182" s="1"/>
  <c r="FK27" i="182" s="1"/>
  <c r="FL27" i="182" s="1"/>
  <c r="Z27" i="182" s="1"/>
  <c r="DM27" i="182"/>
  <c r="DL27" i="182"/>
  <c r="DK27" i="182"/>
  <c r="DJ27" i="182"/>
  <c r="DI27" i="182"/>
  <c r="FT27" i="182" s="1"/>
  <c r="DH27" i="182"/>
  <c r="FV27" i="182" s="1"/>
  <c r="DG27" i="182"/>
  <c r="DF27" i="182"/>
  <c r="EA27" i="182" s="1"/>
  <c r="DE27" i="182"/>
  <c r="DD27" i="182"/>
  <c r="FD27" i="182" s="1"/>
  <c r="DC27" i="182"/>
  <c r="FQ27" i="182" s="1"/>
  <c r="DB27" i="182"/>
  <c r="DA27" i="182"/>
  <c r="CZ27" i="182"/>
  <c r="CY27" i="182"/>
  <c r="FS27" i="182" s="1"/>
  <c r="CX27" i="182"/>
  <c r="FH27" i="182" s="1"/>
  <c r="CW27" i="182"/>
  <c r="BQ27" i="182" s="1"/>
  <c r="CV27" i="182"/>
  <c r="CU27" i="182"/>
  <c r="CQ27" i="182"/>
  <c r="CK27" i="182" s="1"/>
  <c r="CP27" i="182"/>
  <c r="CO27" i="182"/>
  <c r="CN27" i="182"/>
  <c r="CC27" i="182"/>
  <c r="CA27" i="182"/>
  <c r="BO27" i="182"/>
  <c r="AX27" i="182"/>
  <c r="AW27" i="182"/>
  <c r="AV27" i="182"/>
  <c r="AK27" i="182" s="1"/>
  <c r="AO27" i="182"/>
  <c r="AN27" i="182"/>
  <c r="AM27" i="182"/>
  <c r="AL27" i="182"/>
  <c r="AP27" i="182" s="1"/>
  <c r="AJ27" i="182"/>
  <c r="AH27" i="182"/>
  <c r="AG27" i="182"/>
  <c r="AF27" i="182"/>
  <c r="AE27" i="182"/>
  <c r="K27" i="182"/>
  <c r="AS27" i="182" s="1"/>
  <c r="H27" i="182"/>
  <c r="AQ27" i="182" s="1"/>
  <c r="G27" i="182"/>
  <c r="GK26" i="182"/>
  <c r="GF26" i="182"/>
  <c r="FS26" i="182"/>
  <c r="FM26" i="182"/>
  <c r="FI26" i="182"/>
  <c r="FD26" i="182"/>
  <c r="FE26" i="182" s="1"/>
  <c r="FF26" i="182" s="1"/>
  <c r="FG26" i="182" s="1"/>
  <c r="Y26" i="182" s="1"/>
  <c r="FC26" i="182"/>
  <c r="EL26" i="182" s="1"/>
  <c r="EZ26" i="182"/>
  <c r="EY26" i="182"/>
  <c r="ED26" i="182"/>
  <c r="I26" i="182" s="1"/>
  <c r="EB26" i="182"/>
  <c r="EA26" i="182"/>
  <c r="DY26" i="182"/>
  <c r="FP26" i="182" s="1"/>
  <c r="DW26" i="182"/>
  <c r="DU26" i="182"/>
  <c r="DS26" i="182"/>
  <c r="DO26" i="182"/>
  <c r="DN26" i="182"/>
  <c r="DM26" i="182"/>
  <c r="DL26" i="182"/>
  <c r="DK26" i="182"/>
  <c r="DJ26" i="182"/>
  <c r="DI26" i="182"/>
  <c r="FT26" i="182" s="1"/>
  <c r="DH26" i="182"/>
  <c r="FV26" i="182" s="1"/>
  <c r="DG26" i="182"/>
  <c r="DF26" i="182"/>
  <c r="EC26" i="182" s="1"/>
  <c r="DE26" i="182"/>
  <c r="CA26" i="182" s="1"/>
  <c r="DD26" i="182"/>
  <c r="DC26" i="182"/>
  <c r="DB26" i="182"/>
  <c r="DA26" i="182"/>
  <c r="CZ26" i="182"/>
  <c r="CY26" i="182"/>
  <c r="CX26" i="182"/>
  <c r="FH26" i="182" s="1"/>
  <c r="CW26" i="182"/>
  <c r="CV26" i="182"/>
  <c r="DV26" i="182" s="1"/>
  <c r="CU26" i="182"/>
  <c r="BQ26" i="182" s="1"/>
  <c r="CQ26" i="182"/>
  <c r="CP26" i="182"/>
  <c r="CK26" i="182" s="1"/>
  <c r="CO26" i="182"/>
  <c r="CN26" i="182"/>
  <c r="AX26" i="182"/>
  <c r="AW26" i="182"/>
  <c r="AV26" i="182"/>
  <c r="AK26" i="182" s="1"/>
  <c r="AH26" i="182"/>
  <c r="AG26" i="182"/>
  <c r="AF26" i="182"/>
  <c r="AE26" i="182"/>
  <c r="K26" i="182"/>
  <c r="J26" i="182"/>
  <c r="GK25" i="182"/>
  <c r="GF25" i="182"/>
  <c r="FU25" i="182"/>
  <c r="FQ25" i="182"/>
  <c r="FC25" i="182"/>
  <c r="EL25" i="182" s="1"/>
  <c r="FA25" i="182"/>
  <c r="EZ25" i="182"/>
  <c r="EE25" i="182" s="1"/>
  <c r="EY25" i="182"/>
  <c r="EX25" i="182"/>
  <c r="ED25" i="182"/>
  <c r="EB25" i="182"/>
  <c r="DY25" i="182"/>
  <c r="DX25" i="182"/>
  <c r="G25" i="182" s="1"/>
  <c r="DS25" i="182"/>
  <c r="DO25" i="182"/>
  <c r="DN25" i="182"/>
  <c r="FI25" i="182" s="1"/>
  <c r="DM25" i="182"/>
  <c r="DL25" i="182"/>
  <c r="DK25" i="182"/>
  <c r="DJ25" i="182"/>
  <c r="DI25" i="182"/>
  <c r="FT25" i="182" s="1"/>
  <c r="DH25" i="182"/>
  <c r="FM25" i="182" s="1"/>
  <c r="DG25" i="182"/>
  <c r="DF25" i="182"/>
  <c r="EA25" i="182" s="1"/>
  <c r="DE25" i="182"/>
  <c r="DD25" i="182"/>
  <c r="FD25" i="182" s="1"/>
  <c r="DC25" i="182"/>
  <c r="DB25" i="182"/>
  <c r="DA25" i="182"/>
  <c r="CZ25" i="182"/>
  <c r="CY25" i="182"/>
  <c r="CX25" i="182"/>
  <c r="FH25" i="182" s="1"/>
  <c r="CW25" i="182"/>
  <c r="BQ25" i="182" s="1"/>
  <c r="CV25" i="182"/>
  <c r="CU25" i="182"/>
  <c r="CQ25" i="182"/>
  <c r="CK25" i="182" s="1"/>
  <c r="CP25" i="182"/>
  <c r="CO25" i="182"/>
  <c r="CN25" i="182"/>
  <c r="CC25" i="182"/>
  <c r="CA25" i="182"/>
  <c r="BO25" i="182"/>
  <c r="AX25" i="182"/>
  <c r="AW25" i="182"/>
  <c r="AV25" i="182"/>
  <c r="AK25" i="182" s="1"/>
  <c r="AL25" i="182"/>
  <c r="AH25" i="182"/>
  <c r="AG25" i="182"/>
  <c r="AF25" i="182"/>
  <c r="AE25" i="182"/>
  <c r="H25" i="182"/>
  <c r="F25" i="182"/>
  <c r="GK24" i="182"/>
  <c r="GF24" i="182"/>
  <c r="FV24" i="182"/>
  <c r="FI24" i="182"/>
  <c r="FD24" i="182"/>
  <c r="FC24" i="182"/>
  <c r="EZ24" i="182"/>
  <c r="EE24" i="182"/>
  <c r="EG24" i="182" s="1"/>
  <c r="EK24" i="182" s="1"/>
  <c r="EC24" i="182"/>
  <c r="EA24" i="182"/>
  <c r="DY24" i="182"/>
  <c r="DX24" i="182"/>
  <c r="F24" i="182" s="1"/>
  <c r="DV24" i="182"/>
  <c r="DS24" i="182"/>
  <c r="DO24" i="182"/>
  <c r="DN24" i="182"/>
  <c r="DM24" i="182"/>
  <c r="DL24" i="182"/>
  <c r="DK24" i="182"/>
  <c r="EL24" i="182" s="1"/>
  <c r="DJ24" i="182"/>
  <c r="DI24" i="182"/>
  <c r="FT24" i="182" s="1"/>
  <c r="DH24" i="182"/>
  <c r="FM24" i="182" s="1"/>
  <c r="DG24" i="182"/>
  <c r="DF24" i="182"/>
  <c r="DP24" i="182" s="1"/>
  <c r="DE24" i="182"/>
  <c r="FB24" i="182" s="1"/>
  <c r="DD24" i="182"/>
  <c r="DC24" i="182"/>
  <c r="DB24" i="182"/>
  <c r="DA24" i="182"/>
  <c r="CZ24" i="182"/>
  <c r="CY24" i="182"/>
  <c r="CX24" i="182"/>
  <c r="FH24" i="182" s="1"/>
  <c r="CW24" i="182"/>
  <c r="CV24" i="182"/>
  <c r="DW24" i="182" s="1"/>
  <c r="CU24" i="182"/>
  <c r="CQ24" i="182"/>
  <c r="CK24" i="182" s="1"/>
  <c r="CP24" i="182"/>
  <c r="CO24" i="182"/>
  <c r="CN24" i="182"/>
  <c r="CC24" i="182"/>
  <c r="CA24" i="182"/>
  <c r="BO24" i="182"/>
  <c r="AX24" i="182"/>
  <c r="AW24" i="182"/>
  <c r="AV24" i="182"/>
  <c r="AK24" i="182"/>
  <c r="AH24" i="182"/>
  <c r="AG24" i="182"/>
  <c r="AF24" i="182"/>
  <c r="AE24" i="182"/>
  <c r="H24" i="182"/>
  <c r="G24" i="182"/>
  <c r="GK23" i="182"/>
  <c r="GF23" i="182"/>
  <c r="FT23" i="182"/>
  <c r="FS23" i="182"/>
  <c r="FR23" i="182"/>
  <c r="FN23" i="182"/>
  <c r="FM23" i="182"/>
  <c r="FD23" i="182"/>
  <c r="FE23" i="182" s="1"/>
  <c r="FF23" i="182" s="1"/>
  <c r="FG23" i="182" s="1"/>
  <c r="FC23" i="182"/>
  <c r="EZ23" i="182"/>
  <c r="EY23" i="182"/>
  <c r="EX23" i="182"/>
  <c r="EM23" i="182"/>
  <c r="EQ23" i="182" s="1"/>
  <c r="CI23" i="182" s="1"/>
  <c r="EL23" i="182"/>
  <c r="EN23" i="182" s="1"/>
  <c r="ER23" i="182" s="1"/>
  <c r="ED23" i="182"/>
  <c r="DY23" i="182"/>
  <c r="DX23" i="182"/>
  <c r="H23" i="182" s="1"/>
  <c r="DW23" i="182"/>
  <c r="DV23" i="182"/>
  <c r="DU23" i="182"/>
  <c r="DS23" i="182"/>
  <c r="DO23" i="182"/>
  <c r="DN23" i="182"/>
  <c r="FI23" i="182" s="1"/>
  <c r="FJ23" i="182" s="1"/>
  <c r="FK23" i="182" s="1"/>
  <c r="FL23" i="182" s="1"/>
  <c r="Z23" i="182" s="1"/>
  <c r="DM23" i="182"/>
  <c r="DL23" i="182"/>
  <c r="DK23" i="182"/>
  <c r="DJ23" i="182"/>
  <c r="DI23" i="182"/>
  <c r="DH23" i="182"/>
  <c r="FV23" i="182" s="1"/>
  <c r="DG23" i="182"/>
  <c r="DF23" i="182"/>
  <c r="DP23" i="182" s="1"/>
  <c r="DE23" i="182"/>
  <c r="CC23" i="182" s="1"/>
  <c r="DD23" i="182"/>
  <c r="DC23" i="182"/>
  <c r="DB23" i="182"/>
  <c r="DA23" i="182"/>
  <c r="CZ23" i="182"/>
  <c r="CY23" i="182"/>
  <c r="CX23" i="182"/>
  <c r="CW23" i="182"/>
  <c r="CV23" i="182"/>
  <c r="CU23" i="182"/>
  <c r="BQ23" i="182" s="1"/>
  <c r="CQ23" i="182"/>
  <c r="CP23" i="182"/>
  <c r="CK23" i="182" s="1"/>
  <c r="CO23" i="182"/>
  <c r="CN23" i="182"/>
  <c r="CL23" i="182"/>
  <c r="BO23" i="182"/>
  <c r="AX23" i="182"/>
  <c r="AW23" i="182"/>
  <c r="AV23" i="182"/>
  <c r="AH23" i="182"/>
  <c r="AG23" i="182"/>
  <c r="AF23" i="182"/>
  <c r="AE23" i="182"/>
  <c r="Y23" i="182"/>
  <c r="G23" i="182"/>
  <c r="F23" i="182"/>
  <c r="HX21" i="182"/>
  <c r="HQ21" i="182"/>
  <c r="HJ18" i="182"/>
  <c r="HK18" i="182" s="1"/>
  <c r="HL18" i="182" s="1"/>
  <c r="HM18" i="182" s="1"/>
  <c r="HN18" i="182" s="1"/>
  <c r="HO18" i="182" s="1"/>
  <c r="HP18" i="182" s="1"/>
  <c r="HQ18" i="182" s="1"/>
  <c r="HR18" i="182" s="1"/>
  <c r="HS18" i="182" s="1"/>
  <c r="HT18" i="182" s="1"/>
  <c r="HU18" i="182" s="1"/>
  <c r="HV18" i="182" s="1"/>
  <c r="HW18" i="182" s="1"/>
  <c r="HX18" i="182" s="1"/>
  <c r="HY18" i="182" s="1"/>
  <c r="HZ18" i="182" s="1"/>
  <c r="IA18" i="182" s="1"/>
  <c r="IB18" i="182" s="1"/>
  <c r="IC18" i="182" s="1"/>
  <c r="ID18" i="182" s="1"/>
  <c r="IE18" i="182" s="1"/>
  <c r="IF18" i="182" s="1"/>
  <c r="HH18" i="182"/>
  <c r="HI18" i="182" s="1"/>
  <c r="HE18" i="182"/>
  <c r="HF18" i="182" s="1"/>
  <c r="HG18" i="182" s="1"/>
  <c r="HB18" i="182"/>
  <c r="HC18" i="182" s="1"/>
  <c r="HD18" i="182" s="1"/>
  <c r="AB12" i="182"/>
  <c r="AA12" i="182"/>
  <c r="Z10" i="182"/>
  <c r="S10" i="182"/>
  <c r="C10" i="182"/>
  <c r="DN9" i="182"/>
  <c r="DM9" i="182"/>
  <c r="DL9" i="182"/>
  <c r="DK9" i="182"/>
  <c r="DJ9" i="182"/>
  <c r="DI9" i="182"/>
  <c r="DH9" i="182"/>
  <c r="DG9" i="182"/>
  <c r="S9" i="182"/>
  <c r="C9" i="182"/>
  <c r="DN8" i="182"/>
  <c r="DM8" i="182"/>
  <c r="DL8" i="182"/>
  <c r="DK8" i="182"/>
  <c r="DJ8" i="182"/>
  <c r="DI8" i="182"/>
  <c r="DH8" i="182"/>
  <c r="DG8" i="182"/>
  <c r="DN7" i="182"/>
  <c r="DM7" i="182"/>
  <c r="DL7" i="182"/>
  <c r="DK7" i="182"/>
  <c r="DJ7" i="182"/>
  <c r="DI7" i="182"/>
  <c r="DH7" i="182"/>
  <c r="DG7" i="182"/>
  <c r="DN6" i="182"/>
  <c r="DM6" i="182"/>
  <c r="DL6" i="182"/>
  <c r="DK6" i="182"/>
  <c r="DJ6" i="182"/>
  <c r="DI6" i="182"/>
  <c r="DH6" i="182"/>
  <c r="DG6" i="182"/>
  <c r="Y6" i="182"/>
  <c r="M6" i="182"/>
  <c r="DN5" i="182"/>
  <c r="DM5" i="182"/>
  <c r="DL5" i="182"/>
  <c r="DK5" i="182"/>
  <c r="DJ5" i="182"/>
  <c r="DI5" i="182"/>
  <c r="DH5" i="182"/>
  <c r="DG5" i="182"/>
  <c r="DN4" i="182"/>
  <c r="DM4" i="182"/>
  <c r="DL4" i="182"/>
  <c r="DK4" i="182"/>
  <c r="DJ4" i="182"/>
  <c r="DI4" i="182"/>
  <c r="DH4" i="182"/>
  <c r="DG4" i="182"/>
  <c r="DN3" i="182"/>
  <c r="DM3" i="182"/>
  <c r="DL3" i="182"/>
  <c r="DK3" i="182"/>
  <c r="DJ3" i="182"/>
  <c r="DI3" i="182"/>
  <c r="DH3" i="182"/>
  <c r="DG3" i="182"/>
  <c r="DN2" i="182"/>
  <c r="DM2" i="182"/>
  <c r="DL2" i="182"/>
  <c r="DK2" i="182"/>
  <c r="DJ2" i="182"/>
  <c r="DI2" i="182"/>
  <c r="DH2" i="182"/>
  <c r="DG2" i="182"/>
  <c r="DD2" i="182"/>
  <c r="DB2" i="182"/>
  <c r="FN36" i="182" s="1"/>
  <c r="CZ2" i="182"/>
  <c r="CX2" i="182"/>
  <c r="P2" i="182"/>
  <c r="HA1" i="182"/>
  <c r="HH21" i="182" s="1"/>
  <c r="DQ1" i="182"/>
  <c r="DD1" i="182"/>
  <c r="CY1" i="182"/>
  <c r="CX1" i="182"/>
  <c r="AE1" i="182"/>
  <c r="AD1" i="182"/>
  <c r="P4" i="182" s="1"/>
  <c r="H5" i="181"/>
  <c r="E5" i="181"/>
  <c r="B5" i="181"/>
  <c r="E4" i="181"/>
  <c r="B4" i="181"/>
  <c r="F1" i="181"/>
  <c r="R99" i="178"/>
  <c r="R98" i="178"/>
  <c r="R97" i="178"/>
  <c r="R96" i="178"/>
  <c r="R95" i="178"/>
  <c r="R94" i="178"/>
  <c r="R93" i="178"/>
  <c r="R92" i="178"/>
  <c r="R91" i="178"/>
  <c r="R90" i="178"/>
  <c r="R89" i="178"/>
  <c r="R88" i="178"/>
  <c r="R87" i="178"/>
  <c r="R86" i="178"/>
  <c r="R85" i="178"/>
  <c r="R84" i="178"/>
  <c r="R83" i="178"/>
  <c r="R82" i="178"/>
  <c r="R81" i="178"/>
  <c r="R80" i="178"/>
  <c r="R79" i="178"/>
  <c r="R78" i="178"/>
  <c r="R77" i="178"/>
  <c r="R76" i="178"/>
  <c r="R75" i="178"/>
  <c r="R74" i="178"/>
  <c r="R73" i="178"/>
  <c r="R72" i="178"/>
  <c r="R71" i="178"/>
  <c r="R70" i="178"/>
  <c r="R69" i="178"/>
  <c r="R68" i="178"/>
  <c r="R67" i="178"/>
  <c r="R66" i="178"/>
  <c r="R65" i="178"/>
  <c r="R64" i="178"/>
  <c r="R63" i="178"/>
  <c r="R62" i="178"/>
  <c r="R61" i="178"/>
  <c r="R60" i="178"/>
  <c r="R59" i="178"/>
  <c r="R58" i="178"/>
  <c r="R57" i="178"/>
  <c r="R56" i="178"/>
  <c r="R55" i="178"/>
  <c r="R54" i="178"/>
  <c r="R53" i="178"/>
  <c r="R52" i="178"/>
  <c r="R51" i="178"/>
  <c r="R50" i="178"/>
  <c r="R49" i="178"/>
  <c r="R48" i="178"/>
  <c r="R47" i="178"/>
  <c r="R46" i="178"/>
  <c r="R45" i="178"/>
  <c r="R44" i="178"/>
  <c r="R43" i="178"/>
  <c r="R42" i="178"/>
  <c r="R41" i="178"/>
  <c r="R40" i="178"/>
  <c r="R39" i="178"/>
  <c r="R38" i="178"/>
  <c r="R37" i="178"/>
  <c r="R36" i="178"/>
  <c r="R35" i="178"/>
  <c r="R34" i="178"/>
  <c r="R33" i="178"/>
  <c r="R32" i="178"/>
  <c r="R31" i="178"/>
  <c r="R30" i="178"/>
  <c r="R29" i="178"/>
  <c r="R28" i="178"/>
  <c r="R27" i="178"/>
  <c r="R26" i="178"/>
  <c r="R25" i="178"/>
  <c r="R24" i="178"/>
  <c r="R23" i="178"/>
  <c r="L23" i="178"/>
  <c r="L24" i="178" s="1"/>
  <c r="R22" i="178"/>
  <c r="L22" i="178"/>
  <c r="N22" i="178" s="1"/>
  <c r="O22" i="178" s="1" a="1"/>
  <c r="O22" i="178" s="1"/>
  <c r="R21" i="178"/>
  <c r="N21" i="178"/>
  <c r="O21" i="178" s="1" a="1"/>
  <c r="O21" i="178" s="1"/>
  <c r="L21" i="178"/>
  <c r="R20" i="178"/>
  <c r="N20" i="178"/>
  <c r="O20" i="178" s="1" a="1"/>
  <c r="O20" i="178" s="1"/>
  <c r="L20" i="178"/>
  <c r="R19" i="178"/>
  <c r="N19" i="178"/>
  <c r="O19" i="178" s="1" a="1"/>
  <c r="O19" i="178" s="1"/>
  <c r="L19" i="178"/>
  <c r="R18" i="178"/>
  <c r="N18" i="178"/>
  <c r="O18" i="178" s="1" a="1"/>
  <c r="O18" i="178" s="1"/>
  <c r="L18" i="178"/>
  <c r="R17" i="178"/>
  <c r="R16" i="178"/>
  <c r="L16" i="178"/>
  <c r="L17" i="178" s="1"/>
  <c r="N17" i="178" s="1"/>
  <c r="O17" i="178" s="1" a="1"/>
  <c r="O17" i="178" s="1"/>
  <c r="R15" i="178"/>
  <c r="N15" i="178"/>
  <c r="O15" i="178" s="1" a="1"/>
  <c r="O15" i="178" s="1"/>
  <c r="L15" i="178"/>
  <c r="R14" i="178"/>
  <c r="L14" i="178"/>
  <c r="N14" i="178" s="1"/>
  <c r="O14" i="178" s="1" a="1"/>
  <c r="O14" i="178" s="1"/>
  <c r="R13" i="178"/>
  <c r="L13" i="178"/>
  <c r="N13" i="178" s="1"/>
  <c r="O13" i="178" s="1" a="1"/>
  <c r="O13" i="178" s="1"/>
  <c r="P10" i="178"/>
  <c r="J10" i="178"/>
  <c r="G10" i="178"/>
  <c r="B10" i="178"/>
  <c r="G9" i="178"/>
  <c r="B9" i="178"/>
  <c r="H6" i="178"/>
  <c r="D4" i="178"/>
  <c r="D2" i="178"/>
  <c r="M1" i="178"/>
  <c r="L1" i="178"/>
  <c r="D1" i="178"/>
  <c r="R55" i="177"/>
  <c r="R54" i="177"/>
  <c r="R53" i="177"/>
  <c r="R52" i="177"/>
  <c r="R51" i="177"/>
  <c r="R50" i="177"/>
  <c r="R49" i="177"/>
  <c r="R48" i="177"/>
  <c r="R47" i="177"/>
  <c r="R46" i="177"/>
  <c r="R45" i="177"/>
  <c r="R44" i="177"/>
  <c r="R43" i="177"/>
  <c r="R42" i="177"/>
  <c r="R41" i="177"/>
  <c r="R40" i="177"/>
  <c r="R39" i="177"/>
  <c r="R38" i="177"/>
  <c r="R37" i="177"/>
  <c r="R36" i="177"/>
  <c r="R35" i="177"/>
  <c r="R34" i="177"/>
  <c r="R33" i="177"/>
  <c r="R32" i="177"/>
  <c r="R31" i="177"/>
  <c r="CC30" i="177"/>
  <c r="CB30" i="177"/>
  <c r="CA30" i="177"/>
  <c r="BZ30" i="177"/>
  <c r="BY30" i="177"/>
  <c r="BX30" i="177"/>
  <c r="BW30" i="177"/>
  <c r="BV30" i="177"/>
  <c r="BU30" i="177"/>
  <c r="BT30" i="177"/>
  <c r="BS30" i="177"/>
  <c r="BR30" i="177"/>
  <c r="BQ30" i="177"/>
  <c r="BP30" i="177"/>
  <c r="BO30" i="177"/>
  <c r="BN30" i="177"/>
  <c r="BM30" i="177"/>
  <c r="BL30" i="177"/>
  <c r="BK30" i="177"/>
  <c r="BJ30" i="177"/>
  <c r="BI30" i="177"/>
  <c r="BH30" i="177"/>
  <c r="BG30" i="177"/>
  <c r="BF30" i="177"/>
  <c r="R30" i="177"/>
  <c r="R29" i="177"/>
  <c r="R28" i="177"/>
  <c r="R27" i="177"/>
  <c r="R26" i="177"/>
  <c r="R25" i="177"/>
  <c r="R24" i="177"/>
  <c r="R23" i="177"/>
  <c r="R22" i="177"/>
  <c r="R21" i="177"/>
  <c r="R20" i="177"/>
  <c r="R19" i="177"/>
  <c r="R18" i="177"/>
  <c r="R17" i="177"/>
  <c r="R16" i="177"/>
  <c r="R15" i="177"/>
  <c r="AO14" i="177"/>
  <c r="P14" i="177" s="1"/>
  <c r="R14" i="177"/>
  <c r="N10" i="177"/>
  <c r="K10" i="177"/>
  <c r="B10" i="177"/>
  <c r="K9" i="177"/>
  <c r="B9" i="177"/>
  <c r="N6" i="177"/>
  <c r="I4" i="177"/>
  <c r="T1" i="177"/>
  <c r="S1" i="177"/>
  <c r="I1" i="177" s="1"/>
  <c r="R55" i="176"/>
  <c r="R54" i="176"/>
  <c r="R53" i="176"/>
  <c r="R52" i="176"/>
  <c r="R51" i="176"/>
  <c r="R50" i="176"/>
  <c r="AO49" i="176"/>
  <c r="AO50" i="176" s="1"/>
  <c r="R49" i="176"/>
  <c r="R48" i="176"/>
  <c r="R47" i="176"/>
  <c r="R46" i="176"/>
  <c r="AO45" i="176"/>
  <c r="AO46" i="176" s="1"/>
  <c r="P46" i="176" s="1"/>
  <c r="R45" i="176"/>
  <c r="P45" i="176"/>
  <c r="R44" i="176"/>
  <c r="R43" i="176"/>
  <c r="AO42" i="176"/>
  <c r="AO43" i="176" s="1"/>
  <c r="R42" i="176"/>
  <c r="R41" i="176"/>
  <c r="R40" i="176"/>
  <c r="AO39" i="176"/>
  <c r="AO40" i="176" s="1"/>
  <c r="R39" i="176"/>
  <c r="R38" i="176"/>
  <c r="R37" i="176"/>
  <c r="R36" i="176"/>
  <c r="R35" i="176"/>
  <c r="R34" i="176"/>
  <c r="AO33" i="176"/>
  <c r="AO34" i="176" s="1"/>
  <c r="R33" i="176"/>
  <c r="R32" i="176"/>
  <c r="AO31" i="176"/>
  <c r="AO32" i="176" s="1"/>
  <c r="P32" i="176" s="1"/>
  <c r="R31" i="176"/>
  <c r="CC30" i="176"/>
  <c r="CB30" i="176"/>
  <c r="CA30" i="176"/>
  <c r="BZ30" i="176"/>
  <c r="BY30" i="176"/>
  <c r="BX30" i="176"/>
  <c r="BW30" i="176"/>
  <c r="BV30" i="176"/>
  <c r="BU30" i="176"/>
  <c r="BT30" i="176"/>
  <c r="BS30" i="176"/>
  <c r="BR30" i="176"/>
  <c r="BQ30" i="176"/>
  <c r="BP30" i="176"/>
  <c r="BO30" i="176"/>
  <c r="BN30" i="176"/>
  <c r="BM30" i="176"/>
  <c r="BL30" i="176"/>
  <c r="BK30" i="176"/>
  <c r="BJ30" i="176"/>
  <c r="BI30" i="176"/>
  <c r="BH30" i="176"/>
  <c r="BG30" i="176"/>
  <c r="BF30" i="176"/>
  <c r="R30" i="176"/>
  <c r="AO29" i="176"/>
  <c r="AO30" i="176" s="1"/>
  <c r="P30" i="176" s="1"/>
  <c r="R29" i="176"/>
  <c r="R28" i="176"/>
  <c r="AO27" i="176"/>
  <c r="P27" i="176" s="1"/>
  <c r="R27" i="176"/>
  <c r="R26" i="176"/>
  <c r="R25" i="176"/>
  <c r="R24" i="176"/>
  <c r="AO23" i="176"/>
  <c r="AO24" i="176" s="1"/>
  <c r="R23" i="176"/>
  <c r="R22" i="176"/>
  <c r="R21" i="176"/>
  <c r="R20" i="176"/>
  <c r="AO19" i="176"/>
  <c r="AO20" i="176" s="1"/>
  <c r="R19" i="176"/>
  <c r="R18" i="176"/>
  <c r="R17" i="176"/>
  <c r="R16" i="176"/>
  <c r="AO15" i="176"/>
  <c r="AO16" i="176" s="1"/>
  <c r="R15" i="176"/>
  <c r="AO14" i="176"/>
  <c r="P14" i="176" s="1"/>
  <c r="R14" i="176"/>
  <c r="N10" i="176"/>
  <c r="K10" i="176"/>
  <c r="B10" i="176"/>
  <c r="K9" i="176"/>
  <c r="B9" i="176"/>
  <c r="N6" i="176"/>
  <c r="I2" i="176"/>
  <c r="T1" i="176"/>
  <c r="S1" i="176"/>
  <c r="I4" i="176" s="1"/>
  <c r="R55" i="175"/>
  <c r="R54" i="175"/>
  <c r="R53" i="175"/>
  <c r="AO52" i="175"/>
  <c r="AO53" i="175" s="1"/>
  <c r="R52" i="175"/>
  <c r="AO51" i="175"/>
  <c r="P51" i="175" s="1"/>
  <c r="R51" i="175"/>
  <c r="AO50" i="175"/>
  <c r="P50" i="175" s="1"/>
  <c r="R50" i="175"/>
  <c r="R49" i="175"/>
  <c r="AO48" i="175"/>
  <c r="P48" i="175" s="1"/>
  <c r="R48" i="175"/>
  <c r="R47" i="175"/>
  <c r="R46" i="175"/>
  <c r="AO45" i="175"/>
  <c r="AO46" i="175" s="1"/>
  <c r="AO47" i="175" s="1"/>
  <c r="P47" i="175" s="1"/>
  <c r="R45" i="175"/>
  <c r="P45" i="175"/>
  <c r="AO44" i="175"/>
  <c r="R44" i="175"/>
  <c r="P44" i="175"/>
  <c r="AO43" i="175"/>
  <c r="P43" i="175" s="1"/>
  <c r="R43" i="175"/>
  <c r="AO42" i="175"/>
  <c r="P42" i="175" s="1"/>
  <c r="R42" i="175"/>
  <c r="AO41" i="175"/>
  <c r="P41" i="175" s="1"/>
  <c r="R41" i="175"/>
  <c r="AO40" i="175"/>
  <c r="P40" i="175" s="1"/>
  <c r="R40" i="175"/>
  <c r="AO39" i="175"/>
  <c r="P39" i="175" s="1"/>
  <c r="R39" i="175"/>
  <c r="AO38" i="175"/>
  <c r="P38" i="175" s="1"/>
  <c r="R38" i="175"/>
  <c r="R37" i="175"/>
  <c r="AO36" i="175"/>
  <c r="AO37" i="175" s="1"/>
  <c r="P37" i="175" s="1"/>
  <c r="R36" i="175"/>
  <c r="P36" i="175"/>
  <c r="R35" i="175"/>
  <c r="AO34" i="175"/>
  <c r="AO35" i="175" s="1"/>
  <c r="P35" i="175" s="1"/>
  <c r="R34" i="175"/>
  <c r="R33" i="175"/>
  <c r="AO32" i="175"/>
  <c r="P32" i="175" s="1"/>
  <c r="R32" i="175"/>
  <c r="AO31" i="175"/>
  <c r="P31" i="175" s="1"/>
  <c r="R31" i="175"/>
  <c r="CC30" i="175"/>
  <c r="CB30" i="175"/>
  <c r="CA30" i="175"/>
  <c r="BZ30" i="175"/>
  <c r="BY30" i="175"/>
  <c r="BX30" i="175"/>
  <c r="BW30" i="175"/>
  <c r="BV30" i="175"/>
  <c r="BU30" i="175"/>
  <c r="BT30" i="175"/>
  <c r="BS30" i="175"/>
  <c r="BR30" i="175"/>
  <c r="BQ30" i="175"/>
  <c r="BP30" i="175"/>
  <c r="BO30" i="175"/>
  <c r="BN30" i="175"/>
  <c r="BM30" i="175"/>
  <c r="BL30" i="175"/>
  <c r="BK30" i="175"/>
  <c r="BJ30" i="175"/>
  <c r="BI30" i="175"/>
  <c r="BH30" i="175"/>
  <c r="BG30" i="175"/>
  <c r="BF30" i="175"/>
  <c r="AO30" i="175"/>
  <c r="R30" i="175"/>
  <c r="P30" i="175"/>
  <c r="AO29" i="175"/>
  <c r="P29" i="175" s="1"/>
  <c r="R29" i="175"/>
  <c r="R28" i="175"/>
  <c r="AO27" i="175"/>
  <c r="P27" i="175" s="1"/>
  <c r="R27" i="175"/>
  <c r="R26" i="175"/>
  <c r="AO25" i="175"/>
  <c r="AO26" i="175" s="1"/>
  <c r="P26" i="175" s="1"/>
  <c r="R25" i="175"/>
  <c r="R24" i="175"/>
  <c r="AO23" i="175"/>
  <c r="AO24" i="175" s="1"/>
  <c r="P24" i="175" s="1"/>
  <c r="R23" i="175"/>
  <c r="P23" i="175"/>
  <c r="AO22" i="175"/>
  <c r="P22" i="175" s="1"/>
  <c r="R22" i="175"/>
  <c r="AO21" i="175"/>
  <c r="P21" i="175" s="1"/>
  <c r="R21" i="175"/>
  <c r="AO20" i="175"/>
  <c r="R20" i="175"/>
  <c r="P20" i="175"/>
  <c r="AO19" i="175"/>
  <c r="P19" i="175" s="1"/>
  <c r="R19" i="175"/>
  <c r="AO18" i="175"/>
  <c r="R18" i="175"/>
  <c r="P18" i="175"/>
  <c r="AO17" i="175"/>
  <c r="P17" i="175" s="1"/>
  <c r="R17" i="175"/>
  <c r="R16" i="175"/>
  <c r="AO15" i="175"/>
  <c r="AO16" i="175" s="1"/>
  <c r="P16" i="175" s="1"/>
  <c r="R15" i="175"/>
  <c r="AO14" i="175"/>
  <c r="R14" i="175"/>
  <c r="P14" i="175"/>
  <c r="N10" i="175"/>
  <c r="K10" i="175"/>
  <c r="B10" i="175"/>
  <c r="K9" i="175"/>
  <c r="B9" i="175"/>
  <c r="N6" i="175"/>
  <c r="T1" i="175"/>
  <c r="S1" i="175"/>
  <c r="I4" i="175" s="1"/>
  <c r="I1" i="175"/>
  <c r="AG50" i="174"/>
  <c r="O50" i="174"/>
  <c r="N50" i="174"/>
  <c r="M50" i="174"/>
  <c r="L50" i="174"/>
  <c r="K50" i="174"/>
  <c r="J50" i="174"/>
  <c r="I50" i="174"/>
  <c r="H50" i="174"/>
  <c r="G50" i="174"/>
  <c r="F50" i="174"/>
  <c r="E50" i="174"/>
  <c r="D50" i="174"/>
  <c r="C50" i="174"/>
  <c r="B50" i="174"/>
  <c r="AG49" i="174"/>
  <c r="P49" i="174"/>
  <c r="AG48" i="174"/>
  <c r="P48" i="174"/>
  <c r="AG47" i="174"/>
  <c r="P47" i="174"/>
  <c r="AG46" i="174"/>
  <c r="P46" i="174"/>
  <c r="AG45" i="174"/>
  <c r="P45" i="174"/>
  <c r="AG44" i="174"/>
  <c r="P44" i="174"/>
  <c r="AG43" i="174"/>
  <c r="P43" i="174"/>
  <c r="AG42" i="174"/>
  <c r="P42" i="174"/>
  <c r="AG41" i="174"/>
  <c r="P41" i="174"/>
  <c r="AG40" i="174"/>
  <c r="P40" i="174"/>
  <c r="AG39" i="174"/>
  <c r="P39" i="174"/>
  <c r="AG38" i="174"/>
  <c r="P38" i="174"/>
  <c r="AG37" i="174"/>
  <c r="P37" i="174"/>
  <c r="AG36" i="174"/>
  <c r="P36" i="174"/>
  <c r="AG35" i="174"/>
  <c r="P35" i="174"/>
  <c r="AG34" i="174"/>
  <c r="P34" i="174"/>
  <c r="AG33" i="174"/>
  <c r="P33" i="174"/>
  <c r="AG32" i="174"/>
  <c r="P32" i="174"/>
  <c r="AG31" i="174"/>
  <c r="P31" i="174"/>
  <c r="AG30" i="174"/>
  <c r="P30" i="174"/>
  <c r="AG29" i="174"/>
  <c r="P29" i="174"/>
  <c r="AG28" i="174"/>
  <c r="P28" i="174"/>
  <c r="AG27" i="174"/>
  <c r="P27" i="174"/>
  <c r="AG26" i="174"/>
  <c r="P26" i="174"/>
  <c r="AG25" i="174"/>
  <c r="P25" i="174"/>
  <c r="AG24" i="174"/>
  <c r="P24" i="174"/>
  <c r="AG23" i="174"/>
  <c r="P23" i="174"/>
  <c r="AG22" i="174"/>
  <c r="P22" i="174"/>
  <c r="AG21" i="174"/>
  <c r="P21" i="174"/>
  <c r="AG20" i="174"/>
  <c r="P20" i="174"/>
  <c r="AG19" i="174"/>
  <c r="P19" i="174"/>
  <c r="AG18" i="174"/>
  <c r="P18" i="174"/>
  <c r="AG17" i="174"/>
  <c r="P17" i="174"/>
  <c r="AG16" i="174"/>
  <c r="P16" i="174"/>
  <c r="AG15" i="174"/>
  <c r="P15" i="174"/>
  <c r="AG14" i="174"/>
  <c r="P14" i="174"/>
  <c r="N10" i="174"/>
  <c r="J10" i="174"/>
  <c r="B10" i="174"/>
  <c r="J9" i="174"/>
  <c r="B9" i="174"/>
  <c r="L6" i="174"/>
  <c r="H4" i="174"/>
  <c r="H2" i="174"/>
  <c r="S1" i="174"/>
  <c r="H1" i="174"/>
  <c r="AG50" i="173"/>
  <c r="O50" i="173"/>
  <c r="N50" i="173"/>
  <c r="M50" i="173"/>
  <c r="L50" i="173"/>
  <c r="K50" i="173"/>
  <c r="J50" i="173"/>
  <c r="I50" i="173"/>
  <c r="H50" i="173"/>
  <c r="G50" i="173"/>
  <c r="F50" i="173"/>
  <c r="E50" i="173"/>
  <c r="D50" i="173"/>
  <c r="C50" i="173"/>
  <c r="B50" i="173"/>
  <c r="AG49" i="173"/>
  <c r="P49" i="173"/>
  <c r="AG48" i="173"/>
  <c r="P48" i="173"/>
  <c r="AG47" i="173"/>
  <c r="P47" i="173"/>
  <c r="AG46" i="173"/>
  <c r="P46" i="173"/>
  <c r="AG45" i="173"/>
  <c r="P45" i="173"/>
  <c r="AG44" i="173"/>
  <c r="P44" i="173"/>
  <c r="AG43" i="173"/>
  <c r="P43" i="173"/>
  <c r="AG42" i="173"/>
  <c r="P42" i="173"/>
  <c r="AG41" i="173"/>
  <c r="P41" i="173"/>
  <c r="AG40" i="173"/>
  <c r="P40" i="173"/>
  <c r="AG39" i="173"/>
  <c r="P39" i="173"/>
  <c r="AG38" i="173"/>
  <c r="P38" i="173"/>
  <c r="AG37" i="173"/>
  <c r="P37" i="173"/>
  <c r="AG36" i="173"/>
  <c r="P36" i="173"/>
  <c r="AG35" i="173"/>
  <c r="P35" i="173"/>
  <c r="AG34" i="173"/>
  <c r="P34" i="173"/>
  <c r="AG33" i="173"/>
  <c r="P33" i="173"/>
  <c r="AG32" i="173"/>
  <c r="P32" i="173"/>
  <c r="AG31" i="173"/>
  <c r="P31" i="173"/>
  <c r="AG30" i="173"/>
  <c r="P30" i="173"/>
  <c r="AG29" i="173"/>
  <c r="P29" i="173"/>
  <c r="AG28" i="173"/>
  <c r="P28" i="173"/>
  <c r="AG27" i="173"/>
  <c r="P27" i="173"/>
  <c r="AG26" i="173"/>
  <c r="P26" i="173"/>
  <c r="AG25" i="173"/>
  <c r="P25" i="173"/>
  <c r="AG24" i="173"/>
  <c r="P24" i="173"/>
  <c r="AG23" i="173"/>
  <c r="P23" i="173"/>
  <c r="AG22" i="173"/>
  <c r="P22" i="173"/>
  <c r="AG21" i="173"/>
  <c r="P21" i="173"/>
  <c r="AG20" i="173"/>
  <c r="P20" i="173"/>
  <c r="AG19" i="173"/>
  <c r="P19" i="173"/>
  <c r="AG18" i="173"/>
  <c r="P18" i="173"/>
  <c r="AG17" i="173"/>
  <c r="P17" i="173"/>
  <c r="AG16" i="173"/>
  <c r="P16" i="173"/>
  <c r="AG15" i="173"/>
  <c r="P15" i="173"/>
  <c r="AG14" i="173"/>
  <c r="P14" i="173"/>
  <c r="N10" i="173"/>
  <c r="J10" i="173"/>
  <c r="B10" i="173"/>
  <c r="J9" i="173"/>
  <c r="B9" i="173"/>
  <c r="L6" i="173"/>
  <c r="H4" i="173"/>
  <c r="H2" i="173"/>
  <c r="S1" i="173"/>
  <c r="H1" i="173"/>
  <c r="AG50" i="172"/>
  <c r="O50" i="172"/>
  <c r="N50" i="172"/>
  <c r="M50" i="172"/>
  <c r="L50" i="172"/>
  <c r="K50" i="172"/>
  <c r="J50" i="172"/>
  <c r="I50" i="172"/>
  <c r="H50" i="172"/>
  <c r="G50" i="172"/>
  <c r="F50" i="172"/>
  <c r="E50" i="172"/>
  <c r="D50" i="172"/>
  <c r="C50" i="172"/>
  <c r="B50" i="172"/>
  <c r="AG49" i="172"/>
  <c r="P49" i="172"/>
  <c r="AG48" i="172"/>
  <c r="P48" i="172"/>
  <c r="AG47" i="172"/>
  <c r="P47" i="172"/>
  <c r="AG46" i="172"/>
  <c r="P46" i="172"/>
  <c r="AG45" i="172"/>
  <c r="P45" i="172"/>
  <c r="AG44" i="172"/>
  <c r="P44" i="172"/>
  <c r="AG43" i="172"/>
  <c r="P43" i="172"/>
  <c r="AG42" i="172"/>
  <c r="P42" i="172"/>
  <c r="AG41" i="172"/>
  <c r="P41" i="172"/>
  <c r="AG40" i="172"/>
  <c r="P40" i="172"/>
  <c r="AG39" i="172"/>
  <c r="P39" i="172"/>
  <c r="AG38" i="172"/>
  <c r="P38" i="172"/>
  <c r="AG37" i="172"/>
  <c r="P37" i="172"/>
  <c r="AG36" i="172"/>
  <c r="P36" i="172"/>
  <c r="AG35" i="172"/>
  <c r="P35" i="172"/>
  <c r="AG34" i="172"/>
  <c r="P34" i="172"/>
  <c r="AG33" i="172"/>
  <c r="P33" i="172"/>
  <c r="AG32" i="172"/>
  <c r="P32" i="172"/>
  <c r="AG31" i="172"/>
  <c r="P31" i="172"/>
  <c r="AG30" i="172"/>
  <c r="P30" i="172"/>
  <c r="AG29" i="172"/>
  <c r="P29" i="172"/>
  <c r="AG28" i="172"/>
  <c r="P28" i="172"/>
  <c r="AG27" i="172"/>
  <c r="P27" i="172"/>
  <c r="AG26" i="172"/>
  <c r="P26" i="172"/>
  <c r="AG25" i="172"/>
  <c r="P25" i="172"/>
  <c r="AG24" i="172"/>
  <c r="P24" i="172"/>
  <c r="AG23" i="172"/>
  <c r="P23" i="172"/>
  <c r="AG22" i="172"/>
  <c r="P22" i="172"/>
  <c r="AG21" i="172"/>
  <c r="P21" i="172"/>
  <c r="AG20" i="172"/>
  <c r="P20" i="172"/>
  <c r="AG19" i="172"/>
  <c r="P19" i="172"/>
  <c r="AG18" i="172"/>
  <c r="P18" i="172"/>
  <c r="AG17" i="172"/>
  <c r="P17" i="172"/>
  <c r="AG16" i="172"/>
  <c r="P16" i="172"/>
  <c r="AG15" i="172"/>
  <c r="P15" i="172"/>
  <c r="AG14" i="172"/>
  <c r="P14" i="172"/>
  <c r="N10" i="172"/>
  <c r="J10" i="172"/>
  <c r="B10" i="172"/>
  <c r="J9" i="172"/>
  <c r="B9" i="172"/>
  <c r="L6" i="172"/>
  <c r="H4" i="172"/>
  <c r="H2" i="172"/>
  <c r="S1" i="172"/>
  <c r="H1" i="172"/>
  <c r="AG50" i="171"/>
  <c r="O50" i="171"/>
  <c r="N50" i="171"/>
  <c r="M50" i="171"/>
  <c r="L50" i="171"/>
  <c r="K50" i="171"/>
  <c r="J50" i="171"/>
  <c r="I50" i="171"/>
  <c r="H50" i="171"/>
  <c r="G50" i="171"/>
  <c r="F50" i="171"/>
  <c r="E50" i="171"/>
  <c r="D50" i="171"/>
  <c r="C50" i="171"/>
  <c r="B50" i="171"/>
  <c r="AG49" i="171"/>
  <c r="P49" i="171"/>
  <c r="AG48" i="171"/>
  <c r="P48" i="171"/>
  <c r="AG47" i="171"/>
  <c r="P47" i="171"/>
  <c r="AG46" i="171"/>
  <c r="P46" i="171"/>
  <c r="AG45" i="171"/>
  <c r="P45" i="171"/>
  <c r="AG44" i="171"/>
  <c r="P44" i="171"/>
  <c r="AG43" i="171"/>
  <c r="P43" i="171"/>
  <c r="AG42" i="171"/>
  <c r="P42" i="171"/>
  <c r="AG41" i="171"/>
  <c r="P41" i="171"/>
  <c r="AG40" i="171"/>
  <c r="P40" i="171"/>
  <c r="AG39" i="171"/>
  <c r="P39" i="171"/>
  <c r="AG38" i="171"/>
  <c r="P38" i="171"/>
  <c r="AG37" i="171"/>
  <c r="P37" i="171"/>
  <c r="AG36" i="171"/>
  <c r="P36" i="171"/>
  <c r="AG35" i="171"/>
  <c r="P35" i="171"/>
  <c r="AG34" i="171"/>
  <c r="P34" i="171"/>
  <c r="AG33" i="171"/>
  <c r="P33" i="171"/>
  <c r="AG32" i="171"/>
  <c r="P32" i="171"/>
  <c r="AG31" i="171"/>
  <c r="P31" i="171"/>
  <c r="AG30" i="171"/>
  <c r="P30" i="171"/>
  <c r="AG29" i="171"/>
  <c r="P29" i="171"/>
  <c r="AG28" i="171"/>
  <c r="P28" i="171"/>
  <c r="AG27" i="171"/>
  <c r="P27" i="171"/>
  <c r="AG26" i="171"/>
  <c r="P26" i="171"/>
  <c r="AG25" i="171"/>
  <c r="P25" i="171"/>
  <c r="AG24" i="171"/>
  <c r="P24" i="171"/>
  <c r="AG23" i="171"/>
  <c r="P23" i="171"/>
  <c r="AG22" i="171"/>
  <c r="P22" i="171"/>
  <c r="AG21" i="171"/>
  <c r="P21" i="171"/>
  <c r="AG20" i="171"/>
  <c r="P20" i="171"/>
  <c r="AG19" i="171"/>
  <c r="P19" i="171"/>
  <c r="AG18" i="171"/>
  <c r="P18" i="171"/>
  <c r="AG17" i="171"/>
  <c r="P17" i="171"/>
  <c r="AG16" i="171"/>
  <c r="P16" i="171"/>
  <c r="AG15" i="171"/>
  <c r="P15" i="171"/>
  <c r="AG14" i="171"/>
  <c r="P14" i="171"/>
  <c r="N10" i="171"/>
  <c r="J10" i="171"/>
  <c r="B10" i="171"/>
  <c r="J9" i="171"/>
  <c r="B9" i="171"/>
  <c r="L6" i="171"/>
  <c r="H4" i="171"/>
  <c r="H2" i="171"/>
  <c r="S1" i="171"/>
  <c r="H1" i="171"/>
  <c r="AH49" i="170"/>
  <c r="AG49" i="170"/>
  <c r="Y49" i="170"/>
  <c r="X49" i="170"/>
  <c r="W49" i="170"/>
  <c r="V49" i="170"/>
  <c r="U49" i="170"/>
  <c r="T49" i="170"/>
  <c r="S49" i="170"/>
  <c r="R49" i="170"/>
  <c r="Z49" i="170" s="1"/>
  <c r="P49" i="170"/>
  <c r="AH48" i="170"/>
  <c r="AG48" i="170"/>
  <c r="Y48" i="170"/>
  <c r="X48" i="170"/>
  <c r="W48" i="170"/>
  <c r="V48" i="170"/>
  <c r="U48" i="170"/>
  <c r="T48" i="170"/>
  <c r="S48" i="170"/>
  <c r="R48" i="170"/>
  <c r="P48" i="170"/>
  <c r="AH47" i="170"/>
  <c r="AG47" i="170"/>
  <c r="Y47" i="170"/>
  <c r="X47" i="170"/>
  <c r="W47" i="170"/>
  <c r="V47" i="170"/>
  <c r="U47" i="170"/>
  <c r="T47" i="170"/>
  <c r="S47" i="170"/>
  <c r="R47" i="170"/>
  <c r="P47" i="170"/>
  <c r="AH46" i="170"/>
  <c r="AG46" i="170"/>
  <c r="Y46" i="170"/>
  <c r="X46" i="170"/>
  <c r="W46" i="170"/>
  <c r="V46" i="170"/>
  <c r="U46" i="170"/>
  <c r="T46" i="170"/>
  <c r="S46" i="170"/>
  <c r="R46" i="170"/>
  <c r="P46" i="170"/>
  <c r="AH45" i="170"/>
  <c r="AG45" i="170"/>
  <c r="Y45" i="170"/>
  <c r="X45" i="170"/>
  <c r="W45" i="170"/>
  <c r="V45" i="170"/>
  <c r="U45" i="170"/>
  <c r="T45" i="170"/>
  <c r="S45" i="170"/>
  <c r="R45" i="170"/>
  <c r="Z45" i="170" s="1"/>
  <c r="P45" i="170"/>
  <c r="AH44" i="170"/>
  <c r="AG44" i="170"/>
  <c r="Y44" i="170"/>
  <c r="X44" i="170"/>
  <c r="W44" i="170"/>
  <c r="V44" i="170"/>
  <c r="U44" i="170"/>
  <c r="T44" i="170"/>
  <c r="S44" i="170"/>
  <c r="R44" i="170"/>
  <c r="P44" i="170"/>
  <c r="AH43" i="170"/>
  <c r="AG43" i="170"/>
  <c r="Y43" i="170"/>
  <c r="X43" i="170"/>
  <c r="W43" i="170"/>
  <c r="V43" i="170"/>
  <c r="U43" i="170"/>
  <c r="T43" i="170"/>
  <c r="S43" i="170"/>
  <c r="R43" i="170"/>
  <c r="P43" i="170"/>
  <c r="AH42" i="170"/>
  <c r="AG42" i="170"/>
  <c r="Y42" i="170"/>
  <c r="X42" i="170"/>
  <c r="W42" i="170"/>
  <c r="V42" i="170"/>
  <c r="U42" i="170"/>
  <c r="T42" i="170"/>
  <c r="S42" i="170"/>
  <c r="R42" i="170"/>
  <c r="Z42" i="170" s="1"/>
  <c r="P42" i="170"/>
  <c r="AH41" i="170"/>
  <c r="AG41" i="170"/>
  <c r="Y41" i="170"/>
  <c r="X41" i="170"/>
  <c r="W41" i="170"/>
  <c r="V41" i="170"/>
  <c r="U41" i="170"/>
  <c r="T41" i="170"/>
  <c r="S41" i="170"/>
  <c r="R41" i="170"/>
  <c r="P41" i="170"/>
  <c r="AH40" i="170"/>
  <c r="AG40" i="170"/>
  <c r="Y40" i="170"/>
  <c r="X40" i="170"/>
  <c r="W40" i="170"/>
  <c r="V40" i="170"/>
  <c r="U40" i="170"/>
  <c r="T40" i="170"/>
  <c r="S40" i="170"/>
  <c r="R40" i="170"/>
  <c r="P40" i="170"/>
  <c r="AH39" i="170"/>
  <c r="AG39" i="170"/>
  <c r="Y39" i="170"/>
  <c r="X39" i="170"/>
  <c r="W39" i="170"/>
  <c r="V39" i="170"/>
  <c r="U39" i="170"/>
  <c r="T39" i="170"/>
  <c r="S39" i="170"/>
  <c r="R39" i="170"/>
  <c r="P39" i="170"/>
  <c r="AH38" i="170"/>
  <c r="AG38" i="170"/>
  <c r="Y38" i="170"/>
  <c r="X38" i="170"/>
  <c r="W38" i="170"/>
  <c r="V38" i="170"/>
  <c r="U38" i="170"/>
  <c r="T38" i="170"/>
  <c r="S38" i="170"/>
  <c r="R38" i="170"/>
  <c r="P38" i="170"/>
  <c r="AH37" i="170"/>
  <c r="AG37" i="170"/>
  <c r="Y37" i="170"/>
  <c r="X37" i="170"/>
  <c r="W37" i="170"/>
  <c r="V37" i="170"/>
  <c r="U37" i="170"/>
  <c r="T37" i="170"/>
  <c r="S37" i="170"/>
  <c r="R37" i="170"/>
  <c r="Z37" i="170" s="1"/>
  <c r="P37" i="170"/>
  <c r="AH36" i="170"/>
  <c r="AG36" i="170"/>
  <c r="Y36" i="170"/>
  <c r="X36" i="170"/>
  <c r="W36" i="170"/>
  <c r="V36" i="170"/>
  <c r="U36" i="170"/>
  <c r="T36" i="170"/>
  <c r="S36" i="170"/>
  <c r="R36" i="170"/>
  <c r="Z36" i="170" s="1"/>
  <c r="P36" i="170"/>
  <c r="AH35" i="170"/>
  <c r="AG35" i="170"/>
  <c r="Y35" i="170"/>
  <c r="X35" i="170"/>
  <c r="W35" i="170"/>
  <c r="V35" i="170"/>
  <c r="U35" i="170"/>
  <c r="T35" i="170"/>
  <c r="S35" i="170"/>
  <c r="R35" i="170"/>
  <c r="P35" i="170"/>
  <c r="AH34" i="170"/>
  <c r="AG34" i="170"/>
  <c r="Y34" i="170"/>
  <c r="X34" i="170"/>
  <c r="W34" i="170"/>
  <c r="V34" i="170"/>
  <c r="U34" i="170"/>
  <c r="T34" i="170"/>
  <c r="S34" i="170"/>
  <c r="R34" i="170"/>
  <c r="Z34" i="170" s="1"/>
  <c r="P34" i="170"/>
  <c r="AH33" i="170"/>
  <c r="AG33" i="170"/>
  <c r="Y33" i="170"/>
  <c r="X33" i="170"/>
  <c r="W33" i="170"/>
  <c r="V33" i="170"/>
  <c r="U33" i="170"/>
  <c r="T33" i="170"/>
  <c r="S33" i="170"/>
  <c r="R33" i="170"/>
  <c r="P33" i="170"/>
  <c r="AH32" i="170"/>
  <c r="AG32" i="170"/>
  <c r="Y32" i="170"/>
  <c r="X32" i="170"/>
  <c r="W32" i="170"/>
  <c r="V32" i="170"/>
  <c r="U32" i="170"/>
  <c r="T32" i="170"/>
  <c r="S32" i="170"/>
  <c r="R32" i="170"/>
  <c r="P32" i="170"/>
  <c r="AH31" i="170"/>
  <c r="AG31" i="170"/>
  <c r="Y31" i="170"/>
  <c r="X31" i="170"/>
  <c r="W31" i="170"/>
  <c r="V31" i="170"/>
  <c r="U31" i="170"/>
  <c r="T31" i="170"/>
  <c r="S31" i="170"/>
  <c r="R31" i="170"/>
  <c r="P31" i="170"/>
  <c r="AH30" i="170"/>
  <c r="AG30" i="170"/>
  <c r="Y30" i="170"/>
  <c r="X30" i="170"/>
  <c r="W30" i="170"/>
  <c r="V30" i="170"/>
  <c r="U30" i="170"/>
  <c r="T30" i="170"/>
  <c r="S30" i="170"/>
  <c r="R30" i="170"/>
  <c r="P30" i="170"/>
  <c r="AH29" i="170"/>
  <c r="AG29" i="170"/>
  <c r="Y29" i="170"/>
  <c r="X29" i="170"/>
  <c r="W29" i="170"/>
  <c r="V29" i="170"/>
  <c r="U29" i="170"/>
  <c r="T29" i="170"/>
  <c r="S29" i="170"/>
  <c r="R29" i="170"/>
  <c r="Z29" i="170" s="1"/>
  <c r="P29" i="170"/>
  <c r="AH28" i="170"/>
  <c r="AG28" i="170"/>
  <c r="Y28" i="170"/>
  <c r="X28" i="170"/>
  <c r="W28" i="170"/>
  <c r="V28" i="170"/>
  <c r="U28" i="170"/>
  <c r="T28" i="170"/>
  <c r="S28" i="170"/>
  <c r="R28" i="170"/>
  <c r="P28" i="170"/>
  <c r="AH27" i="170"/>
  <c r="AG27" i="170"/>
  <c r="Y27" i="170"/>
  <c r="X27" i="170"/>
  <c r="W27" i="170"/>
  <c r="V27" i="170"/>
  <c r="U27" i="170"/>
  <c r="T27" i="170"/>
  <c r="S27" i="170"/>
  <c r="R27" i="170"/>
  <c r="P27" i="170"/>
  <c r="AH26" i="170"/>
  <c r="AG26" i="170"/>
  <c r="Y26" i="170"/>
  <c r="X26" i="170"/>
  <c r="W26" i="170"/>
  <c r="V26" i="170"/>
  <c r="U26" i="170"/>
  <c r="T26" i="170"/>
  <c r="S26" i="170"/>
  <c r="R26" i="170"/>
  <c r="Z26" i="170" s="1"/>
  <c r="P26" i="170"/>
  <c r="AH25" i="170"/>
  <c r="AG25" i="170"/>
  <c r="Y25" i="170"/>
  <c r="X25" i="170"/>
  <c r="W25" i="170"/>
  <c r="V25" i="170"/>
  <c r="U25" i="170"/>
  <c r="T25" i="170"/>
  <c r="S25" i="170"/>
  <c r="R25" i="170"/>
  <c r="Z25" i="170" s="1"/>
  <c r="P25" i="170"/>
  <c r="AH24" i="170"/>
  <c r="AG24" i="170"/>
  <c r="Y24" i="170"/>
  <c r="X24" i="170"/>
  <c r="W24" i="170"/>
  <c r="V24" i="170"/>
  <c r="U24" i="170"/>
  <c r="T24" i="170"/>
  <c r="S24" i="170"/>
  <c r="R24" i="170"/>
  <c r="P24" i="170"/>
  <c r="AH23" i="170"/>
  <c r="AG23" i="170"/>
  <c r="Y23" i="170"/>
  <c r="X23" i="170"/>
  <c r="W23" i="170"/>
  <c r="V23" i="170"/>
  <c r="U23" i="170"/>
  <c r="T23" i="170"/>
  <c r="S23" i="170"/>
  <c r="R23" i="170"/>
  <c r="Z23" i="170" s="1"/>
  <c r="P23" i="170"/>
  <c r="AH22" i="170"/>
  <c r="AG22" i="170"/>
  <c r="Y22" i="170"/>
  <c r="X22" i="170"/>
  <c r="W22" i="170"/>
  <c r="V22" i="170"/>
  <c r="U22" i="170"/>
  <c r="T22" i="170"/>
  <c r="S22" i="170"/>
  <c r="R22" i="170"/>
  <c r="P22" i="170"/>
  <c r="AH21" i="170"/>
  <c r="AG21" i="170"/>
  <c r="Y21" i="170"/>
  <c r="X21" i="170"/>
  <c r="W21" i="170"/>
  <c r="V21" i="170"/>
  <c r="U21" i="170"/>
  <c r="T21" i="170"/>
  <c r="S21" i="170"/>
  <c r="R21" i="170"/>
  <c r="Z21" i="170" s="1"/>
  <c r="P21" i="170"/>
  <c r="AH20" i="170"/>
  <c r="AG20" i="170"/>
  <c r="Y20" i="170"/>
  <c r="X20" i="170"/>
  <c r="W20" i="170"/>
  <c r="V20" i="170"/>
  <c r="U20" i="170"/>
  <c r="T20" i="170"/>
  <c r="S20" i="170"/>
  <c r="R20" i="170"/>
  <c r="Z20" i="170" s="1"/>
  <c r="P20" i="170"/>
  <c r="AH19" i="170"/>
  <c r="AG19" i="170"/>
  <c r="Y19" i="170"/>
  <c r="X19" i="170"/>
  <c r="W19" i="170"/>
  <c r="V19" i="170"/>
  <c r="U19" i="170"/>
  <c r="T19" i="170"/>
  <c r="S19" i="170"/>
  <c r="R19" i="170"/>
  <c r="P19" i="170"/>
  <c r="AH18" i="170"/>
  <c r="AG18" i="170"/>
  <c r="Y18" i="170"/>
  <c r="X18" i="170"/>
  <c r="W18" i="170"/>
  <c r="V18" i="170"/>
  <c r="U18" i="170"/>
  <c r="T18" i="170"/>
  <c r="S18" i="170"/>
  <c r="R18" i="170"/>
  <c r="P18" i="170"/>
  <c r="AH17" i="170"/>
  <c r="AG17" i="170"/>
  <c r="Y17" i="170"/>
  <c r="X17" i="170"/>
  <c r="W17" i="170"/>
  <c r="V17" i="170"/>
  <c r="U17" i="170"/>
  <c r="T17" i="170"/>
  <c r="S17" i="170"/>
  <c r="R17" i="170"/>
  <c r="P17" i="170"/>
  <c r="AH16" i="170"/>
  <c r="AG16" i="170"/>
  <c r="Y16" i="170"/>
  <c r="X16" i="170"/>
  <c r="W16" i="170"/>
  <c r="V16" i="170"/>
  <c r="U16" i="170"/>
  <c r="T16" i="170"/>
  <c r="S16" i="170"/>
  <c r="R16" i="170"/>
  <c r="P16" i="170"/>
  <c r="AH15" i="170"/>
  <c r="AG15" i="170"/>
  <c r="Y15" i="170"/>
  <c r="X15" i="170"/>
  <c r="W15" i="170"/>
  <c r="V15" i="170"/>
  <c r="U15" i="170"/>
  <c r="T15" i="170"/>
  <c r="S15" i="170"/>
  <c r="R15" i="170"/>
  <c r="P15" i="170"/>
  <c r="AH14" i="170"/>
  <c r="AG14" i="170"/>
  <c r="Y14" i="170"/>
  <c r="X14" i="170"/>
  <c r="W14" i="170"/>
  <c r="V14" i="170"/>
  <c r="U14" i="170"/>
  <c r="T14" i="170"/>
  <c r="S14" i="170"/>
  <c r="R14" i="170"/>
  <c r="P14" i="170"/>
  <c r="AH13" i="170"/>
  <c r="AG13" i="170"/>
  <c r="Y13" i="170"/>
  <c r="X13" i="170"/>
  <c r="W13" i="170"/>
  <c r="V13" i="170"/>
  <c r="U13" i="170"/>
  <c r="T13" i="170"/>
  <c r="S13" i="170"/>
  <c r="R13" i="170"/>
  <c r="P13" i="170"/>
  <c r="N10" i="170"/>
  <c r="L10" i="170"/>
  <c r="B10" i="170"/>
  <c r="L9" i="170"/>
  <c r="B9" i="170"/>
  <c r="L6" i="170"/>
  <c r="Q1" i="170"/>
  <c r="P1" i="170"/>
  <c r="H1" i="170" s="1"/>
  <c r="BG14" i="160"/>
  <c r="BG15" i="160"/>
  <c r="BG16" i="160"/>
  <c r="BG17" i="160"/>
  <c r="BG18" i="160"/>
  <c r="BG19" i="160"/>
  <c r="BG20" i="160"/>
  <c r="BG21" i="160"/>
  <c r="BG22" i="160"/>
  <c r="BG23" i="160"/>
  <c r="BG24" i="160"/>
  <c r="BG25" i="160"/>
  <c r="BG26" i="160"/>
  <c r="BG27" i="160"/>
  <c r="BG28" i="160"/>
  <c r="BG29" i="160"/>
  <c r="BG30" i="160"/>
  <c r="BG31" i="160"/>
  <c r="BG32" i="160"/>
  <c r="BG33" i="160"/>
  <c r="BG34" i="160"/>
  <c r="BG35" i="160"/>
  <c r="BG36" i="160"/>
  <c r="BG37" i="160"/>
  <c r="BG38" i="160"/>
  <c r="BG39" i="160"/>
  <c r="BG40" i="160"/>
  <c r="BG41" i="160"/>
  <c r="BG42" i="160"/>
  <c r="BG43" i="160"/>
  <c r="BG44" i="160"/>
  <c r="BG45" i="160"/>
  <c r="BC14" i="160"/>
  <c r="BC15" i="160"/>
  <c r="BC16" i="160"/>
  <c r="BC17" i="160"/>
  <c r="BC18" i="160"/>
  <c r="BC19" i="160"/>
  <c r="BC20" i="160"/>
  <c r="BC21" i="160"/>
  <c r="BC22" i="160"/>
  <c r="BC23" i="160"/>
  <c r="BC24" i="160"/>
  <c r="BC25" i="160"/>
  <c r="BC26" i="160"/>
  <c r="BC27" i="160"/>
  <c r="BC28" i="160"/>
  <c r="BC29" i="160"/>
  <c r="BC30" i="160"/>
  <c r="BC31" i="160"/>
  <c r="BC32" i="160"/>
  <c r="BC33" i="160"/>
  <c r="BC34" i="160"/>
  <c r="BC35" i="160"/>
  <c r="BC36" i="160"/>
  <c r="BC37" i="160"/>
  <c r="BC38" i="160"/>
  <c r="BC39" i="160"/>
  <c r="BC40" i="160"/>
  <c r="BC41" i="160"/>
  <c r="BC42" i="160"/>
  <c r="BC43" i="160"/>
  <c r="BC44" i="160"/>
  <c r="BC45" i="160"/>
  <c r="AY14" i="160"/>
  <c r="AY15" i="160"/>
  <c r="AY16" i="160"/>
  <c r="AY17" i="160"/>
  <c r="AY18" i="160"/>
  <c r="AY19" i="160"/>
  <c r="AY20" i="160"/>
  <c r="AY21" i="160"/>
  <c r="AY22" i="160"/>
  <c r="AY23" i="160"/>
  <c r="AY24" i="160"/>
  <c r="AY25" i="160"/>
  <c r="AY26" i="160"/>
  <c r="AY27" i="160"/>
  <c r="AY28" i="160"/>
  <c r="AY29" i="160"/>
  <c r="AY30" i="160"/>
  <c r="AY31" i="160"/>
  <c r="AY32" i="160"/>
  <c r="AY33" i="160"/>
  <c r="AY34" i="160"/>
  <c r="AY35" i="160"/>
  <c r="AY36" i="160"/>
  <c r="AY37" i="160"/>
  <c r="AY38" i="160"/>
  <c r="AY39" i="160"/>
  <c r="AY40" i="160"/>
  <c r="AY41" i="160"/>
  <c r="AY42" i="160"/>
  <c r="AY43" i="160"/>
  <c r="AY44" i="160"/>
  <c r="AY45" i="160"/>
  <c r="AU14" i="160"/>
  <c r="AU15" i="160"/>
  <c r="AU16" i="160"/>
  <c r="AU17" i="160"/>
  <c r="AU18" i="160"/>
  <c r="AU19" i="160"/>
  <c r="AU20" i="160"/>
  <c r="AU21" i="160"/>
  <c r="AU22" i="160"/>
  <c r="AU23" i="160"/>
  <c r="AU24" i="160"/>
  <c r="AU25" i="160"/>
  <c r="AU26" i="160"/>
  <c r="AU27" i="160"/>
  <c r="AU28" i="160"/>
  <c r="AU29" i="160"/>
  <c r="AU30" i="160"/>
  <c r="AU31" i="160"/>
  <c r="AU32" i="160"/>
  <c r="AU33" i="160"/>
  <c r="AU34" i="160"/>
  <c r="AU35" i="160"/>
  <c r="AU36" i="160"/>
  <c r="AU37" i="160"/>
  <c r="AU38" i="160"/>
  <c r="AU39" i="160"/>
  <c r="AU40" i="160"/>
  <c r="AU41" i="160"/>
  <c r="AU42" i="160"/>
  <c r="AU43" i="160"/>
  <c r="AU44" i="160"/>
  <c r="AU45" i="160"/>
  <c r="AL14" i="160"/>
  <c r="AL15" i="160"/>
  <c r="AL16" i="160"/>
  <c r="AL17" i="160"/>
  <c r="AL18" i="160"/>
  <c r="AL19" i="160"/>
  <c r="AL20" i="160"/>
  <c r="AL21" i="160"/>
  <c r="AL22" i="160"/>
  <c r="AL23" i="160"/>
  <c r="AL24" i="160"/>
  <c r="AL25" i="160"/>
  <c r="AL26" i="160"/>
  <c r="AL27" i="160"/>
  <c r="AL28" i="160"/>
  <c r="AL29" i="160"/>
  <c r="AL30" i="160"/>
  <c r="AL31" i="160"/>
  <c r="AL32" i="160"/>
  <c r="AL33" i="160"/>
  <c r="AL34" i="160"/>
  <c r="AL35" i="160"/>
  <c r="AL36" i="160"/>
  <c r="AL37" i="160"/>
  <c r="AL38" i="160"/>
  <c r="AL39" i="160"/>
  <c r="AL40" i="160"/>
  <c r="AL41" i="160"/>
  <c r="AL42" i="160"/>
  <c r="AL43" i="160"/>
  <c r="AL44" i="160"/>
  <c r="AL45" i="160"/>
  <c r="AC14" i="160"/>
  <c r="AC15" i="160"/>
  <c r="AC16" i="160"/>
  <c r="AC17" i="160"/>
  <c r="AC18" i="160"/>
  <c r="AC19" i="160"/>
  <c r="AC20" i="160"/>
  <c r="AC21" i="160"/>
  <c r="AC22" i="160"/>
  <c r="AC23" i="160"/>
  <c r="AC24" i="160"/>
  <c r="AC25" i="160"/>
  <c r="AC26" i="160"/>
  <c r="AC27" i="160"/>
  <c r="AC28" i="160"/>
  <c r="AC29" i="160"/>
  <c r="AC30" i="160"/>
  <c r="AC31" i="160"/>
  <c r="AC32" i="160"/>
  <c r="AC33" i="160"/>
  <c r="AC34" i="160"/>
  <c r="AC35" i="160"/>
  <c r="AC36" i="160"/>
  <c r="AC37" i="160"/>
  <c r="AC38" i="160"/>
  <c r="AC39" i="160"/>
  <c r="AC40" i="160"/>
  <c r="AC41" i="160"/>
  <c r="AC42" i="160"/>
  <c r="AC43" i="160"/>
  <c r="AC44" i="160"/>
  <c r="AC45" i="160"/>
  <c r="BG14" i="84"/>
  <c r="BG15" i="84"/>
  <c r="BG16" i="84"/>
  <c r="BG17" i="84"/>
  <c r="BG18" i="84"/>
  <c r="BG19" i="84"/>
  <c r="BG20" i="84"/>
  <c r="BG21" i="84"/>
  <c r="BG22" i="84"/>
  <c r="BG23" i="84"/>
  <c r="BG24" i="84"/>
  <c r="BG25" i="84"/>
  <c r="BG26" i="84"/>
  <c r="BG27" i="84"/>
  <c r="BG28" i="84"/>
  <c r="BG29" i="84"/>
  <c r="BG30" i="84"/>
  <c r="BG31" i="84"/>
  <c r="BG32" i="84"/>
  <c r="BG33" i="84"/>
  <c r="BG34" i="84"/>
  <c r="BG35" i="84"/>
  <c r="BG36" i="84"/>
  <c r="BG37" i="84"/>
  <c r="BG38" i="84"/>
  <c r="BG39" i="84"/>
  <c r="BG40" i="84"/>
  <c r="BG41" i="84"/>
  <c r="BG42" i="84"/>
  <c r="BG43" i="84"/>
  <c r="BG44" i="84"/>
  <c r="BG45" i="84"/>
  <c r="BC14" i="84"/>
  <c r="BC15" i="84"/>
  <c r="BC16" i="84"/>
  <c r="BC17" i="84"/>
  <c r="BC18" i="84"/>
  <c r="BC19" i="84"/>
  <c r="BC20" i="84"/>
  <c r="BC21" i="84"/>
  <c r="BC22" i="84"/>
  <c r="BC23" i="84"/>
  <c r="BC24" i="84"/>
  <c r="BC25" i="84"/>
  <c r="BC26" i="84"/>
  <c r="BC27" i="84"/>
  <c r="BC28" i="84"/>
  <c r="BC29" i="84"/>
  <c r="BC30" i="84"/>
  <c r="BC31" i="84"/>
  <c r="BC32" i="84"/>
  <c r="BC33" i="84"/>
  <c r="BC34" i="84"/>
  <c r="BC35" i="84"/>
  <c r="BC36" i="84"/>
  <c r="BC37" i="84"/>
  <c r="BC38" i="84"/>
  <c r="BC39" i="84"/>
  <c r="BC40" i="84"/>
  <c r="BC41" i="84"/>
  <c r="BC42" i="84"/>
  <c r="BC43" i="84"/>
  <c r="BC44" i="84"/>
  <c r="BC45" i="84"/>
  <c r="AY14" i="84"/>
  <c r="AY15" i="84"/>
  <c r="AY16" i="84"/>
  <c r="AY17" i="84"/>
  <c r="AY18" i="84"/>
  <c r="AY19" i="84"/>
  <c r="AY20" i="84"/>
  <c r="AY21" i="84"/>
  <c r="AY22" i="84"/>
  <c r="AY23" i="84"/>
  <c r="AY24" i="84"/>
  <c r="AY25" i="84"/>
  <c r="AY26" i="84"/>
  <c r="AY27" i="84"/>
  <c r="AY28" i="84"/>
  <c r="AY29" i="84"/>
  <c r="AY30" i="84"/>
  <c r="AY31" i="84"/>
  <c r="AY32" i="84"/>
  <c r="AY33" i="84"/>
  <c r="AY34" i="84"/>
  <c r="AY35" i="84"/>
  <c r="AY36" i="84"/>
  <c r="AY37" i="84"/>
  <c r="AY38" i="84"/>
  <c r="AY39" i="84"/>
  <c r="AY40" i="84"/>
  <c r="AY41" i="84"/>
  <c r="AY42" i="84"/>
  <c r="AY43" i="84"/>
  <c r="AY44" i="84"/>
  <c r="AY45" i="84"/>
  <c r="AU14" i="84"/>
  <c r="AU15" i="84"/>
  <c r="AU16" i="84"/>
  <c r="AU17" i="84"/>
  <c r="AU18" i="84"/>
  <c r="AU19" i="84"/>
  <c r="AU20" i="84"/>
  <c r="AU21" i="84"/>
  <c r="AU22" i="84"/>
  <c r="AU23" i="84"/>
  <c r="AU24" i="84"/>
  <c r="AU25" i="84"/>
  <c r="AU26" i="84"/>
  <c r="AU27" i="84"/>
  <c r="AU28" i="84"/>
  <c r="AU29" i="84"/>
  <c r="AU30" i="84"/>
  <c r="AU31" i="84"/>
  <c r="AU32" i="84"/>
  <c r="AU33" i="84"/>
  <c r="AU34" i="84"/>
  <c r="AU35" i="84"/>
  <c r="AU36" i="84"/>
  <c r="AU37" i="84"/>
  <c r="AU38" i="84"/>
  <c r="AU39" i="84"/>
  <c r="AU40" i="84"/>
  <c r="AU41" i="84"/>
  <c r="AU42" i="84"/>
  <c r="AU43" i="84"/>
  <c r="AU44" i="84"/>
  <c r="AU45" i="84"/>
  <c r="AL14" i="84"/>
  <c r="AL15" i="84"/>
  <c r="AL16" i="84"/>
  <c r="AL17" i="84"/>
  <c r="AL18" i="84"/>
  <c r="AL19" i="84"/>
  <c r="AL20" i="84"/>
  <c r="AL21" i="84"/>
  <c r="AL22" i="84"/>
  <c r="AL23" i="84"/>
  <c r="AL24" i="84"/>
  <c r="AL25" i="84"/>
  <c r="AL26" i="84"/>
  <c r="AL27" i="84"/>
  <c r="AL28" i="84"/>
  <c r="AL29" i="84"/>
  <c r="AL30" i="84"/>
  <c r="AL31" i="84"/>
  <c r="AL32" i="84"/>
  <c r="AL33" i="84"/>
  <c r="AL34" i="84"/>
  <c r="AL35" i="84"/>
  <c r="AL36" i="84"/>
  <c r="AL37" i="84"/>
  <c r="AL38" i="84"/>
  <c r="AL39" i="84"/>
  <c r="AL40" i="84"/>
  <c r="AL41" i="84"/>
  <c r="AL42" i="84"/>
  <c r="AL43" i="84"/>
  <c r="AL44" i="84"/>
  <c r="AL45" i="84"/>
  <c r="AC14" i="84"/>
  <c r="AC15" i="84"/>
  <c r="AC16" i="84"/>
  <c r="AC17" i="84"/>
  <c r="AC18" i="84"/>
  <c r="AC19" i="84"/>
  <c r="AC20" i="84"/>
  <c r="AC21" i="84"/>
  <c r="AC22" i="84"/>
  <c r="AC23" i="84"/>
  <c r="AC24" i="84"/>
  <c r="AC25" i="84"/>
  <c r="AC26" i="84"/>
  <c r="AC27" i="84"/>
  <c r="AC28" i="84"/>
  <c r="AC29" i="84"/>
  <c r="AC30" i="84"/>
  <c r="AC31" i="84"/>
  <c r="AC32" i="84"/>
  <c r="AC33" i="84"/>
  <c r="AC34" i="84"/>
  <c r="AC35" i="84"/>
  <c r="AC36" i="84"/>
  <c r="AC37" i="84"/>
  <c r="AC38" i="84"/>
  <c r="AC39" i="84"/>
  <c r="AC40" i="84"/>
  <c r="AC41" i="84"/>
  <c r="AC42" i="84"/>
  <c r="AC43" i="84"/>
  <c r="AC44" i="84"/>
  <c r="AC45" i="84"/>
  <c r="BP30" i="114"/>
  <c r="BO30" i="114"/>
  <c r="AA16" i="165"/>
  <c r="AA22" i="165"/>
  <c r="AA23" i="147"/>
  <c r="AA24" i="147"/>
  <c r="Z30" i="84"/>
  <c r="Z29" i="84"/>
  <c r="B87" i="160"/>
  <c r="B87" i="84"/>
  <c r="BP45" i="160"/>
  <c r="BP44" i="160"/>
  <c r="BP43" i="160"/>
  <c r="BP42" i="160"/>
  <c r="BP41" i="160"/>
  <c r="BP40" i="160"/>
  <c r="BP39" i="160"/>
  <c r="BP38" i="160"/>
  <c r="BP37" i="160"/>
  <c r="BP36" i="160"/>
  <c r="BP35" i="160"/>
  <c r="BP34" i="160"/>
  <c r="BP33" i="160"/>
  <c r="BP32" i="160"/>
  <c r="BP31" i="160"/>
  <c r="BP30" i="160"/>
  <c r="BP29" i="160"/>
  <c r="BP28" i="160"/>
  <c r="BP27" i="160"/>
  <c r="BP26" i="160"/>
  <c r="BP25" i="160"/>
  <c r="BP24" i="160"/>
  <c r="BP23" i="160"/>
  <c r="BP22" i="160"/>
  <c r="BP21" i="160"/>
  <c r="BP20" i="160"/>
  <c r="BP19" i="160"/>
  <c r="BP18" i="160"/>
  <c r="BP17" i="160"/>
  <c r="BP16" i="160"/>
  <c r="BP45" i="84"/>
  <c r="BP44" i="84"/>
  <c r="BP43" i="84"/>
  <c r="BP42" i="84"/>
  <c r="BP41" i="84"/>
  <c r="BP40" i="84"/>
  <c r="BP39" i="84"/>
  <c r="BP38" i="84"/>
  <c r="BP37" i="84"/>
  <c r="BP36" i="84"/>
  <c r="BP35" i="84"/>
  <c r="BP34" i="84"/>
  <c r="BP33" i="84"/>
  <c r="BP32" i="84"/>
  <c r="BP31" i="84"/>
  <c r="BP30" i="84"/>
  <c r="P15" i="195" l="1"/>
  <c r="AO16" i="195"/>
  <c r="I2" i="195"/>
  <c r="P14" i="195"/>
  <c r="P15" i="194"/>
  <c r="AO16" i="194"/>
  <c r="I2" i="194"/>
  <c r="P14" i="194"/>
  <c r="AO16" i="193"/>
  <c r="P15" i="193"/>
  <c r="I2" i="193"/>
  <c r="P14" i="193"/>
  <c r="P15" i="192"/>
  <c r="AO16" i="192"/>
  <c r="I2" i="192"/>
  <c r="P14" i="192"/>
  <c r="P15" i="191"/>
  <c r="AO16" i="191"/>
  <c r="I2" i="191"/>
  <c r="P14" i="191"/>
  <c r="AO16" i="190"/>
  <c r="P15" i="190"/>
  <c r="P14" i="190"/>
  <c r="AO16" i="189"/>
  <c r="P15" i="189"/>
  <c r="I2" i="189"/>
  <c r="P14" i="189"/>
  <c r="P39" i="176"/>
  <c r="P23" i="176"/>
  <c r="P31" i="176"/>
  <c r="P15" i="176"/>
  <c r="AO28" i="175"/>
  <c r="P28" i="175" s="1"/>
  <c r="P52" i="175"/>
  <c r="P25" i="175"/>
  <c r="AD23" i="182"/>
  <c r="AD37" i="184"/>
  <c r="AD21" i="185"/>
  <c r="AD32" i="183"/>
  <c r="AD34" i="183"/>
  <c r="AD30" i="184"/>
  <c r="AD24" i="183"/>
  <c r="AD36" i="184"/>
  <c r="AD24" i="184"/>
  <c r="AD20" i="184"/>
  <c r="AD33" i="184"/>
  <c r="AD35" i="184"/>
  <c r="AD19" i="185"/>
  <c r="AD30" i="182"/>
  <c r="AD25" i="183"/>
  <c r="AD29" i="183"/>
  <c r="AD20" i="185"/>
  <c r="AD21" i="184"/>
  <c r="AD26" i="182"/>
  <c r="AD38" i="183"/>
  <c r="AD27" i="183"/>
  <c r="AD35" i="183"/>
  <c r="AD22" i="184"/>
  <c r="AD32" i="182"/>
  <c r="AC23" i="170"/>
  <c r="AF38" i="170"/>
  <c r="AF39" i="170"/>
  <c r="AA44" i="170"/>
  <c r="AE31" i="170"/>
  <c r="AB40" i="170"/>
  <c r="AC16" i="170"/>
  <c r="AE42" i="170"/>
  <c r="AA20" i="170"/>
  <c r="AB49" i="170"/>
  <c r="AE44" i="170"/>
  <c r="AE17" i="170"/>
  <c r="AD16" i="170"/>
  <c r="AA39" i="170"/>
  <c r="AB17" i="170"/>
  <c r="AE43" i="170"/>
  <c r="AD17" i="183"/>
  <c r="AD31" i="183"/>
  <c r="AD17" i="184"/>
  <c r="AC24" i="170"/>
  <c r="AC31" i="170"/>
  <c r="AA36" i="170"/>
  <c r="AD27" i="184"/>
  <c r="AB16" i="170"/>
  <c r="AA25" i="170"/>
  <c r="AF49" i="170"/>
  <c r="AD24" i="182"/>
  <c r="AD37" i="182"/>
  <c r="AB25" i="170"/>
  <c r="AB27" i="170"/>
  <c r="AE34" i="170"/>
  <c r="AE35" i="170"/>
  <c r="Z39" i="170"/>
  <c r="AB41" i="170"/>
  <c r="AD36" i="183"/>
  <c r="AD40" i="183"/>
  <c r="AD28" i="184"/>
  <c r="AD38" i="184"/>
  <c r="AD15" i="170"/>
  <c r="AC27" i="170"/>
  <c r="AB48" i="170"/>
  <c r="AD33" i="182"/>
  <c r="AD21" i="183"/>
  <c r="AD28" i="183"/>
  <c r="AD16" i="184"/>
  <c r="AD40" i="184"/>
  <c r="AD35" i="182"/>
  <c r="AB19" i="170"/>
  <c r="Z17" i="170"/>
  <c r="AC19" i="170"/>
  <c r="AA33" i="170"/>
  <c r="AA49" i="170"/>
  <c r="AD19" i="183"/>
  <c r="AD30" i="183"/>
  <c r="AD19" i="184"/>
  <c r="AD23" i="184"/>
  <c r="AD18" i="185"/>
  <c r="AF22" i="170"/>
  <c r="AF47" i="170"/>
  <c r="AD37" i="183"/>
  <c r="AD28" i="182"/>
  <c r="AD29" i="184"/>
  <c r="AD18" i="170"/>
  <c r="AD40" i="170"/>
  <c r="AA41" i="170"/>
  <c r="AD39" i="183"/>
  <c r="AD25" i="184"/>
  <c r="AD39" i="184"/>
  <c r="AF31" i="170"/>
  <c r="Z15" i="170"/>
  <c r="AD32" i="170"/>
  <c r="AD29" i="182"/>
  <c r="AD31" i="182"/>
  <c r="AD33" i="183"/>
  <c r="AD18" i="184"/>
  <c r="AA15" i="170"/>
  <c r="Z44" i="170"/>
  <c r="AF13" i="170"/>
  <c r="AE15" i="170"/>
  <c r="AA28" i="170"/>
  <c r="AE39" i="170"/>
  <c r="AD27" i="182"/>
  <c r="AB33" i="170"/>
  <c r="AF35" i="170"/>
  <c r="AD39" i="170"/>
  <c r="AF45" i="170"/>
  <c r="AE47" i="170"/>
  <c r="AE19" i="170"/>
  <c r="AF14" i="170"/>
  <c r="AA17" i="170"/>
  <c r="AF20" i="170"/>
  <c r="AE25" i="170"/>
  <c r="AC32" i="170"/>
  <c r="AC35" i="170"/>
  <c r="AC39" i="170"/>
  <c r="Z31" i="170"/>
  <c r="AB44" i="170"/>
  <c r="AF17" i="170"/>
  <c r="AE20" i="170"/>
  <c r="AB24" i="170"/>
  <c r="AF25" i="170"/>
  <c r="AF29" i="170"/>
  <c r="AA31" i="170"/>
  <c r="AF44" i="170"/>
  <c r="AE49" i="170"/>
  <c r="AF19" i="170"/>
  <c r="AD23" i="170"/>
  <c r="AE29" i="170"/>
  <c r="AF34" i="170"/>
  <c r="Z41" i="170"/>
  <c r="AF43" i="170"/>
  <c r="AD47" i="170"/>
  <c r="AE13" i="170"/>
  <c r="AF15" i="170"/>
  <c r="AF18" i="170"/>
  <c r="AF28" i="170"/>
  <c r="AE33" i="170"/>
  <c r="AC40" i="170"/>
  <c r="AC43" i="170"/>
  <c r="AC47" i="170"/>
  <c r="AE18" i="170"/>
  <c r="AB35" i="170"/>
  <c r="AE28" i="170"/>
  <c r="AB32" i="170"/>
  <c r="AF33" i="170"/>
  <c r="AF37" i="170"/>
  <c r="AF27" i="170"/>
  <c r="AD31" i="170"/>
  <c r="AE37" i="170"/>
  <c r="AF42" i="170"/>
  <c r="AF46" i="170"/>
  <c r="AD24" i="170"/>
  <c r="Z13" i="170"/>
  <c r="AC15" i="170"/>
  <c r="AF21" i="170"/>
  <c r="AA23" i="170"/>
  <c r="AF36" i="170"/>
  <c r="AE41" i="170"/>
  <c r="AC48" i="170"/>
  <c r="AE21" i="170"/>
  <c r="AE23" i="170"/>
  <c r="AF26" i="170"/>
  <c r="Z28" i="170"/>
  <c r="Z33" i="170"/>
  <c r="AB43" i="170"/>
  <c r="Z47" i="170"/>
  <c r="AD48" i="170"/>
  <c r="Z18" i="170"/>
  <c r="AF23" i="170"/>
  <c r="AE26" i="170"/>
  <c r="AE27" i="170"/>
  <c r="AF30" i="170"/>
  <c r="AE36" i="170"/>
  <c r="AF41" i="170"/>
  <c r="AA47" i="170"/>
  <c r="AO51" i="176"/>
  <c r="P50" i="176"/>
  <c r="P40" i="176"/>
  <c r="AO41" i="176"/>
  <c r="P41" i="176" s="1"/>
  <c r="AO25" i="176"/>
  <c r="P24" i="176"/>
  <c r="AO44" i="176"/>
  <c r="P44" i="176" s="1"/>
  <c r="P43" i="176"/>
  <c r="P53" i="175"/>
  <c r="AO54" i="175"/>
  <c r="P16" i="176"/>
  <c r="AO17" i="176"/>
  <c r="AO35" i="176"/>
  <c r="P34" i="176"/>
  <c r="N24" i="178"/>
  <c r="O24" i="178" s="1" a="1"/>
  <c r="O24" i="178" s="1"/>
  <c r="L25" i="178"/>
  <c r="AO21" i="176"/>
  <c r="P20" i="176"/>
  <c r="H2" i="170"/>
  <c r="AE16" i="170"/>
  <c r="AC17" i="170"/>
  <c r="AA18" i="170"/>
  <c r="AE24" i="170"/>
  <c r="AC25" i="170"/>
  <c r="AA26" i="170"/>
  <c r="AE32" i="170"/>
  <c r="AC33" i="170"/>
  <c r="AA34" i="170"/>
  <c r="AE40" i="170"/>
  <c r="AC41" i="170"/>
  <c r="AA42" i="170"/>
  <c r="AE48" i="170"/>
  <c r="AC49" i="170"/>
  <c r="I2" i="177"/>
  <c r="AF16" i="170"/>
  <c r="AD17" i="170"/>
  <c r="AB18" i="170"/>
  <c r="Z19" i="170"/>
  <c r="AF24" i="170"/>
  <c r="AD25" i="170"/>
  <c r="AB26" i="170"/>
  <c r="Z27" i="170"/>
  <c r="AF32" i="170"/>
  <c r="AD33" i="170"/>
  <c r="AB34" i="170"/>
  <c r="Z35" i="170"/>
  <c r="AF40" i="170"/>
  <c r="AD41" i="170"/>
  <c r="AB42" i="170"/>
  <c r="Z43" i="170"/>
  <c r="AF48" i="170"/>
  <c r="AD49" i="170"/>
  <c r="P15" i="175"/>
  <c r="AO33" i="175"/>
  <c r="P33" i="175" s="1"/>
  <c r="AO49" i="175"/>
  <c r="P49" i="175" s="1"/>
  <c r="AO28" i="176"/>
  <c r="P28" i="176" s="1"/>
  <c r="P42" i="176"/>
  <c r="AO15" i="177"/>
  <c r="AC18" i="170"/>
  <c r="AA19" i="170"/>
  <c r="AC26" i="170"/>
  <c r="AA27" i="170"/>
  <c r="AC34" i="170"/>
  <c r="AA35" i="170"/>
  <c r="AC42" i="170"/>
  <c r="AA43" i="170"/>
  <c r="I2" i="175"/>
  <c r="P34" i="175"/>
  <c r="P29" i="176"/>
  <c r="AO47" i="176"/>
  <c r="AD26" i="170"/>
  <c r="AD34" i="170"/>
  <c r="AD42" i="170"/>
  <c r="P19" i="176"/>
  <c r="N16" i="178"/>
  <c r="O16" i="178" s="1" a="1"/>
  <c r="O16" i="178" s="1"/>
  <c r="AD19" i="170"/>
  <c r="AB20" i="170"/>
  <c r="AD27" i="170"/>
  <c r="AB28" i="170"/>
  <c r="AD35" i="170"/>
  <c r="AB36" i="170"/>
  <c r="AD43" i="170"/>
  <c r="I1" i="176"/>
  <c r="AA13" i="170"/>
  <c r="AC20" i="170"/>
  <c r="AC28" i="170"/>
  <c r="AA29" i="170"/>
  <c r="AC36" i="170"/>
  <c r="AA37" i="170"/>
  <c r="AC44" i="170"/>
  <c r="AA45" i="170"/>
  <c r="P46" i="175"/>
  <c r="P33" i="176"/>
  <c r="P49" i="176"/>
  <c r="AA21" i="170"/>
  <c r="AB13" i="170"/>
  <c r="Z14" i="170"/>
  <c r="AD20" i="170"/>
  <c r="AB21" i="170"/>
  <c r="Z22" i="170"/>
  <c r="AD28" i="170"/>
  <c r="AB29" i="170"/>
  <c r="Z30" i="170"/>
  <c r="AD36" i="170"/>
  <c r="AB37" i="170"/>
  <c r="Z38" i="170"/>
  <c r="AD44" i="170"/>
  <c r="AB45" i="170"/>
  <c r="Z46" i="170"/>
  <c r="N23" i="178"/>
  <c r="O23" i="178" s="1" a="1"/>
  <c r="O23" i="178" s="1"/>
  <c r="AC29" i="170"/>
  <c r="AA30" i="170"/>
  <c r="AC37" i="170"/>
  <c r="AA38" i="170"/>
  <c r="AC45" i="170"/>
  <c r="AA46" i="170"/>
  <c r="AC13" i="170"/>
  <c r="AC21" i="170"/>
  <c r="AA22" i="170"/>
  <c r="AD13" i="170"/>
  <c r="AB14" i="170"/>
  <c r="AD21" i="170"/>
  <c r="AB22" i="170"/>
  <c r="AD29" i="170"/>
  <c r="AB30" i="170"/>
  <c r="AD37" i="170"/>
  <c r="AB38" i="170"/>
  <c r="AD45" i="170"/>
  <c r="AB46" i="170"/>
  <c r="AC22" i="170"/>
  <c r="AC30" i="170"/>
  <c r="AC38" i="170"/>
  <c r="AE45" i="170"/>
  <c r="AC46" i="170"/>
  <c r="H4" i="170"/>
  <c r="AD14" i="170"/>
  <c r="AB15" i="170"/>
  <c r="Z16" i="170"/>
  <c r="AD22" i="170"/>
  <c r="AB23" i="170"/>
  <c r="Z24" i="170"/>
  <c r="AD30" i="170"/>
  <c r="AB31" i="170"/>
  <c r="Z32" i="170"/>
  <c r="AD38" i="170"/>
  <c r="AB39" i="170"/>
  <c r="Z40" i="170"/>
  <c r="AD46" i="170"/>
  <c r="AB47" i="170"/>
  <c r="Z48" i="170"/>
  <c r="AA14" i="170"/>
  <c r="AE14" i="170"/>
  <c r="AA16" i="170"/>
  <c r="AE22" i="170"/>
  <c r="AA24" i="170"/>
  <c r="AE30" i="170"/>
  <c r="AA32" i="170"/>
  <c r="AE38" i="170"/>
  <c r="AA40" i="170"/>
  <c r="AE46" i="170"/>
  <c r="AA48" i="170"/>
  <c r="AC14" i="170"/>
  <c r="AJ24" i="182"/>
  <c r="AQ24" i="182"/>
  <c r="AO24" i="182"/>
  <c r="AN24" i="182"/>
  <c r="AL24" i="182"/>
  <c r="AM24" i="182"/>
  <c r="GE23" i="182"/>
  <c r="GL23" i="182" s="1"/>
  <c r="GM23" i="182" s="1"/>
  <c r="DT38" i="182"/>
  <c r="DZ39" i="182"/>
  <c r="DZ40" i="182"/>
  <c r="DT37" i="182"/>
  <c r="DT35" i="182"/>
  <c r="DT33" i="182"/>
  <c r="DT26" i="182"/>
  <c r="DZ29" i="182"/>
  <c r="DT28" i="182"/>
  <c r="CM23" i="182"/>
  <c r="EG25" i="182"/>
  <c r="EK25" i="182" s="1"/>
  <c r="EF25" i="182"/>
  <c r="EJ25" i="182" s="1"/>
  <c r="CH25" i="182" s="1"/>
  <c r="K23" i="182"/>
  <c r="J23" i="182"/>
  <c r="I23" i="182"/>
  <c r="AO26" i="182"/>
  <c r="AM26" i="182"/>
  <c r="AS26" i="182"/>
  <c r="AN26" i="182"/>
  <c r="AL26" i="182"/>
  <c r="AJ26" i="182"/>
  <c r="IB21" i="182"/>
  <c r="HL21" i="182"/>
  <c r="HZ21" i="182"/>
  <c r="HJ21" i="182"/>
  <c r="HY21" i="182"/>
  <c r="HI21" i="182"/>
  <c r="HW21" i="182"/>
  <c r="HG21" i="182"/>
  <c r="HV21" i="182"/>
  <c r="HF21" i="182"/>
  <c r="HU21" i="182"/>
  <c r="HD21" i="182"/>
  <c r="HT21" i="182"/>
  <c r="HS21" i="182"/>
  <c r="HR21" i="182"/>
  <c r="ID21" i="182"/>
  <c r="HN21" i="182"/>
  <c r="HK21" i="182"/>
  <c r="EM25" i="182"/>
  <c r="EQ25" i="182" s="1"/>
  <c r="EN25" i="182"/>
  <c r="ER25" i="182" s="1"/>
  <c r="CL31" i="182"/>
  <c r="FS35" i="182"/>
  <c r="FJ35" i="182"/>
  <c r="FK35" i="182" s="1"/>
  <c r="FL35" i="182" s="1"/>
  <c r="Z35" i="182" s="1"/>
  <c r="FE35" i="182"/>
  <c r="FF35" i="182" s="1"/>
  <c r="FG35" i="182" s="1"/>
  <c r="Y35" i="182" s="1"/>
  <c r="GE35" i="182" s="1"/>
  <c r="GL35" i="182" s="1"/>
  <c r="GM35" i="182" s="1"/>
  <c r="HM21" i="182"/>
  <c r="AO28" i="182"/>
  <c r="AN28" i="182"/>
  <c r="AM28" i="182"/>
  <c r="AL28" i="182"/>
  <c r="AJ28" i="182"/>
  <c r="HO21" i="182"/>
  <c r="DT24" i="182"/>
  <c r="HP21" i="182"/>
  <c r="CL25" i="182"/>
  <c r="DZ25" i="182"/>
  <c r="CH28" i="182"/>
  <c r="DT30" i="182"/>
  <c r="FQ30" i="182"/>
  <c r="CL27" i="182"/>
  <c r="DZ27" i="182"/>
  <c r="F29" i="182"/>
  <c r="AZ29" i="182" s="1"/>
  <c r="H29" i="182"/>
  <c r="AQ29" i="182" s="1"/>
  <c r="G29" i="182"/>
  <c r="AJ31" i="182"/>
  <c r="AO31" i="182"/>
  <c r="AN31" i="182"/>
  <c r="AM31" i="182"/>
  <c r="AL31" i="182"/>
  <c r="DZ23" i="182"/>
  <c r="EV24" i="182"/>
  <c r="CJ24" i="182" s="1"/>
  <c r="FJ25" i="182"/>
  <c r="FK25" i="182" s="1"/>
  <c r="FL25" i="182" s="1"/>
  <c r="Z25" i="182" s="1"/>
  <c r="EN26" i="182"/>
  <c r="ER26" i="182" s="1"/>
  <c r="EM26" i="182"/>
  <c r="EQ26" i="182" s="1"/>
  <c r="CI26" i="182" s="1"/>
  <c r="CL29" i="182"/>
  <c r="IA21" i="182"/>
  <c r="FH23" i="182"/>
  <c r="FU23" i="182"/>
  <c r="CL26" i="182"/>
  <c r="CM30" i="182"/>
  <c r="IC21" i="182"/>
  <c r="AS25" i="182"/>
  <c r="FS29" i="182"/>
  <c r="ES29" i="182"/>
  <c r="FJ29" i="182"/>
  <c r="FK29" i="182" s="1"/>
  <c r="FL29" i="182" s="1"/>
  <c r="Z29" i="182" s="1"/>
  <c r="FE29" i="182"/>
  <c r="FF29" i="182" s="1"/>
  <c r="FG29" i="182" s="1"/>
  <c r="Y29" i="182" s="1"/>
  <c r="EN39" i="182"/>
  <c r="ER39" i="182" s="1"/>
  <c r="EM39" i="182"/>
  <c r="EQ39" i="182" s="1"/>
  <c r="IE21" i="182"/>
  <c r="AK23" i="182"/>
  <c r="EE23" i="182"/>
  <c r="IF21" i="182"/>
  <c r="FB23" i="182"/>
  <c r="DT25" i="182"/>
  <c r="EN28" i="182"/>
  <c r="ER28" i="182" s="1"/>
  <c r="EV28" i="182" s="1"/>
  <c r="CJ28" i="182" s="1"/>
  <c r="EM28" i="182"/>
  <c r="EQ28" i="182" s="1"/>
  <c r="CI28" i="182" s="1"/>
  <c r="AS38" i="182"/>
  <c r="AQ38" i="182"/>
  <c r="AO38" i="182"/>
  <c r="AN38" i="182"/>
  <c r="AM38" i="182"/>
  <c r="AL38" i="182"/>
  <c r="AJ38" i="182"/>
  <c r="EG38" i="182"/>
  <c r="EK38" i="182" s="1"/>
  <c r="EV38" i="182" s="1"/>
  <c r="CJ38" i="182" s="1"/>
  <c r="EF38" i="182"/>
  <c r="EJ38" i="182" s="1"/>
  <c r="CH38" i="182" s="1"/>
  <c r="H38" i="182"/>
  <c r="G38" i="182"/>
  <c r="F38" i="182"/>
  <c r="FQ24" i="182"/>
  <c r="EY24" i="182"/>
  <c r="EX24" i="182"/>
  <c r="BQ24" i="182"/>
  <c r="EN24" i="182"/>
  <c r="ER24" i="182" s="1"/>
  <c r="EM24" i="182"/>
  <c r="J25" i="182"/>
  <c r="K25" i="182"/>
  <c r="I25" i="182"/>
  <c r="GM27" i="182"/>
  <c r="H28" i="182"/>
  <c r="AQ28" i="182" s="1"/>
  <c r="G28" i="182"/>
  <c r="F28" i="182"/>
  <c r="AY31" i="182"/>
  <c r="AY40" i="182"/>
  <c r="AY37" i="182"/>
  <c r="AY39" i="182"/>
  <c r="AY32" i="182"/>
  <c r="AY38" i="182"/>
  <c r="AY36" i="182"/>
  <c r="AY34" i="182"/>
  <c r="AY28" i="182"/>
  <c r="AY25" i="182"/>
  <c r="AY24" i="182"/>
  <c r="AY33" i="182"/>
  <c r="AY30" i="182"/>
  <c r="AY29" i="182"/>
  <c r="AY27" i="182"/>
  <c r="AY23" i="182"/>
  <c r="AY26" i="182"/>
  <c r="AY35" i="182"/>
  <c r="FO23" i="182"/>
  <c r="FQ23" i="182"/>
  <c r="DT23" i="182"/>
  <c r="FO24" i="182"/>
  <c r="GE28" i="182"/>
  <c r="GL28" i="182" s="1"/>
  <c r="GM28" i="182" s="1"/>
  <c r="FP24" i="182"/>
  <c r="DZ24" i="182"/>
  <c r="CA23" i="182"/>
  <c r="FA23" i="182"/>
  <c r="FO26" i="182"/>
  <c r="CI29" i="182"/>
  <c r="EB24" i="182"/>
  <c r="AJ25" i="182"/>
  <c r="DW25" i="182"/>
  <c r="FO25" i="182" s="1"/>
  <c r="DU25" i="182"/>
  <c r="FS25" i="182"/>
  <c r="DX26" i="182"/>
  <c r="I27" i="182"/>
  <c r="AZ27" i="182" s="1"/>
  <c r="BO28" i="182"/>
  <c r="AU29" i="182"/>
  <c r="DP29" i="182"/>
  <c r="FN29" i="182"/>
  <c r="FH30" i="182"/>
  <c r="FQ31" i="182"/>
  <c r="GE34" i="182"/>
  <c r="GL34" i="182" s="1"/>
  <c r="GM34" i="182" s="1"/>
  <c r="AK36" i="182"/>
  <c r="FS37" i="182"/>
  <c r="FJ37" i="182"/>
  <c r="FK37" i="182" s="1"/>
  <c r="FL37" i="182" s="1"/>
  <c r="Z37" i="182" s="1"/>
  <c r="FE37" i="182"/>
  <c r="FF37" i="182" s="1"/>
  <c r="FG37" i="182" s="1"/>
  <c r="Y37" i="182" s="1"/>
  <c r="GE39" i="182"/>
  <c r="GD39" i="182"/>
  <c r="GC39" i="182"/>
  <c r="GB39" i="182"/>
  <c r="GA39" i="182"/>
  <c r="FN39" i="182"/>
  <c r="K40" i="182"/>
  <c r="J40" i="182"/>
  <c r="I40" i="182"/>
  <c r="FE27" i="182"/>
  <c r="FF27" i="182" s="1"/>
  <c r="FG27" i="182" s="1"/>
  <c r="Y27" i="182" s="1"/>
  <c r="GE27" i="182" s="1"/>
  <c r="GL27" i="182" s="1"/>
  <c r="CL28" i="182"/>
  <c r="DP28" i="182"/>
  <c r="CA30" i="182"/>
  <c r="DZ30" i="182"/>
  <c r="AS32" i="182"/>
  <c r="AO32" i="182"/>
  <c r="AM32" i="182"/>
  <c r="AJ32" i="182"/>
  <c r="EY32" i="182"/>
  <c r="EX32" i="182"/>
  <c r="EN32" i="182"/>
  <c r="ER32" i="182" s="1"/>
  <c r="EM32" i="182"/>
  <c r="EQ32" i="182" s="1"/>
  <c r="CI32" i="182" s="1"/>
  <c r="AN37" i="182"/>
  <c r="AM37" i="182"/>
  <c r="AL37" i="182"/>
  <c r="AJ37" i="182"/>
  <c r="AQ37" i="182"/>
  <c r="W40" i="182"/>
  <c r="V40" i="182"/>
  <c r="GE18" i="183"/>
  <c r="GL18" i="183" s="1"/>
  <c r="GM18" i="183" s="1"/>
  <c r="ED24" i="182"/>
  <c r="AM25" i="182"/>
  <c r="FV25" i="182"/>
  <c r="DZ26" i="182"/>
  <c r="FN26" i="182"/>
  <c r="ET29" i="182"/>
  <c r="FR31" i="182"/>
  <c r="AL32" i="182"/>
  <c r="FN32" i="182"/>
  <c r="DP32" i="182"/>
  <c r="DX32" i="182"/>
  <c r="DW32" i="182"/>
  <c r="FO32" i="182" s="1"/>
  <c r="DV32" i="182"/>
  <c r="ED33" i="182"/>
  <c r="EC33" i="182"/>
  <c r="FP33" i="182" s="1"/>
  <c r="EB33" i="182"/>
  <c r="EA33" i="182"/>
  <c r="AJ17" i="183"/>
  <c r="AM17" i="183"/>
  <c r="AO17" i="183"/>
  <c r="AN17" i="183"/>
  <c r="AL17" i="183"/>
  <c r="AS17" i="183"/>
  <c r="EF19" i="183"/>
  <c r="EG19" i="183"/>
  <c r="FJ24" i="182"/>
  <c r="FK24" i="182" s="1"/>
  <c r="FL24" i="182" s="1"/>
  <c r="Z24" i="182" s="1"/>
  <c r="FN24" i="182"/>
  <c r="AN25" i="182"/>
  <c r="FQ29" i="182"/>
  <c r="DT29" i="182"/>
  <c r="AO30" i="182"/>
  <c r="AM30" i="182"/>
  <c r="AJ30" i="182"/>
  <c r="K30" i="182"/>
  <c r="I30" i="182"/>
  <c r="EA31" i="182"/>
  <c r="ED31" i="182"/>
  <c r="AN32" i="182"/>
  <c r="EG32" i="182"/>
  <c r="EK32" i="182" s="1"/>
  <c r="EV32" i="182" s="1"/>
  <c r="CJ32" i="182" s="1"/>
  <c r="EF32" i="182"/>
  <c r="EJ32" i="182" s="1"/>
  <c r="CM33" i="182"/>
  <c r="EK33" i="182"/>
  <c r="EV33" i="182" s="1"/>
  <c r="CJ33" i="182" s="1"/>
  <c r="AZ40" i="182"/>
  <c r="AU40" i="182"/>
  <c r="EF40" i="182"/>
  <c r="EJ40" i="182" s="1"/>
  <c r="CH40" i="182" s="1"/>
  <c r="EG40" i="182"/>
  <c r="EK40" i="182" s="1"/>
  <c r="EV40" i="182" s="1"/>
  <c r="FN38" i="182"/>
  <c r="FN40" i="182"/>
  <c r="EF24" i="182"/>
  <c r="EJ24" i="182" s="1"/>
  <c r="CH24" i="182" s="1"/>
  <c r="AO25" i="182"/>
  <c r="DP25" i="182"/>
  <c r="FE25" i="182"/>
  <c r="FF25" i="182" s="1"/>
  <c r="FG25" i="182" s="1"/>
  <c r="Y25" i="182" s="1"/>
  <c r="EX26" i="182"/>
  <c r="FQ26" i="182"/>
  <c r="AL30" i="182"/>
  <c r="EF33" i="182"/>
  <c r="CM34" i="182"/>
  <c r="EV34" i="182"/>
  <c r="CJ34" i="182" s="1"/>
  <c r="AS20" i="183"/>
  <c r="AO20" i="183"/>
  <c r="AN20" i="183"/>
  <c r="AJ20" i="183"/>
  <c r="AM20" i="183"/>
  <c r="AL20" i="183"/>
  <c r="FR26" i="182"/>
  <c r="EN31" i="182"/>
  <c r="ER31" i="182" s="1"/>
  <c r="EM31" i="182"/>
  <c r="EQ31" i="182" s="1"/>
  <c r="FT33" i="182"/>
  <c r="FM34" i="182"/>
  <c r="FV34" i="182"/>
  <c r="CM35" i="182"/>
  <c r="FO37" i="182"/>
  <c r="CM38" i="182"/>
  <c r="FR24" i="182"/>
  <c r="AQ25" i="182"/>
  <c r="BO26" i="182"/>
  <c r="EE26" i="182"/>
  <c r="CM27" i="182"/>
  <c r="DT27" i="182"/>
  <c r="CC28" i="182"/>
  <c r="CA28" i="182"/>
  <c r="DU28" i="182"/>
  <c r="FM28" i="182"/>
  <c r="FP28" i="182" s="1"/>
  <c r="EE29" i="182"/>
  <c r="AS30" i="182"/>
  <c r="K35" i="182"/>
  <c r="J35" i="182"/>
  <c r="I35" i="182"/>
  <c r="CM37" i="182"/>
  <c r="FM38" i="182"/>
  <c r="FV38" i="182"/>
  <c r="EN16" i="183"/>
  <c r="ER16" i="183" s="1"/>
  <c r="EM16" i="183"/>
  <c r="EQ16" i="183" s="1"/>
  <c r="CI16" i="183" s="1"/>
  <c r="GE16" i="183"/>
  <c r="GL16" i="183" s="1"/>
  <c r="GM16" i="183" s="1"/>
  <c r="GM21" i="183"/>
  <c r="P1" i="182"/>
  <c r="EA23" i="182"/>
  <c r="FA24" i="182"/>
  <c r="FS24" i="182"/>
  <c r="FJ26" i="182"/>
  <c r="FK26" i="182" s="1"/>
  <c r="FL26" i="182" s="1"/>
  <c r="Z26" i="182" s="1"/>
  <c r="GE26" i="182" s="1"/>
  <c r="GL26" i="182" s="1"/>
  <c r="GM26" i="182" s="1"/>
  <c r="FA26" i="182"/>
  <c r="FR27" i="182"/>
  <c r="ED28" i="182"/>
  <c r="EC28" i="182"/>
  <c r="DV28" i="182"/>
  <c r="FN28" i="182"/>
  <c r="EY30" i="182"/>
  <c r="EX30" i="182"/>
  <c r="EN30" i="182"/>
  <c r="ER30" i="182" s="1"/>
  <c r="EM30" i="182"/>
  <c r="EQ30" i="182" s="1"/>
  <c r="GE30" i="182"/>
  <c r="GL30" i="182" s="1"/>
  <c r="GM30" i="182" s="1"/>
  <c r="DT32" i="182"/>
  <c r="FH32" i="182"/>
  <c r="EK35" i="182"/>
  <c r="EV35" i="182" s="1"/>
  <c r="CJ35" i="182" s="1"/>
  <c r="CM36" i="182"/>
  <c r="K37" i="182"/>
  <c r="AS37" i="182" s="1"/>
  <c r="J37" i="182"/>
  <c r="I37" i="182"/>
  <c r="DT39" i="182"/>
  <c r="EB23" i="182"/>
  <c r="CM24" i="182"/>
  <c r="CM25" i="182"/>
  <c r="CC26" i="182"/>
  <c r="DP26" i="182"/>
  <c r="FB26" i="182"/>
  <c r="FU26" i="182"/>
  <c r="ES27" i="182"/>
  <c r="FM27" i="182"/>
  <c r="FP27" i="182" s="1"/>
  <c r="DW28" i="182"/>
  <c r="FO28" i="182"/>
  <c r="FN30" i="182"/>
  <c r="DP30" i="182"/>
  <c r="DX30" i="182"/>
  <c r="DW30" i="182"/>
  <c r="FO30" i="182" s="1"/>
  <c r="DV30" i="182"/>
  <c r="EG31" i="182"/>
  <c r="EK31" i="182" s="1"/>
  <c r="EF31" i="182"/>
  <c r="EJ31" i="182" s="1"/>
  <c r="J32" i="182"/>
  <c r="DU32" i="182"/>
  <c r="FN33" i="182"/>
  <c r="AD34" i="182"/>
  <c r="EF35" i="182"/>
  <c r="F36" i="182"/>
  <c r="FM36" i="182"/>
  <c r="FV36" i="182"/>
  <c r="EG36" i="182"/>
  <c r="EK36" i="182" s="1"/>
  <c r="EV36" i="182" s="1"/>
  <c r="CJ36" i="182" s="1"/>
  <c r="I17" i="183"/>
  <c r="K17" i="183"/>
  <c r="J17" i="183"/>
  <c r="EC23" i="182"/>
  <c r="FP23" i="182" s="1"/>
  <c r="DU24" i="182"/>
  <c r="FU24" i="182"/>
  <c r="FR25" i="182"/>
  <c r="DV25" i="182"/>
  <c r="FQ28" i="182"/>
  <c r="DX31" i="182"/>
  <c r="DW31" i="182"/>
  <c r="FO31" i="182" s="1"/>
  <c r="DU31" i="182"/>
  <c r="FN31" i="182"/>
  <c r="DP31" i="182"/>
  <c r="BO32" i="182"/>
  <c r="AN33" i="182"/>
  <c r="AM33" i="182"/>
  <c r="AL33" i="182"/>
  <c r="AJ33" i="182"/>
  <c r="AQ33" i="182"/>
  <c r="FT35" i="182"/>
  <c r="G36" i="182"/>
  <c r="CK36" i="182"/>
  <c r="CI36" i="182"/>
  <c r="EJ37" i="182"/>
  <c r="CH37" i="182" s="1"/>
  <c r="CM39" i="182"/>
  <c r="FE40" i="182"/>
  <c r="FF40" i="182" s="1"/>
  <c r="FG40" i="182" s="1"/>
  <c r="Y40" i="182" s="1"/>
  <c r="EN69" i="182"/>
  <c r="EM69" i="182"/>
  <c r="EG17" i="183"/>
  <c r="EK17" i="183" s="1"/>
  <c r="EF17" i="183"/>
  <c r="EJ17" i="183" s="1"/>
  <c r="DZ31" i="182"/>
  <c r="BQ32" i="182"/>
  <c r="FQ32" i="182"/>
  <c r="FP34" i="182"/>
  <c r="I39" i="182"/>
  <c r="K39" i="182"/>
  <c r="EG39" i="182"/>
  <c r="EF39" i="182"/>
  <c r="EJ39" i="182" s="1"/>
  <c r="FE24" i="182"/>
  <c r="FF24" i="182" s="1"/>
  <c r="FG24" i="182" s="1"/>
  <c r="Y24" i="182" s="1"/>
  <c r="GE24" i="182" s="1"/>
  <c r="GL24" i="182" s="1"/>
  <c r="GM24" i="182" s="1"/>
  <c r="DZ28" i="182"/>
  <c r="EX28" i="182"/>
  <c r="J30" i="182"/>
  <c r="FJ30" i="182"/>
  <c r="FK30" i="182" s="1"/>
  <c r="FL30" i="182" s="1"/>
  <c r="Z30" i="182" s="1"/>
  <c r="EG30" i="182"/>
  <c r="EK30" i="182" s="1"/>
  <c r="EF30" i="182"/>
  <c r="EJ30" i="182" s="1"/>
  <c r="CH30" i="182" s="1"/>
  <c r="CA32" i="182"/>
  <c r="DZ32" i="182"/>
  <c r="FR32" i="182"/>
  <c r="FS33" i="182"/>
  <c r="FJ33" i="182"/>
  <c r="FK33" i="182" s="1"/>
  <c r="FL33" i="182" s="1"/>
  <c r="Z33" i="182" s="1"/>
  <c r="FE33" i="182"/>
  <c r="FF33" i="182" s="1"/>
  <c r="FG33" i="182" s="1"/>
  <c r="Y33" i="182" s="1"/>
  <c r="AD36" i="182"/>
  <c r="AD38" i="182"/>
  <c r="FP38" i="182"/>
  <c r="AD25" i="182"/>
  <c r="FN25" i="182"/>
  <c r="FT28" i="182"/>
  <c r="DW29" i="182"/>
  <c r="FO29" i="182" s="1"/>
  <c r="DV29" i="182"/>
  <c r="DU29" i="182"/>
  <c r="FA30" i="182"/>
  <c r="FE31" i="182"/>
  <c r="FF31" i="182" s="1"/>
  <c r="FG31" i="182" s="1"/>
  <c r="Y31" i="182" s="1"/>
  <c r="GE31" i="182" s="1"/>
  <c r="GL31" i="182" s="1"/>
  <c r="GM31" i="182" s="1"/>
  <c r="FN35" i="182"/>
  <c r="FB30" i="182"/>
  <c r="GE32" i="182"/>
  <c r="GL32" i="182" s="1"/>
  <c r="GM32" i="182" s="1"/>
  <c r="AS34" i="182"/>
  <c r="AO34" i="182"/>
  <c r="AN34" i="182"/>
  <c r="AM34" i="182"/>
  <c r="AL34" i="182"/>
  <c r="AJ34" i="182"/>
  <c r="FN34" i="182"/>
  <c r="AN35" i="182"/>
  <c r="AM35" i="182"/>
  <c r="AL35" i="182"/>
  <c r="AJ35" i="182"/>
  <c r="AS35" i="182"/>
  <c r="AQ35" i="182"/>
  <c r="FP36" i="182"/>
  <c r="FN37" i="182"/>
  <c r="AL40" i="182"/>
  <c r="AP40" i="182" s="1"/>
  <c r="AS40" i="182"/>
  <c r="AQ40" i="182"/>
  <c r="AO40" i="182"/>
  <c r="AN40" i="182"/>
  <c r="DT40" i="182"/>
  <c r="AK16" i="183"/>
  <c r="CM18" i="183"/>
  <c r="EC25" i="182"/>
  <c r="FP25" i="182" s="1"/>
  <c r="AU27" i="182"/>
  <c r="EH27" i="182" s="1"/>
  <c r="DW27" i="182"/>
  <c r="FO27" i="182" s="1"/>
  <c r="DV27" i="182"/>
  <c r="DU27" i="182"/>
  <c r="FA28" i="182"/>
  <c r="EO29" i="182"/>
  <c r="BQ30" i="182"/>
  <c r="DT31" i="182"/>
  <c r="CH34" i="182"/>
  <c r="CL20" i="183"/>
  <c r="FP20" i="183"/>
  <c r="DZ20" i="183"/>
  <c r="FM21" i="183"/>
  <c r="FV21" i="183"/>
  <c r="CL28" i="183"/>
  <c r="FS30" i="182"/>
  <c r="CC31" i="182"/>
  <c r="FA39" i="182"/>
  <c r="FQ39" i="182"/>
  <c r="GE40" i="182"/>
  <c r="HY14" i="183"/>
  <c r="HI14" i="183"/>
  <c r="HW14" i="183"/>
  <c r="HG14" i="183"/>
  <c r="HV14" i="183"/>
  <c r="HF14" i="183"/>
  <c r="HT14" i="183"/>
  <c r="HS14" i="183"/>
  <c r="IB14" i="183"/>
  <c r="HL14" i="183"/>
  <c r="HM14" i="183"/>
  <c r="I18" i="183"/>
  <c r="AY18" i="183"/>
  <c r="EG18" i="183"/>
  <c r="EK18" i="183" s="1"/>
  <c r="EV18" i="183" s="1"/>
  <c r="CJ18" i="183" s="1"/>
  <c r="EF18" i="183"/>
  <c r="EJ18" i="183" s="1"/>
  <c r="CK21" i="183"/>
  <c r="FT22" i="183"/>
  <c r="I34" i="182"/>
  <c r="DZ34" i="182"/>
  <c r="I36" i="182"/>
  <c r="DZ36" i="182"/>
  <c r="I38" i="182"/>
  <c r="DZ38" i="182"/>
  <c r="AD39" i="182"/>
  <c r="DU39" i="182"/>
  <c r="FB39" i="182"/>
  <c r="FR39" i="182"/>
  <c r="FO40" i="182"/>
  <c r="AY16" i="183"/>
  <c r="FH17" i="183"/>
  <c r="J18" i="183"/>
  <c r="H19" i="183"/>
  <c r="AQ19" i="183" s="1"/>
  <c r="G19" i="183"/>
  <c r="F19" i="183"/>
  <c r="J34" i="182"/>
  <c r="EA34" i="182"/>
  <c r="J36" i="182"/>
  <c r="CL37" i="182"/>
  <c r="AE39" i="182"/>
  <c r="AE41" i="182" s="1"/>
  <c r="AA16" i="182" s="1"/>
  <c r="AV39" i="182"/>
  <c r="DV39" i="182"/>
  <c r="FJ40" i="182"/>
  <c r="FK40" i="182" s="1"/>
  <c r="FL40" i="182" s="1"/>
  <c r="Z40" i="182" s="1"/>
  <c r="FO69" i="182"/>
  <c r="FJ16" i="183"/>
  <c r="FK16" i="183" s="1"/>
  <c r="FL16" i="183" s="1"/>
  <c r="Z16" i="183" s="1"/>
  <c r="AN19" i="183"/>
  <c r="AM19" i="183"/>
  <c r="AL19" i="183"/>
  <c r="AJ19" i="183"/>
  <c r="DZ19" i="183"/>
  <c r="AD22" i="183"/>
  <c r="EX31" i="182"/>
  <c r="AF39" i="182"/>
  <c r="AF41" i="182" s="1"/>
  <c r="AA17" i="182" s="1"/>
  <c r="AW39" i="182"/>
  <c r="DW39" i="182"/>
  <c r="FO39" i="182" s="1"/>
  <c r="FT39" i="182"/>
  <c r="FR40" i="182"/>
  <c r="FB40" i="182"/>
  <c r="FP69" i="182"/>
  <c r="EN17" i="183"/>
  <c r="ER17" i="183" s="1"/>
  <c r="EM17" i="183"/>
  <c r="EQ17" i="183" s="1"/>
  <c r="AD18" i="183"/>
  <c r="CL18" i="183"/>
  <c r="EG20" i="183"/>
  <c r="EK20" i="183" s="1"/>
  <c r="EV20" i="183" s="1"/>
  <c r="CJ20" i="183" s="1"/>
  <c r="EF20" i="183"/>
  <c r="EJ20" i="183" s="1"/>
  <c r="CH20" i="183" s="1"/>
  <c r="EV25" i="183"/>
  <c r="CJ25" i="183" s="1"/>
  <c r="FB33" i="182"/>
  <c r="FR33" i="182"/>
  <c r="FB35" i="182"/>
  <c r="FR35" i="182"/>
  <c r="FB37" i="182"/>
  <c r="FR37" i="182"/>
  <c r="AG39" i="182"/>
  <c r="AX39" i="182"/>
  <c r="DX39" i="182"/>
  <c r="FN30" i="183"/>
  <c r="FN23" i="183"/>
  <c r="FN22" i="183"/>
  <c r="AD16" i="183"/>
  <c r="AY17" i="183"/>
  <c r="DX17" i="183"/>
  <c r="DW17" i="183"/>
  <c r="FO17" i="183" s="1"/>
  <c r="DV17" i="183"/>
  <c r="DU17" i="183"/>
  <c r="DZ18" i="183"/>
  <c r="FS19" i="183"/>
  <c r="FJ19" i="183"/>
  <c r="FK19" i="183" s="1"/>
  <c r="FL19" i="183" s="1"/>
  <c r="Z19" i="183" s="1"/>
  <c r="FE19" i="183"/>
  <c r="FF19" i="183" s="1"/>
  <c r="FG19" i="183" s="1"/>
  <c r="Y19" i="183" s="1"/>
  <c r="GE19" i="183" s="1"/>
  <c r="GL19" i="183" s="1"/>
  <c r="GM19" i="183" s="1"/>
  <c r="EN22" i="183"/>
  <c r="ER22" i="183" s="1"/>
  <c r="EM22" i="183"/>
  <c r="EQ22" i="183" s="1"/>
  <c r="CI22" i="183" s="1"/>
  <c r="GE26" i="183"/>
  <c r="GL26" i="183" s="1"/>
  <c r="AH39" i="182"/>
  <c r="AH41" i="182" s="1"/>
  <c r="AA19" i="182" s="1"/>
  <c r="DZ17" i="183"/>
  <c r="AS23" i="183"/>
  <c r="AJ23" i="183"/>
  <c r="AQ23" i="183"/>
  <c r="AN23" i="183"/>
  <c r="AM23" i="183"/>
  <c r="AL23" i="183"/>
  <c r="CL23" i="183"/>
  <c r="DZ23" i="183"/>
  <c r="EM33" i="182"/>
  <c r="EM35" i="182"/>
  <c r="EQ35" i="182" s="1"/>
  <c r="CI35" i="182" s="1"/>
  <c r="EM37" i="182"/>
  <c r="EQ37" i="182" s="1"/>
  <c r="CI37" i="182" s="1"/>
  <c r="FT37" i="182"/>
  <c r="FN69" i="182"/>
  <c r="FO16" i="183"/>
  <c r="FN17" i="183"/>
  <c r="FH18" i="183"/>
  <c r="FO18" i="183" s="1"/>
  <c r="AO21" i="183"/>
  <c r="AN21" i="183"/>
  <c r="AM21" i="183"/>
  <c r="AL21" i="183"/>
  <c r="AJ21" i="183"/>
  <c r="AQ21" i="183"/>
  <c r="AO23" i="183"/>
  <c r="AO26" i="183"/>
  <c r="AN26" i="183"/>
  <c r="AS26" i="183"/>
  <c r="AM26" i="183"/>
  <c r="AL26" i="183"/>
  <c r="AU26" i="183" s="1"/>
  <c r="AO28" i="183"/>
  <c r="AN28" i="183"/>
  <c r="AJ28" i="183"/>
  <c r="AM28" i="183"/>
  <c r="AL28" i="183"/>
  <c r="FB31" i="182"/>
  <c r="FU33" i="182"/>
  <c r="DP34" i="182"/>
  <c r="FU35" i="182"/>
  <c r="DP36" i="182"/>
  <c r="FU37" i="182"/>
  <c r="DP38" i="182"/>
  <c r="EB40" i="182"/>
  <c r="FQ40" i="182"/>
  <c r="FV16" i="183"/>
  <c r="FS17" i="183"/>
  <c r="FE17" i="183"/>
  <c r="FF17" i="183" s="1"/>
  <c r="FG17" i="183" s="1"/>
  <c r="Y17" i="183" s="1"/>
  <c r="GE17" i="183" s="1"/>
  <c r="GL17" i="183" s="1"/>
  <c r="GM17" i="183" s="1"/>
  <c r="FJ17" i="183"/>
  <c r="FK17" i="183" s="1"/>
  <c r="FL17" i="183" s="1"/>
  <c r="Z17" i="183" s="1"/>
  <c r="FR20" i="183"/>
  <c r="EC69" i="182"/>
  <c r="EB69" i="182"/>
  <c r="AN49" i="183"/>
  <c r="AN53" i="183"/>
  <c r="CM17" i="183"/>
  <c r="AS18" i="183"/>
  <c r="AO18" i="183"/>
  <c r="FO19" i="183"/>
  <c r="DT19" i="183"/>
  <c r="GE20" i="183"/>
  <c r="GL20" i="183" s="1"/>
  <c r="EG21" i="183"/>
  <c r="EK21" i="183" s="1"/>
  <c r="EV21" i="183" s="1"/>
  <c r="CJ21" i="183" s="1"/>
  <c r="EF21" i="183"/>
  <c r="EJ21" i="183" s="1"/>
  <c r="DZ33" i="182"/>
  <c r="EY34" i="182"/>
  <c r="FO34" i="182"/>
  <c r="DZ35" i="182"/>
  <c r="EY36" i="182"/>
  <c r="FO36" i="182"/>
  <c r="DZ37" i="182"/>
  <c r="FO38" i="182"/>
  <c r="EE69" i="182"/>
  <c r="EC16" i="183"/>
  <c r="FP16" i="183" s="1"/>
  <c r="EB16" i="183"/>
  <c r="AL18" i="183"/>
  <c r="AU18" i="183" s="1"/>
  <c r="CM20" i="183"/>
  <c r="EM20" i="183"/>
  <c r="EQ20" i="183" s="1"/>
  <c r="CI20" i="183" s="1"/>
  <c r="GM20" i="183"/>
  <c r="DT21" i="183"/>
  <c r="EF23" i="183"/>
  <c r="EJ23" i="183" s="1"/>
  <c r="EG23" i="183"/>
  <c r="EK23" i="183" s="1"/>
  <c r="EV23" i="183" s="1"/>
  <c r="CJ23" i="183" s="1"/>
  <c r="DZ27" i="183"/>
  <c r="FB25" i="182"/>
  <c r="FB27" i="182"/>
  <c r="FB29" i="182"/>
  <c r="G33" i="182"/>
  <c r="CL34" i="182"/>
  <c r="EA35" i="182"/>
  <c r="CL36" i="182"/>
  <c r="EA37" i="182"/>
  <c r="CL38" i="182"/>
  <c r="AG40" i="182"/>
  <c r="DU40" i="182"/>
  <c r="DP40" i="182"/>
  <c r="FA40" i="182"/>
  <c r="EA69" i="182"/>
  <c r="IC14" i="183"/>
  <c r="CK16" i="183"/>
  <c r="DZ16" i="183"/>
  <c r="AM18" i="183"/>
  <c r="CC19" i="183"/>
  <c r="CA19" i="183"/>
  <c r="AD20" i="183"/>
  <c r="DT22" i="183"/>
  <c r="DT34" i="182"/>
  <c r="EB35" i="182"/>
  <c r="DT36" i="182"/>
  <c r="EB37" i="182"/>
  <c r="FQ38" i="182"/>
  <c r="BO40" i="182"/>
  <c r="FV40" i="182"/>
  <c r="ED69" i="182"/>
  <c r="AY57" i="183"/>
  <c r="AY44" i="183"/>
  <c r="AY40" i="183"/>
  <c r="AY38" i="183"/>
  <c r="AY36" i="183"/>
  <c r="AY39" i="183"/>
  <c r="AY37" i="183"/>
  <c r="AY35" i="183"/>
  <c r="AY43" i="183"/>
  <c r="AY45" i="183"/>
  <c r="AY24" i="183"/>
  <c r="AY33" i="183"/>
  <c r="AY30" i="183"/>
  <c r="AY31" i="183"/>
  <c r="AY42" i="183"/>
  <c r="AY32" i="183"/>
  <c r="AY29" i="183"/>
  <c r="AY34" i="183"/>
  <c r="AY27" i="183"/>
  <c r="AY25" i="183"/>
  <c r="AY41" i="183"/>
  <c r="AY23" i="183"/>
  <c r="AY19" i="183"/>
  <c r="AY28" i="183"/>
  <c r="AY26" i="183"/>
  <c r="AY21" i="183"/>
  <c r="AY22" i="183"/>
  <c r="DT17" i="183"/>
  <c r="EX17" i="183"/>
  <c r="AN18" i="183"/>
  <c r="K19" i="183"/>
  <c r="AS19" i="183" s="1"/>
  <c r="J19" i="183"/>
  <c r="I19" i="183"/>
  <c r="EN26" i="183"/>
  <c r="ER26" i="183" s="1"/>
  <c r="EV26" i="183" s="1"/>
  <c r="CJ26" i="183" s="1"/>
  <c r="EM26" i="183"/>
  <c r="EQ26" i="183" s="1"/>
  <c r="FT28" i="183"/>
  <c r="FH29" i="183"/>
  <c r="FU29" i="183"/>
  <c r="DU34" i="182"/>
  <c r="FB34" i="182"/>
  <c r="CA35" i="182"/>
  <c r="EC35" i="182"/>
  <c r="FP35" i="182" s="1"/>
  <c r="DU36" i="182"/>
  <c r="FB36" i="182"/>
  <c r="CA37" i="182"/>
  <c r="EC37" i="182"/>
  <c r="FP37" i="182" s="1"/>
  <c r="DU38" i="182"/>
  <c r="FB38" i="182"/>
  <c r="DP39" i="182"/>
  <c r="FM39" i="182"/>
  <c r="FP39" i="182" s="1"/>
  <c r="BQ40" i="182"/>
  <c r="GA40" i="182"/>
  <c r="GL40" i="182" s="1"/>
  <c r="FD69" i="182"/>
  <c r="AK52" i="183"/>
  <c r="AK54" i="183"/>
  <c r="HD14" i="183"/>
  <c r="IE14" i="183"/>
  <c r="ED16" i="183"/>
  <c r="EY17" i="183"/>
  <c r="FQ18" i="183"/>
  <c r="DT18" i="183"/>
  <c r="EY18" i="183"/>
  <c r="EX18" i="183"/>
  <c r="AO19" i="183"/>
  <c r="CA22" i="183"/>
  <c r="FB22" i="183"/>
  <c r="FA22" i="183"/>
  <c r="CC22" i="183"/>
  <c r="FR22" i="183"/>
  <c r="EN31" i="183"/>
  <c r="ER31" i="183" s="1"/>
  <c r="EM31" i="183"/>
  <c r="EQ31" i="183" s="1"/>
  <c r="DV38" i="182"/>
  <c r="EX39" i="182"/>
  <c r="CA40" i="182"/>
  <c r="GB40" i="182"/>
  <c r="EX69" i="182"/>
  <c r="FQ69" i="182"/>
  <c r="FE69" i="182"/>
  <c r="FF69" i="182" s="1"/>
  <c r="FG69" i="182" s="1"/>
  <c r="AL53" i="183"/>
  <c r="AL49" i="183"/>
  <c r="AL52" i="183"/>
  <c r="AL54" i="183"/>
  <c r="EG16" i="183"/>
  <c r="EK16" i="183" s="1"/>
  <c r="EV16" i="183" s="1"/>
  <c r="CJ16" i="183" s="1"/>
  <c r="DV18" i="183"/>
  <c r="DU18" i="183"/>
  <c r="FN18" i="183"/>
  <c r="DP18" i="183"/>
  <c r="DX18" i="183"/>
  <c r="FN19" i="183"/>
  <c r="FQ20" i="183"/>
  <c r="DT20" i="183"/>
  <c r="EY20" i="183"/>
  <c r="EX20" i="183"/>
  <c r="ED21" i="183"/>
  <c r="EC21" i="183"/>
  <c r="EB21" i="183"/>
  <c r="EA21" i="183"/>
  <c r="J22" i="183"/>
  <c r="K22" i="183"/>
  <c r="I22" i="183"/>
  <c r="EF27" i="183"/>
  <c r="EJ27" i="183" s="1"/>
  <c r="EG27" i="183"/>
  <c r="CC40" i="182"/>
  <c r="DP69" i="182"/>
  <c r="DZ45" i="183"/>
  <c r="DT45" i="183"/>
  <c r="DT42" i="183"/>
  <c r="DZ39" i="183"/>
  <c r="DZ35" i="183"/>
  <c r="DT30" i="183"/>
  <c r="DT37" i="183"/>
  <c r="DT32" i="183"/>
  <c r="DZ34" i="183"/>
  <c r="DT31" i="183"/>
  <c r="DZ21" i="183"/>
  <c r="DT29" i="183"/>
  <c r="DT24" i="183"/>
  <c r="DT23" i="183"/>
  <c r="F16" i="183"/>
  <c r="EY16" i="183"/>
  <c r="BQ16" i="183"/>
  <c r="FP18" i="183"/>
  <c r="DV20" i="183"/>
  <c r="DU20" i="183"/>
  <c r="FO20" i="183"/>
  <c r="FN20" i="183"/>
  <c r="DP20" i="183"/>
  <c r="DX20" i="183"/>
  <c r="EK22" i="183"/>
  <c r="CM23" i="183"/>
  <c r="DU69" i="182"/>
  <c r="DU16" i="183"/>
  <c r="FB16" i="183"/>
  <c r="FR16" i="183"/>
  <c r="DP19" i="183"/>
  <c r="EC22" i="183"/>
  <c r="FP22" i="183" s="1"/>
  <c r="EA22" i="183"/>
  <c r="DV22" i="183"/>
  <c r="H23" i="183"/>
  <c r="AJ24" i="183"/>
  <c r="FN24" i="183"/>
  <c r="K25" i="183"/>
  <c r="AM27" i="183"/>
  <c r="AL27" i="183"/>
  <c r="AJ27" i="183"/>
  <c r="FQ27" i="183"/>
  <c r="AM29" i="183"/>
  <c r="AJ29" i="183"/>
  <c r="AS29" i="183"/>
  <c r="AO29" i="183"/>
  <c r="AN29" i="183"/>
  <c r="J35" i="183"/>
  <c r="I35" i="183"/>
  <c r="K35" i="183"/>
  <c r="CI37" i="183"/>
  <c r="FS27" i="183"/>
  <c r="EV33" i="183"/>
  <c r="CJ33" i="183" s="1"/>
  <c r="EM39" i="183"/>
  <c r="EQ39" i="183" s="1"/>
  <c r="EN39" i="183"/>
  <c r="FR21" i="183"/>
  <c r="AO24" i="183"/>
  <c r="AL25" i="183"/>
  <c r="AJ25" i="183"/>
  <c r="CH26" i="183"/>
  <c r="FU27" i="183"/>
  <c r="DU28" i="183"/>
  <c r="DX28" i="183"/>
  <c r="DW28" i="183"/>
  <c r="DV28" i="183"/>
  <c r="FN34" i="183"/>
  <c r="DP34" i="183"/>
  <c r="DX34" i="183"/>
  <c r="DW34" i="183"/>
  <c r="DV34" i="183"/>
  <c r="DU34" i="183"/>
  <c r="CM43" i="183"/>
  <c r="DZ25" i="183"/>
  <c r="FQ26" i="183"/>
  <c r="EY26" i="183"/>
  <c r="EX26" i="183"/>
  <c r="DZ28" i="183"/>
  <c r="CL30" i="183"/>
  <c r="FR23" i="183"/>
  <c r="AQ24" i="183"/>
  <c r="CC24" i="183"/>
  <c r="CA24" i="183"/>
  <c r="FR24" i="183"/>
  <c r="DX26" i="183"/>
  <c r="DU26" i="183"/>
  <c r="FO26" i="183"/>
  <c r="FN26" i="183"/>
  <c r="FO29" i="183"/>
  <c r="FH30" i="183"/>
  <c r="FU30" i="183"/>
  <c r="AS31" i="183"/>
  <c r="AN31" i="183"/>
  <c r="AM31" i="183"/>
  <c r="AL31" i="183"/>
  <c r="AJ31" i="183"/>
  <c r="DZ31" i="183"/>
  <c r="DT36" i="183"/>
  <c r="ED24" i="183"/>
  <c r="EC24" i="183"/>
  <c r="FP24" i="183" s="1"/>
  <c r="EB24" i="183"/>
  <c r="EA24" i="183"/>
  <c r="FE25" i="183"/>
  <c r="FF25" i="183" s="1"/>
  <c r="FG25" i="183" s="1"/>
  <c r="Y25" i="183" s="1"/>
  <c r="GE25" i="183" s="1"/>
  <c r="GL25" i="183" s="1"/>
  <c r="GM25" i="183" s="1"/>
  <c r="FP26" i="183"/>
  <c r="FT26" i="183"/>
  <c r="DT27" i="183"/>
  <c r="EL28" i="183"/>
  <c r="FQ29" i="183"/>
  <c r="AO31" i="183"/>
  <c r="EN33" i="183"/>
  <c r="ER33" i="183" s="1"/>
  <c r="EM33" i="183"/>
  <c r="EQ33" i="183" s="1"/>
  <c r="CI33" i="183" s="1"/>
  <c r="EY35" i="183"/>
  <c r="EX35" i="183"/>
  <c r="BQ35" i="183"/>
  <c r="BO35" i="183"/>
  <c r="DV19" i="183"/>
  <c r="DP28" i="183"/>
  <c r="FS31" i="183"/>
  <c r="FJ31" i="183"/>
  <c r="FK31" i="183" s="1"/>
  <c r="FL31" i="183" s="1"/>
  <c r="Z31" i="183" s="1"/>
  <c r="FE31" i="183"/>
  <c r="FF31" i="183" s="1"/>
  <c r="FG31" i="183" s="1"/>
  <c r="Y31" i="183" s="1"/>
  <c r="GE31" i="183" s="1"/>
  <c r="GL31" i="183" s="1"/>
  <c r="GM31" i="183" s="1"/>
  <c r="CL32" i="183"/>
  <c r="H35" i="183"/>
  <c r="F35" i="183"/>
  <c r="G35" i="183"/>
  <c r="DW19" i="183"/>
  <c r="EM19" i="183"/>
  <c r="EQ19" i="183" s="1"/>
  <c r="CI19" i="183" s="1"/>
  <c r="FT19" i="183"/>
  <c r="F21" i="183"/>
  <c r="G22" i="183"/>
  <c r="AJ22" i="183"/>
  <c r="EF22" i="183"/>
  <c r="F27" i="183"/>
  <c r="H27" i="183"/>
  <c r="CL29" i="183"/>
  <c r="EF29" i="183"/>
  <c r="EJ29" i="183" s="1"/>
  <c r="CH29" i="183" s="1"/>
  <c r="EG32" i="183"/>
  <c r="EF32" i="183"/>
  <c r="EJ32" i="183" s="1"/>
  <c r="FB17" i="183"/>
  <c r="FU19" i="183"/>
  <c r="G21" i="183"/>
  <c r="AL22" i="183"/>
  <c r="FU22" i="183"/>
  <c r="FH22" i="183"/>
  <c r="FO22" i="183" s="1"/>
  <c r="EX23" i="183"/>
  <c r="DZ24" i="183"/>
  <c r="FA24" i="183"/>
  <c r="AM25" i="183"/>
  <c r="FM25" i="183"/>
  <c r="DP26" i="183"/>
  <c r="AN27" i="183"/>
  <c r="CM27" i="183"/>
  <c r="FA27" i="183"/>
  <c r="J28" i="183"/>
  <c r="BO28" i="183"/>
  <c r="CM29" i="183"/>
  <c r="AS32" i="183"/>
  <c r="FN32" i="183"/>
  <c r="AN22" i="183"/>
  <c r="FE22" i="183"/>
  <c r="FF22" i="183" s="1"/>
  <c r="FG22" i="183" s="1"/>
  <c r="Y22" i="183" s="1"/>
  <c r="GE22" i="183" s="1"/>
  <c r="GL22" i="183" s="1"/>
  <c r="GM22" i="183" s="1"/>
  <c r="FJ22" i="183"/>
  <c r="FK22" i="183" s="1"/>
  <c r="FL22" i="183" s="1"/>
  <c r="Z22" i="183" s="1"/>
  <c r="AN24" i="183"/>
  <c r="AM24" i="183"/>
  <c r="FB24" i="183"/>
  <c r="FN25" i="183"/>
  <c r="K28" i="183"/>
  <c r="AS28" i="183" s="1"/>
  <c r="FO30" i="183"/>
  <c r="DT34" i="183"/>
  <c r="AS38" i="183"/>
  <c r="AM53" i="183"/>
  <c r="AM49" i="183"/>
  <c r="AN52" i="183"/>
  <c r="AN54" i="183"/>
  <c r="CL21" i="183"/>
  <c r="FP21" i="183"/>
  <c r="FN21" i="183"/>
  <c r="AO22" i="183"/>
  <c r="DP22" i="183"/>
  <c r="AD23" i="183"/>
  <c r="EF24" i="183"/>
  <c r="AO25" i="183"/>
  <c r="DT25" i="183"/>
  <c r="EN25" i="183"/>
  <c r="ER25" i="183" s="1"/>
  <c r="CI25" i="183" s="1"/>
  <c r="BQ26" i="183"/>
  <c r="DV26" i="183"/>
  <c r="GM26" i="183"/>
  <c r="AQ27" i="183"/>
  <c r="FM27" i="183"/>
  <c r="FP27" i="183" s="1"/>
  <c r="FV27" i="183"/>
  <c r="GE28" i="183"/>
  <c r="GL28" i="183" s="1"/>
  <c r="GM28" i="183" s="1"/>
  <c r="EN29" i="183"/>
  <c r="ER29" i="183" s="1"/>
  <c r="EV29" i="183" s="1"/>
  <c r="CJ29" i="183" s="1"/>
  <c r="EM29" i="183"/>
  <c r="EQ29" i="183" s="1"/>
  <c r="GE29" i="183"/>
  <c r="GL29" i="183" s="1"/>
  <c r="GM29" i="183" s="1"/>
  <c r="CH33" i="183"/>
  <c r="AM52" i="183"/>
  <c r="AM54" i="183"/>
  <c r="EA19" i="183"/>
  <c r="FO21" i="183"/>
  <c r="DP23" i="183"/>
  <c r="DV23" i="183"/>
  <c r="DU23" i="183"/>
  <c r="FV23" i="183"/>
  <c r="FP25" i="183"/>
  <c r="AD26" i="183"/>
  <c r="DT26" i="183"/>
  <c r="DW26" i="183"/>
  <c r="FE27" i="183"/>
  <c r="FF27" i="183" s="1"/>
  <c r="FG27" i="183" s="1"/>
  <c r="Y27" i="183" s="1"/>
  <c r="GE27" i="183" s="1"/>
  <c r="GL27" i="183" s="1"/>
  <c r="GM27" i="183" s="1"/>
  <c r="FN28" i="183"/>
  <c r="CM30" i="183"/>
  <c r="CA30" i="183"/>
  <c r="DZ30" i="183"/>
  <c r="FB30" i="183"/>
  <c r="FA30" i="183"/>
  <c r="FR30" i="183"/>
  <c r="AK33" i="183"/>
  <c r="FQ21" i="183"/>
  <c r="AQ22" i="183"/>
  <c r="FP23" i="183"/>
  <c r="K27" i="183"/>
  <c r="AS27" i="183" s="1"/>
  <c r="J27" i="183"/>
  <c r="I27" i="183"/>
  <c r="EG34" i="183"/>
  <c r="EK34" i="183" s="1"/>
  <c r="EV34" i="183" s="1"/>
  <c r="CJ34" i="183" s="1"/>
  <c r="EF34" i="183"/>
  <c r="EJ34" i="183" s="1"/>
  <c r="EG35" i="183"/>
  <c r="EK35" i="183" s="1"/>
  <c r="EF35" i="183"/>
  <c r="EJ35" i="183" s="1"/>
  <c r="CH35" i="183" s="1"/>
  <c r="EM36" i="183"/>
  <c r="EQ36" i="183" s="1"/>
  <c r="EN36" i="183"/>
  <c r="ER36" i="183" s="1"/>
  <c r="EV36" i="183" s="1"/>
  <c r="CJ36" i="183" s="1"/>
  <c r="AK53" i="183"/>
  <c r="AK49" i="183"/>
  <c r="FB18" i="183"/>
  <c r="EC19" i="183"/>
  <c r="FP19" i="183" s="1"/>
  <c r="FB20" i="183"/>
  <c r="DP21" i="183"/>
  <c r="FR25" i="183"/>
  <c r="CC26" i="183"/>
  <c r="DZ26" i="183"/>
  <c r="CI27" i="183"/>
  <c r="EG28" i="183"/>
  <c r="EK28" i="183" s="1"/>
  <c r="EF28" i="183"/>
  <c r="EJ28" i="183" s="1"/>
  <c r="FQ28" i="183"/>
  <c r="CH31" i="183"/>
  <c r="EN34" i="183"/>
  <c r="ER34" i="183" s="1"/>
  <c r="EM34" i="183"/>
  <c r="EQ34" i="183" s="1"/>
  <c r="CM37" i="183"/>
  <c r="AS22" i="183"/>
  <c r="FE24" i="183"/>
  <c r="FF24" i="183" s="1"/>
  <c r="FG24" i="183" s="1"/>
  <c r="Y24" i="183" s="1"/>
  <c r="GE24" i="183" s="1"/>
  <c r="GL24" i="183" s="1"/>
  <c r="GM24" i="183" s="1"/>
  <c r="FJ24" i="183"/>
  <c r="FK24" i="183" s="1"/>
  <c r="FL24" i="183" s="1"/>
  <c r="Z24" i="183" s="1"/>
  <c r="AS25" i="183"/>
  <c r="EA26" i="183"/>
  <c r="FN27" i="183"/>
  <c r="EF30" i="183"/>
  <c r="EJ30" i="183" s="1"/>
  <c r="CH30" i="183" s="1"/>
  <c r="EV31" i="183"/>
  <c r="CJ31" i="183" s="1"/>
  <c r="FH24" i="183"/>
  <c r="FO24" i="183" s="1"/>
  <c r="DX29" i="183"/>
  <c r="FE30" i="183"/>
  <c r="FF30" i="183" s="1"/>
  <c r="FG30" i="183" s="1"/>
  <c r="Y30" i="183" s="1"/>
  <c r="GE30" i="183" s="1"/>
  <c r="GL30" i="183" s="1"/>
  <c r="GM30" i="183" s="1"/>
  <c r="CM31" i="183"/>
  <c r="DU31" i="183"/>
  <c r="BQ33" i="183"/>
  <c r="FB33" i="183"/>
  <c r="DP35" i="183"/>
  <c r="FR35" i="183"/>
  <c r="FE37" i="183"/>
  <c r="FF37" i="183" s="1"/>
  <c r="FG37" i="183" s="1"/>
  <c r="Y37" i="183" s="1"/>
  <c r="GE37" i="183" s="1"/>
  <c r="GL37" i="183" s="1"/>
  <c r="GM37" i="183" s="1"/>
  <c r="EG38" i="183"/>
  <c r="EK38" i="183" s="1"/>
  <c r="EV38" i="183" s="1"/>
  <c r="CJ38" i="183" s="1"/>
  <c r="EF38" i="183"/>
  <c r="EJ38" i="183" s="1"/>
  <c r="DV31" i="183"/>
  <c r="FJ32" i="183"/>
  <c r="FK32" i="183" s="1"/>
  <c r="FL32" i="183" s="1"/>
  <c r="Z32" i="183" s="1"/>
  <c r="F33" i="183"/>
  <c r="CA33" i="183"/>
  <c r="H36" i="183"/>
  <c r="F36" i="183"/>
  <c r="FV41" i="183"/>
  <c r="FB21" i="183"/>
  <c r="FB23" i="183"/>
  <c r="FO28" i="183"/>
  <c r="DT28" i="183"/>
  <c r="EA29" i="183"/>
  <c r="DW31" i="183"/>
  <c r="FO31" i="183" s="1"/>
  <c r="G33" i="183"/>
  <c r="CA34" i="183"/>
  <c r="FS34" i="183"/>
  <c r="ES34" i="183"/>
  <c r="FJ34" i="183"/>
  <c r="FK34" i="183" s="1"/>
  <c r="FL34" i="183" s="1"/>
  <c r="Z34" i="183" s="1"/>
  <c r="FO34" i="183"/>
  <c r="DU35" i="183"/>
  <c r="CC36" i="183"/>
  <c r="FB36" i="183"/>
  <c r="FA36" i="183"/>
  <c r="FR36" i="183"/>
  <c r="DT38" i="183"/>
  <c r="EY39" i="183"/>
  <c r="EX39" i="183"/>
  <c r="DT39" i="183"/>
  <c r="BQ39" i="183"/>
  <c r="AZ42" i="183"/>
  <c r="AU42" i="183"/>
  <c r="FA26" i="183"/>
  <c r="EB29" i="183"/>
  <c r="FN29" i="183"/>
  <c r="DX31" i="183"/>
  <c r="FH31" i="183"/>
  <c r="DZ32" i="183"/>
  <c r="FE33" i="183"/>
  <c r="FF33" i="183" s="1"/>
  <c r="FG33" i="183" s="1"/>
  <c r="Y33" i="183" s="1"/>
  <c r="GE33" i="183" s="1"/>
  <c r="GL33" i="183" s="1"/>
  <c r="GM33" i="183" s="1"/>
  <c r="CC34" i="183"/>
  <c r="FQ34" i="183"/>
  <c r="CA35" i="183"/>
  <c r="DT35" i="183"/>
  <c r="DW35" i="183"/>
  <c r="FO35" i="183" s="1"/>
  <c r="DP36" i="183"/>
  <c r="ED36" i="183"/>
  <c r="EC36" i="183"/>
  <c r="FP36" i="183" s="1"/>
  <c r="EA36" i="183"/>
  <c r="FN39" i="183"/>
  <c r="DW39" i="183"/>
  <c r="DX39" i="183"/>
  <c r="DV39" i="183"/>
  <c r="CL43" i="183"/>
  <c r="FB26" i="183"/>
  <c r="FR26" i="183"/>
  <c r="FR28" i="183"/>
  <c r="FB28" i="183"/>
  <c r="DT33" i="183"/>
  <c r="FR34" i="183"/>
  <c r="GE35" i="183"/>
  <c r="GL35" i="183" s="1"/>
  <c r="GM35" i="183" s="1"/>
  <c r="AL36" i="183"/>
  <c r="EB36" i="183"/>
  <c r="CA37" i="183"/>
  <c r="H38" i="183"/>
  <c r="AQ38" i="183" s="1"/>
  <c r="G38" i="183"/>
  <c r="FN43" i="183"/>
  <c r="DZ29" i="183"/>
  <c r="CM33" i="183"/>
  <c r="H37" i="183"/>
  <c r="AQ37" i="183" s="1"/>
  <c r="F37" i="183"/>
  <c r="CC38" i="183"/>
  <c r="CA38" i="183"/>
  <c r="FB38" i="183"/>
  <c r="FA38" i="183"/>
  <c r="FB37" i="183"/>
  <c r="FA37" i="183"/>
  <c r="AN39" i="183"/>
  <c r="AO39" i="183"/>
  <c r="AM39" i="183"/>
  <c r="AL39" i="183"/>
  <c r="AJ39" i="183"/>
  <c r="FS39" i="183"/>
  <c r="K41" i="183"/>
  <c r="AS41" i="183" s="1"/>
  <c r="I41" i="183"/>
  <c r="GE42" i="183"/>
  <c r="GD42" i="183"/>
  <c r="GC42" i="183"/>
  <c r="GB42" i="183"/>
  <c r="GA42" i="183"/>
  <c r="GL42" i="183" s="1"/>
  <c r="FU43" i="183"/>
  <c r="FH43" i="183"/>
  <c r="FJ29" i="183"/>
  <c r="FK29" i="183" s="1"/>
  <c r="FL29" i="183" s="1"/>
  <c r="Z29" i="183" s="1"/>
  <c r="AK30" i="183"/>
  <c r="I32" i="183"/>
  <c r="AL32" i="183"/>
  <c r="AP32" i="183" s="1"/>
  <c r="DX32" i="183"/>
  <c r="DV32" i="183"/>
  <c r="FP32" i="183"/>
  <c r="EU34" i="183"/>
  <c r="EA35" i="183"/>
  <c r="FB35" i="183"/>
  <c r="FO36" i="183"/>
  <c r="ED37" i="183"/>
  <c r="EC37" i="183"/>
  <c r="EB37" i="183"/>
  <c r="DZ37" i="183"/>
  <c r="FQ38" i="183"/>
  <c r="DP39" i="183"/>
  <c r="FV44" i="183"/>
  <c r="FM44" i="183"/>
  <c r="FN31" i="183"/>
  <c r="EB35" i="183"/>
  <c r="EL35" i="183"/>
  <c r="EX36" i="183"/>
  <c r="BQ36" i="183"/>
  <c r="BO36" i="183"/>
  <c r="EY36" i="183"/>
  <c r="FQ36" i="183"/>
  <c r="J38" i="183"/>
  <c r="I38" i="183"/>
  <c r="FP31" i="183"/>
  <c r="FH32" i="183"/>
  <c r="FO32" i="183" s="1"/>
  <c r="FU32" i="183"/>
  <c r="FM33" i="183"/>
  <c r="ED34" i="183"/>
  <c r="EB34" i="183"/>
  <c r="EA34" i="183"/>
  <c r="EC35" i="183"/>
  <c r="FP35" i="183" s="1"/>
  <c r="AJ37" i="183"/>
  <c r="FV37" i="183"/>
  <c r="FM37" i="183"/>
  <c r="EV37" i="183"/>
  <c r="CJ37" i="183" s="1"/>
  <c r="FR37" i="183"/>
  <c r="CK38" i="183"/>
  <c r="DU39" i="183"/>
  <c r="CL40" i="183"/>
  <c r="DZ40" i="183"/>
  <c r="J42" i="183"/>
  <c r="I42" i="183"/>
  <c r="K42" i="183"/>
  <c r="CL31" i="183"/>
  <c r="FQ31" i="183"/>
  <c r="FE32" i="183"/>
  <c r="FF32" i="183" s="1"/>
  <c r="FG32" i="183" s="1"/>
  <c r="Y32" i="183" s="1"/>
  <c r="DZ33" i="183"/>
  <c r="FB34" i="183"/>
  <c r="CK37" i="183"/>
  <c r="BO39" i="183"/>
  <c r="FO39" i="183"/>
  <c r="FQ39" i="183"/>
  <c r="EG42" i="183"/>
  <c r="EK42" i="183" s="1"/>
  <c r="EV42" i="183" s="1"/>
  <c r="EF42" i="183"/>
  <c r="EG40" i="183"/>
  <c r="EF40" i="183"/>
  <c r="EJ40" i="183" s="1"/>
  <c r="EG19" i="184"/>
  <c r="EK19" i="184" s="1"/>
  <c r="EV19" i="184" s="1"/>
  <c r="CJ19" i="184" s="1"/>
  <c r="EF19" i="184"/>
  <c r="EJ19" i="184" s="1"/>
  <c r="EX33" i="183"/>
  <c r="FR33" i="183"/>
  <c r="DQ34" i="183"/>
  <c r="ET34" i="183"/>
  <c r="EJ93" i="183"/>
  <c r="EL93" i="183" s="1"/>
  <c r="FN35" i="183"/>
  <c r="DV35" i="183"/>
  <c r="AJ36" i="183"/>
  <c r="AQ36" i="183"/>
  <c r="AN36" i="183"/>
  <c r="AN37" i="183"/>
  <c r="J41" i="183"/>
  <c r="FN41" i="183"/>
  <c r="FT42" i="183"/>
  <c r="W42" i="183"/>
  <c r="V42" i="183"/>
  <c r="FP44" i="183"/>
  <c r="DV27" i="183"/>
  <c r="CC28" i="183"/>
  <c r="DU29" i="183"/>
  <c r="ED30" i="183"/>
  <c r="J31" i="183"/>
  <c r="FN33" i="183"/>
  <c r="DP33" i="183"/>
  <c r="EC33" i="183"/>
  <c r="FP33" i="183" s="1"/>
  <c r="EY33" i="183"/>
  <c r="AN34" i="183"/>
  <c r="AP34" i="183" s="1"/>
  <c r="CS34" i="183"/>
  <c r="FE34" i="183"/>
  <c r="FF34" i="183" s="1"/>
  <c r="FG34" i="183" s="1"/>
  <c r="Y34" i="183" s="1"/>
  <c r="GE34" i="183" s="1"/>
  <c r="GL34" i="183" s="1"/>
  <c r="GM34" i="183" s="1"/>
  <c r="FM35" i="183"/>
  <c r="AO37" i="183"/>
  <c r="EV45" i="183"/>
  <c r="FA28" i="183"/>
  <c r="FT33" i="183"/>
  <c r="AK35" i="183"/>
  <c r="EN43" i="183"/>
  <c r="ER43" i="183" s="1"/>
  <c r="EM43" i="183"/>
  <c r="EQ43" i="183" s="1"/>
  <c r="CL16" i="184"/>
  <c r="FQ41" i="183"/>
  <c r="EX41" i="183"/>
  <c r="BQ41" i="183"/>
  <c r="AV43" i="183"/>
  <c r="AK43" i="183" s="1"/>
  <c r="AJ43" i="183" s="1"/>
  <c r="AN49" i="184"/>
  <c r="AN53" i="184"/>
  <c r="AN54" i="184"/>
  <c r="AN52" i="184"/>
  <c r="EN19" i="184"/>
  <c r="ER19" i="184" s="1"/>
  <c r="EM19" i="184"/>
  <c r="EQ19" i="184" s="1"/>
  <c r="CI19" i="184" s="1"/>
  <c r="CM22" i="184"/>
  <c r="AW43" i="183"/>
  <c r="AM53" i="184"/>
  <c r="AM49" i="184"/>
  <c r="DZ41" i="183"/>
  <c r="FP41" i="183"/>
  <c r="AN42" i="183"/>
  <c r="AM42" i="183"/>
  <c r="AL42" i="183"/>
  <c r="AP42" i="183" s="1"/>
  <c r="AS42" i="183"/>
  <c r="AQ42" i="183"/>
  <c r="FT45" i="183"/>
  <c r="CM20" i="184"/>
  <c r="EN22" i="184"/>
  <c r="ER22" i="184" s="1"/>
  <c r="EM22" i="184"/>
  <c r="EQ22" i="184" s="1"/>
  <c r="CL32" i="184"/>
  <c r="CM40" i="183"/>
  <c r="FQ40" i="183"/>
  <c r="DT40" i="183"/>
  <c r="EN41" i="183"/>
  <c r="ER41" i="183" s="1"/>
  <c r="CI41" i="183" s="1"/>
  <c r="FU41" i="183"/>
  <c r="BO43" i="183"/>
  <c r="DV43" i="183"/>
  <c r="FR44" i="183"/>
  <c r="AD45" i="183"/>
  <c r="CI17" i="184"/>
  <c r="I20" i="184"/>
  <c r="J20" i="184"/>
  <c r="CH20" i="184"/>
  <c r="CL21" i="184"/>
  <c r="DT43" i="183"/>
  <c r="DZ44" i="183"/>
  <c r="AH45" i="183"/>
  <c r="EN45" i="183"/>
  <c r="ER45" i="183" s="1"/>
  <c r="EM45" i="183"/>
  <c r="EQ45" i="183" s="1"/>
  <c r="CI45" i="183" s="1"/>
  <c r="AK54" i="184"/>
  <c r="AK52" i="184"/>
  <c r="AJ16" i="184"/>
  <c r="AS16" i="184"/>
  <c r="AO16" i="184"/>
  <c r="AN16" i="184"/>
  <c r="AM16" i="184"/>
  <c r="FP16" i="184"/>
  <c r="DZ16" i="184"/>
  <c r="EV20" i="184"/>
  <c r="CJ20" i="184" s="1"/>
  <c r="GE21" i="184"/>
  <c r="GL21" i="184" s="1"/>
  <c r="GM21" i="184" s="1"/>
  <c r="EV24" i="184"/>
  <c r="CJ24" i="184" s="1"/>
  <c r="AJ38" i="183"/>
  <c r="FB40" i="183"/>
  <c r="BO41" i="183"/>
  <c r="ES42" i="183"/>
  <c r="FS42" i="183"/>
  <c r="FJ42" i="183"/>
  <c r="FK42" i="183" s="1"/>
  <c r="FL42" i="183" s="1"/>
  <c r="Z42" i="183" s="1"/>
  <c r="FE42" i="183"/>
  <c r="FF42" i="183" s="1"/>
  <c r="FG42" i="183" s="1"/>
  <c r="Y42" i="183" s="1"/>
  <c r="FH44" i="183"/>
  <c r="FO44" i="183" s="1"/>
  <c r="FU44" i="183"/>
  <c r="W44" i="183"/>
  <c r="V44" i="183"/>
  <c r="FN45" i="183"/>
  <c r="AY57" i="184"/>
  <c r="AY45" i="184"/>
  <c r="AY35" i="184"/>
  <c r="AY39" i="184"/>
  <c r="AY37" i="184"/>
  <c r="AY43" i="184"/>
  <c r="AY36" i="184"/>
  <c r="AY33" i="184"/>
  <c r="AY41" i="184"/>
  <c r="AY38" i="184"/>
  <c r="AY44" i="184"/>
  <c r="AY40" i="184"/>
  <c r="AY42" i="184"/>
  <c r="AY29" i="184"/>
  <c r="AY34" i="184"/>
  <c r="AY32" i="184"/>
  <c r="AY30" i="184"/>
  <c r="AY26" i="184"/>
  <c r="AY24" i="184"/>
  <c r="AY22" i="184"/>
  <c r="AY20" i="184"/>
  <c r="AY18" i="184"/>
  <c r="AY31" i="184"/>
  <c r="AY28" i="184"/>
  <c r="AY25" i="184"/>
  <c r="AY16" i="184"/>
  <c r="AY23" i="184"/>
  <c r="AY17" i="184"/>
  <c r="AY19" i="184"/>
  <c r="AY21" i="184"/>
  <c r="AY27" i="184"/>
  <c r="AL53" i="184"/>
  <c r="AL49" i="184"/>
  <c r="AL54" i="184"/>
  <c r="AL52" i="184"/>
  <c r="AL16" i="184"/>
  <c r="CA23" i="184"/>
  <c r="DZ23" i="184"/>
  <c r="CC23" i="184"/>
  <c r="FB23" i="184"/>
  <c r="FA23" i="184"/>
  <c r="FR23" i="184"/>
  <c r="FN36" i="183"/>
  <c r="EY37" i="183"/>
  <c r="EX37" i="183"/>
  <c r="DV38" i="183"/>
  <c r="FN38" i="183"/>
  <c r="E42" i="183"/>
  <c r="D42" i="183"/>
  <c r="GK42" i="183" s="1"/>
  <c r="FR43" i="183"/>
  <c r="EA43" i="183"/>
  <c r="I44" i="183"/>
  <c r="AQ16" i="184"/>
  <c r="FJ16" i="184"/>
  <c r="FK16" i="184" s="1"/>
  <c r="FL16" i="184" s="1"/>
  <c r="Z16" i="184" s="1"/>
  <c r="EN16" i="184"/>
  <c r="ER16" i="184" s="1"/>
  <c r="EM16" i="184"/>
  <c r="EQ16" i="184" s="1"/>
  <c r="CI16" i="184" s="1"/>
  <c r="FE19" i="184"/>
  <c r="FF19" i="184" s="1"/>
  <c r="FG19" i="184" s="1"/>
  <c r="Y19" i="184" s="1"/>
  <c r="K20" i="184"/>
  <c r="AS20" i="184" s="1"/>
  <c r="CL22" i="184"/>
  <c r="DZ36" i="183"/>
  <c r="FN37" i="183"/>
  <c r="DZ38" i="183"/>
  <c r="ED39" i="183"/>
  <c r="EB39" i="183"/>
  <c r="CM41" i="183"/>
  <c r="EB43" i="183"/>
  <c r="J44" i="183"/>
  <c r="EF36" i="183"/>
  <c r="EJ36" i="183" s="1"/>
  <c r="CH36" i="183" s="1"/>
  <c r="FP37" i="183"/>
  <c r="D41" i="183"/>
  <c r="GK41" i="183" s="1"/>
  <c r="DT41" i="183"/>
  <c r="EY41" i="183"/>
  <c r="K43" i="183"/>
  <c r="J43" i="183"/>
  <c r="I43" i="183"/>
  <c r="GE16" i="184"/>
  <c r="GL16" i="184" s="1"/>
  <c r="GM16" i="184" s="1"/>
  <c r="FS17" i="184"/>
  <c r="FJ17" i="184"/>
  <c r="FK17" i="184" s="1"/>
  <c r="FL17" i="184" s="1"/>
  <c r="Z17" i="184" s="1"/>
  <c r="FE17" i="184"/>
  <c r="FF17" i="184" s="1"/>
  <c r="FG17" i="184" s="1"/>
  <c r="Y17" i="184" s="1"/>
  <c r="FU18" i="184"/>
  <c r="FH18" i="184"/>
  <c r="EN18" i="184"/>
  <c r="ER18" i="184" s="1"/>
  <c r="EV18" i="184" s="1"/>
  <c r="CJ18" i="184" s="1"/>
  <c r="EM18" i="184"/>
  <c r="EQ18" i="184" s="1"/>
  <c r="CI18" i="184" s="1"/>
  <c r="AQ19" i="184"/>
  <c r="AM19" i="184"/>
  <c r="AL19" i="184"/>
  <c r="AJ19" i="184"/>
  <c r="AS19" i="184"/>
  <c r="AO19" i="184"/>
  <c r="EN20" i="184"/>
  <c r="ER20" i="184" s="1"/>
  <c r="EM20" i="184"/>
  <c r="EQ20" i="184" s="1"/>
  <c r="CI20" i="184" s="1"/>
  <c r="FM34" i="183"/>
  <c r="FP34" i="183" s="1"/>
  <c r="EF37" i="183"/>
  <c r="EJ37" i="183" s="1"/>
  <c r="CH37" i="183" s="1"/>
  <c r="FE38" i="183"/>
  <c r="FF38" i="183" s="1"/>
  <c r="FG38" i="183" s="1"/>
  <c r="Y38" i="183" s="1"/>
  <c r="GE38" i="183" s="1"/>
  <c r="GL38" i="183" s="1"/>
  <c r="GM38" i="183" s="1"/>
  <c r="CK39" i="183"/>
  <c r="EA39" i="183"/>
  <c r="J40" i="183"/>
  <c r="I40" i="183"/>
  <c r="AE43" i="183"/>
  <c r="EG43" i="183"/>
  <c r="EK43" i="183" s="1"/>
  <c r="CH43" i="183" s="1"/>
  <c r="GF57" i="183"/>
  <c r="HT14" i="184"/>
  <c r="HS14" i="184"/>
  <c r="HR14" i="184"/>
  <c r="HQ14" i="184"/>
  <c r="IF14" i="184"/>
  <c r="HP14" i="184"/>
  <c r="IE14" i="184"/>
  <c r="HO14" i="184"/>
  <c r="ID14" i="184"/>
  <c r="HN14" i="184"/>
  <c r="IC14" i="184"/>
  <c r="HM14" i="184"/>
  <c r="IB14" i="184"/>
  <c r="HL14" i="184"/>
  <c r="HZ14" i="184"/>
  <c r="HJ14" i="184"/>
  <c r="HY14" i="184"/>
  <c r="HI14" i="184"/>
  <c r="HX14" i="184"/>
  <c r="HH14" i="184"/>
  <c r="HW14" i="184"/>
  <c r="HG14" i="184"/>
  <c r="HK14" i="184"/>
  <c r="CM24" i="184"/>
  <c r="EN24" i="184"/>
  <c r="ER24" i="184" s="1"/>
  <c r="EM24" i="184"/>
  <c r="EQ24" i="184" s="1"/>
  <c r="CI24" i="184" s="1"/>
  <c r="FO25" i="184"/>
  <c r="GE36" i="183"/>
  <c r="GL36" i="183" s="1"/>
  <c r="GM36" i="183" s="1"/>
  <c r="FE39" i="183"/>
  <c r="FF39" i="183" s="1"/>
  <c r="FG39" i="183" s="1"/>
  <c r="Y39" i="183" s="1"/>
  <c r="GE39" i="183" s="1"/>
  <c r="GL39" i="183" s="1"/>
  <c r="GM39" i="183" s="1"/>
  <c r="FR41" i="183"/>
  <c r="CA44" i="183"/>
  <c r="FQ44" i="183"/>
  <c r="DT44" i="183"/>
  <c r="EG44" i="183"/>
  <c r="EK44" i="183" s="1"/>
  <c r="EV44" i="183" s="1"/>
  <c r="EF44" i="183"/>
  <c r="GF45" i="183"/>
  <c r="AX45" i="183"/>
  <c r="DT16" i="184"/>
  <c r="FO16" i="184"/>
  <c r="EG22" i="184"/>
  <c r="EK22" i="184" s="1"/>
  <c r="EF22" i="184"/>
  <c r="EJ22" i="184" s="1"/>
  <c r="CH22" i="184" s="1"/>
  <c r="BQ34" i="183"/>
  <c r="BQ37" i="183"/>
  <c r="DP37" i="183"/>
  <c r="G40" i="183"/>
  <c r="FM40" i="183"/>
  <c r="FP40" i="183" s="1"/>
  <c r="AO41" i="183"/>
  <c r="AL41" i="183"/>
  <c r="AJ41" i="183"/>
  <c r="H41" i="183"/>
  <c r="AQ41" i="183" s="1"/>
  <c r="F41" i="183"/>
  <c r="AX42" i="183"/>
  <c r="CC42" i="183"/>
  <c r="CA42" i="183"/>
  <c r="ET42" i="183" s="1"/>
  <c r="FO42" i="183"/>
  <c r="CC44" i="183"/>
  <c r="FB44" i="183"/>
  <c r="HV14" i="184"/>
  <c r="AJ18" i="184"/>
  <c r="AS18" i="184"/>
  <c r="AQ18" i="184"/>
  <c r="AO18" i="184"/>
  <c r="AN18" i="184"/>
  <c r="AM18" i="184"/>
  <c r="AL18" i="184"/>
  <c r="AJ22" i="184"/>
  <c r="AO22" i="184"/>
  <c r="AN22" i="184"/>
  <c r="AM22" i="184"/>
  <c r="AL22" i="184"/>
  <c r="FQ43" i="183"/>
  <c r="EY43" i="183"/>
  <c r="AG45" i="183"/>
  <c r="AW45" i="183"/>
  <c r="AF45" i="183"/>
  <c r="AF46" i="183" s="1"/>
  <c r="AV45" i="183"/>
  <c r="AK45" i="183" s="1"/>
  <c r="AE45" i="183"/>
  <c r="FP45" i="183"/>
  <c r="K25" i="184"/>
  <c r="AS25" i="184" s="1"/>
  <c r="J25" i="184"/>
  <c r="I25" i="184"/>
  <c r="CL28" i="184"/>
  <c r="AD43" i="183"/>
  <c r="AH43" i="183"/>
  <c r="AG43" i="183"/>
  <c r="DU43" i="183"/>
  <c r="DP43" i="183"/>
  <c r="DX43" i="183"/>
  <c r="CM19" i="184"/>
  <c r="AJ20" i="184"/>
  <c r="AM20" i="184"/>
  <c r="AL20" i="184"/>
  <c r="AO20" i="184"/>
  <c r="DU36" i="183"/>
  <c r="FO37" i="183"/>
  <c r="DU37" i="183"/>
  <c r="AN38" i="183"/>
  <c r="DU38" i="183"/>
  <c r="FP39" i="183"/>
  <c r="AK40" i="183"/>
  <c r="FR40" i="183"/>
  <c r="AO42" i="183"/>
  <c r="DZ42" i="183"/>
  <c r="FP43" i="183"/>
  <c r="CC45" i="183"/>
  <c r="CA45" i="183"/>
  <c r="FR45" i="183"/>
  <c r="K16" i="184"/>
  <c r="EG16" i="184"/>
  <c r="EK16" i="184" s="1"/>
  <c r="EF16" i="184"/>
  <c r="EJ16" i="184" s="1"/>
  <c r="CH16" i="184" s="1"/>
  <c r="CC17" i="184"/>
  <c r="CA17" i="184"/>
  <c r="DZ17" i="184"/>
  <c r="FB17" i="184"/>
  <c r="FA17" i="184"/>
  <c r="CL18" i="184"/>
  <c r="FM21" i="184"/>
  <c r="FV21" i="184"/>
  <c r="EC23" i="184"/>
  <c r="FP23" i="184" s="1"/>
  <c r="EB23" i="184"/>
  <c r="EA23" i="184"/>
  <c r="ED23" i="184"/>
  <c r="EB24" i="184"/>
  <c r="FP25" i="184"/>
  <c r="AK26" i="184"/>
  <c r="FT30" i="184"/>
  <c r="GA41" i="183"/>
  <c r="GL41" i="183" s="1"/>
  <c r="FN42" i="183"/>
  <c r="F44" i="183"/>
  <c r="DV45" i="183"/>
  <c r="FS45" i="183"/>
  <c r="AM54" i="184"/>
  <c r="AM52" i="184"/>
  <c r="CC16" i="184"/>
  <c r="FO18" i="184"/>
  <c r="DW20" i="184"/>
  <c r="FN20" i="184"/>
  <c r="EG21" i="184"/>
  <c r="EK21" i="184" s="1"/>
  <c r="EV21" i="184" s="1"/>
  <c r="CJ21" i="184" s="1"/>
  <c r="EF21" i="184"/>
  <c r="EJ21" i="184" s="1"/>
  <c r="CH21" i="184" s="1"/>
  <c r="FO22" i="184"/>
  <c r="EG23" i="184"/>
  <c r="EK23" i="184" s="1"/>
  <c r="EV23" i="184" s="1"/>
  <c r="CJ23" i="184" s="1"/>
  <c r="EF23" i="184"/>
  <c r="EJ23" i="184" s="1"/>
  <c r="EC24" i="184"/>
  <c r="FP24" i="184" s="1"/>
  <c r="CA25" i="184"/>
  <c r="DZ25" i="184"/>
  <c r="EG26" i="184"/>
  <c r="EK26" i="184" s="1"/>
  <c r="EV26" i="184" s="1"/>
  <c r="CJ26" i="184" s="1"/>
  <c r="EF26" i="184"/>
  <c r="EJ26" i="184" s="1"/>
  <c r="CH26" i="184" s="1"/>
  <c r="CM28" i="184"/>
  <c r="FH31" i="184"/>
  <c r="FU31" i="184"/>
  <c r="CC33" i="184"/>
  <c r="CA33" i="184"/>
  <c r="FR33" i="184"/>
  <c r="FA33" i="184"/>
  <c r="FB33" i="184"/>
  <c r="DZ33" i="184"/>
  <c r="G44" i="183"/>
  <c r="DW45" i="183"/>
  <c r="FO45" i="183" s="1"/>
  <c r="DT45" i="184"/>
  <c r="DT43" i="184"/>
  <c r="DZ42" i="184"/>
  <c r="DT36" i="184"/>
  <c r="DT33" i="184"/>
  <c r="DT26" i="184"/>
  <c r="DT24" i="184"/>
  <c r="DT30" i="184"/>
  <c r="FR16" i="184"/>
  <c r="AQ17" i="184"/>
  <c r="FP18" i="184"/>
  <c r="DZ19" i="184"/>
  <c r="DV22" i="184"/>
  <c r="ED24" i="184"/>
  <c r="CM25" i="184"/>
  <c r="EC25" i="184"/>
  <c r="EB25" i="184"/>
  <c r="EA25" i="184"/>
  <c r="EG25" i="184"/>
  <c r="EK25" i="184" s="1"/>
  <c r="EF25" i="184"/>
  <c r="EJ25" i="184" s="1"/>
  <c r="CH25" i="184" s="1"/>
  <c r="GE26" i="184"/>
  <c r="GL26" i="184" s="1"/>
  <c r="GM26" i="184" s="1"/>
  <c r="EG27" i="184"/>
  <c r="EK27" i="184" s="1"/>
  <c r="EF27" i="184"/>
  <c r="EJ27" i="184" s="1"/>
  <c r="K28" i="184"/>
  <c r="J28" i="184"/>
  <c r="FT29" i="184"/>
  <c r="FS31" i="184"/>
  <c r="FE31" i="184"/>
  <c r="FF31" i="184" s="1"/>
  <c r="FG31" i="184" s="1"/>
  <c r="Y31" i="184" s="1"/>
  <c r="GE31" i="184" s="1"/>
  <c r="GL31" i="184" s="1"/>
  <c r="GM31" i="184" s="1"/>
  <c r="FJ31" i="184"/>
  <c r="FK31" i="184" s="1"/>
  <c r="FL31" i="184" s="1"/>
  <c r="Z31" i="184" s="1"/>
  <c r="FN40" i="183"/>
  <c r="CL42" i="183"/>
  <c r="DZ43" i="183"/>
  <c r="FN44" i="183"/>
  <c r="DX45" i="183"/>
  <c r="FE45" i="183"/>
  <c r="FF45" i="183" s="1"/>
  <c r="FG45" i="183" s="1"/>
  <c r="Y45" i="183" s="1"/>
  <c r="FU45" i="183"/>
  <c r="AK49" i="184"/>
  <c r="AK53" i="184"/>
  <c r="FS16" i="184"/>
  <c r="EX18" i="184"/>
  <c r="EA20" i="184"/>
  <c r="FQ20" i="184"/>
  <c r="FN21" i="184"/>
  <c r="DP21" i="184"/>
  <c r="FR22" i="184"/>
  <c r="FQ26" i="184"/>
  <c r="AJ34" i="184"/>
  <c r="AS34" i="184"/>
  <c r="AO34" i="184"/>
  <c r="AN34" i="184"/>
  <c r="AM34" i="184"/>
  <c r="AL34" i="184"/>
  <c r="FR18" i="184"/>
  <c r="FR19" i="184"/>
  <c r="FR20" i="184"/>
  <c r="DZ21" i="184"/>
  <c r="CI23" i="184"/>
  <c r="CL26" i="184"/>
  <c r="DZ27" i="184"/>
  <c r="CH28" i="184"/>
  <c r="FN24" i="184"/>
  <c r="EN25" i="184"/>
  <c r="ER25" i="184" s="1"/>
  <c r="EM25" i="184"/>
  <c r="EQ25" i="184" s="1"/>
  <c r="EG28" i="184"/>
  <c r="EK28" i="184" s="1"/>
  <c r="EV28" i="184" s="1"/>
  <c r="CJ28" i="184" s="1"/>
  <c r="EF29" i="184"/>
  <c r="EJ29" i="184" s="1"/>
  <c r="EG29" i="184"/>
  <c r="AO30" i="184"/>
  <c r="AN30" i="184"/>
  <c r="AM30" i="184"/>
  <c r="AL30" i="184"/>
  <c r="AJ30" i="184"/>
  <c r="CA43" i="183"/>
  <c r="DU16" i="184"/>
  <c r="EB17" i="184"/>
  <c r="EA17" i="184"/>
  <c r="FE18" i="184"/>
  <c r="FF18" i="184" s="1"/>
  <c r="FG18" i="184" s="1"/>
  <c r="Y18" i="184" s="1"/>
  <c r="EY19" i="184"/>
  <c r="EX19" i="184"/>
  <c r="FA19" i="184"/>
  <c r="EM21" i="184"/>
  <c r="EQ21" i="184" s="1"/>
  <c r="CI21" i="184" s="1"/>
  <c r="EC22" i="184"/>
  <c r="FN23" i="184"/>
  <c r="DP23" i="184"/>
  <c r="DW23" i="184"/>
  <c r="DX24" i="184"/>
  <c r="DU24" i="184"/>
  <c r="FQ24" i="184"/>
  <c r="AN25" i="184"/>
  <c r="CM26" i="184"/>
  <c r="ED26" i="184"/>
  <c r="I28" i="184"/>
  <c r="FS30" i="184"/>
  <c r="FJ30" i="184"/>
  <c r="FK30" i="184" s="1"/>
  <c r="FL30" i="184" s="1"/>
  <c r="Z30" i="184" s="1"/>
  <c r="FE30" i="184"/>
  <c r="FF30" i="184" s="1"/>
  <c r="FG30" i="184" s="1"/>
  <c r="Y30" i="184" s="1"/>
  <c r="GE30" i="184" s="1"/>
  <c r="GL30" i="184" s="1"/>
  <c r="FN30" i="184"/>
  <c r="GE18" i="184"/>
  <c r="GL18" i="184" s="1"/>
  <c r="GM18" i="184" s="1"/>
  <c r="FN19" i="184"/>
  <c r="DP19" i="184"/>
  <c r="FB19" i="184"/>
  <c r="H20" i="184"/>
  <c r="AQ20" i="184" s="1"/>
  <c r="G20" i="184"/>
  <c r="FA20" i="184"/>
  <c r="ED22" i="184"/>
  <c r="AM23" i="184"/>
  <c r="AJ23" i="184"/>
  <c r="DZ24" i="184"/>
  <c r="FH29" i="184"/>
  <c r="FO29" i="184" s="1"/>
  <c r="FU29" i="184"/>
  <c r="FU42" i="183"/>
  <c r="AE44" i="183"/>
  <c r="AV44" i="183"/>
  <c r="AK44" i="183" s="1"/>
  <c r="FV19" i="184"/>
  <c r="DZ20" i="184"/>
  <c r="FB20" i="184"/>
  <c r="CA21" i="184"/>
  <c r="DT21" i="184"/>
  <c r="FP21" i="184"/>
  <c r="AK24" i="184"/>
  <c r="FH24" i="184"/>
  <c r="FO24" i="184" s="1"/>
  <c r="FU24" i="184"/>
  <c r="GE24" i="184"/>
  <c r="GL24" i="184" s="1"/>
  <c r="GM24" i="184" s="1"/>
  <c r="FN25" i="184"/>
  <c r="EM26" i="184"/>
  <c r="EQ26" i="184" s="1"/>
  <c r="CI26" i="184" s="1"/>
  <c r="CL30" i="184"/>
  <c r="EF30" i="184"/>
  <c r="EJ30" i="184" s="1"/>
  <c r="EG30" i="184"/>
  <c r="EK30" i="184" s="1"/>
  <c r="EV30" i="184" s="1"/>
  <c r="CJ30" i="184" s="1"/>
  <c r="AD32" i="184"/>
  <c r="FN43" i="184"/>
  <c r="FN44" i="184"/>
  <c r="FN28" i="184"/>
  <c r="FN27" i="184"/>
  <c r="GE19" i="184"/>
  <c r="GL19" i="184" s="1"/>
  <c r="GM19" i="184" s="1"/>
  <c r="FE24" i="184"/>
  <c r="FF24" i="184" s="1"/>
  <c r="FG24" i="184" s="1"/>
  <c r="Y24" i="184" s="1"/>
  <c r="AD26" i="184"/>
  <c r="EN27" i="184"/>
  <c r="ER27" i="184" s="1"/>
  <c r="EM27" i="184"/>
  <c r="EQ27" i="184" s="1"/>
  <c r="FP28" i="184"/>
  <c r="DZ28" i="184"/>
  <c r="AJ29" i="184"/>
  <c r="AO29" i="184"/>
  <c r="AN29" i="184"/>
  <c r="AM29" i="184"/>
  <c r="AL29" i="184"/>
  <c r="CH31" i="184"/>
  <c r="FE20" i="184"/>
  <c r="FF20" i="184" s="1"/>
  <c r="FG20" i="184" s="1"/>
  <c r="Y20" i="184" s="1"/>
  <c r="AQ21" i="184"/>
  <c r="AJ21" i="184"/>
  <c r="FO21" i="184"/>
  <c r="FR21" i="184"/>
  <c r="DX22" i="184"/>
  <c r="DU22" i="184"/>
  <c r="DP24" i="184"/>
  <c r="AM25" i="184"/>
  <c r="AL25" i="184"/>
  <c r="AJ25" i="184"/>
  <c r="FH25" i="184"/>
  <c r="FU25" i="184"/>
  <c r="FT27" i="184"/>
  <c r="FU28" i="184"/>
  <c r="FH28" i="184"/>
  <c r="FO28" i="184" s="1"/>
  <c r="CM31" i="184"/>
  <c r="EF32" i="184"/>
  <c r="EJ32" i="184" s="1"/>
  <c r="EG32" i="184"/>
  <c r="EK32" i="184" s="1"/>
  <c r="EV32" i="184" s="1"/>
  <c r="CJ32" i="184" s="1"/>
  <c r="AU33" i="184"/>
  <c r="FA41" i="183"/>
  <c r="EA42" i="183"/>
  <c r="FO43" i="183"/>
  <c r="AH44" i="183"/>
  <c r="DP45" i="183"/>
  <c r="EF45" i="183"/>
  <c r="EJ45" i="183" s="1"/>
  <c r="CH45" i="183" s="1"/>
  <c r="AV57" i="183"/>
  <c r="AK57" i="183" s="1"/>
  <c r="F16" i="184"/>
  <c r="AF46" i="184"/>
  <c r="BQ17" i="184"/>
  <c r="EC17" i="184"/>
  <c r="FP17" i="184" s="1"/>
  <c r="FN17" i="184"/>
  <c r="F19" i="184"/>
  <c r="CA19" i="184"/>
  <c r="CA20" i="184"/>
  <c r="DP20" i="184"/>
  <c r="FH20" i="184"/>
  <c r="F21" i="184"/>
  <c r="AL21" i="184"/>
  <c r="DW21" i="184"/>
  <c r="DZ22" i="184"/>
  <c r="FP22" i="184"/>
  <c r="DT23" i="184"/>
  <c r="FJ25" i="184"/>
  <c r="FK25" i="184" s="1"/>
  <c r="FL25" i="184" s="1"/>
  <c r="Z25" i="184" s="1"/>
  <c r="FE25" i="184"/>
  <c r="FF25" i="184" s="1"/>
  <c r="FG25" i="184" s="1"/>
  <c r="Y25" i="184" s="1"/>
  <c r="FJ28" i="184"/>
  <c r="FK28" i="184" s="1"/>
  <c r="FL28" i="184" s="1"/>
  <c r="Z28" i="184" s="1"/>
  <c r="GM30" i="184"/>
  <c r="CI31" i="184"/>
  <c r="ES33" i="184"/>
  <c r="FN33" i="184"/>
  <c r="FB41" i="183"/>
  <c r="EB42" i="183"/>
  <c r="GA44" i="183"/>
  <c r="GL44" i="183" s="1"/>
  <c r="GM44" i="183" s="1"/>
  <c r="EX45" i="183"/>
  <c r="P1" i="184"/>
  <c r="G16" i="184"/>
  <c r="EA16" i="184"/>
  <c r="ED17" i="184"/>
  <c r="DU18" i="184"/>
  <c r="FJ18" i="184"/>
  <c r="FK18" i="184" s="1"/>
  <c r="FL18" i="184" s="1"/>
  <c r="Z18" i="184" s="1"/>
  <c r="G19" i="184"/>
  <c r="AM21" i="184"/>
  <c r="CM21" i="184"/>
  <c r="FH22" i="184"/>
  <c r="FU22" i="184"/>
  <c r="CL23" i="184"/>
  <c r="CL24" i="184"/>
  <c r="DX26" i="184"/>
  <c r="DU26" i="184"/>
  <c r="FO26" i="184"/>
  <c r="FN26" i="184"/>
  <c r="DP26" i="184"/>
  <c r="FQ27" i="184"/>
  <c r="EY27" i="184"/>
  <c r="EX27" i="184"/>
  <c r="BQ27" i="184"/>
  <c r="BO27" i="184"/>
  <c r="DZ30" i="184"/>
  <c r="AN32" i="184"/>
  <c r="AM32" i="184"/>
  <c r="AO32" i="184"/>
  <c r="AL32" i="184"/>
  <c r="AJ32" i="184"/>
  <c r="EC42" i="183"/>
  <c r="FP42" i="183" s="1"/>
  <c r="FA43" i="183"/>
  <c r="I45" i="183"/>
  <c r="FQ16" i="184"/>
  <c r="AJ17" i="184"/>
  <c r="CM18" i="184"/>
  <c r="DV18" i="184"/>
  <c r="DU19" i="184"/>
  <c r="F20" i="184"/>
  <c r="FJ20" i="184"/>
  <c r="FK20" i="184" s="1"/>
  <c r="FL20" i="184" s="1"/>
  <c r="Z20" i="184" s="1"/>
  <c r="GE20" i="184" s="1"/>
  <c r="GL20" i="184" s="1"/>
  <c r="GM20" i="184" s="1"/>
  <c r="AN21" i="184"/>
  <c r="FU21" i="184"/>
  <c r="FE22" i="184"/>
  <c r="FF22" i="184" s="1"/>
  <c r="FG22" i="184" s="1"/>
  <c r="Y22" i="184" s="1"/>
  <c r="GE22" i="184" s="1"/>
  <c r="GL22" i="184" s="1"/>
  <c r="GM22" i="184" s="1"/>
  <c r="FO23" i="184"/>
  <c r="DV23" i="184"/>
  <c r="FE23" i="184"/>
  <c r="FF23" i="184" s="1"/>
  <c r="FG23" i="184" s="1"/>
  <c r="Y23" i="184" s="1"/>
  <c r="GE23" i="184" s="1"/>
  <c r="GL23" i="184" s="1"/>
  <c r="GM23" i="184" s="1"/>
  <c r="DV24" i="184"/>
  <c r="DT25" i="184"/>
  <c r="DZ26" i="184"/>
  <c r="FP26" i="184"/>
  <c r="AS28" i="184"/>
  <c r="AN28" i="184"/>
  <c r="AM28" i="184"/>
  <c r="AL28" i="184"/>
  <c r="AP28" i="184" s="1"/>
  <c r="DT28" i="184"/>
  <c r="CL29" i="184"/>
  <c r="K30" i="184"/>
  <c r="AS30" i="184" s="1"/>
  <c r="J30" i="184"/>
  <c r="I30" i="184"/>
  <c r="EN32" i="184"/>
  <c r="ER32" i="184" s="1"/>
  <c r="EM32" i="184"/>
  <c r="EQ32" i="184" s="1"/>
  <c r="CL34" i="184"/>
  <c r="FO35" i="184"/>
  <c r="FB43" i="183"/>
  <c r="CL45" i="183"/>
  <c r="AM17" i="184"/>
  <c r="CL19" i="184"/>
  <c r="FO19" i="184"/>
  <c r="DV19" i="184"/>
  <c r="FO20" i="184"/>
  <c r="DT20" i="184"/>
  <c r="J21" i="184"/>
  <c r="AO21" i="184"/>
  <c r="EB21" i="184"/>
  <c r="DP22" i="184"/>
  <c r="FN22" i="184"/>
  <c r="DX23" i="184"/>
  <c r="DW24" i="184"/>
  <c r="EN30" i="184"/>
  <c r="ER30" i="184" s="1"/>
  <c r="EM30" i="184"/>
  <c r="EQ30" i="184" s="1"/>
  <c r="FE29" i="184"/>
  <c r="FF29" i="184" s="1"/>
  <c r="FG29" i="184" s="1"/>
  <c r="Y29" i="184" s="1"/>
  <c r="DT32" i="184"/>
  <c r="J33" i="184"/>
  <c r="I33" i="184"/>
  <c r="GE36" i="184"/>
  <c r="GL36" i="184" s="1"/>
  <c r="DU32" i="184"/>
  <c r="EX32" i="184"/>
  <c r="AD34" i="184"/>
  <c r="GM36" i="184"/>
  <c r="E41" i="184"/>
  <c r="D41" i="184"/>
  <c r="GK41" i="184" s="1"/>
  <c r="AS42" i="184"/>
  <c r="AQ42" i="184"/>
  <c r="AO42" i="184"/>
  <c r="AN42" i="184"/>
  <c r="AL42" i="184"/>
  <c r="AM42" i="184"/>
  <c r="AJ42" i="184"/>
  <c r="DW25" i="184"/>
  <c r="AJ27" i="184"/>
  <c r="FJ29" i="184"/>
  <c r="FK29" i="184" s="1"/>
  <c r="FL29" i="184" s="1"/>
  <c r="Z29" i="184" s="1"/>
  <c r="AS31" i="184"/>
  <c r="AS36" i="184"/>
  <c r="K38" i="184"/>
  <c r="I38" i="184"/>
  <c r="GE41" i="184"/>
  <c r="GD41" i="184"/>
  <c r="GC41" i="184"/>
  <c r="GB41" i="184"/>
  <c r="GA41" i="184"/>
  <c r="DX25" i="184"/>
  <c r="CI29" i="184"/>
  <c r="J31" i="184"/>
  <c r="I31" i="184"/>
  <c r="CC32" i="184"/>
  <c r="CA32" i="184"/>
  <c r="FA32" i="184"/>
  <c r="FM34" i="184"/>
  <c r="FP34" i="184" s="1"/>
  <c r="FV34" i="184"/>
  <c r="EV38" i="184"/>
  <c r="CJ38" i="184" s="1"/>
  <c r="CM40" i="184"/>
  <c r="DT29" i="184"/>
  <c r="AU31" i="184"/>
  <c r="ES31" i="184" s="1"/>
  <c r="ED32" i="184"/>
  <c r="EC32" i="184"/>
  <c r="FP32" i="184" s="1"/>
  <c r="DZ32" i="184"/>
  <c r="FB32" i="184"/>
  <c r="AS37" i="184"/>
  <c r="AN27" i="184"/>
  <c r="FE27" i="184"/>
  <c r="FF27" i="184" s="1"/>
  <c r="FG27" i="184" s="1"/>
  <c r="Y27" i="184" s="1"/>
  <c r="GE27" i="184" s="1"/>
  <c r="GL27" i="184" s="1"/>
  <c r="GM27" i="184" s="1"/>
  <c r="FJ27" i="184"/>
  <c r="FK27" i="184" s="1"/>
  <c r="FL27" i="184" s="1"/>
  <c r="Z27" i="184" s="1"/>
  <c r="FS27" i="184"/>
  <c r="EA28" i="184"/>
  <c r="FN29" i="184"/>
  <c r="EG31" i="184"/>
  <c r="EK31" i="184" s="1"/>
  <c r="EV31" i="184" s="1"/>
  <c r="CJ31" i="184" s="1"/>
  <c r="EA32" i="184"/>
  <c r="FS33" i="184"/>
  <c r="CH34" i="184"/>
  <c r="EN37" i="184"/>
  <c r="ER37" i="184" s="1"/>
  <c r="CI37" i="184" s="1"/>
  <c r="AO27" i="184"/>
  <c r="DP27" i="184"/>
  <c r="CM29" i="184"/>
  <c r="FR30" i="184"/>
  <c r="EB32" i="184"/>
  <c r="K33" i="184"/>
  <c r="AN33" i="184"/>
  <c r="AM33" i="184"/>
  <c r="AP33" i="184" s="1"/>
  <c r="AS33" i="184"/>
  <c r="DX33" i="184"/>
  <c r="DW33" i="184"/>
  <c r="FO33" i="184" s="1"/>
  <c r="DV33" i="184"/>
  <c r="FQ33" i="184"/>
  <c r="EX28" i="184"/>
  <c r="FP29" i="184"/>
  <c r="DX31" i="184"/>
  <c r="DV31" i="184"/>
  <c r="DU31" i="184"/>
  <c r="DP31" i="184"/>
  <c r="FT32" i="184"/>
  <c r="H34" i="184"/>
  <c r="AQ34" i="184" s="1"/>
  <c r="G34" i="184"/>
  <c r="BQ35" i="184"/>
  <c r="BO35" i="184"/>
  <c r="EY35" i="184"/>
  <c r="FQ35" i="184"/>
  <c r="EX35" i="184"/>
  <c r="DT35" i="184"/>
  <c r="EN35" i="184"/>
  <c r="ER35" i="184" s="1"/>
  <c r="EM35" i="184"/>
  <c r="EQ35" i="184" s="1"/>
  <c r="EN38" i="184"/>
  <c r="ER38" i="184" s="1"/>
  <c r="EM38" i="184"/>
  <c r="EQ38" i="184" s="1"/>
  <c r="CI38" i="184" s="1"/>
  <c r="FH43" i="184"/>
  <c r="FO43" i="184" s="1"/>
  <c r="FU43" i="184"/>
  <c r="FB22" i="184"/>
  <c r="FB24" i="184"/>
  <c r="FR26" i="184"/>
  <c r="FB26" i="184"/>
  <c r="AQ27" i="184"/>
  <c r="DP28" i="184"/>
  <c r="DX28" i="184"/>
  <c r="EY28" i="184"/>
  <c r="EA30" i="184"/>
  <c r="AD31" i="184"/>
  <c r="DZ31" i="184"/>
  <c r="DZ34" i="184"/>
  <c r="FN35" i="184"/>
  <c r="EG37" i="184"/>
  <c r="EK37" i="184" s="1"/>
  <c r="EV37" i="184" s="1"/>
  <c r="CJ37" i="184" s="1"/>
  <c r="EF37" i="184"/>
  <c r="EJ37" i="184" s="1"/>
  <c r="CH37" i="184" s="1"/>
  <c r="FJ33" i="184"/>
  <c r="FK33" i="184" s="1"/>
  <c r="FL33" i="184" s="1"/>
  <c r="Z33" i="184" s="1"/>
  <c r="FE33" i="184"/>
  <c r="FF33" i="184" s="1"/>
  <c r="FG33" i="184" s="1"/>
  <c r="Y33" i="184" s="1"/>
  <c r="EH36" i="184"/>
  <c r="CL36" i="184"/>
  <c r="DZ36" i="184"/>
  <c r="FP36" i="184"/>
  <c r="DZ37" i="184"/>
  <c r="FR39" i="184"/>
  <c r="FO32" i="184"/>
  <c r="DP32" i="184"/>
  <c r="DX32" i="184"/>
  <c r="DW32" i="184"/>
  <c r="FE34" i="184"/>
  <c r="FF34" i="184" s="1"/>
  <c r="FG34" i="184" s="1"/>
  <c r="Y34" i="184" s="1"/>
  <c r="GE34" i="184" s="1"/>
  <c r="GL34" i="184" s="1"/>
  <c r="GM34" i="184" s="1"/>
  <c r="FU35" i="184"/>
  <c r="FH35" i="184"/>
  <c r="AS38" i="184"/>
  <c r="AQ38" i="184"/>
  <c r="AL38" i="184"/>
  <c r="AJ38" i="184"/>
  <c r="AO38" i="184"/>
  <c r="AN38" i="184"/>
  <c r="AM38" i="184"/>
  <c r="ED39" i="184"/>
  <c r="EB39" i="184"/>
  <c r="EA39" i="184"/>
  <c r="DP39" i="184"/>
  <c r="FN39" i="184"/>
  <c r="EC39" i="184"/>
  <c r="FP39" i="184" s="1"/>
  <c r="DP25" i="184"/>
  <c r="FR27" i="184"/>
  <c r="CA27" i="184"/>
  <c r="DU27" i="184"/>
  <c r="CA28" i="184"/>
  <c r="FE28" i="184"/>
  <c r="FF28" i="184" s="1"/>
  <c r="FG28" i="184" s="1"/>
  <c r="Y28" i="184" s="1"/>
  <c r="GE28" i="184" s="1"/>
  <c r="GL28" i="184" s="1"/>
  <c r="GM28" i="184" s="1"/>
  <c r="FB28" i="184"/>
  <c r="ED29" i="184"/>
  <c r="FN31" i="184"/>
  <c r="EI33" i="184"/>
  <c r="CL33" i="184"/>
  <c r="EH33" i="184"/>
  <c r="F34" i="184"/>
  <c r="CS36" i="184"/>
  <c r="FL36" i="184"/>
  <c r="Z36" i="184" s="1"/>
  <c r="EX21" i="184"/>
  <c r="EX23" i="184"/>
  <c r="EX25" i="184"/>
  <c r="DV27" i="184"/>
  <c r="FH27" i="184"/>
  <c r="FA29" i="184"/>
  <c r="FO30" i="184"/>
  <c r="DP30" i="184"/>
  <c r="DX30" i="184"/>
  <c r="AL31" i="184"/>
  <c r="FO31" i="184"/>
  <c r="FN32" i="184"/>
  <c r="I34" i="184"/>
  <c r="EU36" i="184"/>
  <c r="EG39" i="184"/>
  <c r="EK39" i="184" s="1"/>
  <c r="EF39" i="184"/>
  <c r="EJ39" i="184" s="1"/>
  <c r="CH39" i="184" s="1"/>
  <c r="DW27" i="184"/>
  <c r="FO27" i="184" s="1"/>
  <c r="DX29" i="184"/>
  <c r="DP29" i="184"/>
  <c r="FP30" i="184"/>
  <c r="AM31" i="184"/>
  <c r="AP31" i="184" s="1"/>
  <c r="FP31" i="184"/>
  <c r="FJ32" i="184"/>
  <c r="FK32" i="184" s="1"/>
  <c r="FL32" i="184" s="1"/>
  <c r="Z32" i="184" s="1"/>
  <c r="FE32" i="184"/>
  <c r="FF32" i="184" s="1"/>
  <c r="FG32" i="184" s="1"/>
  <c r="Y32" i="184" s="1"/>
  <c r="GE32" i="184" s="1"/>
  <c r="GL32" i="184" s="1"/>
  <c r="GM32" i="184" s="1"/>
  <c r="FQ32" i="184"/>
  <c r="J34" i="184"/>
  <c r="FO38" i="184"/>
  <c r="CL25" i="184"/>
  <c r="DZ29" i="184"/>
  <c r="BO30" i="184"/>
  <c r="AN31" i="184"/>
  <c r="DT31" i="184"/>
  <c r="BO32" i="184"/>
  <c r="FR32" i="184"/>
  <c r="DU33" i="184"/>
  <c r="EN33" i="184"/>
  <c r="ER33" i="184" s="1"/>
  <c r="EV33" i="184" s="1"/>
  <c r="CJ33" i="184" s="1"/>
  <c r="EM33" i="184"/>
  <c r="EQ33" i="184" s="1"/>
  <c r="DT34" i="184"/>
  <c r="FH34" i="184"/>
  <c r="FO34" i="184" s="1"/>
  <c r="AJ35" i="184"/>
  <c r="AS35" i="184"/>
  <c r="AO35" i="184"/>
  <c r="AN35" i="184"/>
  <c r="AM35" i="184"/>
  <c r="EN39" i="184"/>
  <c r="ER39" i="184" s="1"/>
  <c r="EM39" i="184"/>
  <c r="EQ39" i="184" s="1"/>
  <c r="DT41" i="184"/>
  <c r="CC35" i="184"/>
  <c r="FE35" i="184"/>
  <c r="FF35" i="184" s="1"/>
  <c r="FG35" i="184" s="1"/>
  <c r="Y35" i="184" s="1"/>
  <c r="GE35" i="184" s="1"/>
  <c r="GL35" i="184" s="1"/>
  <c r="GM35" i="184" s="1"/>
  <c r="FQ37" i="184"/>
  <c r="DT37" i="184"/>
  <c r="FO37" i="184"/>
  <c r="FQ38" i="184"/>
  <c r="EX38" i="184"/>
  <c r="BQ38" i="184"/>
  <c r="FJ43" i="184"/>
  <c r="FK43" i="184" s="1"/>
  <c r="FL43" i="184" s="1"/>
  <c r="Z43" i="184" s="1"/>
  <c r="FQ34" i="184"/>
  <c r="FN37" i="184"/>
  <c r="FN38" i="184"/>
  <c r="FE38" i="184"/>
  <c r="FF38" i="184" s="1"/>
  <c r="FG38" i="184" s="1"/>
  <c r="Y38" i="184" s="1"/>
  <c r="GE38" i="184" s="1"/>
  <c r="GL38" i="184" s="1"/>
  <c r="GM38" i="184" s="1"/>
  <c r="DZ39" i="184"/>
  <c r="FO40" i="184"/>
  <c r="FT41" i="184"/>
  <c r="AO43" i="184"/>
  <c r="AM43" i="184"/>
  <c r="AL43" i="184"/>
  <c r="H44" i="184"/>
  <c r="G44" i="184"/>
  <c r="F44" i="184"/>
  <c r="FR34" i="184"/>
  <c r="AP36" i="184"/>
  <c r="CA36" i="184"/>
  <c r="ET36" i="184" s="1"/>
  <c r="DR36" i="184"/>
  <c r="FP37" i="184"/>
  <c r="FP38" i="184"/>
  <c r="DZ38" i="184"/>
  <c r="AQ39" i="184"/>
  <c r="GE44" i="184"/>
  <c r="GC44" i="184"/>
  <c r="GB44" i="184"/>
  <c r="GD44" i="184"/>
  <c r="GA44" i="184"/>
  <c r="K18" i="185"/>
  <c r="J18" i="185"/>
  <c r="I18" i="185"/>
  <c r="FS34" i="184"/>
  <c r="G36" i="184"/>
  <c r="AZ36" i="184" s="1"/>
  <c r="AQ36" i="184"/>
  <c r="AR36" i="184" s="1"/>
  <c r="AN36" i="184"/>
  <c r="EN36" i="184"/>
  <c r="ER36" i="184" s="1"/>
  <c r="CI36" i="184" s="1"/>
  <c r="AQ37" i="184"/>
  <c r="EB37" i="184"/>
  <c r="EA37" i="184"/>
  <c r="H37" i="184"/>
  <c r="G37" i="184"/>
  <c r="FR37" i="184"/>
  <c r="FH38" i="184"/>
  <c r="FJ39" i="184"/>
  <c r="FK39" i="184" s="1"/>
  <c r="FL39" i="184" s="1"/>
  <c r="Z39" i="184" s="1"/>
  <c r="GE39" i="184" s="1"/>
  <c r="GL39" i="184" s="1"/>
  <c r="GM39" i="184" s="1"/>
  <c r="FB44" i="184"/>
  <c r="CC44" i="184"/>
  <c r="FA44" i="184"/>
  <c r="CA44" i="184"/>
  <c r="FR44" i="184"/>
  <c r="DZ44" i="184"/>
  <c r="EV45" i="184"/>
  <c r="EO36" i="184"/>
  <c r="U41" i="184"/>
  <c r="T41" i="184"/>
  <c r="AR41" i="184" s="1"/>
  <c r="CM43" i="184"/>
  <c r="AK44" i="184"/>
  <c r="FH20" i="185"/>
  <c r="FU20" i="185"/>
  <c r="CK37" i="184"/>
  <c r="BO38" i="184"/>
  <c r="AN39" i="184"/>
  <c r="AL39" i="184"/>
  <c r="AQ41" i="184"/>
  <c r="AO41" i="184"/>
  <c r="AN41" i="184"/>
  <c r="AM41" i="184"/>
  <c r="AL41" i="184"/>
  <c r="AJ41" i="184"/>
  <c r="DZ41" i="184"/>
  <c r="EN41" i="184"/>
  <c r="ER41" i="184" s="1"/>
  <c r="EV41" i="184" s="1"/>
  <c r="EM41" i="184"/>
  <c r="EM45" i="184"/>
  <c r="EQ45" i="184" s="1"/>
  <c r="CI45" i="184" s="1"/>
  <c r="CM34" i="184"/>
  <c r="FH40" i="184"/>
  <c r="FM44" i="184"/>
  <c r="FP44" i="184" s="1"/>
  <c r="FV44" i="184"/>
  <c r="EM34" i="184"/>
  <c r="EQ34" i="184" s="1"/>
  <c r="CI34" i="184" s="1"/>
  <c r="CC38" i="184"/>
  <c r="K40" i="184"/>
  <c r="I40" i="184"/>
  <c r="AX42" i="184"/>
  <c r="GF42" i="184"/>
  <c r="FT44" i="184"/>
  <c r="FB31" i="184"/>
  <c r="ES36" i="184"/>
  <c r="FB37" i="184"/>
  <c r="DT38" i="184"/>
  <c r="FR38" i="184"/>
  <c r="FR40" i="184"/>
  <c r="U44" i="184"/>
  <c r="T44" i="184"/>
  <c r="H16" i="185"/>
  <c r="AQ16" i="185" s="1"/>
  <c r="G16" i="185"/>
  <c r="F16" i="185"/>
  <c r="DZ35" i="184"/>
  <c r="AT36" i="184"/>
  <c r="FR36" i="184"/>
  <c r="AS40" i="184"/>
  <c r="AQ40" i="184"/>
  <c r="AO40" i="184"/>
  <c r="AL40" i="184"/>
  <c r="AJ40" i="184"/>
  <c r="FQ40" i="184"/>
  <c r="DT40" i="184"/>
  <c r="EY40" i="184"/>
  <c r="EX40" i="184"/>
  <c r="BQ40" i="184"/>
  <c r="CH40" i="184"/>
  <c r="EV42" i="184"/>
  <c r="FP43" i="184"/>
  <c r="AV57" i="184"/>
  <c r="AK57" i="184" s="1"/>
  <c r="AJ57" i="184" s="1"/>
  <c r="GE23" i="185"/>
  <c r="GD23" i="185"/>
  <c r="GB23" i="185"/>
  <c r="GC23" i="185"/>
  <c r="GA23" i="185"/>
  <c r="GL23" i="185" s="1"/>
  <c r="DQ36" i="184"/>
  <c r="EJ95" i="184"/>
  <c r="EL95" i="184" s="1"/>
  <c r="EV40" i="184"/>
  <c r="CJ40" i="184" s="1"/>
  <c r="FQ42" i="184"/>
  <c r="DT42" i="184"/>
  <c r="EY42" i="184"/>
  <c r="EX42" i="184"/>
  <c r="BQ42" i="184"/>
  <c r="K43" i="184"/>
  <c r="AS43" i="184" s="1"/>
  <c r="J43" i="184"/>
  <c r="DZ45" i="184"/>
  <c r="EN19" i="185"/>
  <c r="ER19" i="185" s="1"/>
  <c r="EV19" i="185" s="1"/>
  <c r="CJ19" i="185" s="1"/>
  <c r="EM19" i="185"/>
  <c r="EQ19" i="185" s="1"/>
  <c r="EA33" i="184"/>
  <c r="CR36" i="184"/>
  <c r="FT36" i="184"/>
  <c r="EB36" i="184"/>
  <c r="FE37" i="184"/>
  <c r="FF37" i="184" s="1"/>
  <c r="FG37" i="184" s="1"/>
  <c r="Y37" i="184" s="1"/>
  <c r="GE37" i="184" s="1"/>
  <c r="GL37" i="184" s="1"/>
  <c r="GM37" i="184" s="1"/>
  <c r="AN40" i="184"/>
  <c r="FP40" i="184"/>
  <c r="FV40" i="184"/>
  <c r="EM42" i="184"/>
  <c r="EF43" i="184"/>
  <c r="EJ43" i="184" s="1"/>
  <c r="CH43" i="184" s="1"/>
  <c r="FQ39" i="184"/>
  <c r="DT39" i="184"/>
  <c r="FO39" i="184"/>
  <c r="GE40" i="184"/>
  <c r="GL40" i="184" s="1"/>
  <c r="GM40" i="184" s="1"/>
  <c r="CL43" i="184"/>
  <c r="EN43" i="184"/>
  <c r="ER43" i="184" s="1"/>
  <c r="EV43" i="184" s="1"/>
  <c r="EM43" i="184"/>
  <c r="EQ43" i="184" s="1"/>
  <c r="FS45" i="184"/>
  <c r="FJ45" i="184"/>
  <c r="FK45" i="184" s="1"/>
  <c r="FL45" i="184" s="1"/>
  <c r="Z45" i="184" s="1"/>
  <c r="FE45" i="184"/>
  <c r="FF45" i="184" s="1"/>
  <c r="FG45" i="184" s="1"/>
  <c r="Y45" i="184" s="1"/>
  <c r="GM21" i="185"/>
  <c r="EC33" i="184"/>
  <c r="EB34" i="184"/>
  <c r="DX35" i="184"/>
  <c r="DV35" i="184"/>
  <c r="EE35" i="184"/>
  <c r="EG36" i="184"/>
  <c r="EF36" i="184"/>
  <c r="EJ36" i="184" s="1"/>
  <c r="FB36" i="184"/>
  <c r="CC37" i="184"/>
  <c r="AJ43" i="184"/>
  <c r="AN43" i="184"/>
  <c r="FM33" i="184"/>
  <c r="BO34" i="184"/>
  <c r="FN34" i="184"/>
  <c r="FN36" i="184"/>
  <c r="DP36" i="184"/>
  <c r="DW36" i="184"/>
  <c r="FO36" i="184" s="1"/>
  <c r="AJ37" i="184"/>
  <c r="FB38" i="184"/>
  <c r="AJ39" i="184"/>
  <c r="CL39" i="184"/>
  <c r="CC39" i="184"/>
  <c r="FA39" i="184"/>
  <c r="FN41" i="184"/>
  <c r="ED41" i="184"/>
  <c r="EC41" i="184"/>
  <c r="FP41" i="184" s="1"/>
  <c r="EB41" i="184"/>
  <c r="EA41" i="184"/>
  <c r="FE42" i="184"/>
  <c r="FF42" i="184" s="1"/>
  <c r="FG42" i="184" s="1"/>
  <c r="Y42" i="184" s="1"/>
  <c r="E43" i="184"/>
  <c r="DZ43" i="184"/>
  <c r="EN44" i="184"/>
  <c r="ER44" i="184" s="1"/>
  <c r="EV44" i="184" s="1"/>
  <c r="EM44" i="184"/>
  <c r="EQ44" i="184" s="1"/>
  <c r="CH45" i="184"/>
  <c r="DZ16" i="185"/>
  <c r="EM16" i="185"/>
  <c r="EQ16" i="185" s="1"/>
  <c r="CI16" i="185" s="1"/>
  <c r="EG18" i="185"/>
  <c r="EK18" i="185" s="1"/>
  <c r="EV18" i="185" s="1"/>
  <c r="CJ18" i="185" s="1"/>
  <c r="EF18" i="185"/>
  <c r="EJ18" i="185" s="1"/>
  <c r="FS20" i="185"/>
  <c r="FJ20" i="185"/>
  <c r="FK20" i="185" s="1"/>
  <c r="FL20" i="185" s="1"/>
  <c r="Z20" i="185" s="1"/>
  <c r="FE20" i="185"/>
  <c r="FF20" i="185" s="1"/>
  <c r="FG20" i="185" s="1"/>
  <c r="Y20" i="185" s="1"/>
  <c r="GE20" i="185" s="1"/>
  <c r="GL20" i="185" s="1"/>
  <c r="GM20" i="185" s="1"/>
  <c r="DZ40" i="184"/>
  <c r="FB41" i="184"/>
  <c r="FR41" i="184"/>
  <c r="AJ44" i="184"/>
  <c r="AG45" i="184"/>
  <c r="AG46" i="184" s="1"/>
  <c r="FN45" i="184"/>
  <c r="FH16" i="185"/>
  <c r="FO16" i="185" s="1"/>
  <c r="FU16" i="185"/>
  <c r="AS22" i="185"/>
  <c r="S25" i="185"/>
  <c r="R25" i="185"/>
  <c r="Q25" i="185"/>
  <c r="FQ28" i="185"/>
  <c r="DT28" i="185"/>
  <c r="H28" i="185"/>
  <c r="G28" i="185"/>
  <c r="F28" i="185"/>
  <c r="EX44" i="184"/>
  <c r="FO45" i="184"/>
  <c r="FS16" i="185"/>
  <c r="FJ16" i="185"/>
  <c r="FK16" i="185" s="1"/>
  <c r="FL16" i="185" s="1"/>
  <c r="Z16" i="185" s="1"/>
  <c r="FE16" i="185"/>
  <c r="FF16" i="185" s="1"/>
  <c r="FG16" i="185" s="1"/>
  <c r="Y16" i="185" s="1"/>
  <c r="GE16" i="185" s="1"/>
  <c r="GL16" i="185" s="1"/>
  <c r="GM16" i="185" s="1"/>
  <c r="CL17" i="185"/>
  <c r="CL18" i="185"/>
  <c r="EM18" i="185"/>
  <c r="EQ18" i="185" s="1"/>
  <c r="CI18" i="185" s="1"/>
  <c r="AM20" i="185"/>
  <c r="AL20" i="185"/>
  <c r="AJ20" i="185"/>
  <c r="AS20" i="185"/>
  <c r="AL24" i="185"/>
  <c r="AJ24" i="185"/>
  <c r="AS24" i="185"/>
  <c r="AQ24" i="185"/>
  <c r="AO24" i="185"/>
  <c r="AN24" i="185"/>
  <c r="FB43" i="184"/>
  <c r="FR43" i="184"/>
  <c r="BQ44" i="184"/>
  <c r="AM16" i="185"/>
  <c r="AL16" i="185"/>
  <c r="AJ16" i="185"/>
  <c r="AS16" i="185"/>
  <c r="H18" i="185"/>
  <c r="AQ18" i="185" s="1"/>
  <c r="G18" i="185"/>
  <c r="FU44" i="184"/>
  <c r="CM45" i="184"/>
  <c r="FR45" i="184"/>
  <c r="AY45" i="185"/>
  <c r="AY36" i="185"/>
  <c r="AY43" i="185"/>
  <c r="AY57" i="185"/>
  <c r="AY44" i="185"/>
  <c r="AY42" i="185"/>
  <c r="AY32" i="185"/>
  <c r="AY41" i="185"/>
  <c r="AY40" i="185"/>
  <c r="AY39" i="185"/>
  <c r="AY35" i="185"/>
  <c r="AY38" i="185"/>
  <c r="AY29" i="185"/>
  <c r="AY33" i="185"/>
  <c r="AY31" i="185"/>
  <c r="AY28" i="185"/>
  <c r="AY27" i="185"/>
  <c r="AY25" i="185"/>
  <c r="AY37" i="185"/>
  <c r="AY30" i="185"/>
  <c r="AY34" i="185"/>
  <c r="AY22" i="185"/>
  <c r="AY26" i="185"/>
  <c r="AY21" i="185"/>
  <c r="AY20" i="185"/>
  <c r="AY18" i="185"/>
  <c r="AY16" i="185"/>
  <c r="AY23" i="185"/>
  <c r="AY24" i="185"/>
  <c r="AY19" i="185"/>
  <c r="AY17" i="185"/>
  <c r="FR17" i="185"/>
  <c r="DZ18" i="185"/>
  <c r="ED17" i="185"/>
  <c r="EC17" i="185"/>
  <c r="EA17" i="185"/>
  <c r="EG17" i="185"/>
  <c r="EK17" i="185" s="1"/>
  <c r="EV17" i="185" s="1"/>
  <c r="CJ17" i="185" s="1"/>
  <c r="EF17" i="185"/>
  <c r="EJ17" i="185" s="1"/>
  <c r="CH17" i="185" s="1"/>
  <c r="FH18" i="185"/>
  <c r="FO18" i="185" s="1"/>
  <c r="FU18" i="185"/>
  <c r="CM20" i="185"/>
  <c r="H22" i="185"/>
  <c r="G22" i="185"/>
  <c r="F22" i="185"/>
  <c r="AZ22" i="185" s="1"/>
  <c r="F39" i="184"/>
  <c r="FN42" i="184"/>
  <c r="FE43" i="184"/>
  <c r="FF43" i="184" s="1"/>
  <c r="FG43" i="184" s="1"/>
  <c r="Y43" i="184" s="1"/>
  <c r="AK49" i="185"/>
  <c r="AK53" i="185"/>
  <c r="AD17" i="185"/>
  <c r="FS18" i="185"/>
  <c r="FJ18" i="185"/>
  <c r="FK18" i="185" s="1"/>
  <c r="FL18" i="185" s="1"/>
  <c r="Z18" i="185" s="1"/>
  <c r="FE18" i="185"/>
  <c r="FF18" i="185" s="1"/>
  <c r="FG18" i="185" s="1"/>
  <c r="Y18" i="185" s="1"/>
  <c r="GE18" i="185" s="1"/>
  <c r="GL18" i="185" s="1"/>
  <c r="GM18" i="185" s="1"/>
  <c r="DT29" i="185"/>
  <c r="FU39" i="184"/>
  <c r="EA45" i="184"/>
  <c r="DT42" i="185"/>
  <c r="DZ40" i="185"/>
  <c r="DZ37" i="185"/>
  <c r="DT37" i="185"/>
  <c r="DZ27" i="185"/>
  <c r="DZ33" i="185"/>
  <c r="DZ31" i="185"/>
  <c r="DT25" i="185"/>
  <c r="DT27" i="185"/>
  <c r="DZ25" i="185"/>
  <c r="DT20" i="185"/>
  <c r="DT18" i="185"/>
  <c r="DZ23" i="185"/>
  <c r="DZ24" i="185"/>
  <c r="CI17" i="185"/>
  <c r="AM18" i="185"/>
  <c r="AL18" i="185"/>
  <c r="AJ18" i="185"/>
  <c r="AS18" i="185"/>
  <c r="K20" i="185"/>
  <c r="J20" i="185"/>
  <c r="I20" i="185"/>
  <c r="EF28" i="185"/>
  <c r="EJ28" i="185" s="1"/>
  <c r="CH28" i="185" s="1"/>
  <c r="EG28" i="185"/>
  <c r="EK28" i="185" s="1"/>
  <c r="EV28" i="185" s="1"/>
  <c r="E31" i="185"/>
  <c r="D31" i="185"/>
  <c r="GK31" i="185" s="1"/>
  <c r="FN40" i="184"/>
  <c r="BQ41" i="184"/>
  <c r="GA43" i="184"/>
  <c r="FE44" i="184"/>
  <c r="FF44" i="184" s="1"/>
  <c r="FG44" i="184" s="1"/>
  <c r="Y44" i="184" s="1"/>
  <c r="EC45" i="184"/>
  <c r="FP45" i="184" s="1"/>
  <c r="AK19" i="185"/>
  <c r="EG20" i="185"/>
  <c r="EK20" i="185" s="1"/>
  <c r="EF20" i="185"/>
  <c r="EJ20" i="185" s="1"/>
  <c r="EN21" i="185"/>
  <c r="ER21" i="185" s="1"/>
  <c r="EM21" i="185"/>
  <c r="EQ21" i="185" s="1"/>
  <c r="CI21" i="185" s="1"/>
  <c r="FJ22" i="185"/>
  <c r="FK22" i="185" s="1"/>
  <c r="FL22" i="185" s="1"/>
  <c r="Z22" i="185" s="1"/>
  <c r="EA43" i="184"/>
  <c r="GB43" i="184"/>
  <c r="ED45" i="184"/>
  <c r="GC45" i="184"/>
  <c r="GA45" i="184"/>
  <c r="GL45" i="184" s="1"/>
  <c r="GM45" i="184" s="1"/>
  <c r="CM16" i="185"/>
  <c r="DT23" i="185"/>
  <c r="FQ23" i="185"/>
  <c r="FO23" i="185"/>
  <c r="EG24" i="185"/>
  <c r="EK24" i="185" s="1"/>
  <c r="EF24" i="185"/>
  <c r="EJ24" i="185" s="1"/>
  <c r="AD42" i="184"/>
  <c r="DU42" i="184"/>
  <c r="FB42" i="184"/>
  <c r="EB43" i="184"/>
  <c r="GC43" i="184"/>
  <c r="FO44" i="184"/>
  <c r="DT44" i="184"/>
  <c r="AV45" i="184"/>
  <c r="AK45" i="184" s="1"/>
  <c r="EY45" i="184"/>
  <c r="BQ45" i="184"/>
  <c r="FP23" i="185"/>
  <c r="EN24" i="185"/>
  <c r="ER24" i="185" s="1"/>
  <c r="EM24" i="185"/>
  <c r="EQ24" i="185" s="1"/>
  <c r="F41" i="184"/>
  <c r="AE42" i="184"/>
  <c r="DU44" i="184"/>
  <c r="AD16" i="185"/>
  <c r="DU17" i="185"/>
  <c r="FN17" i="185"/>
  <c r="DP17" i="185"/>
  <c r="DX17" i="185"/>
  <c r="AQ25" i="185"/>
  <c r="CM26" i="185"/>
  <c r="GB27" i="185"/>
  <c r="GE27" i="185"/>
  <c r="GD27" i="185"/>
  <c r="GC27" i="185"/>
  <c r="GA27" i="185"/>
  <c r="K16" i="185"/>
  <c r="J16" i="185"/>
  <c r="I16" i="185"/>
  <c r="FP17" i="185"/>
  <c r="FR19" i="185"/>
  <c r="CL20" i="185"/>
  <c r="EN20" i="185"/>
  <c r="ER20" i="185" s="1"/>
  <c r="EM20" i="185"/>
  <c r="EQ20" i="185" s="1"/>
  <c r="CI20" i="185" s="1"/>
  <c r="EQ23" i="185"/>
  <c r="CI23" i="185" s="1"/>
  <c r="CJ26" i="185"/>
  <c r="X26" i="185"/>
  <c r="AE44" i="184"/>
  <c r="ED44" i="184"/>
  <c r="EA44" i="184"/>
  <c r="AD45" i="184"/>
  <c r="AH45" i="184"/>
  <c r="AH46" i="184" s="1"/>
  <c r="AR57" i="184"/>
  <c r="FN42" i="185"/>
  <c r="FN41" i="185"/>
  <c r="FN30" i="185"/>
  <c r="FN26" i="185"/>
  <c r="EG16" i="185"/>
  <c r="EK16" i="185" s="1"/>
  <c r="EV16" i="185" s="1"/>
  <c r="CJ16" i="185" s="1"/>
  <c r="EF16" i="185"/>
  <c r="EJ16" i="185" s="1"/>
  <c r="CH16" i="185" s="1"/>
  <c r="AK17" i="185"/>
  <c r="ED19" i="185"/>
  <c r="EC19" i="185"/>
  <c r="FP19" i="185" s="1"/>
  <c r="EB19" i="185"/>
  <c r="EA19" i="185"/>
  <c r="H20" i="185"/>
  <c r="AQ20" i="185" s="1"/>
  <c r="G20" i="185"/>
  <c r="F20" i="185"/>
  <c r="CL16" i="185"/>
  <c r="FJ17" i="185"/>
  <c r="FK17" i="185" s="1"/>
  <c r="FL17" i="185" s="1"/>
  <c r="Z17" i="185" s="1"/>
  <c r="FE17" i="185"/>
  <c r="FF17" i="185" s="1"/>
  <c r="FG17" i="185" s="1"/>
  <c r="Y17" i="185" s="1"/>
  <c r="GE17" i="185" s="1"/>
  <c r="GL17" i="185" s="1"/>
  <c r="GM17" i="185" s="1"/>
  <c r="AN21" i="185"/>
  <c r="AJ21" i="185"/>
  <c r="AS21" i="185"/>
  <c r="AQ21" i="185"/>
  <c r="AO21" i="185"/>
  <c r="EG21" i="185"/>
  <c r="EK21" i="185" s="1"/>
  <c r="EF21" i="185"/>
  <c r="EJ21" i="185" s="1"/>
  <c r="CH21" i="185" s="1"/>
  <c r="GE21" i="185"/>
  <c r="GL21" i="185" s="1"/>
  <c r="AL49" i="185"/>
  <c r="AL53" i="185"/>
  <c r="AK54" i="185"/>
  <c r="AK52" i="185"/>
  <c r="HJ14" i="185"/>
  <c r="HZ14" i="185"/>
  <c r="DP16" i="185"/>
  <c r="FU17" i="185"/>
  <c r="DP18" i="185"/>
  <c r="DX19" i="185"/>
  <c r="FE19" i="185"/>
  <c r="FF19" i="185" s="1"/>
  <c r="FG19" i="185" s="1"/>
  <c r="Y19" i="185" s="1"/>
  <c r="GE19" i="185" s="1"/>
  <c r="GL19" i="185" s="1"/>
  <c r="GM19" i="185" s="1"/>
  <c r="FU19" i="185"/>
  <c r="DP20" i="185"/>
  <c r="EX20" i="185"/>
  <c r="FO20" i="185"/>
  <c r="FV23" i="185"/>
  <c r="FR24" i="185"/>
  <c r="GF24" i="185"/>
  <c r="EG29" i="185"/>
  <c r="EK29" i="185" s="1"/>
  <c r="EV29" i="185" s="1"/>
  <c r="EF29" i="185"/>
  <c r="V42" i="185"/>
  <c r="W42" i="185"/>
  <c r="GF57" i="184"/>
  <c r="AL54" i="185"/>
  <c r="AL52" i="185"/>
  <c r="HK14" i="185"/>
  <c r="IA14" i="185"/>
  <c r="EX16" i="185"/>
  <c r="FN16" i="185"/>
  <c r="EX18" i="185"/>
  <c r="FN18" i="185"/>
  <c r="EY20" i="185"/>
  <c r="FO21" i="185"/>
  <c r="DT21" i="185"/>
  <c r="AU22" i="185"/>
  <c r="DT22" i="185"/>
  <c r="FN22" i="185"/>
  <c r="FR23" i="185"/>
  <c r="H23" i="185"/>
  <c r="G23" i="185"/>
  <c r="AD26" i="185"/>
  <c r="CM29" i="185"/>
  <c r="DZ19" i="185"/>
  <c r="FQ22" i="185"/>
  <c r="ED23" i="185"/>
  <c r="EC23" i="185"/>
  <c r="EA23" i="185"/>
  <c r="CH26" i="185"/>
  <c r="AG28" i="185"/>
  <c r="AF28" i="185"/>
  <c r="AE28" i="185"/>
  <c r="AW28" i="185"/>
  <c r="AD28" i="185"/>
  <c r="AV28" i="185"/>
  <c r="AK28" i="185" s="1"/>
  <c r="AJ28" i="185" s="1"/>
  <c r="ED28" i="185"/>
  <c r="EC28" i="185"/>
  <c r="EB28" i="185"/>
  <c r="EA28" i="185"/>
  <c r="EB29" i="185"/>
  <c r="DP29" i="185"/>
  <c r="ED29" i="185"/>
  <c r="EC29" i="185"/>
  <c r="EA29" i="185"/>
  <c r="HM14" i="185"/>
  <c r="IC14" i="185"/>
  <c r="FP16" i="185"/>
  <c r="FP18" i="185"/>
  <c r="FA20" i="185"/>
  <c r="FR20" i="185"/>
  <c r="CC21" i="185"/>
  <c r="DV21" i="185"/>
  <c r="AM22" i="185"/>
  <c r="AP22" i="185" s="1"/>
  <c r="EA24" i="185"/>
  <c r="GD25" i="185"/>
  <c r="GE25" i="185"/>
  <c r="GB25" i="185"/>
  <c r="GL25" i="185" s="1"/>
  <c r="GD26" i="185"/>
  <c r="GC26" i="185"/>
  <c r="GA26" i="185"/>
  <c r="GL26" i="185" s="1"/>
  <c r="CI28" i="185"/>
  <c r="EB23" i="185"/>
  <c r="EC24" i="185"/>
  <c r="FP24" i="185" s="1"/>
  <c r="CM25" i="185"/>
  <c r="FO25" i="185"/>
  <c r="FU26" i="185"/>
  <c r="EM31" i="185"/>
  <c r="EN31" i="185"/>
  <c r="ER31" i="185" s="1"/>
  <c r="EV31" i="185" s="1"/>
  <c r="FB16" i="185"/>
  <c r="FR16" i="185"/>
  <c r="FB18" i="185"/>
  <c r="FR18" i="185"/>
  <c r="EG23" i="185"/>
  <c r="EK23" i="185" s="1"/>
  <c r="EV23" i="185" s="1"/>
  <c r="EF23" i="185"/>
  <c r="EJ23" i="185" s="1"/>
  <c r="K24" i="185"/>
  <c r="I24" i="185"/>
  <c r="DP25" i="185"/>
  <c r="ED25" i="185"/>
  <c r="EB25" i="185"/>
  <c r="EA25" i="185"/>
  <c r="AH26" i="185"/>
  <c r="AF26" i="185"/>
  <c r="AW26" i="185"/>
  <c r="AE26" i="185"/>
  <c r="W26" i="185"/>
  <c r="V26" i="185"/>
  <c r="EN29" i="185"/>
  <c r="ER29" i="185" s="1"/>
  <c r="EM29" i="185"/>
  <c r="EQ29" i="185" s="1"/>
  <c r="H31" i="185"/>
  <c r="G31" i="185"/>
  <c r="F31" i="185"/>
  <c r="AR34" i="185"/>
  <c r="CC17" i="185"/>
  <c r="CC19" i="185"/>
  <c r="DV20" i="185"/>
  <c r="DZ21" i="185"/>
  <c r="FN21" i="185"/>
  <c r="AQ22" i="185"/>
  <c r="GE22" i="185"/>
  <c r="GL22" i="185" s="1"/>
  <c r="GM22" i="185" s="1"/>
  <c r="AW23" i="185"/>
  <c r="AK23" i="185" s="1"/>
  <c r="FQ24" i="185"/>
  <c r="EY24" i="185"/>
  <c r="BQ24" i="185"/>
  <c r="G26" i="185"/>
  <c r="DZ26" i="185"/>
  <c r="GB26" i="185"/>
  <c r="EA21" i="185"/>
  <c r="EL84" i="185"/>
  <c r="EJ84" i="185"/>
  <c r="EU25" i="185"/>
  <c r="CR25" i="185"/>
  <c r="EG27" i="185"/>
  <c r="EF27" i="185"/>
  <c r="EN32" i="185"/>
  <c r="ER32" i="185" s="1"/>
  <c r="EM32" i="185"/>
  <c r="EQ32" i="185" s="1"/>
  <c r="DP19" i="185"/>
  <c r="EF19" i="185"/>
  <c r="EJ19" i="185" s="1"/>
  <c r="CH19" i="185" s="1"/>
  <c r="EB21" i="185"/>
  <c r="FQ21" i="185"/>
  <c r="FN23" i="185"/>
  <c r="DP23" i="185"/>
  <c r="DU23" i="185"/>
  <c r="H25" i="185"/>
  <c r="AM25" i="185"/>
  <c r="EC25" i="185"/>
  <c r="FP25" i="185" s="1"/>
  <c r="AV26" i="185"/>
  <c r="FS26" i="185"/>
  <c r="FJ27" i="185"/>
  <c r="FK27" i="185" s="1"/>
  <c r="FL27" i="185" s="1"/>
  <c r="Z27" i="185" s="1"/>
  <c r="FN28" i="185"/>
  <c r="H29" i="185"/>
  <c r="G29" i="185"/>
  <c r="F29" i="185"/>
  <c r="FN29" i="185"/>
  <c r="EG30" i="185"/>
  <c r="EK30" i="185" s="1"/>
  <c r="EF30" i="185"/>
  <c r="EJ30" i="185" s="1"/>
  <c r="CH30" i="185" s="1"/>
  <c r="HS14" i="185"/>
  <c r="FN19" i="185"/>
  <c r="EC21" i="185"/>
  <c r="FP21" i="185" s="1"/>
  <c r="EX21" i="185"/>
  <c r="CS25" i="185"/>
  <c r="EG25" i="185"/>
  <c r="EK25" i="185" s="1"/>
  <c r="EV25" i="185" s="1"/>
  <c r="EN27" i="185"/>
  <c r="ER27" i="185" s="1"/>
  <c r="EM27" i="185"/>
  <c r="EQ27" i="185" s="1"/>
  <c r="FP28" i="185"/>
  <c r="DZ28" i="185"/>
  <c r="FP29" i="185"/>
  <c r="FO17" i="185"/>
  <c r="FO19" i="185"/>
  <c r="DZ20" i="185"/>
  <c r="EG22" i="185"/>
  <c r="EK22" i="185" s="1"/>
  <c r="EV22" i="185" s="1"/>
  <c r="CJ22" i="185" s="1"/>
  <c r="F24" i="185"/>
  <c r="FE24" i="185"/>
  <c r="FF24" i="185" s="1"/>
  <c r="FG24" i="185" s="1"/>
  <c r="Y24" i="185" s="1"/>
  <c r="FJ24" i="185"/>
  <c r="FK24" i="185" s="1"/>
  <c r="FL24" i="185" s="1"/>
  <c r="Z24" i="185" s="1"/>
  <c r="FN24" i="185"/>
  <c r="AH28" i="185"/>
  <c r="AN53" i="185"/>
  <c r="AN49" i="185"/>
  <c r="CL19" i="185"/>
  <c r="FT21" i="185"/>
  <c r="DV22" i="185"/>
  <c r="DU22" i="185"/>
  <c r="DP22" i="185"/>
  <c r="DP24" i="185"/>
  <c r="FN25" i="185"/>
  <c r="FE29" i="185"/>
  <c r="FF29" i="185" s="1"/>
  <c r="FG29" i="185" s="1"/>
  <c r="Y29" i="185" s="1"/>
  <c r="FJ29" i="185"/>
  <c r="FK29" i="185" s="1"/>
  <c r="FL29" i="185" s="1"/>
  <c r="Z29" i="185" s="1"/>
  <c r="FN33" i="185"/>
  <c r="DP33" i="185"/>
  <c r="DX33" i="185"/>
  <c r="DW33" i="185"/>
  <c r="FO33" i="185" s="1"/>
  <c r="DV33" i="185"/>
  <c r="DU33" i="185"/>
  <c r="FB45" i="184"/>
  <c r="AM49" i="185"/>
  <c r="AM53" i="185"/>
  <c r="AN54" i="185"/>
  <c r="AN52" i="185"/>
  <c r="HF14" i="185"/>
  <c r="DT17" i="185"/>
  <c r="FA17" i="185"/>
  <c r="DT19" i="185"/>
  <c r="FA19" i="185"/>
  <c r="G21" i="185"/>
  <c r="BQ21" i="185"/>
  <c r="FB21" i="185"/>
  <c r="FP22" i="185"/>
  <c r="DZ22" i="185"/>
  <c r="AF23" i="185"/>
  <c r="AO25" i="185"/>
  <c r="AN25" i="185"/>
  <c r="AL25" i="185"/>
  <c r="AP25" i="185" s="1"/>
  <c r="CL25" i="185"/>
  <c r="EM25" i="185"/>
  <c r="EQ25" i="185" s="1"/>
  <c r="CI25" i="185" s="1"/>
  <c r="DT26" i="185"/>
  <c r="F27" i="185"/>
  <c r="FR28" i="185"/>
  <c r="EY30" i="185"/>
  <c r="EX30" i="185"/>
  <c r="FQ30" i="185"/>
  <c r="DT30" i="185"/>
  <c r="BQ30" i="185"/>
  <c r="BO30" i="185"/>
  <c r="EN30" i="185"/>
  <c r="ER30" i="185" s="1"/>
  <c r="EM30" i="185"/>
  <c r="EQ30" i="185" s="1"/>
  <c r="EN35" i="185"/>
  <c r="ER35" i="185" s="1"/>
  <c r="EV35" i="185" s="1"/>
  <c r="EM35" i="185"/>
  <c r="EQ35" i="185" s="1"/>
  <c r="CI35" i="185" s="1"/>
  <c r="AM54" i="185"/>
  <c r="AM52" i="185"/>
  <c r="FB17" i="185"/>
  <c r="FB19" i="185"/>
  <c r="CA21" i="185"/>
  <c r="FE21" i="185"/>
  <c r="FF21" i="185" s="1"/>
  <c r="FG21" i="185" s="1"/>
  <c r="Y21" i="185" s="1"/>
  <c r="BO22" i="185"/>
  <c r="EM22" i="185"/>
  <c r="F23" i="185"/>
  <c r="AG23" i="185"/>
  <c r="FS23" i="185"/>
  <c r="J24" i="185"/>
  <c r="G27" i="185"/>
  <c r="AK30" i="185"/>
  <c r="AD22" i="185"/>
  <c r="BQ22" i="185"/>
  <c r="AH23" i="185"/>
  <c r="FT23" i="185"/>
  <c r="DT24" i="185"/>
  <c r="FO24" i="185"/>
  <c r="AX25" i="185"/>
  <c r="EP25" i="185"/>
  <c r="FA26" i="185"/>
  <c r="FB26" i="185"/>
  <c r="FR26" i="185"/>
  <c r="FR31" i="185"/>
  <c r="FP32" i="185"/>
  <c r="AG34" i="185"/>
  <c r="AW34" i="185"/>
  <c r="AF34" i="185"/>
  <c r="AV34" i="185"/>
  <c r="AK34" i="185" s="1"/>
  <c r="AE34" i="185"/>
  <c r="AD34" i="185"/>
  <c r="AH34" i="185"/>
  <c r="DZ34" i="185"/>
  <c r="FB23" i="185"/>
  <c r="FA25" i="185"/>
  <c r="FR25" i="185"/>
  <c r="DP26" i="185"/>
  <c r="FP26" i="185"/>
  <c r="CA27" i="185"/>
  <c r="ED27" i="185"/>
  <c r="FT28" i="185"/>
  <c r="DZ29" i="185"/>
  <c r="AD30" i="185"/>
  <c r="DZ30" i="185"/>
  <c r="FO31" i="185"/>
  <c r="DV31" i="185"/>
  <c r="GA32" i="185"/>
  <c r="GB32" i="185"/>
  <c r="FB25" i="185"/>
  <c r="FN27" i="185"/>
  <c r="FU28" i="185"/>
  <c r="FQ29" i="185"/>
  <c r="AE30" i="185"/>
  <c r="AH31" i="185"/>
  <c r="AG31" i="185"/>
  <c r="AF31" i="185"/>
  <c r="AE31" i="185"/>
  <c r="GB31" i="185"/>
  <c r="FE32" i="185"/>
  <c r="FF32" i="185" s="1"/>
  <c r="FG32" i="185" s="1"/>
  <c r="Y32" i="185" s="1"/>
  <c r="FJ32" i="185"/>
  <c r="FK32" i="185" s="1"/>
  <c r="FL32" i="185" s="1"/>
  <c r="Z32" i="185" s="1"/>
  <c r="FS34" i="185"/>
  <c r="FJ34" i="185"/>
  <c r="FK34" i="185" s="1"/>
  <c r="FL34" i="185" s="1"/>
  <c r="Z34" i="185" s="1"/>
  <c r="CM40" i="185"/>
  <c r="FO27" i="185"/>
  <c r="EX29" i="185"/>
  <c r="FR29" i="185"/>
  <c r="AF30" i="185"/>
  <c r="FB31" i="185"/>
  <c r="FA31" i="185"/>
  <c r="GD31" i="185"/>
  <c r="GE33" i="185"/>
  <c r="GD33" i="185"/>
  <c r="GC33" i="185"/>
  <c r="GB33" i="185"/>
  <c r="AU36" i="185"/>
  <c r="ES36" i="185"/>
  <c r="FS36" i="185"/>
  <c r="FJ36" i="185"/>
  <c r="FK36" i="185" s="1"/>
  <c r="FL36" i="185" s="1"/>
  <c r="Z36" i="185" s="1"/>
  <c r="FE36" i="185"/>
  <c r="FF36" i="185" s="1"/>
  <c r="FG36" i="185" s="1"/>
  <c r="Y36" i="185" s="1"/>
  <c r="DP27" i="185"/>
  <c r="AG30" i="185"/>
  <c r="EE32" i="185"/>
  <c r="AO41" i="185"/>
  <c r="AN41" i="185"/>
  <c r="AL41" i="185"/>
  <c r="AQ41" i="185"/>
  <c r="AJ41" i="185"/>
  <c r="AM41" i="185"/>
  <c r="CK31" i="185"/>
  <c r="GA31" i="185"/>
  <c r="GC31" i="185"/>
  <c r="AG33" i="185"/>
  <c r="AF33" i="185"/>
  <c r="AE33" i="185"/>
  <c r="AD33" i="185"/>
  <c r="AW33" i="185"/>
  <c r="AK33" i="185" s="1"/>
  <c r="AJ33" i="185" s="1"/>
  <c r="AX33" i="185"/>
  <c r="DT32" i="185"/>
  <c r="DT33" i="185"/>
  <c r="U34" i="185"/>
  <c r="AZ35" i="185"/>
  <c r="AU35" i="185"/>
  <c r="EH35" i="185" s="1"/>
  <c r="AZ36" i="185"/>
  <c r="J26" i="185"/>
  <c r="DW28" i="185"/>
  <c r="FO28" i="185" s="1"/>
  <c r="CA29" i="185"/>
  <c r="EB31" i="185"/>
  <c r="FO36" i="185"/>
  <c r="FQ36" i="185"/>
  <c r="DT36" i="185"/>
  <c r="CC33" i="185"/>
  <c r="FB33" i="185"/>
  <c r="FR33" i="185"/>
  <c r="K34" i="185"/>
  <c r="I34" i="185"/>
  <c r="FA24" i="185"/>
  <c r="DU27" i="185"/>
  <c r="FU27" i="185"/>
  <c r="CK28" i="185"/>
  <c r="GF28" i="185"/>
  <c r="FB30" i="185"/>
  <c r="FA30" i="185"/>
  <c r="CC30" i="185"/>
  <c r="EY31" i="185"/>
  <c r="EX31" i="185"/>
  <c r="BQ31" i="185"/>
  <c r="BO31" i="185"/>
  <c r="DT31" i="185"/>
  <c r="ED31" i="185"/>
  <c r="AH32" i="185"/>
  <c r="AG32" i="185"/>
  <c r="AE32" i="185"/>
  <c r="AD32" i="185"/>
  <c r="AW32" i="185"/>
  <c r="AV32" i="185"/>
  <c r="AF32" i="185"/>
  <c r="ED32" i="185"/>
  <c r="EC32" i="185"/>
  <c r="FN32" i="185"/>
  <c r="EA32" i="185"/>
  <c r="DP32" i="185"/>
  <c r="ED33" i="185"/>
  <c r="EC33" i="185"/>
  <c r="EA33" i="185"/>
  <c r="FO35" i="185"/>
  <c r="DT35" i="185"/>
  <c r="FB24" i="185"/>
  <c r="AX26" i="185"/>
  <c r="AD27" i="185"/>
  <c r="AV27" i="185"/>
  <c r="AK27" i="185" s="1"/>
  <c r="DV27" i="185"/>
  <c r="FE27" i="185"/>
  <c r="FF27" i="185" s="1"/>
  <c r="FG27" i="185" s="1"/>
  <c r="Y27" i="185" s="1"/>
  <c r="GF29" i="185"/>
  <c r="EB30" i="185"/>
  <c r="EA30" i="185"/>
  <c r="DP30" i="185"/>
  <c r="FN31" i="185"/>
  <c r="EB33" i="185"/>
  <c r="FQ33" i="185"/>
  <c r="D36" i="185"/>
  <c r="GK36" i="185" s="1"/>
  <c r="E36" i="185"/>
  <c r="EN41" i="185"/>
  <c r="ER41" i="185" s="1"/>
  <c r="EM41" i="185"/>
  <c r="EQ41" i="185" s="1"/>
  <c r="G30" i="185"/>
  <c r="F30" i="185"/>
  <c r="EB32" i="185"/>
  <c r="FM33" i="185"/>
  <c r="FP33" i="185" s="1"/>
  <c r="FV33" i="185"/>
  <c r="EO36" i="185"/>
  <c r="CM36" i="185"/>
  <c r="EP36" i="185"/>
  <c r="W36" i="185"/>
  <c r="V36" i="185"/>
  <c r="FB22" i="185"/>
  <c r="FQ26" i="185"/>
  <c r="EB26" i="185"/>
  <c r="AF27" i="185"/>
  <c r="T31" i="185"/>
  <c r="AR31" i="185" s="1"/>
  <c r="AW31" i="185"/>
  <c r="AK31" i="185" s="1"/>
  <c r="EM33" i="185"/>
  <c r="EQ33" i="185" s="1"/>
  <c r="CI33" i="185" s="1"/>
  <c r="FT34" i="185"/>
  <c r="FN35" i="185"/>
  <c r="ES25" i="185"/>
  <c r="FJ25" i="185"/>
  <c r="FK25" i="185" s="1"/>
  <c r="FL25" i="185" s="1"/>
  <c r="Z25" i="185" s="1"/>
  <c r="BO26" i="185"/>
  <c r="AG27" i="185"/>
  <c r="AH29" i="185"/>
  <c r="AW29" i="185"/>
  <c r="AK29" i="185" s="1"/>
  <c r="AF29" i="185"/>
  <c r="EC30" i="185"/>
  <c r="FP30" i="185" s="1"/>
  <c r="GA33" i="185"/>
  <c r="EM37" i="185"/>
  <c r="EQ37" i="185" s="1"/>
  <c r="CI37" i="185" s="1"/>
  <c r="DP28" i="185"/>
  <c r="GC30" i="185"/>
  <c r="GB30" i="185"/>
  <c r="GA30" i="185"/>
  <c r="FM31" i="185"/>
  <c r="GC32" i="185"/>
  <c r="AH33" i="185"/>
  <c r="AX34" i="185"/>
  <c r="GF34" i="185"/>
  <c r="EY34" i="185"/>
  <c r="FQ34" i="185"/>
  <c r="BQ34" i="185"/>
  <c r="EX34" i="185"/>
  <c r="EN34" i="185"/>
  <c r="ER34" i="185" s="1"/>
  <c r="EV34" i="185" s="1"/>
  <c r="EM34" i="185"/>
  <c r="EG36" i="185"/>
  <c r="EK36" i="185" s="1"/>
  <c r="EV36" i="185" s="1"/>
  <c r="EF36" i="185"/>
  <c r="EJ36" i="185" s="1"/>
  <c r="CH36" i="185" s="1"/>
  <c r="CC32" i="185"/>
  <c r="FB32" i="185"/>
  <c r="CL35" i="185"/>
  <c r="FP39" i="185"/>
  <c r="CL45" i="185"/>
  <c r="AO35" i="185"/>
  <c r="AN35" i="185"/>
  <c r="AM35" i="185"/>
  <c r="AL35" i="185"/>
  <c r="AP35" i="185" s="1"/>
  <c r="CC35" i="185"/>
  <c r="CA35" i="185"/>
  <c r="CM37" i="185"/>
  <c r="EC38" i="185"/>
  <c r="EB38" i="185"/>
  <c r="ED38" i="185"/>
  <c r="DT39" i="185"/>
  <c r="DT41" i="185"/>
  <c r="EL94" i="185"/>
  <c r="ED35" i="185"/>
  <c r="EC35" i="185"/>
  <c r="EB35" i="185"/>
  <c r="FP35" i="185"/>
  <c r="CH38" i="185"/>
  <c r="FM38" i="185"/>
  <c r="CL39" i="185"/>
  <c r="CC39" i="185"/>
  <c r="EG40" i="185"/>
  <c r="EF40" i="185"/>
  <c r="EJ40" i="185" s="1"/>
  <c r="EX35" i="185"/>
  <c r="FR35" i="185"/>
  <c r="GC37" i="185"/>
  <c r="GE37" i="185"/>
  <c r="GA37" i="185"/>
  <c r="GD37" i="185"/>
  <c r="FR38" i="185"/>
  <c r="ED41" i="185"/>
  <c r="EB41" i="185"/>
  <c r="EA41" i="185"/>
  <c r="DP41" i="185"/>
  <c r="EC41" i="185"/>
  <c r="FP41" i="185" s="1"/>
  <c r="CM42" i="185"/>
  <c r="U42" i="185"/>
  <c r="T42" i="185"/>
  <c r="EL95" i="185"/>
  <c r="DX34" i="185"/>
  <c r="DW34" i="185"/>
  <c r="FO34" i="185" s="1"/>
  <c r="DV34" i="185"/>
  <c r="DU34" i="185"/>
  <c r="ET35" i="185"/>
  <c r="EY35" i="185"/>
  <c r="EN39" i="185"/>
  <c r="ER39" i="185" s="1"/>
  <c r="EM39" i="185"/>
  <c r="EQ39" i="185" s="1"/>
  <c r="CI39" i="185" s="1"/>
  <c r="EN40" i="185"/>
  <c r="ER40" i="185" s="1"/>
  <c r="EM40" i="185"/>
  <c r="EQ40" i="185" s="1"/>
  <c r="CH41" i="185"/>
  <c r="EN44" i="185"/>
  <c r="ER44" i="185" s="1"/>
  <c r="EM44" i="185"/>
  <c r="EQ44" i="185" s="1"/>
  <c r="DZ35" i="185"/>
  <c r="AL36" i="185"/>
  <c r="AP36" i="185" s="1"/>
  <c r="AO36" i="185"/>
  <c r="EB36" i="185"/>
  <c r="EA36" i="185"/>
  <c r="FN36" i="185"/>
  <c r="DT38" i="185"/>
  <c r="FU40" i="185"/>
  <c r="FH40" i="185"/>
  <c r="EV41" i="185"/>
  <c r="EG33" i="185"/>
  <c r="EK33" i="185" s="1"/>
  <c r="EV33" i="185" s="1"/>
  <c r="EF33" i="185"/>
  <c r="EJ33" i="185" s="1"/>
  <c r="CH33" i="185" s="1"/>
  <c r="FT33" i="185"/>
  <c r="EA35" i="185"/>
  <c r="FA35" i="185"/>
  <c r="AM36" i="185"/>
  <c r="AW38" i="185"/>
  <c r="AF38" i="185"/>
  <c r="AG38" i="185"/>
  <c r="AV38" i="185"/>
  <c r="DW38" i="185"/>
  <c r="DX38" i="185"/>
  <c r="FO38" i="185"/>
  <c r="FN38" i="185"/>
  <c r="GA38" i="185"/>
  <c r="GE38" i="185"/>
  <c r="GD38" i="185"/>
  <c r="GC38" i="185"/>
  <c r="GB38" i="185"/>
  <c r="FT41" i="185"/>
  <c r="GE35" i="185"/>
  <c r="GD35" i="185"/>
  <c r="GC35" i="185"/>
  <c r="EF35" i="185"/>
  <c r="EJ35" i="185" s="1"/>
  <c r="CH35" i="185" s="1"/>
  <c r="FB35" i="185"/>
  <c r="GA35" i="185"/>
  <c r="AN36" i="185"/>
  <c r="EC36" i="185"/>
  <c r="FP36" i="185" s="1"/>
  <c r="DZ38" i="185"/>
  <c r="FP38" i="185"/>
  <c r="EV39" i="185"/>
  <c r="AK40" i="185"/>
  <c r="FS43" i="185"/>
  <c r="FJ43" i="185"/>
  <c r="FK43" i="185" s="1"/>
  <c r="FL43" i="185" s="1"/>
  <c r="Z43" i="185" s="1"/>
  <c r="FE43" i="185"/>
  <c r="FF43" i="185" s="1"/>
  <c r="FG43" i="185" s="1"/>
  <c r="Y43" i="185" s="1"/>
  <c r="DP34" i="185"/>
  <c r="GB35" i="185"/>
  <c r="ED36" i="185"/>
  <c r="EX39" i="185"/>
  <c r="FQ39" i="185"/>
  <c r="AX35" i="185"/>
  <c r="AQ36" i="185"/>
  <c r="BQ37" i="185"/>
  <c r="BO37" i="185"/>
  <c r="J37" i="185"/>
  <c r="K37" i="185"/>
  <c r="FN39" i="185"/>
  <c r="DU39" i="185"/>
  <c r="DX39" i="185"/>
  <c r="DV39" i="185"/>
  <c r="DP39" i="185"/>
  <c r="X42" i="185"/>
  <c r="CL42" i="185"/>
  <c r="FP42" i="185"/>
  <c r="DZ42" i="185"/>
  <c r="GE57" i="185"/>
  <c r="GD57" i="185"/>
  <c r="GC57" i="185"/>
  <c r="GB57" i="185"/>
  <c r="GA57" i="185"/>
  <c r="DW29" i="185"/>
  <c r="FO29" i="185" s="1"/>
  <c r="FP31" i="185"/>
  <c r="G35" i="185"/>
  <c r="I37" i="185"/>
  <c r="DP38" i="185"/>
  <c r="FO40" i="185"/>
  <c r="DZ41" i="185"/>
  <c r="EX32" i="185"/>
  <c r="FQ32" i="185"/>
  <c r="DT34" i="185"/>
  <c r="FN34" i="185"/>
  <c r="H35" i="185"/>
  <c r="AQ35" i="185" s="1"/>
  <c r="BO35" i="185"/>
  <c r="DP35" i="185"/>
  <c r="AK37" i="185"/>
  <c r="FA38" i="185"/>
  <c r="FE39" i="185"/>
  <c r="FF39" i="185" s="1"/>
  <c r="FG39" i="185" s="1"/>
  <c r="Y39" i="185" s="1"/>
  <c r="BO32" i="185"/>
  <c r="DZ32" i="185"/>
  <c r="BO33" i="185"/>
  <c r="FP34" i="185"/>
  <c r="AX36" i="185"/>
  <c r="GF36" i="185"/>
  <c r="DZ36" i="185"/>
  <c r="CH37" i="185"/>
  <c r="FN37" i="185"/>
  <c r="DU38" i="185"/>
  <c r="FS39" i="185"/>
  <c r="CL40" i="185"/>
  <c r="K40" i="185"/>
  <c r="I40" i="185"/>
  <c r="BQ33" i="185"/>
  <c r="FR34" i="185"/>
  <c r="DV38" i="185"/>
  <c r="EM38" i="185"/>
  <c r="EQ38" i="185" s="1"/>
  <c r="CI38" i="185" s="1"/>
  <c r="EN38" i="185"/>
  <c r="ER38" i="185" s="1"/>
  <c r="EV38" i="185" s="1"/>
  <c r="EC40" i="185"/>
  <c r="FP40" i="185" s="1"/>
  <c r="EB40" i="185"/>
  <c r="EA40" i="185"/>
  <c r="DP40" i="185"/>
  <c r="CA43" i="185"/>
  <c r="FA43" i="185"/>
  <c r="FB43" i="185"/>
  <c r="CC43" i="185"/>
  <c r="FR43" i="185"/>
  <c r="FP37" i="185"/>
  <c r="AV42" i="185"/>
  <c r="AK42" i="185" s="1"/>
  <c r="AJ42" i="185" s="1"/>
  <c r="AE42" i="185"/>
  <c r="AD42" i="185"/>
  <c r="AH42" i="185"/>
  <c r="FO44" i="185"/>
  <c r="EG37" i="185"/>
  <c r="EK37" i="185" s="1"/>
  <c r="EV37" i="185" s="1"/>
  <c r="AV39" i="185"/>
  <c r="AK39" i="185" s="1"/>
  <c r="AJ39" i="185" s="1"/>
  <c r="GE39" i="185"/>
  <c r="GD39" i="185"/>
  <c r="GA39" i="185"/>
  <c r="CK42" i="185"/>
  <c r="J42" i="185"/>
  <c r="I42" i="185"/>
  <c r="G42" i="185"/>
  <c r="DT43" i="185"/>
  <c r="H43" i="185"/>
  <c r="G43" i="185"/>
  <c r="FJ44" i="185"/>
  <c r="FK44" i="185" s="1"/>
  <c r="FL44" i="185" s="1"/>
  <c r="Z44" i="185" s="1"/>
  <c r="FE44" i="185"/>
  <c r="FF44" i="185" s="1"/>
  <c r="FG44" i="185" s="1"/>
  <c r="Y44" i="185" s="1"/>
  <c r="FS44" i="185"/>
  <c r="FR36" i="185"/>
  <c r="FB36" i="185"/>
  <c r="BQ38" i="185"/>
  <c r="DZ39" i="185"/>
  <c r="BQ41" i="185"/>
  <c r="H42" i="185"/>
  <c r="DV42" i="185"/>
  <c r="DU42" i="185"/>
  <c r="FQ42" i="185"/>
  <c r="FO42" i="185"/>
  <c r="EG45" i="185"/>
  <c r="EK45" i="185" s="1"/>
  <c r="EV45" i="185" s="1"/>
  <c r="EF45" i="185"/>
  <c r="EJ45" i="185" s="1"/>
  <c r="CH45" i="185" s="1"/>
  <c r="FB34" i="185"/>
  <c r="AF39" i="185"/>
  <c r="FE40" i="185"/>
  <c r="FF40" i="185" s="1"/>
  <c r="FG40" i="185" s="1"/>
  <c r="Y40" i="185" s="1"/>
  <c r="FJ40" i="185"/>
  <c r="FK40" i="185" s="1"/>
  <c r="FL40" i="185" s="1"/>
  <c r="Z40" i="185" s="1"/>
  <c r="K43" i="185"/>
  <c r="I43" i="185"/>
  <c r="GD43" i="185"/>
  <c r="GC43" i="185"/>
  <c r="GB43" i="185"/>
  <c r="GA43" i="185"/>
  <c r="DT44" i="185"/>
  <c r="AH45" i="185"/>
  <c r="AG45" i="185"/>
  <c r="AW45" i="185"/>
  <c r="AF45" i="185"/>
  <c r="AV45" i="185"/>
  <c r="AE45" i="185"/>
  <c r="AD45" i="185"/>
  <c r="DX45" i="185"/>
  <c r="DW45" i="185"/>
  <c r="DV45" i="185"/>
  <c r="DU45" i="185"/>
  <c r="FN45" i="185"/>
  <c r="DP45" i="185"/>
  <c r="FM36" i="185"/>
  <c r="AG39" i="185"/>
  <c r="DP42" i="185"/>
  <c r="FU42" i="185"/>
  <c r="FV43" i="185"/>
  <c r="FM43" i="185"/>
  <c r="FP43" i="185" s="1"/>
  <c r="EG43" i="185"/>
  <c r="EK43" i="185" s="1"/>
  <c r="EV43" i="185" s="1"/>
  <c r="EF43" i="185"/>
  <c r="EJ43" i="185" s="1"/>
  <c r="EG44" i="185"/>
  <c r="EK44" i="185" s="1"/>
  <c r="EF44" i="185"/>
  <c r="EJ44" i="185" s="1"/>
  <c r="DZ45" i="185"/>
  <c r="FP45" i="185"/>
  <c r="AH39" i="185"/>
  <c r="FO39" i="185"/>
  <c r="F40" i="185"/>
  <c r="GC42" i="185"/>
  <c r="CK43" i="185"/>
  <c r="FA44" i="185"/>
  <c r="CC44" i="185"/>
  <c r="CA44" i="185"/>
  <c r="DZ44" i="185"/>
  <c r="BQ36" i="185"/>
  <c r="G40" i="185"/>
  <c r="GF40" i="185"/>
  <c r="EN43" i="185"/>
  <c r="ER43" i="185" s="1"/>
  <c r="CI43" i="185" s="1"/>
  <c r="AH44" i="185"/>
  <c r="AG44" i="185"/>
  <c r="AW44" i="185"/>
  <c r="AK44" i="185" s="1"/>
  <c r="AF44" i="185"/>
  <c r="ED44" i="185"/>
  <c r="EC44" i="185"/>
  <c r="FP44" i="185" s="1"/>
  <c r="EB44" i="185"/>
  <c r="EA44" i="185"/>
  <c r="DT40" i="185"/>
  <c r="ED39" i="185"/>
  <c r="EC39" i="185"/>
  <c r="FR40" i="185"/>
  <c r="GF41" i="185"/>
  <c r="AX41" i="185"/>
  <c r="FR42" i="185"/>
  <c r="DZ43" i="185"/>
  <c r="CC41" i="185"/>
  <c r="FA41" i="185"/>
  <c r="FB41" i="185"/>
  <c r="GD42" i="185"/>
  <c r="GB42" i="185"/>
  <c r="GA42" i="185"/>
  <c r="DT45" i="185"/>
  <c r="EY41" i="185"/>
  <c r="FO41" i="185"/>
  <c r="DP43" i="185"/>
  <c r="DW44" i="185"/>
  <c r="CC45" i="185"/>
  <c r="ED45" i="185"/>
  <c r="S40" i="186"/>
  <c r="FB39" i="185"/>
  <c r="FR39" i="185"/>
  <c r="EX43" i="185"/>
  <c r="FN43" i="185"/>
  <c r="DX44" i="185"/>
  <c r="GF45" i="185"/>
  <c r="FQ41" i="185"/>
  <c r="EY43" i="185"/>
  <c r="FO43" i="185"/>
  <c r="FV44" i="185"/>
  <c r="AV57" i="185"/>
  <c r="AK57" i="185" s="1"/>
  <c r="S33" i="186"/>
  <c r="S41" i="186"/>
  <c r="GA44" i="185"/>
  <c r="GL44" i="185" s="1"/>
  <c r="J1" i="186"/>
  <c r="FQ43" i="185"/>
  <c r="GB44" i="185"/>
  <c r="FO45" i="185"/>
  <c r="AX57" i="185"/>
  <c r="GC44" i="185"/>
  <c r="EX40" i="185"/>
  <c r="FN40" i="185"/>
  <c r="FU41" i="185"/>
  <c r="AE43" i="185"/>
  <c r="AV43" i="185"/>
  <c r="AK43" i="185" s="1"/>
  <c r="GD44" i="185"/>
  <c r="FA45" i="185"/>
  <c r="S27" i="186"/>
  <c r="S35" i="186"/>
  <c r="FB45" i="185"/>
  <c r="J2" i="186"/>
  <c r="AH43" i="185"/>
  <c r="DP44" i="185"/>
  <c r="EM45" i="185"/>
  <c r="EQ45" i="185" s="1"/>
  <c r="CI45" i="185" s="1"/>
  <c r="AD40" i="185"/>
  <c r="DU40" i="185"/>
  <c r="FB40" i="185"/>
  <c r="EX44" i="185"/>
  <c r="FN44" i="185"/>
  <c r="FU45" i="185"/>
  <c r="S29" i="186"/>
  <c r="EY44" i="185"/>
  <c r="FB42" i="185"/>
  <c r="CL44" i="185"/>
  <c r="EM45" i="160"/>
  <c r="EM44" i="160"/>
  <c r="EM43" i="160"/>
  <c r="EM42" i="160"/>
  <c r="EM41" i="160"/>
  <c r="EM40" i="160"/>
  <c r="EM39" i="160"/>
  <c r="EM38" i="160"/>
  <c r="EM37" i="160"/>
  <c r="EM36" i="160"/>
  <c r="EM35" i="160"/>
  <c r="EM34" i="160"/>
  <c r="EM33" i="160"/>
  <c r="EM32" i="160"/>
  <c r="EM31" i="160"/>
  <c r="EM30" i="160"/>
  <c r="EM29" i="160"/>
  <c r="EM28" i="160"/>
  <c r="EM27" i="160"/>
  <c r="EM26" i="160"/>
  <c r="EM25" i="160"/>
  <c r="EM24" i="160"/>
  <c r="EM23" i="160"/>
  <c r="EM22" i="160"/>
  <c r="EM21" i="160"/>
  <c r="EM20" i="160"/>
  <c r="EM19" i="160"/>
  <c r="EM18" i="160"/>
  <c r="EM17" i="160"/>
  <c r="EM16" i="160"/>
  <c r="EM15" i="160"/>
  <c r="EM14" i="160"/>
  <c r="EM45" i="84"/>
  <c r="EM44" i="84"/>
  <c r="EM43" i="84"/>
  <c r="EM42" i="84"/>
  <c r="EM41" i="84"/>
  <c r="EM40" i="84"/>
  <c r="EM39" i="84"/>
  <c r="EM38" i="84"/>
  <c r="EM37" i="84"/>
  <c r="EM36" i="84"/>
  <c r="EM35" i="84"/>
  <c r="EM34" i="84"/>
  <c r="EM33" i="84"/>
  <c r="EM32" i="84"/>
  <c r="EM31" i="84"/>
  <c r="EM30" i="84"/>
  <c r="EM29" i="84"/>
  <c r="P16" i="195" l="1"/>
  <c r="AO17" i="195"/>
  <c r="P16" i="194"/>
  <c r="AO17" i="194"/>
  <c r="P16" i="193"/>
  <c r="AO17" i="193"/>
  <c r="P16" i="192"/>
  <c r="AO17" i="192"/>
  <c r="P16" i="191"/>
  <c r="AO17" i="191"/>
  <c r="P16" i="190"/>
  <c r="AO17" i="190"/>
  <c r="P16" i="189"/>
  <c r="AO17" i="189"/>
  <c r="AG46" i="183"/>
  <c r="AH46" i="183"/>
  <c r="AG46" i="185"/>
  <c r="AD41" i="182"/>
  <c r="AG41" i="182"/>
  <c r="AA18" i="182" s="1"/>
  <c r="AE46" i="184"/>
  <c r="AD46" i="184"/>
  <c r="AE46" i="185"/>
  <c r="AH46" i="185"/>
  <c r="AE46" i="183"/>
  <c r="AF46" i="185"/>
  <c r="EJ85" i="183"/>
  <c r="EL85" i="183" s="1"/>
  <c r="EU26" i="183"/>
  <c r="AT26" i="183"/>
  <c r="DR26" i="183"/>
  <c r="DQ26" i="183"/>
  <c r="ES26" i="183"/>
  <c r="CS26" i="183"/>
  <c r="CR26" i="183"/>
  <c r="ET26" i="183"/>
  <c r="CJ41" i="184"/>
  <c r="X41" i="184"/>
  <c r="S42" i="183"/>
  <c r="R42" i="183"/>
  <c r="Q42" i="183"/>
  <c r="CJ44" i="184"/>
  <c r="X44" i="184"/>
  <c r="AU43" i="183"/>
  <c r="AZ43" i="183"/>
  <c r="CJ38" i="185"/>
  <c r="X38" i="185"/>
  <c r="AQ23" i="185"/>
  <c r="AN23" i="185"/>
  <c r="AM23" i="185"/>
  <c r="AO23" i="185"/>
  <c r="AL23" i="185"/>
  <c r="AJ23" i="185"/>
  <c r="V41" i="183"/>
  <c r="W41" i="183"/>
  <c r="AQ31" i="185"/>
  <c r="AL31" i="185"/>
  <c r="AO31" i="185"/>
  <c r="AN31" i="185"/>
  <c r="AM31" i="185"/>
  <c r="AJ31" i="185"/>
  <c r="AZ28" i="185"/>
  <c r="AU28" i="185"/>
  <c r="R36" i="184"/>
  <c r="Q36" i="184"/>
  <c r="S36" i="184"/>
  <c r="EJ77" i="183"/>
  <c r="EL77" i="183" s="1"/>
  <c r="DR18" i="183"/>
  <c r="DQ18" i="183"/>
  <c r="EU18" i="183"/>
  <c r="ES18" i="183"/>
  <c r="AT18" i="183"/>
  <c r="CS18" i="183"/>
  <c r="CR18" i="183"/>
  <c r="ET18" i="183"/>
  <c r="EH18" i="183"/>
  <c r="EP18" i="183"/>
  <c r="EO18" i="183"/>
  <c r="AN44" i="185"/>
  <c r="AM44" i="185"/>
  <c r="AO44" i="185"/>
  <c r="AL44" i="185"/>
  <c r="AJ44" i="185"/>
  <c r="AZ39" i="185"/>
  <c r="AU39" i="185"/>
  <c r="AZ33" i="185"/>
  <c r="AU33" i="185"/>
  <c r="W43" i="185"/>
  <c r="V43" i="185"/>
  <c r="P31" i="184"/>
  <c r="O31" i="184"/>
  <c r="N31" i="184"/>
  <c r="T43" i="183"/>
  <c r="U43" i="183"/>
  <c r="AU42" i="185"/>
  <c r="AZ42" i="185"/>
  <c r="X34" i="185"/>
  <c r="CJ34" i="185"/>
  <c r="CJ35" i="185"/>
  <c r="X35" i="185"/>
  <c r="W45" i="185"/>
  <c r="V45" i="185"/>
  <c r="CL38" i="185"/>
  <c r="CM43" i="185"/>
  <c r="H34" i="185"/>
  <c r="G34" i="185"/>
  <c r="F34" i="185"/>
  <c r="AQ34" i="185"/>
  <c r="AO34" i="185"/>
  <c r="AN34" i="185"/>
  <c r="AL34" i="185"/>
  <c r="AS34" i="185"/>
  <c r="AM34" i="185"/>
  <c r="EH22" i="185"/>
  <c r="EI22" i="185"/>
  <c r="CL22" i="185"/>
  <c r="V35" i="185"/>
  <c r="W35" i="185"/>
  <c r="EI25" i="185"/>
  <c r="CM35" i="184"/>
  <c r="J29" i="184"/>
  <c r="I29" i="184"/>
  <c r="K29" i="184"/>
  <c r="AS29" i="184" s="1"/>
  <c r="H28" i="184"/>
  <c r="AQ28" i="184" s="1"/>
  <c r="G28" i="184"/>
  <c r="F28" i="184"/>
  <c r="AZ28" i="184" s="1"/>
  <c r="F25" i="184"/>
  <c r="H25" i="184"/>
  <c r="AQ25" i="184" s="1"/>
  <c r="G25" i="184"/>
  <c r="AP32" i="184"/>
  <c r="AU32" i="184"/>
  <c r="K17" i="184"/>
  <c r="AS17" i="184" s="1"/>
  <c r="J17" i="184"/>
  <c r="I17" i="184"/>
  <c r="EP31" i="184"/>
  <c r="AP29" i="184"/>
  <c r="AU29" i="184"/>
  <c r="CH30" i="184"/>
  <c r="AZ20" i="184"/>
  <c r="AU20" i="184"/>
  <c r="AP20" i="184"/>
  <c r="CM44" i="183"/>
  <c r="AU32" i="183"/>
  <c r="CI29" i="183"/>
  <c r="CL35" i="183"/>
  <c r="J24" i="183"/>
  <c r="K24" i="183"/>
  <c r="AS24" i="183" s="1"/>
  <c r="I24" i="183"/>
  <c r="EV30" i="182"/>
  <c r="CJ30" i="182" s="1"/>
  <c r="CL32" i="182"/>
  <c r="H31" i="182"/>
  <c r="AQ31" i="182" s="1"/>
  <c r="G31" i="182"/>
  <c r="F31" i="182"/>
  <c r="EJ35" i="182"/>
  <c r="CH35" i="182" s="1"/>
  <c r="H26" i="182"/>
  <c r="AQ26" i="182" s="1"/>
  <c r="G26" i="182"/>
  <c r="F26" i="182"/>
  <c r="AZ31" i="182"/>
  <c r="AU31" i="182"/>
  <c r="AP31" i="182"/>
  <c r="AO48" i="176"/>
  <c r="P48" i="176" s="1"/>
  <c r="P47" i="176"/>
  <c r="L26" i="178"/>
  <c r="N25" i="178"/>
  <c r="O25" i="178" s="1" a="1"/>
  <c r="O25" i="178" s="1"/>
  <c r="EL90" i="184"/>
  <c r="EJ90" i="184"/>
  <c r="CS31" i="184"/>
  <c r="DR31" i="184"/>
  <c r="DQ31" i="184"/>
  <c r="CR31" i="184"/>
  <c r="AT31" i="184"/>
  <c r="EU31" i="184"/>
  <c r="CM41" i="185"/>
  <c r="E44" i="185"/>
  <c r="D44" i="185"/>
  <c r="GK44" i="185" s="1"/>
  <c r="GM44" i="185" s="1"/>
  <c r="K44" i="185"/>
  <c r="AS44" i="185" s="1"/>
  <c r="J44" i="185"/>
  <c r="I44" i="185"/>
  <c r="GL39" i="185"/>
  <c r="AQ40" i="185"/>
  <c r="AL40" i="185"/>
  <c r="AN40" i="185"/>
  <c r="AJ40" i="185"/>
  <c r="AS40" i="185"/>
  <c r="AO40" i="185"/>
  <c r="AM40" i="185"/>
  <c r="GB34" i="185"/>
  <c r="GA34" i="185"/>
  <c r="GE34" i="185"/>
  <c r="GD34" i="185"/>
  <c r="GC34" i="185"/>
  <c r="EP33" i="185"/>
  <c r="EO33" i="185"/>
  <c r="CM33" i="185"/>
  <c r="EF32" i="185"/>
  <c r="EG32" i="185"/>
  <c r="E24" i="185"/>
  <c r="D24" i="185"/>
  <c r="GK24" i="185" s="1"/>
  <c r="I23" i="185"/>
  <c r="K23" i="185"/>
  <c r="AS23" i="185" s="1"/>
  <c r="J23" i="185"/>
  <c r="CI24" i="185"/>
  <c r="CH24" i="185"/>
  <c r="CH20" i="185"/>
  <c r="H35" i="184"/>
  <c r="AQ35" i="184" s="1"/>
  <c r="F35" i="184"/>
  <c r="G35" i="184"/>
  <c r="AZ38" i="184"/>
  <c r="AP38" i="184"/>
  <c r="AU38" i="184"/>
  <c r="G33" i="184"/>
  <c r="H33" i="184"/>
  <c r="AQ33" i="184" s="1"/>
  <c r="F33" i="184"/>
  <c r="AL44" i="183"/>
  <c r="AQ44" i="183"/>
  <c r="AO44" i="183"/>
  <c r="AS44" i="183"/>
  <c r="AN44" i="183"/>
  <c r="AM44" i="183"/>
  <c r="J26" i="184"/>
  <c r="I26" i="184"/>
  <c r="K26" i="184"/>
  <c r="CH23" i="184"/>
  <c r="EV22" i="184"/>
  <c r="CJ22" i="184" s="1"/>
  <c r="G31" i="183"/>
  <c r="F31" i="183"/>
  <c r="H31" i="183"/>
  <c r="AQ31" i="183" s="1"/>
  <c r="H26" i="183"/>
  <c r="AQ26" i="183" s="1"/>
  <c r="AR26" i="183" s="1"/>
  <c r="G26" i="183"/>
  <c r="F26" i="183"/>
  <c r="AZ26" i="183" s="1"/>
  <c r="AP23" i="183"/>
  <c r="AU23" i="183"/>
  <c r="EI23" i="183" s="1"/>
  <c r="AZ23" i="183"/>
  <c r="CI17" i="183"/>
  <c r="X40" i="182"/>
  <c r="CJ40" i="182"/>
  <c r="AZ37" i="182"/>
  <c r="AU37" i="182"/>
  <c r="AP37" i="182"/>
  <c r="GE37" i="182"/>
  <c r="GL37" i="182" s="1"/>
  <c r="GM37" i="182" s="1"/>
  <c r="CI25" i="182"/>
  <c r="EV25" i="182"/>
  <c r="CJ25" i="182" s="1"/>
  <c r="AZ16" i="185"/>
  <c r="AU16" i="185"/>
  <c r="AP16" i="185"/>
  <c r="AU42" i="184"/>
  <c r="AP42" i="184"/>
  <c r="AZ42" i="184"/>
  <c r="D42" i="185"/>
  <c r="GK42" i="185" s="1"/>
  <c r="E42" i="185"/>
  <c r="CJ39" i="185"/>
  <c r="X39" i="185"/>
  <c r="CI44" i="185"/>
  <c r="AR42" i="185"/>
  <c r="GC29" i="185"/>
  <c r="GE29" i="185"/>
  <c r="GB29" i="185"/>
  <c r="GA29" i="185"/>
  <c r="GL29" i="185" s="1"/>
  <c r="GD29" i="185"/>
  <c r="CM30" i="185"/>
  <c r="AO33" i="185"/>
  <c r="AN33" i="185"/>
  <c r="AM33" i="185"/>
  <c r="AL33" i="185"/>
  <c r="AP33" i="185" s="1"/>
  <c r="AO30" i="185"/>
  <c r="AN30" i="185"/>
  <c r="AS30" i="185"/>
  <c r="AQ30" i="185"/>
  <c r="AM30" i="185"/>
  <c r="AJ30" i="185"/>
  <c r="AL30" i="185"/>
  <c r="EV24" i="185"/>
  <c r="EV20" i="185"/>
  <c r="CJ20" i="185" s="1"/>
  <c r="CL44" i="184"/>
  <c r="T43" i="184"/>
  <c r="AR43" i="184" s="1"/>
  <c r="U43" i="184"/>
  <c r="X45" i="184"/>
  <c r="CJ45" i="184"/>
  <c r="CL35" i="184"/>
  <c r="H26" i="184"/>
  <c r="G26" i="184"/>
  <c r="F26" i="184"/>
  <c r="AS57" i="183"/>
  <c r="AQ57" i="183"/>
  <c r="AN57" i="183"/>
  <c r="AM57" i="183"/>
  <c r="AL57" i="183"/>
  <c r="AO57" i="183"/>
  <c r="AJ57" i="183"/>
  <c r="AP21" i="184"/>
  <c r="AZ21" i="184"/>
  <c r="AU21" i="184"/>
  <c r="EO19" i="184"/>
  <c r="GE32" i="183"/>
  <c r="GL32" i="183" s="1"/>
  <c r="GM32" i="183" s="1"/>
  <c r="AU37" i="183"/>
  <c r="AP37" i="183"/>
  <c r="EO43" i="183"/>
  <c r="CH18" i="183"/>
  <c r="EI30" i="182"/>
  <c r="CL30" i="182"/>
  <c r="CM28" i="182"/>
  <c r="U40" i="182"/>
  <c r="T40" i="182"/>
  <c r="AR40" i="182" s="1"/>
  <c r="AP30" i="182"/>
  <c r="AU30" i="182"/>
  <c r="EH30" i="182" s="1"/>
  <c r="J35" i="185"/>
  <c r="I35" i="185"/>
  <c r="K35" i="185"/>
  <c r="AS35" i="185" s="1"/>
  <c r="K37" i="183"/>
  <c r="AS37" i="183" s="1"/>
  <c r="J37" i="183"/>
  <c r="I37" i="183"/>
  <c r="AZ37" i="183" s="1"/>
  <c r="CL37" i="185"/>
  <c r="P25" i="185"/>
  <c r="O25" i="185"/>
  <c r="N25" i="185"/>
  <c r="J32" i="185"/>
  <c r="I32" i="185"/>
  <c r="K32" i="185"/>
  <c r="E27" i="185"/>
  <c r="D27" i="185"/>
  <c r="GK27" i="185" s="1"/>
  <c r="CI30" i="185"/>
  <c r="E23" i="185"/>
  <c r="D23" i="185"/>
  <c r="GK23" i="185" s="1"/>
  <c r="GM23" i="185" s="1"/>
  <c r="CJ31" i="185"/>
  <c r="X31" i="185"/>
  <c r="EH16" i="185"/>
  <c r="FP33" i="184"/>
  <c r="EQ42" i="184"/>
  <c r="CI42" i="184" s="1"/>
  <c r="EO42" i="184"/>
  <c r="CI39" i="184"/>
  <c r="G29" i="184"/>
  <c r="H29" i="184"/>
  <c r="AQ29" i="184" s="1"/>
  <c r="F29" i="184"/>
  <c r="AZ29" i="184" s="1"/>
  <c r="GL41" i="184"/>
  <c r="EH29" i="184"/>
  <c r="U45" i="183"/>
  <c r="T45" i="183"/>
  <c r="CI27" i="184"/>
  <c r="CI25" i="184"/>
  <c r="F43" i="183"/>
  <c r="H43" i="183"/>
  <c r="G43" i="183"/>
  <c r="CM42" i="183"/>
  <c r="EP42" i="183"/>
  <c r="EO42" i="183"/>
  <c r="GE17" i="184"/>
  <c r="GL17" i="184" s="1"/>
  <c r="GM17" i="184" s="1"/>
  <c r="AT44" i="183"/>
  <c r="CI43" i="183"/>
  <c r="CH19" i="184"/>
  <c r="CL36" i="183"/>
  <c r="N34" i="183"/>
  <c r="P34" i="183"/>
  <c r="O34" i="183"/>
  <c r="EK32" i="183"/>
  <c r="EV32" i="183" s="1"/>
  <c r="CJ32" i="183" s="1"/>
  <c r="EI32" i="183"/>
  <c r="EP43" i="183"/>
  <c r="AZ25" i="183"/>
  <c r="AP25" i="183"/>
  <c r="AU25" i="183"/>
  <c r="G17" i="183"/>
  <c r="AZ17" i="183" s="1"/>
  <c r="F17" i="183"/>
  <c r="H17" i="183"/>
  <c r="AQ17" i="183" s="1"/>
  <c r="CM26" i="182"/>
  <c r="DR40" i="182"/>
  <c r="M40" i="182" s="1"/>
  <c r="DQ40" i="182"/>
  <c r="L40" i="182" s="1"/>
  <c r="CS40" i="182"/>
  <c r="EU40" i="182"/>
  <c r="CR40" i="182"/>
  <c r="ET40" i="182"/>
  <c r="ES40" i="182"/>
  <c r="CI39" i="182"/>
  <c r="P17" i="176"/>
  <c r="AO18" i="176"/>
  <c r="P18" i="176" s="1"/>
  <c r="D29" i="185"/>
  <c r="GK29" i="185" s="1"/>
  <c r="GM29" i="185" s="1"/>
  <c r="E29" i="185"/>
  <c r="CM38" i="184"/>
  <c r="EP38" i="184"/>
  <c r="EO38" i="184"/>
  <c r="E39" i="182"/>
  <c r="D39" i="182"/>
  <c r="GK39" i="182" s="1"/>
  <c r="P27" i="182"/>
  <c r="O27" i="182"/>
  <c r="N27" i="182"/>
  <c r="U37" i="185"/>
  <c r="T37" i="185"/>
  <c r="AR37" i="185" s="1"/>
  <c r="K27" i="185"/>
  <c r="AS27" i="185" s="1"/>
  <c r="J27" i="185"/>
  <c r="I27" i="185"/>
  <c r="CM19" i="185"/>
  <c r="EQ31" i="185"/>
  <c r="CI31" i="185" s="1"/>
  <c r="I28" i="185"/>
  <c r="K28" i="185"/>
  <c r="J28" i="185"/>
  <c r="GE24" i="185"/>
  <c r="GD24" i="185"/>
  <c r="GC24" i="185"/>
  <c r="GA24" i="185"/>
  <c r="GB24" i="185"/>
  <c r="AS19" i="185"/>
  <c r="AO19" i="185"/>
  <c r="AN19" i="185"/>
  <c r="AM19" i="185"/>
  <c r="AL19" i="185"/>
  <c r="AJ19" i="185"/>
  <c r="AZ18" i="185"/>
  <c r="AU18" i="185"/>
  <c r="EI18" i="185" s="1"/>
  <c r="AP18" i="185"/>
  <c r="J17" i="185"/>
  <c r="K17" i="185"/>
  <c r="I17" i="185"/>
  <c r="EI42" i="184"/>
  <c r="CL42" i="184"/>
  <c r="EH42" i="184"/>
  <c r="E45" i="183"/>
  <c r="D45" i="183"/>
  <c r="GK45" i="183" s="1"/>
  <c r="EH31" i="184"/>
  <c r="AJ26" i="184"/>
  <c r="AS26" i="184"/>
  <c r="AQ26" i="184"/>
  <c r="AO26" i="184"/>
  <c r="AM26" i="184"/>
  <c r="AL26" i="184"/>
  <c r="AN26" i="184"/>
  <c r="AJ40" i="183"/>
  <c r="AQ40" i="183"/>
  <c r="AO40" i="183"/>
  <c r="AN40" i="183"/>
  <c r="AM40" i="183"/>
  <c r="AL40" i="183"/>
  <c r="AS40" i="183"/>
  <c r="D43" i="183"/>
  <c r="GK43" i="183" s="1"/>
  <c r="GM43" i="183" s="1"/>
  <c r="E43" i="183"/>
  <c r="I36" i="183"/>
  <c r="K36" i="183"/>
  <c r="AS36" i="183" s="1"/>
  <c r="J36" i="183"/>
  <c r="G29" i="183"/>
  <c r="H29" i="183"/>
  <c r="AQ29" i="183" s="1"/>
  <c r="F29" i="183"/>
  <c r="AZ29" i="183" s="1"/>
  <c r="CM24" i="183"/>
  <c r="AU29" i="183"/>
  <c r="AP29" i="183"/>
  <c r="CL16" i="183"/>
  <c r="EP31" i="182"/>
  <c r="EO31" i="182"/>
  <c r="CM31" i="182"/>
  <c r="S29" i="182"/>
  <c r="R29" i="182"/>
  <c r="Q29" i="182"/>
  <c r="AU25" i="182"/>
  <c r="AZ25" i="182"/>
  <c r="AP25" i="182"/>
  <c r="EO24" i="182"/>
  <c r="EQ24" i="182"/>
  <c r="CI24" i="182" s="1"/>
  <c r="E30" i="185"/>
  <c r="D30" i="185"/>
  <c r="GK30" i="185" s="1"/>
  <c r="CM36" i="183"/>
  <c r="AU28" i="183"/>
  <c r="AP28" i="183"/>
  <c r="H32" i="182"/>
  <c r="AQ32" i="182" s="1"/>
  <c r="G32" i="182"/>
  <c r="F32" i="182"/>
  <c r="E40" i="185"/>
  <c r="D40" i="185"/>
  <c r="GK40" i="185" s="1"/>
  <c r="U33" i="185"/>
  <c r="T33" i="185"/>
  <c r="AR33" i="185" s="1"/>
  <c r="EK40" i="185"/>
  <c r="EV40" i="185" s="1"/>
  <c r="U30" i="185"/>
  <c r="T30" i="185"/>
  <c r="CM45" i="185"/>
  <c r="GL43" i="185"/>
  <c r="CJ33" i="185"/>
  <c r="X33" i="185"/>
  <c r="CI40" i="185"/>
  <c r="AO27" i="185"/>
  <c r="AN27" i="185"/>
  <c r="AM27" i="185"/>
  <c r="AL27" i="185"/>
  <c r="AQ27" i="185"/>
  <c r="AJ27" i="185"/>
  <c r="AK32" i="185"/>
  <c r="EV30" i="185"/>
  <c r="CM17" i="185"/>
  <c r="CM21" i="185"/>
  <c r="EI16" i="185"/>
  <c r="CH22" i="185"/>
  <c r="O36" i="184"/>
  <c r="P36" i="184"/>
  <c r="N36" i="184"/>
  <c r="GE33" i="184"/>
  <c r="GL33" i="184" s="1"/>
  <c r="GM33" i="184" s="1"/>
  <c r="EI31" i="184"/>
  <c r="EO33" i="184"/>
  <c r="EP33" i="184"/>
  <c r="CM33" i="184"/>
  <c r="EI42" i="183"/>
  <c r="EH32" i="184"/>
  <c r="EN35" i="183"/>
  <c r="EM35" i="183"/>
  <c r="EL101" i="183"/>
  <c r="EJ101" i="183"/>
  <c r="DR42" i="183"/>
  <c r="M42" i="183" s="1"/>
  <c r="DQ42" i="183"/>
  <c r="L42" i="183" s="1"/>
  <c r="EU42" i="183"/>
  <c r="CS42" i="183"/>
  <c r="CR42" i="183"/>
  <c r="CH38" i="183"/>
  <c r="CI34" i="183"/>
  <c r="AS33" i="183"/>
  <c r="AN33" i="183"/>
  <c r="AQ33" i="183"/>
  <c r="AO33" i="183"/>
  <c r="AM33" i="183"/>
  <c r="AL33" i="183"/>
  <c r="AJ33" i="183"/>
  <c r="AP31" i="183"/>
  <c r="AZ31" i="183"/>
  <c r="AU31" i="183"/>
  <c r="G18" i="183"/>
  <c r="F18" i="183"/>
  <c r="AZ18" i="183" s="1"/>
  <c r="H18" i="183"/>
  <c r="AQ18" i="183" s="1"/>
  <c r="AR18" i="183" s="1"/>
  <c r="CH23" i="183"/>
  <c r="CH17" i="183"/>
  <c r="CH31" i="182"/>
  <c r="EO37" i="182"/>
  <c r="EG26" i="182"/>
  <c r="EF26" i="182"/>
  <c r="AU17" i="183"/>
  <c r="AP17" i="183"/>
  <c r="CH36" i="182"/>
  <c r="AS36" i="182"/>
  <c r="AO36" i="182"/>
  <c r="AN36" i="182"/>
  <c r="AM36" i="182"/>
  <c r="AL36" i="182"/>
  <c r="AJ36" i="182"/>
  <c r="AQ36" i="182"/>
  <c r="GE29" i="182"/>
  <c r="GL29" i="182" s="1"/>
  <c r="GM29" i="182" s="1"/>
  <c r="EP30" i="182"/>
  <c r="P51" i="176"/>
  <c r="AO52" i="176"/>
  <c r="E35" i="185"/>
  <c r="D35" i="185"/>
  <c r="GK35" i="185" s="1"/>
  <c r="H22" i="184"/>
  <c r="AQ22" i="184" s="1"/>
  <c r="G22" i="184"/>
  <c r="F22" i="184"/>
  <c r="J24" i="184"/>
  <c r="I24" i="184"/>
  <c r="K24" i="184"/>
  <c r="K21" i="183"/>
  <c r="AS21" i="183" s="1"/>
  <c r="J21" i="183"/>
  <c r="I21" i="183"/>
  <c r="AN39" i="185"/>
  <c r="AM39" i="185"/>
  <c r="AO39" i="185"/>
  <c r="AL39" i="185"/>
  <c r="AP39" i="185" s="1"/>
  <c r="GL38" i="185"/>
  <c r="U41" i="185"/>
  <c r="T41" i="185"/>
  <c r="J38" i="185"/>
  <c r="K38" i="185"/>
  <c r="I38" i="185"/>
  <c r="E45" i="185"/>
  <c r="D45" i="185"/>
  <c r="GK45" i="185" s="1"/>
  <c r="CJ37" i="185"/>
  <c r="X37" i="185"/>
  <c r="GC36" i="185"/>
  <c r="GB36" i="185"/>
  <c r="GA36" i="185"/>
  <c r="GE36" i="185"/>
  <c r="GD36" i="185"/>
  <c r="EP39" i="185"/>
  <c r="EO39" i="185"/>
  <c r="CM39" i="185"/>
  <c r="GL30" i="185"/>
  <c r="GD28" i="185"/>
  <c r="GC28" i="185"/>
  <c r="GA28" i="185"/>
  <c r="GE28" i="185"/>
  <c r="GB28" i="185"/>
  <c r="CL30" i="185"/>
  <c r="AS28" i="185"/>
  <c r="AN28" i="185"/>
  <c r="AM28" i="185"/>
  <c r="AL28" i="185"/>
  <c r="AP28" i="185" s="1"/>
  <c r="AQ28" i="185"/>
  <c r="AO28" i="185"/>
  <c r="H17" i="185"/>
  <c r="AQ17" i="185" s="1"/>
  <c r="G17" i="185"/>
  <c r="F17" i="185"/>
  <c r="CH18" i="185"/>
  <c r="AO57" i="184"/>
  <c r="AS57" i="184"/>
  <c r="AQ57" i="184"/>
  <c r="AN57" i="184"/>
  <c r="AM57" i="184"/>
  <c r="AL57" i="184"/>
  <c r="AP57" i="184" s="1"/>
  <c r="AZ57" i="184" s="1"/>
  <c r="GM41" i="184"/>
  <c r="CH27" i="184"/>
  <c r="AU22" i="184"/>
  <c r="AP22" i="184"/>
  <c r="GE45" i="183"/>
  <c r="GD45" i="183"/>
  <c r="GC45" i="183"/>
  <c r="GB45" i="183"/>
  <c r="GA45" i="183"/>
  <c r="AQ35" i="183"/>
  <c r="AS35" i="183"/>
  <c r="AN35" i="183"/>
  <c r="AL35" i="183"/>
  <c r="AO35" i="183"/>
  <c r="AM35" i="183"/>
  <c r="AJ35" i="183"/>
  <c r="EK40" i="183"/>
  <c r="EV40" i="183" s="1"/>
  <c r="CJ40" i="183" s="1"/>
  <c r="I34" i="183"/>
  <c r="K34" i="183"/>
  <c r="AS34" i="183" s="1"/>
  <c r="AT34" i="183" s="1"/>
  <c r="J34" i="183"/>
  <c r="G32" i="183"/>
  <c r="H32" i="183"/>
  <c r="AQ32" i="183" s="1"/>
  <c r="F32" i="183"/>
  <c r="EP40" i="182"/>
  <c r="CM40" i="182"/>
  <c r="EO40" i="182"/>
  <c r="CI31" i="183"/>
  <c r="K16" i="183"/>
  <c r="I16" i="183"/>
  <c r="J16" i="183"/>
  <c r="AD46" i="183"/>
  <c r="EI28" i="183"/>
  <c r="AP26" i="183"/>
  <c r="GE33" i="182"/>
  <c r="GL33" i="182" s="1"/>
  <c r="GM33" i="182" s="1"/>
  <c r="EV17" i="183"/>
  <c r="CJ17" i="183" s="1"/>
  <c r="AU33" i="182"/>
  <c r="AP33" i="182"/>
  <c r="EV31" i="182"/>
  <c r="CJ31" i="182" s="1"/>
  <c r="CI31" i="182"/>
  <c r="EJ33" i="182"/>
  <c r="CH33" i="182" s="1"/>
  <c r="EH33" i="182"/>
  <c r="CH16" i="183"/>
  <c r="CL24" i="182"/>
  <c r="AU28" i="182"/>
  <c r="AP28" i="182"/>
  <c r="AO26" i="176"/>
  <c r="P26" i="176" s="1"/>
  <c r="P25" i="176"/>
  <c r="EJ81" i="185"/>
  <c r="DR22" i="185"/>
  <c r="AR22" i="185"/>
  <c r="CS22" i="185"/>
  <c r="CR22" i="185"/>
  <c r="AT22" i="185"/>
  <c r="EU22" i="185"/>
  <c r="ET22" i="185"/>
  <c r="ES22" i="185"/>
  <c r="DQ22" i="185"/>
  <c r="CM19" i="183"/>
  <c r="CJ41" i="185"/>
  <c r="X41" i="185"/>
  <c r="W33" i="185"/>
  <c r="V33" i="185"/>
  <c r="AT33" i="185" s="1"/>
  <c r="P36" i="185"/>
  <c r="O36" i="185"/>
  <c r="N36" i="185"/>
  <c r="E26" i="185"/>
  <c r="D26" i="185"/>
  <c r="GK26" i="185" s="1"/>
  <c r="GM26" i="185" s="1"/>
  <c r="K25" i="185"/>
  <c r="AS25" i="185" s="1"/>
  <c r="J25" i="185"/>
  <c r="I25" i="185"/>
  <c r="EP22" i="185"/>
  <c r="CL45" i="184"/>
  <c r="K41" i="184"/>
  <c r="AS41" i="184" s="1"/>
  <c r="J41" i="184"/>
  <c r="I41" i="184"/>
  <c r="AZ43" i="184"/>
  <c r="AU43" i="184"/>
  <c r="AP43" i="184"/>
  <c r="CM44" i="184"/>
  <c r="GE29" i="184"/>
  <c r="GL29" i="184" s="1"/>
  <c r="GM29" i="184" s="1"/>
  <c r="ET31" i="184"/>
  <c r="AP30" i="184"/>
  <c r="AU30" i="184"/>
  <c r="EP30" i="184" s="1"/>
  <c r="EV27" i="184"/>
  <c r="CJ27" i="184" s="1"/>
  <c r="CM17" i="184"/>
  <c r="AU41" i="183"/>
  <c r="AZ41" i="183"/>
  <c r="AP41" i="183"/>
  <c r="EJ44" i="183"/>
  <c r="CH44" i="183" s="1"/>
  <c r="EI32" i="184"/>
  <c r="K30" i="183"/>
  <c r="J30" i="183"/>
  <c r="I30" i="183"/>
  <c r="CM38" i="183"/>
  <c r="CL39" i="183"/>
  <c r="ER39" i="183"/>
  <c r="EV39" i="183" s="1"/>
  <c r="CJ39" i="183" s="1"/>
  <c r="EP39" i="183"/>
  <c r="AP27" i="183"/>
  <c r="AZ27" i="183"/>
  <c r="AU27" i="183"/>
  <c r="EK27" i="183"/>
  <c r="EV27" i="183" s="1"/>
  <c r="CJ27" i="183" s="1"/>
  <c r="EI27" i="183"/>
  <c r="E40" i="182"/>
  <c r="D40" i="182"/>
  <c r="GK40" i="182" s="1"/>
  <c r="GM40" i="182" s="1"/>
  <c r="AK39" i="182"/>
  <c r="EQ69" i="182"/>
  <c r="EO69" i="182"/>
  <c r="EP27" i="182"/>
  <c r="P29" i="182"/>
  <c r="O29" i="182"/>
  <c r="N29" i="182"/>
  <c r="CL17" i="184"/>
  <c r="K39" i="185"/>
  <c r="AS39" i="185" s="1"/>
  <c r="J39" i="185"/>
  <c r="I39" i="185"/>
  <c r="CJ45" i="185"/>
  <c r="X45" i="185"/>
  <c r="GL35" i="185"/>
  <c r="G38" i="185"/>
  <c r="F38" i="185"/>
  <c r="H38" i="185"/>
  <c r="E41" i="185"/>
  <c r="D41" i="185"/>
  <c r="GK41" i="185" s="1"/>
  <c r="CM32" i="185"/>
  <c r="CI41" i="185"/>
  <c r="GL31" i="185"/>
  <c r="EQ22" i="185"/>
  <c r="CI22" i="185" s="1"/>
  <c r="EO22" i="185"/>
  <c r="E25" i="185"/>
  <c r="D25" i="185"/>
  <c r="GK25" i="185" s="1"/>
  <c r="GM25" i="185" s="1"/>
  <c r="EO25" i="185"/>
  <c r="GL43" i="184"/>
  <c r="GM43" i="184" s="1"/>
  <c r="CJ42" i="184"/>
  <c r="X42" i="184"/>
  <c r="EV39" i="184"/>
  <c r="CJ39" i="184" s="1"/>
  <c r="CI30" i="184"/>
  <c r="AP25" i="184"/>
  <c r="AZ25" i="184"/>
  <c r="AU25" i="184"/>
  <c r="EP25" i="184" s="1"/>
  <c r="AZ34" i="184"/>
  <c r="AU34" i="184"/>
  <c r="AP34" i="184"/>
  <c r="H45" i="183"/>
  <c r="AQ45" i="183" s="1"/>
  <c r="G45" i="183"/>
  <c r="F45" i="183"/>
  <c r="CJ44" i="183"/>
  <c r="X44" i="183"/>
  <c r="CM23" i="184"/>
  <c r="AZ16" i="184"/>
  <c r="AU16" i="184"/>
  <c r="EH16" i="184" s="1"/>
  <c r="AP16" i="184"/>
  <c r="CI22" i="184"/>
  <c r="AZ36" i="183"/>
  <c r="AP36" i="183"/>
  <c r="AU36" i="183"/>
  <c r="EP36" i="183" s="1"/>
  <c r="EH42" i="183"/>
  <c r="EJ42" i="183"/>
  <c r="CH42" i="183" s="1"/>
  <c r="AP39" i="183"/>
  <c r="AU39" i="183"/>
  <c r="EH39" i="183" s="1"/>
  <c r="CI36" i="183"/>
  <c r="EN28" i="183"/>
  <c r="ER28" i="183" s="1"/>
  <c r="EM28" i="183"/>
  <c r="EQ28" i="183" s="1"/>
  <c r="CI28" i="183" s="1"/>
  <c r="G34" i="183"/>
  <c r="H34" i="183"/>
  <c r="AQ34" i="183" s="1"/>
  <c r="AR34" i="183" s="1"/>
  <c r="F34" i="183"/>
  <c r="CI39" i="183"/>
  <c r="CH27" i="183"/>
  <c r="EQ33" i="182"/>
  <c r="CI33" i="182" s="1"/>
  <c r="EO33" i="182"/>
  <c r="EH28" i="183"/>
  <c r="CS27" i="182"/>
  <c r="CR27" i="182"/>
  <c r="EU27" i="182"/>
  <c r="ET27" i="182"/>
  <c r="AT27" i="182"/>
  <c r="EO27" i="182"/>
  <c r="AR27" i="182"/>
  <c r="DR27" i="182"/>
  <c r="DQ27" i="182"/>
  <c r="ER69" i="182"/>
  <c r="EP69" i="182"/>
  <c r="CI30" i="182"/>
  <c r="EI27" i="182"/>
  <c r="EO31" i="184"/>
  <c r="AQ57" i="185"/>
  <c r="AO57" i="185"/>
  <c r="AN57" i="185"/>
  <c r="AM57" i="185"/>
  <c r="AL57" i="185"/>
  <c r="AS57" i="185"/>
  <c r="GD40" i="185"/>
  <c r="GC40" i="185"/>
  <c r="GB40" i="185"/>
  <c r="GE40" i="185"/>
  <c r="GA40" i="185"/>
  <c r="W38" i="185"/>
  <c r="V38" i="185"/>
  <c r="AT38" i="185" s="1"/>
  <c r="U36" i="185"/>
  <c r="T36" i="185"/>
  <c r="AR36" i="185" s="1"/>
  <c r="E28" i="185"/>
  <c r="D28" i="185"/>
  <c r="GK28" i="185" s="1"/>
  <c r="K44" i="184"/>
  <c r="J44" i="184"/>
  <c r="I44" i="184"/>
  <c r="AL45" i="184"/>
  <c r="AQ45" i="184"/>
  <c r="AO45" i="184"/>
  <c r="AN45" i="184"/>
  <c r="AM45" i="184"/>
  <c r="AJ45" i="184"/>
  <c r="AU24" i="185"/>
  <c r="AZ24" i="185"/>
  <c r="AP24" i="185"/>
  <c r="EP41" i="184"/>
  <c r="GL44" i="184"/>
  <c r="GM44" i="184" s="1"/>
  <c r="EI38" i="184"/>
  <c r="CL38" i="184"/>
  <c r="EH38" i="184"/>
  <c r="AZ17" i="184"/>
  <c r="AU17" i="184"/>
  <c r="EP17" i="184" s="1"/>
  <c r="AP17" i="184"/>
  <c r="H24" i="184"/>
  <c r="G24" i="184"/>
  <c r="F24" i="184"/>
  <c r="CM16" i="184"/>
  <c r="EP16" i="184"/>
  <c r="EO16" i="184"/>
  <c r="J23" i="184"/>
  <c r="I23" i="184"/>
  <c r="K23" i="184"/>
  <c r="AS23" i="184" s="1"/>
  <c r="AS45" i="183"/>
  <c r="AO45" i="183"/>
  <c r="AN45" i="183"/>
  <c r="AM45" i="183"/>
  <c r="AL45" i="183"/>
  <c r="K39" i="183"/>
  <c r="AS39" i="183" s="1"/>
  <c r="J39" i="183"/>
  <c r="I39" i="183"/>
  <c r="AU28" i="184"/>
  <c r="CJ45" i="183"/>
  <c r="X45" i="183"/>
  <c r="EP28" i="183"/>
  <c r="EO28" i="183"/>
  <c r="CM28" i="183"/>
  <c r="CJ42" i="183"/>
  <c r="X42" i="183"/>
  <c r="EI26" i="183"/>
  <c r="CL26" i="183"/>
  <c r="EH26" i="183"/>
  <c r="EJ22" i="183"/>
  <c r="CH22" i="183" s="1"/>
  <c r="EH22" i="183"/>
  <c r="AZ35" i="182"/>
  <c r="AU35" i="182"/>
  <c r="EH35" i="182" s="1"/>
  <c r="AP35" i="182"/>
  <c r="EK39" i="182"/>
  <c r="EV39" i="182" s="1"/>
  <c r="F30" i="182"/>
  <c r="AZ30" i="182" s="1"/>
  <c r="H30" i="182"/>
  <c r="AQ30" i="182" s="1"/>
  <c r="G30" i="182"/>
  <c r="EF23" i="182"/>
  <c r="EG23" i="182"/>
  <c r="CJ29" i="185"/>
  <c r="X29" i="185"/>
  <c r="EF35" i="184"/>
  <c r="EJ35" i="184" s="1"/>
  <c r="EG35" i="184"/>
  <c r="EK35" i="184" s="1"/>
  <c r="EV35" i="184" s="1"/>
  <c r="CJ35" i="184" s="1"/>
  <c r="EH34" i="183"/>
  <c r="CL34" i="183"/>
  <c r="EI34" i="183"/>
  <c r="K28" i="182"/>
  <c r="AS28" i="182" s="1"/>
  <c r="J28" i="182"/>
  <c r="I28" i="182"/>
  <c r="AZ28" i="182" s="1"/>
  <c r="K45" i="185"/>
  <c r="J45" i="185"/>
  <c r="I45" i="185"/>
  <c r="D43" i="185"/>
  <c r="GK43" i="185" s="1"/>
  <c r="GM43" i="185" s="1"/>
  <c r="E43" i="185"/>
  <c r="AM43" i="185"/>
  <c r="AL43" i="185"/>
  <c r="AQ43" i="185"/>
  <c r="AO43" i="185"/>
  <c r="AN43" i="185"/>
  <c r="AS43" i="185"/>
  <c r="K36" i="185"/>
  <c r="AS36" i="185" s="1"/>
  <c r="J36" i="185"/>
  <c r="I36" i="185"/>
  <c r="AJ43" i="185"/>
  <c r="CR36" i="185"/>
  <c r="EJ95" i="185"/>
  <c r="EU36" i="185"/>
  <c r="ET36" i="185"/>
  <c r="CS36" i="185"/>
  <c r="DR36" i="185"/>
  <c r="M36" i="185" s="1"/>
  <c r="DQ36" i="185"/>
  <c r="L36" i="185" s="1"/>
  <c r="CL41" i="184"/>
  <c r="CH44" i="185"/>
  <c r="E38" i="185"/>
  <c r="D38" i="185"/>
  <c r="GK38" i="185" s="1"/>
  <c r="GM38" i="185" s="1"/>
  <c r="U35" i="185"/>
  <c r="T35" i="185"/>
  <c r="AR35" i="185" s="1"/>
  <c r="AK38" i="185"/>
  <c r="X36" i="185"/>
  <c r="CJ36" i="185"/>
  <c r="W37" i="185"/>
  <c r="V37" i="185"/>
  <c r="AT37" i="185" s="1"/>
  <c r="CL21" i="185"/>
  <c r="H33" i="185"/>
  <c r="AQ33" i="185" s="1"/>
  <c r="G33" i="185"/>
  <c r="F33" i="185"/>
  <c r="CI27" i="185"/>
  <c r="CI32" i="185"/>
  <c r="EH24" i="185"/>
  <c r="CL24" i="185"/>
  <c r="EV21" i="185"/>
  <c r="CJ21" i="185" s="1"/>
  <c r="AD46" i="185"/>
  <c r="EO39" i="184"/>
  <c r="CM39" i="184"/>
  <c r="CI43" i="184"/>
  <c r="CL40" i="184"/>
  <c r="V45" i="184"/>
  <c r="W45" i="184"/>
  <c r="G32" i="184"/>
  <c r="H32" i="184"/>
  <c r="AQ32" i="184" s="1"/>
  <c r="F32" i="184"/>
  <c r="AZ32" i="184" s="1"/>
  <c r="G31" i="184"/>
  <c r="F31" i="184"/>
  <c r="AZ31" i="184" s="1"/>
  <c r="H31" i="184"/>
  <c r="AQ31" i="184" s="1"/>
  <c r="AR31" i="184" s="1"/>
  <c r="EP36" i="184"/>
  <c r="EI27" i="184"/>
  <c r="CL27" i="184"/>
  <c r="EJ92" i="184"/>
  <c r="EL92" i="184" s="1"/>
  <c r="EU33" i="184"/>
  <c r="ET33" i="184"/>
  <c r="CR33" i="184"/>
  <c r="DR33" i="184"/>
  <c r="AR33" i="184"/>
  <c r="DQ33" i="184"/>
  <c r="CS33" i="184"/>
  <c r="AT33" i="184"/>
  <c r="AJ24" i="184"/>
  <c r="AS24" i="184"/>
  <c r="AO24" i="184"/>
  <c r="AQ24" i="184"/>
  <c r="AN24" i="184"/>
  <c r="AM24" i="184"/>
  <c r="AL24" i="184"/>
  <c r="EO34" i="184"/>
  <c r="EV25" i="184"/>
  <c r="CJ25" i="184" s="1"/>
  <c r="EV16" i="184"/>
  <c r="CJ16" i="184" s="1"/>
  <c r="O42" i="183"/>
  <c r="N42" i="183"/>
  <c r="P42" i="183"/>
  <c r="AJ44" i="183"/>
  <c r="EV41" i="183"/>
  <c r="AM30" i="183"/>
  <c r="AL30" i="183"/>
  <c r="AJ30" i="183"/>
  <c r="AS30" i="183"/>
  <c r="AQ30" i="183"/>
  <c r="AO30" i="183"/>
  <c r="AN30" i="183"/>
  <c r="CH28" i="183"/>
  <c r="AP22" i="183"/>
  <c r="AU22" i="183"/>
  <c r="AZ22" i="183"/>
  <c r="EV22" i="183"/>
  <c r="CJ22" i="183" s="1"/>
  <c r="AZ21" i="183"/>
  <c r="AU21" i="183"/>
  <c r="AP21" i="183"/>
  <c r="EO17" i="183"/>
  <c r="GE25" i="182"/>
  <c r="GL25" i="182" s="1"/>
  <c r="GM25" i="182" s="1"/>
  <c r="I24" i="182"/>
  <c r="AZ24" i="182" s="1"/>
  <c r="K24" i="182"/>
  <c r="AS24" i="182" s="1"/>
  <c r="J24" i="182"/>
  <c r="AO23" i="182"/>
  <c r="AM23" i="182"/>
  <c r="AL23" i="182"/>
  <c r="AJ23" i="182"/>
  <c r="AS23" i="182"/>
  <c r="AQ23" i="182"/>
  <c r="AN23" i="182"/>
  <c r="AU24" i="182"/>
  <c r="EH24" i="182" s="1"/>
  <c r="AP24" i="182"/>
  <c r="AO16" i="177"/>
  <c r="P15" i="177"/>
  <c r="P35" i="176"/>
  <c r="AO36" i="176"/>
  <c r="U45" i="185"/>
  <c r="T45" i="185"/>
  <c r="AR45" i="185" s="1"/>
  <c r="W39" i="185"/>
  <c r="V39" i="185"/>
  <c r="AT39" i="185" s="1"/>
  <c r="GL42" i="185"/>
  <c r="EI36" i="185"/>
  <c r="EH36" i="185"/>
  <c r="CL36" i="185"/>
  <c r="EV44" i="185"/>
  <c r="H45" i="185"/>
  <c r="G45" i="185"/>
  <c r="F45" i="185"/>
  <c r="E39" i="185"/>
  <c r="D39" i="185"/>
  <c r="GK39" i="185" s="1"/>
  <c r="GM39" i="185" s="1"/>
  <c r="S35" i="185"/>
  <c r="R35" i="185"/>
  <c r="Q35" i="185"/>
  <c r="K41" i="185"/>
  <c r="AS41" i="185" s="1"/>
  <c r="J41" i="185"/>
  <c r="I41" i="185"/>
  <c r="T38" i="185"/>
  <c r="U38" i="185"/>
  <c r="EO35" i="185"/>
  <c r="EP35" i="185"/>
  <c r="CM35" i="185"/>
  <c r="EQ34" i="185"/>
  <c r="CI34" i="185" s="1"/>
  <c r="GL33" i="185"/>
  <c r="EJ94" i="185"/>
  <c r="EU35" i="185"/>
  <c r="ES35" i="185"/>
  <c r="CR35" i="185"/>
  <c r="DR35" i="185"/>
  <c r="M35" i="185" s="1"/>
  <c r="DQ35" i="185"/>
  <c r="L35" i="185" s="1"/>
  <c r="CS35" i="185"/>
  <c r="AZ41" i="185"/>
  <c r="AU41" i="185"/>
  <c r="AP41" i="185"/>
  <c r="EI35" i="185"/>
  <c r="E33" i="185"/>
  <c r="D33" i="185"/>
  <c r="GK33" i="185" s="1"/>
  <c r="CI29" i="185"/>
  <c r="CH23" i="185"/>
  <c r="W28" i="185"/>
  <c r="V28" i="185"/>
  <c r="AT28" i="185" s="1"/>
  <c r="GA57" i="184"/>
  <c r="GE57" i="184"/>
  <c r="GD57" i="184"/>
  <c r="GC57" i="184"/>
  <c r="GB57" i="184"/>
  <c r="GL27" i="185"/>
  <c r="J45" i="184"/>
  <c r="I45" i="184"/>
  <c r="K45" i="184"/>
  <c r="AS45" i="184" s="1"/>
  <c r="GM31" i="185"/>
  <c r="AZ44" i="184"/>
  <c r="AU44" i="184"/>
  <c r="EH44" i="184" s="1"/>
  <c r="CM37" i="184"/>
  <c r="CJ43" i="184"/>
  <c r="X43" i="184"/>
  <c r="GE42" i="184"/>
  <c r="GD42" i="184"/>
  <c r="GC42" i="184"/>
  <c r="GB42" i="184"/>
  <c r="GA42" i="184"/>
  <c r="GL42" i="184" s="1"/>
  <c r="GM42" i="184" s="1"/>
  <c r="EQ41" i="184"/>
  <c r="CI41" i="184" s="1"/>
  <c r="EO41" i="184"/>
  <c r="AS44" i="184"/>
  <c r="AQ44" i="184"/>
  <c r="AO44" i="184"/>
  <c r="AN44" i="184"/>
  <c r="AM44" i="184"/>
  <c r="AL44" i="184"/>
  <c r="AP44" i="184" s="1"/>
  <c r="AU35" i="184"/>
  <c r="EO35" i="184" s="1"/>
  <c r="AP35" i="184"/>
  <c r="AZ35" i="184"/>
  <c r="CI35" i="184"/>
  <c r="H23" i="184"/>
  <c r="AQ23" i="184" s="1"/>
  <c r="G23" i="184"/>
  <c r="F23" i="184"/>
  <c r="AZ23" i="184" s="1"/>
  <c r="AP23" i="184"/>
  <c r="AU23" i="184"/>
  <c r="EP23" i="184" s="1"/>
  <c r="AP19" i="184"/>
  <c r="AZ19" i="184"/>
  <c r="AU19" i="184"/>
  <c r="EO20" i="184"/>
  <c r="CR34" i="183"/>
  <c r="DR34" i="183"/>
  <c r="EV28" i="183"/>
  <c r="CJ28" i="183" s="1"/>
  <c r="CH34" i="183"/>
  <c r="EH29" i="183"/>
  <c r="CH21" i="183"/>
  <c r="H39" i="182"/>
  <c r="G39" i="182"/>
  <c r="F39" i="182"/>
  <c r="CH32" i="182"/>
  <c r="AP32" i="182"/>
  <c r="AZ32" i="182"/>
  <c r="AU32" i="182"/>
  <c r="EI32" i="182" s="1"/>
  <c r="AU38" i="182"/>
  <c r="AP38" i="182"/>
  <c r="AZ38" i="182"/>
  <c r="P21" i="176"/>
  <c r="AO22" i="176"/>
  <c r="P22" i="176" s="1"/>
  <c r="CL31" i="185"/>
  <c r="I22" i="184"/>
  <c r="AZ22" i="184" s="1"/>
  <c r="K22" i="184"/>
  <c r="AS22" i="184" s="1"/>
  <c r="J22" i="184"/>
  <c r="CM45" i="183"/>
  <c r="H39" i="183"/>
  <c r="AQ39" i="183" s="1"/>
  <c r="F39" i="183"/>
  <c r="AZ39" i="183" s="1"/>
  <c r="G39" i="183"/>
  <c r="GE41" i="185"/>
  <c r="GC41" i="185"/>
  <c r="GB41" i="185"/>
  <c r="GD41" i="185"/>
  <c r="GA41" i="185"/>
  <c r="GL41" i="185" s="1"/>
  <c r="GB45" i="185"/>
  <c r="GA45" i="185"/>
  <c r="GL45" i="185" s="1"/>
  <c r="GE45" i="185"/>
  <c r="GC45" i="185"/>
  <c r="GD45" i="185"/>
  <c r="EL81" i="185"/>
  <c r="EI33" i="185"/>
  <c r="EH33" i="185"/>
  <c r="CL33" i="185"/>
  <c r="CJ25" i="185"/>
  <c r="X25" i="185"/>
  <c r="EJ27" i="185"/>
  <c r="U26" i="185"/>
  <c r="T26" i="185"/>
  <c r="AR26" i="185" s="1"/>
  <c r="AZ39" i="184"/>
  <c r="AU39" i="184"/>
  <c r="AP39" i="184"/>
  <c r="EP32" i="184"/>
  <c r="EO32" i="184"/>
  <c r="CM32" i="184"/>
  <c r="EI28" i="184"/>
  <c r="W45" i="183"/>
  <c r="V45" i="183"/>
  <c r="AT45" i="183" s="1"/>
  <c r="AS43" i="183"/>
  <c r="AO43" i="183"/>
  <c r="AM43" i="183"/>
  <c r="AN43" i="183"/>
  <c r="AL43" i="183"/>
  <c r="AP43" i="183" s="1"/>
  <c r="AQ43" i="183"/>
  <c r="AJ45" i="183"/>
  <c r="EO34" i="183"/>
  <c r="CM34" i="183"/>
  <c r="EP34" i="183"/>
  <c r="AZ24" i="183"/>
  <c r="AU24" i="183"/>
  <c r="EO24" i="183" s="1"/>
  <c r="AP24" i="183"/>
  <c r="G20" i="183"/>
  <c r="H20" i="183"/>
  <c r="AQ20" i="183" s="1"/>
  <c r="F20" i="183"/>
  <c r="CM22" i="183"/>
  <c r="EP22" i="183"/>
  <c r="EO22" i="183"/>
  <c r="AP18" i="183"/>
  <c r="AU20" i="183"/>
  <c r="AP20" i="183"/>
  <c r="AZ20" i="183"/>
  <c r="J33" i="182"/>
  <c r="I33" i="182"/>
  <c r="AZ33" i="182" s="1"/>
  <c r="K33" i="182"/>
  <c r="AS33" i="182" s="1"/>
  <c r="GL39" i="182"/>
  <c r="AT29" i="182"/>
  <c r="DR29" i="182"/>
  <c r="AR29" i="182"/>
  <c r="EU29" i="182"/>
  <c r="CS29" i="182"/>
  <c r="CR29" i="182"/>
  <c r="DQ29" i="182"/>
  <c r="EP29" i="182"/>
  <c r="P54" i="175"/>
  <c r="AO55" i="175"/>
  <c r="P55" i="175" s="1"/>
  <c r="CM26" i="183"/>
  <c r="EP26" i="183"/>
  <c r="EO26" i="183"/>
  <c r="G28" i="183"/>
  <c r="H28" i="183"/>
  <c r="AQ28" i="183" s="1"/>
  <c r="F28" i="183"/>
  <c r="AZ28" i="183" s="1"/>
  <c r="E34" i="185"/>
  <c r="D34" i="185"/>
  <c r="GK34" i="185" s="1"/>
  <c r="J31" i="185"/>
  <c r="I31" i="185"/>
  <c r="K31" i="185"/>
  <c r="AS31" i="185" s="1"/>
  <c r="CJ23" i="185"/>
  <c r="X23" i="185"/>
  <c r="H44" i="185"/>
  <c r="AQ44" i="185" s="1"/>
  <c r="G44" i="185"/>
  <c r="F44" i="185"/>
  <c r="CH43" i="185"/>
  <c r="AJ57" i="185"/>
  <c r="H39" i="185"/>
  <c r="AQ39" i="185" s="1"/>
  <c r="G39" i="185"/>
  <c r="F39" i="185"/>
  <c r="GL32" i="185"/>
  <c r="AJ34" i="185"/>
  <c r="EK27" i="185"/>
  <c r="EV27" i="185" s="1"/>
  <c r="AT42" i="185"/>
  <c r="H19" i="185"/>
  <c r="AQ19" i="185" s="1"/>
  <c r="G19" i="185"/>
  <c r="F19" i="185"/>
  <c r="K19" i="185"/>
  <c r="J19" i="185"/>
  <c r="I19" i="185"/>
  <c r="CJ28" i="185"/>
  <c r="X28" i="185"/>
  <c r="AZ20" i="185"/>
  <c r="AU20" i="185"/>
  <c r="AP20" i="185"/>
  <c r="U45" i="184"/>
  <c r="T45" i="184"/>
  <c r="CH36" i="184"/>
  <c r="K39" i="184"/>
  <c r="AS39" i="184" s="1"/>
  <c r="J39" i="184"/>
  <c r="I39" i="184"/>
  <c r="J32" i="184"/>
  <c r="I32" i="184"/>
  <c r="K32" i="184"/>
  <c r="AS32" i="184" s="1"/>
  <c r="AU27" i="184"/>
  <c r="AP27" i="184"/>
  <c r="AZ27" i="184"/>
  <c r="CI32" i="184"/>
  <c r="CH32" i="184"/>
  <c r="AZ18" i="184"/>
  <c r="AP18" i="184"/>
  <c r="AU18" i="184"/>
  <c r="GD57" i="183"/>
  <c r="GC57" i="183"/>
  <c r="GB57" i="183"/>
  <c r="GE57" i="183"/>
  <c r="GA57" i="183"/>
  <c r="EH22" i="184"/>
  <c r="GM42" i="183"/>
  <c r="CL41" i="183"/>
  <c r="EI41" i="183"/>
  <c r="EH41" i="183"/>
  <c r="AT42" i="183"/>
  <c r="R34" i="183"/>
  <c r="S34" i="183"/>
  <c r="Q34" i="183"/>
  <c r="EI43" i="183"/>
  <c r="EP31" i="183"/>
  <c r="EP29" i="183"/>
  <c r="EP25" i="183"/>
  <c r="EH40" i="182"/>
  <c r="EI40" i="182"/>
  <c r="CL40" i="182"/>
  <c r="EH20" i="183"/>
  <c r="AO16" i="183"/>
  <c r="AM16" i="183"/>
  <c r="AL16" i="183"/>
  <c r="AS16" i="183"/>
  <c r="AQ16" i="183"/>
  <c r="AN16" i="183"/>
  <c r="AJ16" i="183"/>
  <c r="EO32" i="182"/>
  <c r="EO35" i="182"/>
  <c r="EK19" i="183"/>
  <c r="EV19" i="183" s="1"/>
  <c r="CJ19" i="183" s="1"/>
  <c r="AT40" i="182"/>
  <c r="E32" i="185"/>
  <c r="D32" i="185"/>
  <c r="GK32" i="185" s="1"/>
  <c r="AP40" i="184"/>
  <c r="AZ40" i="184"/>
  <c r="AU40" i="184"/>
  <c r="AS42" i="185"/>
  <c r="AO42" i="185"/>
  <c r="AQ42" i="185"/>
  <c r="AM42" i="185"/>
  <c r="AL42" i="185"/>
  <c r="AP42" i="185" s="1"/>
  <c r="AN42" i="185"/>
  <c r="CM44" i="185"/>
  <c r="CJ43" i="185"/>
  <c r="X43" i="185"/>
  <c r="AK45" i="185"/>
  <c r="EI41" i="185"/>
  <c r="CL41" i="185"/>
  <c r="EH41" i="185"/>
  <c r="AS37" i="185"/>
  <c r="AL37" i="185"/>
  <c r="AQ37" i="185"/>
  <c r="AO37" i="185"/>
  <c r="AN37" i="185"/>
  <c r="AM37" i="185"/>
  <c r="AJ37" i="185"/>
  <c r="GL37" i="185"/>
  <c r="GM37" i="185" s="1"/>
  <c r="CL34" i="185"/>
  <c r="AQ29" i="185"/>
  <c r="AO29" i="185"/>
  <c r="AN29" i="185"/>
  <c r="AM29" i="185"/>
  <c r="AL29" i="185"/>
  <c r="AJ29" i="185"/>
  <c r="AS29" i="185"/>
  <c r="AT36" i="185"/>
  <c r="K33" i="185"/>
  <c r="AS33" i="185" s="1"/>
  <c r="J33" i="185"/>
  <c r="I33" i="185"/>
  <c r="V25" i="185"/>
  <c r="W25" i="185"/>
  <c r="AK26" i="185"/>
  <c r="AT26" i="185"/>
  <c r="J29" i="185"/>
  <c r="I29" i="185"/>
  <c r="K29" i="185"/>
  <c r="CH25" i="185"/>
  <c r="EJ29" i="185"/>
  <c r="CH29" i="185" s="1"/>
  <c r="AZ21" i="185"/>
  <c r="AU21" i="185"/>
  <c r="AP21" i="185"/>
  <c r="AS17" i="185"/>
  <c r="AN17" i="185"/>
  <c r="AM17" i="185"/>
  <c r="AO17" i="185"/>
  <c r="AL17" i="185"/>
  <c r="AJ17" i="185"/>
  <c r="W23" i="185"/>
  <c r="V23" i="185"/>
  <c r="AT23" i="185" s="1"/>
  <c r="U28" i="185"/>
  <c r="T28" i="185"/>
  <c r="AR28" i="185" s="1"/>
  <c r="CI44" i="184"/>
  <c r="AZ37" i="184"/>
  <c r="AU37" i="184"/>
  <c r="EH37" i="184" s="1"/>
  <c r="AP37" i="184"/>
  <c r="EK36" i="184"/>
  <c r="EV36" i="184" s="1"/>
  <c r="CJ36" i="184" s="1"/>
  <c r="EI36" i="184"/>
  <c r="CI19" i="185"/>
  <c r="AR44" i="184"/>
  <c r="AZ41" i="184"/>
  <c r="AU41" i="184"/>
  <c r="EI41" i="184" s="1"/>
  <c r="AP41" i="184"/>
  <c r="EP43" i="184"/>
  <c r="CI33" i="184"/>
  <c r="G30" i="184"/>
  <c r="H30" i="184"/>
  <c r="AQ30" i="184" s="1"/>
  <c r="F30" i="184"/>
  <c r="AZ30" i="184" s="1"/>
  <c r="GE25" i="184"/>
  <c r="GL25" i="184" s="1"/>
  <c r="GM25" i="184" s="1"/>
  <c r="EK29" i="184"/>
  <c r="EV29" i="184" s="1"/>
  <c r="CJ29" i="184" s="1"/>
  <c r="EI29" i="184"/>
  <c r="EI37" i="183"/>
  <c r="CL37" i="183"/>
  <c r="EH37" i="183"/>
  <c r="EV43" i="183"/>
  <c r="GM41" i="183"/>
  <c r="AZ38" i="183"/>
  <c r="AU38" i="183"/>
  <c r="EP38" i="183" s="1"/>
  <c r="AP38" i="183"/>
  <c r="CL33" i="183"/>
  <c r="EO29" i="183"/>
  <c r="EJ24" i="183"/>
  <c r="CH24" i="183" s="1"/>
  <c r="EH24" i="183"/>
  <c r="CI26" i="183"/>
  <c r="EF69" i="182"/>
  <c r="EG69" i="182"/>
  <c r="EI18" i="183"/>
  <c r="AZ19" i="183"/>
  <c r="AP19" i="183"/>
  <c r="AU19" i="183"/>
  <c r="EP19" i="183" s="1"/>
  <c r="AU34" i="182"/>
  <c r="AP34" i="182"/>
  <c r="AZ34" i="182"/>
  <c r="EG29" i="182"/>
  <c r="EF29" i="182"/>
  <c r="I31" i="182"/>
  <c r="K31" i="182"/>
  <c r="AS31" i="182" s="1"/>
  <c r="J31" i="182"/>
  <c r="EJ19" i="183"/>
  <c r="CH19" i="183" s="1"/>
  <c r="EI31" i="182"/>
  <c r="AP26" i="182"/>
  <c r="AZ26" i="182"/>
  <c r="AU26" i="182"/>
  <c r="GD48" i="84"/>
  <c r="GC48" i="84"/>
  <c r="GB48" i="84"/>
  <c r="GA48" i="84"/>
  <c r="GD48" i="160"/>
  <c r="GC48" i="160"/>
  <c r="GB48" i="160"/>
  <c r="GA48" i="160"/>
  <c r="GD57" i="147"/>
  <c r="GC57" i="147"/>
  <c r="GB57" i="147"/>
  <c r="GA57" i="147"/>
  <c r="AO18" i="195" l="1"/>
  <c r="P17" i="195"/>
  <c r="AO18" i="194"/>
  <c r="P17" i="194"/>
  <c r="AO18" i="193"/>
  <c r="P17" i="193"/>
  <c r="AO18" i="192"/>
  <c r="P17" i="192"/>
  <c r="AO18" i="191"/>
  <c r="P17" i="191"/>
  <c r="AO18" i="190"/>
  <c r="P17" i="190"/>
  <c r="AO18" i="189"/>
  <c r="P17" i="189"/>
  <c r="AD47" i="184"/>
  <c r="P56" i="175"/>
  <c r="AD47" i="183"/>
  <c r="AD47" i="185"/>
  <c r="AD47" i="182"/>
  <c r="AA15" i="182"/>
  <c r="EK69" i="182"/>
  <c r="EV69" i="182" s="1"/>
  <c r="EI69" i="182"/>
  <c r="AP29" i="185"/>
  <c r="AZ29" i="185"/>
  <c r="AU29" i="185"/>
  <c r="EJ99" i="184"/>
  <c r="EL99" i="184" s="1"/>
  <c r="AT40" i="184"/>
  <c r="DR40" i="184"/>
  <c r="AR40" i="184"/>
  <c r="DQ40" i="184"/>
  <c r="EU40" i="184"/>
  <c r="ES40" i="184"/>
  <c r="CS40" i="184"/>
  <c r="CR40" i="184"/>
  <c r="ET40" i="184"/>
  <c r="EP40" i="184"/>
  <c r="EO40" i="184"/>
  <c r="EJ86" i="184"/>
  <c r="EL86" i="184" s="1"/>
  <c r="AT27" i="184"/>
  <c r="DR27" i="184"/>
  <c r="DQ27" i="184"/>
  <c r="EU27" i="184"/>
  <c r="AR27" i="184"/>
  <c r="CS27" i="184"/>
  <c r="CR27" i="184"/>
  <c r="ES27" i="184"/>
  <c r="ET27" i="184"/>
  <c r="EO27" i="184"/>
  <c r="T43" i="185"/>
  <c r="AR43" i="185" s="1"/>
  <c r="U43" i="185"/>
  <c r="ET39" i="184"/>
  <c r="CR39" i="184"/>
  <c r="EJ98" i="184"/>
  <c r="EL98" i="184" s="1"/>
  <c r="AT39" i="184"/>
  <c r="DR39" i="184"/>
  <c r="AR39" i="184"/>
  <c r="EU39" i="184"/>
  <c r="ES39" i="184"/>
  <c r="DQ39" i="184"/>
  <c r="CS39" i="184"/>
  <c r="EH39" i="184"/>
  <c r="EI39" i="184"/>
  <c r="V41" i="184"/>
  <c r="W41" i="184"/>
  <c r="CJ44" i="185"/>
  <c r="X44" i="185"/>
  <c r="AP30" i="183"/>
  <c r="AZ30" i="183"/>
  <c r="AU30" i="183"/>
  <c r="EL102" i="184"/>
  <c r="EJ102" i="184"/>
  <c r="EU43" i="184"/>
  <c r="CS43" i="184"/>
  <c r="CR43" i="184"/>
  <c r="ET43" i="184"/>
  <c r="DR43" i="184"/>
  <c r="M43" i="184" s="1"/>
  <c r="DQ43" i="184"/>
  <c r="L43" i="184" s="1"/>
  <c r="EO43" i="184"/>
  <c r="EI43" i="184"/>
  <c r="ES43" i="184"/>
  <c r="EJ81" i="184"/>
  <c r="CS22" i="184"/>
  <c r="CR22" i="184"/>
  <c r="DR22" i="184"/>
  <c r="AR22" i="184"/>
  <c r="AT22" i="184"/>
  <c r="EU22" i="184"/>
  <c r="ET22" i="184"/>
  <c r="ES22" i="184"/>
  <c r="DQ22" i="184"/>
  <c r="EI22" i="184"/>
  <c r="EL81" i="184"/>
  <c r="EP22" i="184"/>
  <c r="EO22" i="184"/>
  <c r="AR41" i="185"/>
  <c r="AZ27" i="185"/>
  <c r="AU27" i="185"/>
  <c r="AP27" i="185"/>
  <c r="EJ87" i="183"/>
  <c r="DR28" i="183"/>
  <c r="CS28" i="183"/>
  <c r="AT28" i="183"/>
  <c r="AR28" i="183"/>
  <c r="DQ28" i="183"/>
  <c r="EU28" i="183"/>
  <c r="ES28" i="183"/>
  <c r="CR28" i="183"/>
  <c r="ET28" i="183"/>
  <c r="EL87" i="183"/>
  <c r="EJ84" i="183"/>
  <c r="EL84" i="183" s="1"/>
  <c r="CS25" i="183"/>
  <c r="CR25" i="183"/>
  <c r="EU25" i="183"/>
  <c r="AR25" i="183"/>
  <c r="ET25" i="183"/>
  <c r="DR25" i="183"/>
  <c r="DQ25" i="183"/>
  <c r="AT25" i="183"/>
  <c r="EO25" i="183"/>
  <c r="EH25" i="183"/>
  <c r="EI25" i="183"/>
  <c r="ES25" i="183"/>
  <c r="EJ80" i="184"/>
  <c r="DR21" i="184"/>
  <c r="AR21" i="184"/>
  <c r="DQ21" i="184"/>
  <c r="CS21" i="184"/>
  <c r="EU21" i="184"/>
  <c r="ES21" i="184"/>
  <c r="CR21" i="184"/>
  <c r="AT21" i="184"/>
  <c r="EL80" i="184"/>
  <c r="EP21" i="184"/>
  <c r="ET21" i="184"/>
  <c r="EO21" i="184"/>
  <c r="W44" i="185"/>
  <c r="V44" i="185"/>
  <c r="W24" i="185"/>
  <c r="V24" i="185"/>
  <c r="AT24" i="185" s="1"/>
  <c r="AU57" i="184"/>
  <c r="EJ87" i="185"/>
  <c r="DR28" i="185"/>
  <c r="M28" i="185" s="1"/>
  <c r="EU28" i="185"/>
  <c r="CS28" i="185"/>
  <c r="ES28" i="185"/>
  <c r="CR28" i="185"/>
  <c r="DQ28" i="185"/>
  <c r="L28" i="185" s="1"/>
  <c r="EP28" i="185"/>
  <c r="ET28" i="185"/>
  <c r="EH28" i="185"/>
  <c r="EI28" i="185"/>
  <c r="EL87" i="185"/>
  <c r="EO28" i="185"/>
  <c r="AP57" i="185"/>
  <c r="AZ57" i="185" s="1"/>
  <c r="AU57" i="185"/>
  <c r="EH69" i="182"/>
  <c r="EJ69" i="182"/>
  <c r="EU41" i="185"/>
  <c r="EL100" i="185"/>
  <c r="EJ100" i="185"/>
  <c r="DR41" i="185"/>
  <c r="M41" i="185" s="1"/>
  <c r="ES41" i="185"/>
  <c r="DQ41" i="185"/>
  <c r="L41" i="185" s="1"/>
  <c r="CS41" i="185"/>
  <c r="CR41" i="185"/>
  <c r="ET41" i="185"/>
  <c r="AS38" i="185"/>
  <c r="AO38" i="185"/>
  <c r="AN38" i="185"/>
  <c r="AM38" i="185"/>
  <c r="AL38" i="185"/>
  <c r="AQ38" i="185"/>
  <c r="AJ38" i="185"/>
  <c r="AZ43" i="185"/>
  <c r="AP43" i="185"/>
  <c r="AU43" i="185"/>
  <c r="EO23" i="184"/>
  <c r="DQ41" i="183"/>
  <c r="L41" i="183" s="1"/>
  <c r="EU41" i="183"/>
  <c r="EJ100" i="183"/>
  <c r="CS41" i="183"/>
  <c r="ET41" i="183"/>
  <c r="DR41" i="183"/>
  <c r="M41" i="183" s="1"/>
  <c r="ES41" i="183"/>
  <c r="EL100" i="183"/>
  <c r="EO41" i="183"/>
  <c r="CR41" i="183"/>
  <c r="EJ90" i="183"/>
  <c r="EL90" i="183" s="1"/>
  <c r="DR31" i="183"/>
  <c r="DQ31" i="183"/>
  <c r="EU31" i="183"/>
  <c r="CS31" i="183"/>
  <c r="CR31" i="183"/>
  <c r="AT31" i="183"/>
  <c r="AR31" i="183"/>
  <c r="ET31" i="183"/>
  <c r="ES31" i="183"/>
  <c r="EO31" i="183"/>
  <c r="EI31" i="183"/>
  <c r="EH31" i="183"/>
  <c r="EH43" i="184"/>
  <c r="CJ40" i="185"/>
  <c r="X40" i="185"/>
  <c r="GL24" i="185"/>
  <c r="EP35" i="184"/>
  <c r="U29" i="185"/>
  <c r="T29" i="185"/>
  <c r="AR29" i="185" s="1"/>
  <c r="AP45" i="183"/>
  <c r="AZ45" i="183"/>
  <c r="AU45" i="183"/>
  <c r="AO17" i="177"/>
  <c r="P16" i="177"/>
  <c r="EH23" i="183"/>
  <c r="AZ24" i="184"/>
  <c r="AU24" i="184"/>
  <c r="AP24" i="184"/>
  <c r="EJ83" i="185"/>
  <c r="DR24" i="185"/>
  <c r="M24" i="185" s="1"/>
  <c r="DQ24" i="185"/>
  <c r="L24" i="185" s="1"/>
  <c r="CS24" i="185"/>
  <c r="CR24" i="185"/>
  <c r="EU24" i="185"/>
  <c r="ET24" i="185"/>
  <c r="ES24" i="185"/>
  <c r="EL83" i="185"/>
  <c r="EO24" i="185"/>
  <c r="EU28" i="182"/>
  <c r="ES28" i="182"/>
  <c r="CS28" i="182"/>
  <c r="CR28" i="182"/>
  <c r="AT28" i="182"/>
  <c r="AR28" i="182"/>
  <c r="DR28" i="182"/>
  <c r="DQ28" i="182"/>
  <c r="EH28" i="182"/>
  <c r="EI28" i="182"/>
  <c r="ET28" i="182"/>
  <c r="AU35" i="183"/>
  <c r="AZ35" i="183"/>
  <c r="AP35" i="183"/>
  <c r="EO25" i="184"/>
  <c r="EJ88" i="183"/>
  <c r="EL88" i="183" s="1"/>
  <c r="CS29" i="183"/>
  <c r="AR29" i="183"/>
  <c r="DR29" i="183"/>
  <c r="DQ29" i="183"/>
  <c r="EU29" i="183"/>
  <c r="CR29" i="183"/>
  <c r="AT29" i="183"/>
  <c r="EI29" i="183"/>
  <c r="ES29" i="183"/>
  <c r="ET29" i="183"/>
  <c r="W39" i="182"/>
  <c r="V39" i="182"/>
  <c r="AT39" i="182" s="1"/>
  <c r="EO28" i="182"/>
  <c r="EP24" i="182"/>
  <c r="EJ92" i="185"/>
  <c r="DQ33" i="185"/>
  <c r="L33" i="185" s="1"/>
  <c r="EU33" i="185"/>
  <c r="DR33" i="185"/>
  <c r="M33" i="185" s="1"/>
  <c r="CR33" i="185"/>
  <c r="ES33" i="185"/>
  <c r="CS33" i="185"/>
  <c r="ET33" i="185"/>
  <c r="EL92" i="185"/>
  <c r="S18" i="183"/>
  <c r="R18" i="183"/>
  <c r="Q18" i="183"/>
  <c r="S26" i="183"/>
  <c r="R26" i="183"/>
  <c r="Q26" i="183"/>
  <c r="U25" i="185"/>
  <c r="T25" i="185"/>
  <c r="GM32" i="185"/>
  <c r="EJ79" i="183"/>
  <c r="AT20" i="183"/>
  <c r="DR20" i="183"/>
  <c r="AR20" i="183"/>
  <c r="DQ20" i="183"/>
  <c r="EU20" i="183"/>
  <c r="CS20" i="183"/>
  <c r="ES20" i="183"/>
  <c r="CR20" i="183"/>
  <c r="EO20" i="183"/>
  <c r="EL79" i="183"/>
  <c r="EP20" i="183"/>
  <c r="EI20" i="183"/>
  <c r="ET20" i="183"/>
  <c r="AR38" i="185"/>
  <c r="CJ41" i="183"/>
  <c r="X41" i="183"/>
  <c r="EI24" i="185"/>
  <c r="AU45" i="184"/>
  <c r="AZ45" i="184"/>
  <c r="AP45" i="184"/>
  <c r="EO17" i="184"/>
  <c r="EO36" i="183"/>
  <c r="P40" i="182"/>
  <c r="O40" i="182"/>
  <c r="N40" i="182"/>
  <c r="V42" i="184"/>
  <c r="AT42" i="184" s="1"/>
  <c r="W42" i="184"/>
  <c r="CH40" i="185"/>
  <c r="EP28" i="182"/>
  <c r="AU57" i="183"/>
  <c r="AP57" i="183"/>
  <c r="AZ57" i="183" s="1"/>
  <c r="EH30" i="184"/>
  <c r="AU40" i="185"/>
  <c r="AZ40" i="185"/>
  <c r="AP40" i="185"/>
  <c r="AZ31" i="185"/>
  <c r="AU31" i="185"/>
  <c r="AP31" i="185"/>
  <c r="AS45" i="185"/>
  <c r="AQ45" i="185"/>
  <c r="AO45" i="185"/>
  <c r="AN45" i="185"/>
  <c r="AM45" i="185"/>
  <c r="AL45" i="185"/>
  <c r="AJ45" i="185"/>
  <c r="CS24" i="182"/>
  <c r="CR24" i="182"/>
  <c r="AT24" i="182"/>
  <c r="DR24" i="182"/>
  <c r="AR24" i="182"/>
  <c r="DQ24" i="182"/>
  <c r="EU24" i="182"/>
  <c r="ET24" i="182"/>
  <c r="ES24" i="182"/>
  <c r="EJ80" i="183"/>
  <c r="EL80" i="183" s="1"/>
  <c r="DQ21" i="183"/>
  <c r="EU21" i="183"/>
  <c r="CS21" i="183"/>
  <c r="CR21" i="183"/>
  <c r="AT21" i="183"/>
  <c r="DR21" i="183"/>
  <c r="AR21" i="183"/>
  <c r="ET21" i="183"/>
  <c r="ES21" i="183"/>
  <c r="EP21" i="183"/>
  <c r="EI21" i="183"/>
  <c r="EH21" i="183"/>
  <c r="EO21" i="183"/>
  <c r="AZ44" i="183"/>
  <c r="AP44" i="183"/>
  <c r="AU44" i="183"/>
  <c r="GL40" i="185"/>
  <c r="S27" i="182"/>
  <c r="R27" i="182"/>
  <c r="Q27" i="182"/>
  <c r="DR39" i="183"/>
  <c r="AR39" i="183"/>
  <c r="DQ39" i="183"/>
  <c r="EL98" i="183"/>
  <c r="EJ98" i="183"/>
  <c r="ET39" i="183"/>
  <c r="CR39" i="183"/>
  <c r="CS39" i="183"/>
  <c r="AT39" i="183"/>
  <c r="EU39" i="183"/>
  <c r="EO39" i="183"/>
  <c r="ES39" i="183"/>
  <c r="GM35" i="185"/>
  <c r="AP33" i="183"/>
  <c r="AZ33" i="183"/>
  <c r="AU33" i="183"/>
  <c r="EQ35" i="183"/>
  <c r="CI35" i="183" s="1"/>
  <c r="EO35" i="183"/>
  <c r="EO18" i="185"/>
  <c r="GM40" i="185"/>
  <c r="EP24" i="183"/>
  <c r="R40" i="182"/>
  <c r="Q40" i="182"/>
  <c r="S40" i="182"/>
  <c r="GM42" i="185"/>
  <c r="GM24" i="185"/>
  <c r="EJ82" i="184"/>
  <c r="EL82" i="184" s="1"/>
  <c r="DR23" i="184"/>
  <c r="AR23" i="184"/>
  <c r="DQ23" i="184"/>
  <c r="CS23" i="184"/>
  <c r="EU23" i="184"/>
  <c r="ET23" i="184"/>
  <c r="AT23" i="184"/>
  <c r="CR23" i="184"/>
  <c r="EI23" i="184"/>
  <c r="ES23" i="184"/>
  <c r="EH23" i="184"/>
  <c r="CH27" i="185"/>
  <c r="W32" i="185"/>
  <c r="V32" i="185"/>
  <c r="CJ39" i="182"/>
  <c r="X39" i="182"/>
  <c r="EL87" i="184"/>
  <c r="EJ87" i="184"/>
  <c r="DR28" i="184"/>
  <c r="DQ28" i="184"/>
  <c r="EU28" i="184"/>
  <c r="CS28" i="184"/>
  <c r="CR28" i="184"/>
  <c r="ES28" i="184"/>
  <c r="AT28" i="184"/>
  <c r="AR28" i="184"/>
  <c r="EP28" i="184"/>
  <c r="EH28" i="184"/>
  <c r="EO28" i="184"/>
  <c r="ET28" i="184"/>
  <c r="EI39" i="183"/>
  <c r="EI24" i="182"/>
  <c r="ER35" i="183"/>
  <c r="EV35" i="183" s="1"/>
  <c r="CJ35" i="183" s="1"/>
  <c r="EP35" i="183"/>
  <c r="GM30" i="185"/>
  <c r="AZ40" i="183"/>
  <c r="AP40" i="183"/>
  <c r="AU40" i="183"/>
  <c r="EI44" i="184"/>
  <c r="AZ33" i="184"/>
  <c r="EJ91" i="183"/>
  <c r="EL91" i="183" s="1"/>
  <c r="DR32" i="183"/>
  <c r="AR32" i="183"/>
  <c r="DQ32" i="183"/>
  <c r="EU32" i="183"/>
  <c r="CS32" i="183"/>
  <c r="CR32" i="183"/>
  <c r="AT32" i="183"/>
  <c r="ES32" i="183"/>
  <c r="ET32" i="183"/>
  <c r="EP32" i="183"/>
  <c r="EH32" i="183"/>
  <c r="EO32" i="183"/>
  <c r="EJ91" i="184"/>
  <c r="EL91" i="184" s="1"/>
  <c r="DR32" i="184"/>
  <c r="AR32" i="184"/>
  <c r="DQ32" i="184"/>
  <c r="CS32" i="184"/>
  <c r="CR32" i="184"/>
  <c r="AT32" i="184"/>
  <c r="EU32" i="184"/>
  <c r="ES32" i="184"/>
  <c r="ET32" i="184"/>
  <c r="P26" i="183"/>
  <c r="O26" i="183"/>
  <c r="N26" i="183"/>
  <c r="EH19" i="183"/>
  <c r="W44" i="184"/>
  <c r="V44" i="184"/>
  <c r="AT44" i="184" s="1"/>
  <c r="EJ29" i="182"/>
  <c r="CH29" i="182" s="1"/>
  <c r="EH29" i="182"/>
  <c r="V27" i="185"/>
  <c r="W27" i="185"/>
  <c r="U44" i="185"/>
  <c r="T44" i="185"/>
  <c r="CH29" i="184"/>
  <c r="GL36" i="185"/>
  <c r="GM36" i="185" s="1"/>
  <c r="AO53" i="176"/>
  <c r="P52" i="176"/>
  <c r="EJ76" i="183"/>
  <c r="CS17" i="183"/>
  <c r="AT17" i="183"/>
  <c r="DR17" i="183"/>
  <c r="EU17" i="183"/>
  <c r="DQ17" i="183"/>
  <c r="ET17" i="183"/>
  <c r="CR17" i="183"/>
  <c r="AR17" i="183"/>
  <c r="ES17" i="183"/>
  <c r="EL76" i="183"/>
  <c r="EP17" i="183"/>
  <c r="EI17" i="183"/>
  <c r="EH17" i="183"/>
  <c r="CH40" i="183"/>
  <c r="EK32" i="185"/>
  <c r="EV32" i="185" s="1"/>
  <c r="AT35" i="185"/>
  <c r="DQ39" i="185"/>
  <c r="L39" i="185" s="1"/>
  <c r="CS39" i="185"/>
  <c r="EJ98" i="185"/>
  <c r="DR39" i="185"/>
  <c r="M39" i="185" s="1"/>
  <c r="CR39" i="185"/>
  <c r="EU39" i="185"/>
  <c r="ET39" i="185"/>
  <c r="EL98" i="185"/>
  <c r="EH39" i="185"/>
  <c r="EI39" i="185"/>
  <c r="ES39" i="185"/>
  <c r="EJ80" i="185"/>
  <c r="EL80" i="185" s="1"/>
  <c r="DR21" i="185"/>
  <c r="AR21" i="185"/>
  <c r="CS21" i="185"/>
  <c r="EU21" i="185"/>
  <c r="CR21" i="185"/>
  <c r="AT21" i="185"/>
  <c r="DQ21" i="185"/>
  <c r="ES21" i="185"/>
  <c r="ET21" i="185"/>
  <c r="AQ32" i="185"/>
  <c r="AO32" i="185"/>
  <c r="AN32" i="185"/>
  <c r="AM32" i="185"/>
  <c r="AL32" i="185"/>
  <c r="AS32" i="185"/>
  <c r="AJ32" i="185"/>
  <c r="EK29" i="182"/>
  <c r="EV29" i="182" s="1"/>
  <c r="CJ29" i="182" s="1"/>
  <c r="EI29" i="182"/>
  <c r="AU17" i="185"/>
  <c r="AP17" i="185"/>
  <c r="AZ17" i="185"/>
  <c r="P35" i="185"/>
  <c r="O35" i="185"/>
  <c r="N35" i="185"/>
  <c r="EH41" i="184"/>
  <c r="CS35" i="182"/>
  <c r="AT35" i="182"/>
  <c r="DR35" i="182"/>
  <c r="AR35" i="182"/>
  <c r="DQ35" i="182"/>
  <c r="EU35" i="182"/>
  <c r="CR35" i="182"/>
  <c r="ES35" i="182"/>
  <c r="EI35" i="182"/>
  <c r="ET35" i="182"/>
  <c r="EP35" i="182"/>
  <c r="U42" i="183"/>
  <c r="T42" i="183"/>
  <c r="EO38" i="183"/>
  <c r="DR30" i="184"/>
  <c r="AR30" i="184"/>
  <c r="EJ89" i="184"/>
  <c r="EL89" i="184" s="1"/>
  <c r="AT30" i="184"/>
  <c r="EU30" i="184"/>
  <c r="DQ30" i="184"/>
  <c r="CS30" i="184"/>
  <c r="CR30" i="184"/>
  <c r="EO30" i="184"/>
  <c r="ES30" i="184"/>
  <c r="ET30" i="184"/>
  <c r="EO21" i="185"/>
  <c r="W40" i="185"/>
  <c r="V40" i="185"/>
  <c r="CS25" i="182"/>
  <c r="EU25" i="182"/>
  <c r="CR25" i="182"/>
  <c r="AT25" i="182"/>
  <c r="AR25" i="182"/>
  <c r="DR25" i="182"/>
  <c r="DQ25" i="182"/>
  <c r="EP25" i="182"/>
  <c r="EI25" i="182"/>
  <c r="EH25" i="182"/>
  <c r="ES25" i="182"/>
  <c r="EO25" i="182"/>
  <c r="ET25" i="182"/>
  <c r="EL77" i="185"/>
  <c r="EJ77" i="185"/>
  <c r="CS18" i="185"/>
  <c r="CR18" i="185"/>
  <c r="DQ18" i="185"/>
  <c r="DR18" i="185"/>
  <c r="AT18" i="185"/>
  <c r="EU18" i="185"/>
  <c r="AR18" i="185"/>
  <c r="ET18" i="185"/>
  <c r="ES18" i="185"/>
  <c r="EP18" i="185"/>
  <c r="EH18" i="185"/>
  <c r="GM39" i="182"/>
  <c r="EI21" i="184"/>
  <c r="EJ32" i="185"/>
  <c r="CH32" i="185" s="1"/>
  <c r="EJ96" i="184"/>
  <c r="CR37" i="184"/>
  <c r="DR37" i="184"/>
  <c r="AR37" i="184"/>
  <c r="DQ37" i="184"/>
  <c r="CS37" i="184"/>
  <c r="AT37" i="184"/>
  <c r="EU37" i="184"/>
  <c r="ET37" i="184"/>
  <c r="EL96" i="184"/>
  <c r="EI37" i="184"/>
  <c r="ES37" i="184"/>
  <c r="EU26" i="182"/>
  <c r="AR26" i="182"/>
  <c r="DR26" i="182"/>
  <c r="DQ26" i="182"/>
  <c r="CS26" i="182"/>
  <c r="CR26" i="182"/>
  <c r="AT26" i="182"/>
  <c r="ET26" i="182"/>
  <c r="ES26" i="182"/>
  <c r="AO26" i="185"/>
  <c r="AN26" i="185"/>
  <c r="AS26" i="185"/>
  <c r="AQ26" i="185"/>
  <c r="AM26" i="185"/>
  <c r="AL26" i="185"/>
  <c r="AJ26" i="185"/>
  <c r="EI19" i="183"/>
  <c r="AR45" i="184"/>
  <c r="EJ94" i="184"/>
  <c r="EL94" i="184" s="1"/>
  <c r="CR35" i="184"/>
  <c r="EU35" i="184"/>
  <c r="CS35" i="184"/>
  <c r="ET35" i="184"/>
  <c r="AT35" i="184"/>
  <c r="AR35" i="184"/>
  <c r="DR35" i="184"/>
  <c r="DQ35" i="184"/>
  <c r="ES35" i="184"/>
  <c r="EJ81" i="183"/>
  <c r="EL81" i="183" s="1"/>
  <c r="AR22" i="183"/>
  <c r="DR22" i="183"/>
  <c r="DQ22" i="183"/>
  <c r="CS22" i="183"/>
  <c r="AT22" i="183"/>
  <c r="CR22" i="183"/>
  <c r="EU22" i="183"/>
  <c r="ET22" i="183"/>
  <c r="EI22" i="183"/>
  <c r="ES22" i="183"/>
  <c r="AT45" i="184"/>
  <c r="CH35" i="184"/>
  <c r="EO19" i="183"/>
  <c r="EJ26" i="182"/>
  <c r="EH26" i="182"/>
  <c r="EP21" i="185"/>
  <c r="EI30" i="184"/>
  <c r="CS37" i="182"/>
  <c r="CR37" i="182"/>
  <c r="AT37" i="182"/>
  <c r="DR37" i="182"/>
  <c r="AR37" i="182"/>
  <c r="DQ37" i="182"/>
  <c r="EU37" i="182"/>
  <c r="EI37" i="182"/>
  <c r="EH37" i="182"/>
  <c r="ET37" i="182"/>
  <c r="EP37" i="182"/>
  <c r="ES37" i="182"/>
  <c r="EL97" i="184"/>
  <c r="EJ97" i="184"/>
  <c r="AT38" i="184"/>
  <c r="DQ38" i="184"/>
  <c r="EU38" i="184"/>
  <c r="CS38" i="184"/>
  <c r="ET38" i="184"/>
  <c r="DR38" i="184"/>
  <c r="AR38" i="184"/>
  <c r="CR38" i="184"/>
  <c r="ES38" i="184"/>
  <c r="DR42" i="185"/>
  <c r="M42" i="185" s="1"/>
  <c r="EU42" i="185"/>
  <c r="CS42" i="185"/>
  <c r="EL101" i="185"/>
  <c r="CR42" i="185"/>
  <c r="ET42" i="185"/>
  <c r="DQ42" i="185"/>
  <c r="L42" i="185" s="1"/>
  <c r="ES42" i="185"/>
  <c r="EJ101" i="185"/>
  <c r="EI42" i="185"/>
  <c r="EH42" i="185"/>
  <c r="EP42" i="185"/>
  <c r="EO42" i="185"/>
  <c r="AP44" i="185"/>
  <c r="AZ44" i="185"/>
  <c r="AU44" i="185"/>
  <c r="EJ102" i="183"/>
  <c r="DR43" i="183"/>
  <c r="M43" i="183" s="1"/>
  <c r="EU43" i="183"/>
  <c r="ES43" i="183"/>
  <c r="CS43" i="183"/>
  <c r="CR43" i="183"/>
  <c r="ET43" i="183"/>
  <c r="DQ43" i="183"/>
  <c r="L43" i="183" s="1"/>
  <c r="EH43" i="183"/>
  <c r="EL102" i="183"/>
  <c r="L27" i="178"/>
  <c r="N26" i="178"/>
  <c r="EJ100" i="184"/>
  <c r="DQ41" i="184"/>
  <c r="L41" i="184" s="1"/>
  <c r="EU41" i="184"/>
  <c r="ES41" i="184"/>
  <c r="CS41" i="184"/>
  <c r="DR41" i="184"/>
  <c r="M41" i="184" s="1"/>
  <c r="CR41" i="184"/>
  <c r="ET41" i="184"/>
  <c r="EL100" i="184"/>
  <c r="CJ27" i="185"/>
  <c r="X27" i="185"/>
  <c r="EP37" i="184"/>
  <c r="AP23" i="182"/>
  <c r="AZ23" i="182"/>
  <c r="AU23" i="182"/>
  <c r="S33" i="184"/>
  <c r="R33" i="184"/>
  <c r="Q33" i="184"/>
  <c r="EH40" i="184"/>
  <c r="EL76" i="184"/>
  <c r="EJ76" i="184"/>
  <c r="EU17" i="184"/>
  <c r="ET17" i="184"/>
  <c r="CS17" i="184"/>
  <c r="CR17" i="184"/>
  <c r="AR17" i="184"/>
  <c r="DR17" i="184"/>
  <c r="DQ17" i="184"/>
  <c r="AT17" i="184"/>
  <c r="ES17" i="184"/>
  <c r="CS36" i="183"/>
  <c r="CR36" i="183"/>
  <c r="EJ95" i="183"/>
  <c r="EL95" i="183" s="1"/>
  <c r="DQ36" i="183"/>
  <c r="DR36" i="183"/>
  <c r="EU36" i="183"/>
  <c r="ET36" i="183"/>
  <c r="AT36" i="183"/>
  <c r="AR36" i="183"/>
  <c r="ES36" i="183"/>
  <c r="EJ93" i="184"/>
  <c r="DQ34" i="184"/>
  <c r="ET34" i="184"/>
  <c r="CR34" i="184"/>
  <c r="AT34" i="184"/>
  <c r="AR34" i="184"/>
  <c r="DR34" i="184"/>
  <c r="EU34" i="184"/>
  <c r="EP34" i="184"/>
  <c r="CS34" i="184"/>
  <c r="EI34" i="184"/>
  <c r="EH34" i="184"/>
  <c r="ES34" i="184"/>
  <c r="EL93" i="184"/>
  <c r="AQ39" i="182"/>
  <c r="AO39" i="182"/>
  <c r="AN39" i="182"/>
  <c r="AM39" i="182"/>
  <c r="AL39" i="182"/>
  <c r="AS39" i="182"/>
  <c r="AJ39" i="182"/>
  <c r="EP41" i="183"/>
  <c r="EK26" i="182"/>
  <c r="EV26" i="182" s="1"/>
  <c r="CJ26" i="182" s="1"/>
  <c r="EI26" i="182"/>
  <c r="AU19" i="185"/>
  <c r="AP19" i="185"/>
  <c r="AZ19" i="185"/>
  <c r="V31" i="185"/>
  <c r="W31" i="185"/>
  <c r="CH32" i="183"/>
  <c r="CJ24" i="185"/>
  <c r="X24" i="185"/>
  <c r="CS38" i="183"/>
  <c r="CR38" i="183"/>
  <c r="DQ38" i="183"/>
  <c r="DR38" i="183"/>
  <c r="EL97" i="183"/>
  <c r="EJ97" i="183"/>
  <c r="AT38" i="183"/>
  <c r="EU38" i="183"/>
  <c r="ET38" i="183"/>
  <c r="AR38" i="183"/>
  <c r="ES38" i="183"/>
  <c r="EI38" i="183"/>
  <c r="EH38" i="183"/>
  <c r="EJ77" i="184"/>
  <c r="CS18" i="184"/>
  <c r="CR18" i="184"/>
  <c r="AR18" i="184"/>
  <c r="DR18" i="184"/>
  <c r="DQ18" i="184"/>
  <c r="EU18" i="184"/>
  <c r="ET18" i="184"/>
  <c r="AT18" i="184"/>
  <c r="ES18" i="184"/>
  <c r="EP18" i="184"/>
  <c r="EL77" i="184"/>
  <c r="EI18" i="184"/>
  <c r="EH18" i="184"/>
  <c r="AT34" i="182"/>
  <c r="DR34" i="182"/>
  <c r="AR34" i="182"/>
  <c r="EU34" i="182"/>
  <c r="ET34" i="182"/>
  <c r="CS34" i="182"/>
  <c r="CR34" i="182"/>
  <c r="DQ34" i="182"/>
  <c r="EH34" i="182"/>
  <c r="EI34" i="182"/>
  <c r="EP34" i="182"/>
  <c r="ES34" i="182"/>
  <c r="EO34" i="182"/>
  <c r="AT25" i="185"/>
  <c r="AP37" i="185"/>
  <c r="AZ37" i="185"/>
  <c r="AU37" i="185"/>
  <c r="AU34" i="185"/>
  <c r="AP34" i="185"/>
  <c r="AZ34" i="185"/>
  <c r="EP27" i="184"/>
  <c r="V41" i="185"/>
  <c r="AT41" i="185" s="1"/>
  <c r="W41" i="185"/>
  <c r="Q31" i="184"/>
  <c r="S31" i="184"/>
  <c r="R31" i="184"/>
  <c r="AZ32" i="183"/>
  <c r="GL45" i="183"/>
  <c r="EP26" i="182"/>
  <c r="EH36" i="183"/>
  <c r="AR45" i="183"/>
  <c r="W30" i="185"/>
  <c r="V30" i="185"/>
  <c r="EH32" i="182"/>
  <c r="AT45" i="185"/>
  <c r="AR43" i="183"/>
  <c r="EL82" i="183"/>
  <c r="EJ82" i="183"/>
  <c r="CS23" i="183"/>
  <c r="CR23" i="183"/>
  <c r="EU23" i="183"/>
  <c r="ET23" i="183"/>
  <c r="AT23" i="183"/>
  <c r="ES23" i="183"/>
  <c r="AR23" i="183"/>
  <c r="DR23" i="183"/>
  <c r="DQ23" i="183"/>
  <c r="EP23" i="183"/>
  <c r="EO23" i="183"/>
  <c r="U24" i="185"/>
  <c r="T24" i="185"/>
  <c r="AR24" i="185" s="1"/>
  <c r="EJ78" i="183"/>
  <c r="EL78" i="183" s="1"/>
  <c r="CS19" i="183"/>
  <c r="CR19" i="183"/>
  <c r="AR19" i="183"/>
  <c r="DR19" i="183"/>
  <c r="DQ19" i="183"/>
  <c r="EU19" i="183"/>
  <c r="AT19" i="183"/>
  <c r="ES19" i="183"/>
  <c r="ET19" i="183"/>
  <c r="EJ79" i="185"/>
  <c r="CS20" i="185"/>
  <c r="CR20" i="185"/>
  <c r="AT20" i="185"/>
  <c r="DR20" i="185"/>
  <c r="AR20" i="185"/>
  <c r="DQ20" i="185"/>
  <c r="EU20" i="185"/>
  <c r="EO20" i="185"/>
  <c r="EL79" i="185"/>
  <c r="ET20" i="185"/>
  <c r="EI20" i="185"/>
  <c r="ES20" i="185"/>
  <c r="EH20" i="185"/>
  <c r="EJ78" i="184"/>
  <c r="EL78" i="184"/>
  <c r="DR19" i="184"/>
  <c r="AR19" i="184"/>
  <c r="DQ19" i="184"/>
  <c r="CS19" i="184"/>
  <c r="EU19" i="184"/>
  <c r="CR19" i="184"/>
  <c r="AT19" i="184"/>
  <c r="EH19" i="184"/>
  <c r="EP19" i="184"/>
  <c r="EI19" i="184"/>
  <c r="ES19" i="184"/>
  <c r="ET19" i="184"/>
  <c r="EO37" i="184"/>
  <c r="U23" i="185"/>
  <c r="T23" i="185"/>
  <c r="EI40" i="184"/>
  <c r="EI21" i="185"/>
  <c r="EK23" i="182"/>
  <c r="EV23" i="182" s="1"/>
  <c r="CJ23" i="182" s="1"/>
  <c r="EI23" i="182"/>
  <c r="EO18" i="184"/>
  <c r="P22" i="185"/>
  <c r="O22" i="185"/>
  <c r="N22" i="185"/>
  <c r="GM45" i="185"/>
  <c r="EI36" i="183"/>
  <c r="GM27" i="185"/>
  <c r="AP30" i="185"/>
  <c r="AU30" i="185"/>
  <c r="AZ30" i="185"/>
  <c r="EJ79" i="184"/>
  <c r="EL79" i="184" s="1"/>
  <c r="CS20" i="184"/>
  <c r="CR20" i="184"/>
  <c r="DR20" i="184"/>
  <c r="AR20" i="184"/>
  <c r="DQ20" i="184"/>
  <c r="AT20" i="184"/>
  <c r="EU20" i="184"/>
  <c r="ET20" i="184"/>
  <c r="EP20" i="184"/>
  <c r="EH20" i="184"/>
  <c r="EI20" i="184"/>
  <c r="ES20" i="184"/>
  <c r="AT41" i="183"/>
  <c r="CJ43" i="183"/>
  <c r="X43" i="183"/>
  <c r="AP16" i="183"/>
  <c r="AU16" i="183"/>
  <c r="AZ16" i="183"/>
  <c r="AT38" i="182"/>
  <c r="DR38" i="182"/>
  <c r="AR38" i="182"/>
  <c r="DQ38" i="182"/>
  <c r="EU38" i="182"/>
  <c r="ET38" i="182"/>
  <c r="CS38" i="182"/>
  <c r="CR38" i="182"/>
  <c r="ES38" i="182"/>
  <c r="EP38" i="182"/>
  <c r="EO38" i="182"/>
  <c r="EI38" i="182"/>
  <c r="EH38" i="182"/>
  <c r="DR44" i="184"/>
  <c r="M44" i="184" s="1"/>
  <c r="EL103" i="184"/>
  <c r="EJ103" i="184"/>
  <c r="DQ44" i="184"/>
  <c r="L44" i="184" s="1"/>
  <c r="CS44" i="184"/>
  <c r="EU44" i="184"/>
  <c r="ES44" i="184"/>
  <c r="CR44" i="184"/>
  <c r="ET44" i="184"/>
  <c r="V29" i="185"/>
  <c r="AT29" i="185" s="1"/>
  <c r="W29" i="185"/>
  <c r="V43" i="184"/>
  <c r="W43" i="184"/>
  <c r="EH21" i="185"/>
  <c r="EJ23" i="182"/>
  <c r="EH23" i="182"/>
  <c r="EJ84" i="184"/>
  <c r="DR25" i="184"/>
  <c r="AR25" i="184"/>
  <c r="DQ25" i="184"/>
  <c r="CS25" i="184"/>
  <c r="CR25" i="184"/>
  <c r="AT25" i="184"/>
  <c r="EU25" i="184"/>
  <c r="ET25" i="184"/>
  <c r="EL84" i="184"/>
  <c r="EI25" i="184"/>
  <c r="EH25" i="184"/>
  <c r="ES25" i="184"/>
  <c r="EO44" i="184"/>
  <c r="Q22" i="185"/>
  <c r="S22" i="185"/>
  <c r="R22" i="185"/>
  <c r="CS33" i="182"/>
  <c r="AT33" i="182"/>
  <c r="DR33" i="182"/>
  <c r="AR33" i="182"/>
  <c r="DQ33" i="182"/>
  <c r="EU33" i="182"/>
  <c r="CR33" i="182"/>
  <c r="EP33" i="182"/>
  <c r="ES33" i="182"/>
  <c r="EI33" i="182"/>
  <c r="ET33" i="182"/>
  <c r="X30" i="185"/>
  <c r="CJ30" i="185"/>
  <c r="AZ26" i="184"/>
  <c r="AU26" i="184"/>
  <c r="AP26" i="184"/>
  <c r="EO26" i="182"/>
  <c r="DR30" i="182"/>
  <c r="AR30" i="182"/>
  <c r="DQ30" i="182"/>
  <c r="EU30" i="182"/>
  <c r="CS30" i="182"/>
  <c r="AT30" i="182"/>
  <c r="CR30" i="182"/>
  <c r="EO30" i="182"/>
  <c r="ET30" i="182"/>
  <c r="ES30" i="182"/>
  <c r="DR37" i="183"/>
  <c r="AR37" i="183"/>
  <c r="DQ37" i="183"/>
  <c r="CR37" i="183"/>
  <c r="CS37" i="183"/>
  <c r="EL96" i="183"/>
  <c r="EJ96" i="183"/>
  <c r="ES37" i="183"/>
  <c r="EU37" i="183"/>
  <c r="AT37" i="183"/>
  <c r="ET37" i="183"/>
  <c r="EO37" i="183"/>
  <c r="EP37" i="183"/>
  <c r="DR42" i="184"/>
  <c r="M42" i="184" s="1"/>
  <c r="DQ42" i="184"/>
  <c r="L42" i="184" s="1"/>
  <c r="EU42" i="184"/>
  <c r="EL101" i="184"/>
  <c r="ES42" i="184"/>
  <c r="EJ101" i="184"/>
  <c r="CS42" i="184"/>
  <c r="CR42" i="184"/>
  <c r="EP42" i="184"/>
  <c r="ET42" i="184"/>
  <c r="EP20" i="185"/>
  <c r="EJ83" i="183"/>
  <c r="EL83" i="183" s="1"/>
  <c r="CR24" i="183"/>
  <c r="CS24" i="183"/>
  <c r="AT24" i="183"/>
  <c r="AR24" i="183"/>
  <c r="EU24" i="183"/>
  <c r="DR24" i="183"/>
  <c r="DQ24" i="183"/>
  <c r="ES24" i="183"/>
  <c r="ET24" i="183"/>
  <c r="EI24" i="183"/>
  <c r="DR32" i="182"/>
  <c r="AR32" i="182"/>
  <c r="DQ32" i="182"/>
  <c r="EU32" i="182"/>
  <c r="ES32" i="182"/>
  <c r="CS32" i="182"/>
  <c r="CR32" i="182"/>
  <c r="AT32" i="182"/>
  <c r="ET32" i="182"/>
  <c r="EP32" i="182"/>
  <c r="GM33" i="185"/>
  <c r="EP39" i="184"/>
  <c r="S36" i="185"/>
  <c r="R36" i="185"/>
  <c r="Q36" i="185"/>
  <c r="AZ34" i="183"/>
  <c r="EH17" i="184"/>
  <c r="GL28" i="185"/>
  <c r="GM28" i="185" s="1"/>
  <c r="EP24" i="185"/>
  <c r="V43" i="183"/>
  <c r="AT43" i="183" s="1"/>
  <c r="W43" i="183"/>
  <c r="EH35" i="184"/>
  <c r="EO41" i="185"/>
  <c r="AP23" i="185"/>
  <c r="AU23" i="185"/>
  <c r="AZ23" i="185"/>
  <c r="V34" i="185"/>
  <c r="AT34" i="185" s="1"/>
  <c r="W34" i="185"/>
  <c r="P36" i="176"/>
  <c r="AO37" i="176"/>
  <c r="EH27" i="184"/>
  <c r="CH39" i="182"/>
  <c r="EJ75" i="184"/>
  <c r="EL75" i="184" s="1"/>
  <c r="AT16" i="184"/>
  <c r="ET16" i="184"/>
  <c r="CS16" i="184"/>
  <c r="CR16" i="184"/>
  <c r="AR16" i="184"/>
  <c r="DR16" i="184"/>
  <c r="DQ16" i="184"/>
  <c r="EU16" i="184"/>
  <c r="ES16" i="184"/>
  <c r="EI16" i="184"/>
  <c r="GM41" i="185"/>
  <c r="EI17" i="184"/>
  <c r="EJ86" i="183"/>
  <c r="EL86" i="183" s="1"/>
  <c r="DR27" i="183"/>
  <c r="CS27" i="183"/>
  <c r="CR27" i="183"/>
  <c r="AT27" i="183"/>
  <c r="AR27" i="183"/>
  <c r="EU27" i="183"/>
  <c r="ET27" i="183"/>
  <c r="DQ27" i="183"/>
  <c r="EP27" i="183"/>
  <c r="EH27" i="183"/>
  <c r="EO27" i="183"/>
  <c r="ES27" i="183"/>
  <c r="U44" i="183"/>
  <c r="T44" i="183"/>
  <c r="AR44" i="183" s="1"/>
  <c r="EP44" i="184"/>
  <c r="AU36" i="182"/>
  <c r="AP36" i="182"/>
  <c r="AZ36" i="182"/>
  <c r="AR30" i="185"/>
  <c r="GM45" i="183"/>
  <c r="EH21" i="184"/>
  <c r="EI35" i="184"/>
  <c r="EJ75" i="185"/>
  <c r="EL75" i="185"/>
  <c r="CS16" i="185"/>
  <c r="CR16" i="185"/>
  <c r="DQ16" i="185"/>
  <c r="DR16" i="185"/>
  <c r="EU16" i="185"/>
  <c r="ET16" i="185"/>
  <c r="AT16" i="185"/>
  <c r="AR16" i="185"/>
  <c r="ES16" i="185"/>
  <c r="EP16" i="185"/>
  <c r="EO16" i="185"/>
  <c r="GL34" i="185"/>
  <c r="GM34" i="185" s="1"/>
  <c r="EP41" i="185"/>
  <c r="CS31" i="182"/>
  <c r="CR31" i="182"/>
  <c r="DR31" i="182"/>
  <c r="AR31" i="182"/>
  <c r="DQ31" i="182"/>
  <c r="EU31" i="182"/>
  <c r="AT31" i="182"/>
  <c r="ES31" i="182"/>
  <c r="ET31" i="182"/>
  <c r="EH31" i="182"/>
  <c r="EJ88" i="184"/>
  <c r="CS29" i="184"/>
  <c r="CR29" i="184"/>
  <c r="EU29" i="184"/>
  <c r="AT29" i="184"/>
  <c r="AR29" i="184"/>
  <c r="EO29" i="184"/>
  <c r="DR29" i="184"/>
  <c r="DQ29" i="184"/>
  <c r="ES29" i="184"/>
  <c r="EP29" i="184"/>
  <c r="ET29" i="184"/>
  <c r="EL88" i="184"/>
  <c r="AT43" i="185"/>
  <c r="EM28" i="84"/>
  <c r="AO19" i="195" l="1"/>
  <c r="P18" i="195"/>
  <c r="AO19" i="194"/>
  <c r="P18" i="194"/>
  <c r="AO19" i="193"/>
  <c r="P18" i="193"/>
  <c r="AO19" i="192"/>
  <c r="P18" i="192"/>
  <c r="AO19" i="191"/>
  <c r="P18" i="191"/>
  <c r="AO19" i="190"/>
  <c r="P18" i="190"/>
  <c r="AO19" i="189"/>
  <c r="P18" i="189"/>
  <c r="O41" i="185"/>
  <c r="P41" i="185"/>
  <c r="N41" i="185"/>
  <c r="S25" i="184"/>
  <c r="R25" i="184"/>
  <c r="Q25" i="184"/>
  <c r="AT43" i="184"/>
  <c r="EJ75" i="183"/>
  <c r="EL75" i="183" s="1"/>
  <c r="DR16" i="183"/>
  <c r="AR16" i="183"/>
  <c r="EU16" i="183"/>
  <c r="CS16" i="183"/>
  <c r="AT16" i="183"/>
  <c r="CR16" i="183"/>
  <c r="ET16" i="183"/>
  <c r="DQ16" i="183"/>
  <c r="EP16" i="183"/>
  <c r="ES16" i="183"/>
  <c r="EO16" i="183"/>
  <c r="EI16" i="183"/>
  <c r="EH16" i="183"/>
  <c r="AT31" i="185"/>
  <c r="DR23" i="182"/>
  <c r="AR23" i="182"/>
  <c r="EU23" i="182"/>
  <c r="ES23" i="182"/>
  <c r="CS23" i="182"/>
  <c r="CR23" i="182"/>
  <c r="AT23" i="182"/>
  <c r="DQ23" i="182"/>
  <c r="ET23" i="182"/>
  <c r="EP23" i="182"/>
  <c r="EO23" i="182"/>
  <c r="DR44" i="185"/>
  <c r="M44" i="185" s="1"/>
  <c r="DQ44" i="185"/>
  <c r="L44" i="185" s="1"/>
  <c r="EJ103" i="185"/>
  <c r="ET44" i="185"/>
  <c r="CS44" i="185"/>
  <c r="CR44" i="185"/>
  <c r="EU44" i="185"/>
  <c r="EI44" i="185"/>
  <c r="EH44" i="185"/>
  <c r="ES44" i="185"/>
  <c r="EL103" i="185"/>
  <c r="EP44" i="185"/>
  <c r="EO44" i="185"/>
  <c r="S37" i="182"/>
  <c r="R37" i="182"/>
  <c r="Q37" i="182"/>
  <c r="N18" i="185"/>
  <c r="P18" i="185"/>
  <c r="O18" i="185"/>
  <c r="S17" i="183"/>
  <c r="R17" i="183"/>
  <c r="Q17" i="183"/>
  <c r="P20" i="183"/>
  <c r="O20" i="183"/>
  <c r="N20" i="183"/>
  <c r="CS43" i="185"/>
  <c r="CR43" i="185"/>
  <c r="EL102" i="185"/>
  <c r="EJ102" i="185"/>
  <c r="DR43" i="185"/>
  <c r="M43" i="185" s="1"/>
  <c r="DQ43" i="185"/>
  <c r="L43" i="185" s="1"/>
  <c r="ET43" i="185"/>
  <c r="EU43" i="185"/>
  <c r="EI43" i="185"/>
  <c r="EH43" i="185"/>
  <c r="ES43" i="185"/>
  <c r="EP43" i="185"/>
  <c r="EO43" i="185"/>
  <c r="AT44" i="185"/>
  <c r="N27" i="184"/>
  <c r="P27" i="184"/>
  <c r="O27" i="184"/>
  <c r="P40" i="184"/>
  <c r="O40" i="184"/>
  <c r="N40" i="184"/>
  <c r="EJ76" i="185"/>
  <c r="EL76" i="185" s="1"/>
  <c r="AT17" i="185"/>
  <c r="DR17" i="185"/>
  <c r="AR17" i="185"/>
  <c r="DQ17" i="185"/>
  <c r="ET17" i="185"/>
  <c r="CR17" i="185"/>
  <c r="EU17" i="185"/>
  <c r="CS17" i="185"/>
  <c r="EH17" i="185"/>
  <c r="ES17" i="185"/>
  <c r="EO17" i="185"/>
  <c r="EP17" i="185"/>
  <c r="EI17" i="185"/>
  <c r="EJ82" i="185"/>
  <c r="DQ23" i="185"/>
  <c r="L23" i="185" s="1"/>
  <c r="DR23" i="185"/>
  <c r="M23" i="185" s="1"/>
  <c r="CS23" i="185"/>
  <c r="CR23" i="185"/>
  <c r="EU23" i="185"/>
  <c r="EO23" i="185"/>
  <c r="ET23" i="185"/>
  <c r="EP23" i="185"/>
  <c r="EL82" i="185"/>
  <c r="ES23" i="185"/>
  <c r="EI23" i="185"/>
  <c r="EH23" i="185"/>
  <c r="O24" i="183"/>
  <c r="N24" i="183"/>
  <c r="P24" i="183"/>
  <c r="R34" i="184"/>
  <c r="S34" i="184"/>
  <c r="Q34" i="184"/>
  <c r="P17" i="184"/>
  <c r="O17" i="184"/>
  <c r="N17" i="184"/>
  <c r="P35" i="184"/>
  <c r="O35" i="184"/>
  <c r="N35" i="184"/>
  <c r="R18" i="185"/>
  <c r="Q18" i="185"/>
  <c r="S18" i="185"/>
  <c r="O21" i="183"/>
  <c r="N21" i="183"/>
  <c r="P21" i="183"/>
  <c r="P28" i="182"/>
  <c r="O28" i="182"/>
  <c r="N28" i="182"/>
  <c r="S28" i="183"/>
  <c r="R28" i="183"/>
  <c r="Q28" i="183"/>
  <c r="S23" i="184"/>
  <c r="R23" i="184"/>
  <c r="Q23" i="184"/>
  <c r="P38" i="182"/>
  <c r="O38" i="182"/>
  <c r="N38" i="182"/>
  <c r="O26" i="178" a="1"/>
  <c r="O26" i="178" s="1"/>
  <c r="AZ32" i="185"/>
  <c r="AP32" i="185"/>
  <c r="AU32" i="185"/>
  <c r="CJ32" i="185"/>
  <c r="X32" i="185"/>
  <c r="S21" i="183"/>
  <c r="Q21" i="183"/>
  <c r="R21" i="183"/>
  <c r="DR45" i="184"/>
  <c r="M45" i="184" s="1"/>
  <c r="EJ104" i="184"/>
  <c r="CR45" i="184"/>
  <c r="CS45" i="184"/>
  <c r="EU45" i="184"/>
  <c r="ET45" i="184"/>
  <c r="DQ45" i="184"/>
  <c r="L45" i="184" s="1"/>
  <c r="EL104" i="184"/>
  <c r="EP45" i="184"/>
  <c r="EO45" i="184"/>
  <c r="ES45" i="184"/>
  <c r="EI45" i="184"/>
  <c r="EH45" i="184"/>
  <c r="P28" i="185"/>
  <c r="O28" i="185"/>
  <c r="N28" i="185"/>
  <c r="EJ78" i="185"/>
  <c r="AT19" i="185"/>
  <c r="DR19" i="185"/>
  <c r="AR19" i="185"/>
  <c r="DQ19" i="185"/>
  <c r="EU19" i="185"/>
  <c r="CS19" i="185"/>
  <c r="CR19" i="185"/>
  <c r="ES19" i="185"/>
  <c r="EL78" i="185"/>
  <c r="EI19" i="185"/>
  <c r="ET19" i="185"/>
  <c r="EH19" i="185"/>
  <c r="EP19" i="185"/>
  <c r="EO19" i="185"/>
  <c r="N27" i="178"/>
  <c r="O27" i="178" s="1" a="1"/>
  <c r="O27" i="178" s="1"/>
  <c r="L28" i="178"/>
  <c r="P38" i="184"/>
  <c r="O38" i="184"/>
  <c r="N38" i="184"/>
  <c r="S30" i="184"/>
  <c r="Q30" i="184"/>
  <c r="R30" i="184"/>
  <c r="AR42" i="183"/>
  <c r="AR44" i="185"/>
  <c r="U27" i="185"/>
  <c r="T27" i="185"/>
  <c r="EJ90" i="185"/>
  <c r="DR31" i="185"/>
  <c r="M31" i="185" s="1"/>
  <c r="DQ31" i="185"/>
  <c r="L31" i="185" s="1"/>
  <c r="CR31" i="185"/>
  <c r="EU31" i="185"/>
  <c r="ET31" i="185"/>
  <c r="ES31" i="185"/>
  <c r="CS31" i="185"/>
  <c r="EL90" i="185"/>
  <c r="EP31" i="185"/>
  <c r="EO31" i="185"/>
  <c r="EI31" i="185"/>
  <c r="EH31" i="185"/>
  <c r="AZ38" i="185"/>
  <c r="AU38" i="185"/>
  <c r="AP38" i="185"/>
  <c r="S21" i="184"/>
  <c r="R21" i="184"/>
  <c r="Q21" i="184"/>
  <c r="P28" i="183"/>
  <c r="O28" i="183"/>
  <c r="N28" i="183"/>
  <c r="P39" i="184"/>
  <c r="O39" i="184"/>
  <c r="N39" i="184"/>
  <c r="S30" i="182"/>
  <c r="R30" i="182"/>
  <c r="Q30" i="182"/>
  <c r="P16" i="184"/>
  <c r="O16" i="184"/>
  <c r="N16" i="184"/>
  <c r="AO38" i="176"/>
  <c r="P38" i="176" s="1"/>
  <c r="P37" i="176"/>
  <c r="S32" i="182"/>
  <c r="R32" i="182"/>
  <c r="Q32" i="182"/>
  <c r="S37" i="183"/>
  <c r="R37" i="183"/>
  <c r="Q37" i="183"/>
  <c r="S33" i="182"/>
  <c r="R33" i="182"/>
  <c r="Q33" i="182"/>
  <c r="CH26" i="182"/>
  <c r="P30" i="184"/>
  <c r="O30" i="184"/>
  <c r="N30" i="184"/>
  <c r="N39" i="185"/>
  <c r="P39" i="185"/>
  <c r="O39" i="185"/>
  <c r="O39" i="183"/>
  <c r="P39" i="183"/>
  <c r="N39" i="183"/>
  <c r="R33" i="185"/>
  <c r="S33" i="185"/>
  <c r="Q33" i="185"/>
  <c r="N41" i="183"/>
  <c r="P41" i="183"/>
  <c r="O41" i="183"/>
  <c r="S43" i="184"/>
  <c r="R43" i="184"/>
  <c r="Q43" i="184"/>
  <c r="N27" i="183"/>
  <c r="P27" i="183"/>
  <c r="O27" i="183"/>
  <c r="S44" i="184"/>
  <c r="R44" i="184"/>
  <c r="Q44" i="184"/>
  <c r="S38" i="182"/>
  <c r="R38" i="182"/>
  <c r="Q38" i="182"/>
  <c r="O36" i="183"/>
  <c r="N36" i="183"/>
  <c r="P36" i="183"/>
  <c r="N22" i="183"/>
  <c r="P22" i="183"/>
  <c r="O22" i="183"/>
  <c r="P31" i="183"/>
  <c r="O31" i="183"/>
  <c r="N31" i="183"/>
  <c r="S24" i="182"/>
  <c r="R24" i="182"/>
  <c r="Q24" i="182"/>
  <c r="S34" i="182"/>
  <c r="Q34" i="182"/>
  <c r="R34" i="182"/>
  <c r="S35" i="184"/>
  <c r="R35" i="184"/>
  <c r="Q35" i="184"/>
  <c r="AT27" i="185"/>
  <c r="P33" i="185"/>
  <c r="O33" i="185"/>
  <c r="N33" i="185"/>
  <c r="Q31" i="183"/>
  <c r="S31" i="183"/>
  <c r="R31" i="183"/>
  <c r="S41" i="183"/>
  <c r="Q41" i="183"/>
  <c r="R41" i="183"/>
  <c r="P22" i="184"/>
  <c r="O22" i="184"/>
  <c r="N22" i="184"/>
  <c r="EJ89" i="183"/>
  <c r="EU30" i="183"/>
  <c r="ES30" i="183"/>
  <c r="CR30" i="183"/>
  <c r="AT30" i="183"/>
  <c r="DR30" i="183"/>
  <c r="AR30" i="183"/>
  <c r="DQ30" i="183"/>
  <c r="ET30" i="183"/>
  <c r="CS30" i="183"/>
  <c r="EP30" i="183"/>
  <c r="EO30" i="183"/>
  <c r="EI30" i="183"/>
  <c r="EL89" i="183"/>
  <c r="EH30" i="183"/>
  <c r="S20" i="184"/>
  <c r="R20" i="184"/>
  <c r="Q20" i="184"/>
  <c r="P34" i="182"/>
  <c r="O34" i="182"/>
  <c r="N34" i="182"/>
  <c r="S24" i="183"/>
  <c r="R24" i="183"/>
  <c r="Q24" i="183"/>
  <c r="N16" i="185"/>
  <c r="P16" i="185"/>
  <c r="O16" i="185"/>
  <c r="P44" i="184"/>
  <c r="O44" i="184"/>
  <c r="N44" i="184"/>
  <c r="EL93" i="185"/>
  <c r="EJ93" i="185"/>
  <c r="DR34" i="185"/>
  <c r="M34" i="185" s="1"/>
  <c r="EU34" i="185"/>
  <c r="DQ34" i="185"/>
  <c r="L34" i="185" s="1"/>
  <c r="CS34" i="185"/>
  <c r="CR34" i="185"/>
  <c r="ES34" i="185"/>
  <c r="ET34" i="185"/>
  <c r="EO34" i="185"/>
  <c r="EP34" i="185"/>
  <c r="EH34" i="185"/>
  <c r="EI34" i="185"/>
  <c r="O34" i="184"/>
  <c r="N34" i="184"/>
  <c r="P34" i="184"/>
  <c r="R38" i="184"/>
  <c r="S38" i="184"/>
  <c r="Q38" i="184"/>
  <c r="R22" i="183"/>
  <c r="Q22" i="183"/>
  <c r="S22" i="183"/>
  <c r="AZ26" i="185"/>
  <c r="AU26" i="185"/>
  <c r="AP26" i="185"/>
  <c r="T32" i="185"/>
  <c r="U32" i="185"/>
  <c r="DQ40" i="185"/>
  <c r="L40" i="185" s="1"/>
  <c r="EJ99" i="185"/>
  <c r="DR40" i="185"/>
  <c r="M40" i="185" s="1"/>
  <c r="EU40" i="185"/>
  <c r="CR40" i="185"/>
  <c r="CS40" i="185"/>
  <c r="ES40" i="185"/>
  <c r="ET40" i="185"/>
  <c r="EL99" i="185"/>
  <c r="EP40" i="185"/>
  <c r="EO40" i="185"/>
  <c r="EH40" i="185"/>
  <c r="EI40" i="185"/>
  <c r="R29" i="183"/>
  <c r="Q29" i="183"/>
  <c r="S29" i="183"/>
  <c r="DR35" i="183"/>
  <c r="AR35" i="183"/>
  <c r="DQ35" i="183"/>
  <c r="CR35" i="183"/>
  <c r="EJ94" i="183"/>
  <c r="EL94" i="183" s="1"/>
  <c r="AT35" i="183"/>
  <c r="CS35" i="183"/>
  <c r="EU35" i="183"/>
  <c r="ET35" i="183"/>
  <c r="ES35" i="183"/>
  <c r="EH35" i="183"/>
  <c r="EI35" i="183"/>
  <c r="S22" i="184"/>
  <c r="R22" i="184"/>
  <c r="Q22" i="184"/>
  <c r="P37" i="183"/>
  <c r="O37" i="183"/>
  <c r="N37" i="183"/>
  <c r="Q27" i="183"/>
  <c r="S27" i="183"/>
  <c r="R27" i="183"/>
  <c r="P32" i="182"/>
  <c r="N32" i="182"/>
  <c r="O32" i="182"/>
  <c r="S42" i="184"/>
  <c r="R42" i="184"/>
  <c r="Q42" i="184"/>
  <c r="AR23" i="185"/>
  <c r="R36" i="183"/>
  <c r="S36" i="183"/>
  <c r="Q36" i="183"/>
  <c r="R17" i="184"/>
  <c r="Q17" i="184"/>
  <c r="S17" i="184"/>
  <c r="P42" i="185"/>
  <c r="O42" i="185"/>
  <c r="N42" i="185"/>
  <c r="S35" i="182"/>
  <c r="R35" i="182"/>
  <c r="Q35" i="182"/>
  <c r="Q39" i="185"/>
  <c r="R39" i="185"/>
  <c r="S39" i="185"/>
  <c r="S32" i="183"/>
  <c r="R32" i="183"/>
  <c r="Q32" i="183"/>
  <c r="S28" i="182"/>
  <c r="R28" i="182"/>
  <c r="Q28" i="182"/>
  <c r="EJ83" i="184"/>
  <c r="EL83" i="184"/>
  <c r="CS24" i="184"/>
  <c r="CR24" i="184"/>
  <c r="AT24" i="184"/>
  <c r="DR24" i="184"/>
  <c r="AR24" i="184"/>
  <c r="EU24" i="184"/>
  <c r="DQ24" i="184"/>
  <c r="ET24" i="184"/>
  <c r="ES24" i="184"/>
  <c r="EI24" i="184"/>
  <c r="EP24" i="184"/>
  <c r="EO24" i="184"/>
  <c r="EH24" i="184"/>
  <c r="P21" i="184"/>
  <c r="O21" i="184"/>
  <c r="N21" i="184"/>
  <c r="EL88" i="185"/>
  <c r="EJ88" i="185"/>
  <c r="CR29" i="185"/>
  <c r="DR29" i="185"/>
  <c r="M29" i="185" s="1"/>
  <c r="DQ29" i="185"/>
  <c r="L29" i="185" s="1"/>
  <c r="CS29" i="185"/>
  <c r="EU29" i="185"/>
  <c r="ET29" i="185"/>
  <c r="ES29" i="185"/>
  <c r="EP29" i="185"/>
  <c r="EI29" i="185"/>
  <c r="EH29" i="185"/>
  <c r="EO29" i="185"/>
  <c r="R26" i="182"/>
  <c r="S26" i="182"/>
  <c r="Q26" i="182"/>
  <c r="Q27" i="184"/>
  <c r="S27" i="184"/>
  <c r="R27" i="184"/>
  <c r="S31" i="182"/>
  <c r="Q31" i="182"/>
  <c r="R31" i="182"/>
  <c r="R16" i="185"/>
  <c r="Q16" i="185"/>
  <c r="S16" i="185"/>
  <c r="Q19" i="183"/>
  <c r="S19" i="183"/>
  <c r="R19" i="183"/>
  <c r="Q43" i="183"/>
  <c r="S43" i="183"/>
  <c r="R43" i="183"/>
  <c r="S21" i="185"/>
  <c r="R21" i="185"/>
  <c r="Q21" i="185"/>
  <c r="O32" i="183"/>
  <c r="N32" i="183"/>
  <c r="P32" i="183"/>
  <c r="EJ99" i="183"/>
  <c r="EL99" i="183" s="1"/>
  <c r="CS40" i="183"/>
  <c r="CR40" i="183"/>
  <c r="AT40" i="183"/>
  <c r="DQ40" i="183"/>
  <c r="EU40" i="183"/>
  <c r="AR40" i="183"/>
  <c r="ES40" i="183"/>
  <c r="DR40" i="183"/>
  <c r="ET40" i="183"/>
  <c r="EH40" i="183"/>
  <c r="EP40" i="183"/>
  <c r="EO40" i="183"/>
  <c r="EI40" i="183"/>
  <c r="N29" i="183"/>
  <c r="P29" i="183"/>
  <c r="O29" i="183"/>
  <c r="P43" i="184"/>
  <c r="O43" i="184"/>
  <c r="N43" i="184"/>
  <c r="P31" i="182"/>
  <c r="O31" i="182"/>
  <c r="N31" i="182"/>
  <c r="CH23" i="182"/>
  <c r="O19" i="183"/>
  <c r="N19" i="183"/>
  <c r="P19" i="183"/>
  <c r="AT30" i="185"/>
  <c r="EL96" i="185"/>
  <c r="EJ96" i="185"/>
  <c r="DR37" i="185"/>
  <c r="M37" i="185" s="1"/>
  <c r="CS37" i="185"/>
  <c r="CR37" i="185"/>
  <c r="EU37" i="185"/>
  <c r="ET37" i="185"/>
  <c r="ES37" i="185"/>
  <c r="DQ37" i="185"/>
  <c r="L37" i="185" s="1"/>
  <c r="EP37" i="185"/>
  <c r="EO37" i="185"/>
  <c r="EI37" i="185"/>
  <c r="EH37" i="185"/>
  <c r="S41" i="184"/>
  <c r="R41" i="184"/>
  <c r="Q41" i="184"/>
  <c r="R42" i="185"/>
  <c r="Q42" i="185"/>
  <c r="S42" i="185"/>
  <c r="O35" i="182"/>
  <c r="N35" i="182"/>
  <c r="P35" i="182"/>
  <c r="O21" i="185"/>
  <c r="P21" i="185"/>
  <c r="N21" i="185"/>
  <c r="S32" i="184"/>
  <c r="Q32" i="184"/>
  <c r="R32" i="184"/>
  <c r="Q28" i="184"/>
  <c r="S28" i="184"/>
  <c r="R28" i="184"/>
  <c r="S39" i="183"/>
  <c r="R39" i="183"/>
  <c r="Q39" i="183"/>
  <c r="CS44" i="183"/>
  <c r="CR44" i="183"/>
  <c r="DQ44" i="183"/>
  <c r="L44" i="183" s="1"/>
  <c r="EJ103" i="183"/>
  <c r="EU44" i="183"/>
  <c r="ET44" i="183"/>
  <c r="DR44" i="183"/>
  <c r="M44" i="183" s="1"/>
  <c r="ES44" i="183"/>
  <c r="EL103" i="183"/>
  <c r="EI44" i="183"/>
  <c r="EH44" i="183"/>
  <c r="EP44" i="183"/>
  <c r="EO44" i="183"/>
  <c r="S20" i="183"/>
  <c r="R20" i="183"/>
  <c r="Q20" i="183"/>
  <c r="AT36" i="182"/>
  <c r="DR36" i="182"/>
  <c r="AR36" i="182"/>
  <c r="EU36" i="182"/>
  <c r="ET36" i="182"/>
  <c r="CS36" i="182"/>
  <c r="CR36" i="182"/>
  <c r="DQ36" i="182"/>
  <c r="EH36" i="182"/>
  <c r="EP36" i="182"/>
  <c r="ES36" i="182"/>
  <c r="EO36" i="182"/>
  <c r="EI36" i="182"/>
  <c r="S16" i="184"/>
  <c r="Q16" i="184"/>
  <c r="R16" i="184"/>
  <c r="P20" i="184"/>
  <c r="O20" i="184"/>
  <c r="N20" i="184"/>
  <c r="EL89" i="185"/>
  <c r="EJ89" i="185"/>
  <c r="CS30" i="185"/>
  <c r="CR30" i="185"/>
  <c r="ET30" i="185"/>
  <c r="ES30" i="185"/>
  <c r="DR30" i="185"/>
  <c r="M30" i="185" s="1"/>
  <c r="DQ30" i="185"/>
  <c r="L30" i="185" s="1"/>
  <c r="EU30" i="185"/>
  <c r="EP30" i="185"/>
  <c r="EI30" i="185"/>
  <c r="EO30" i="185"/>
  <c r="EH30" i="185"/>
  <c r="S19" i="184"/>
  <c r="R19" i="184"/>
  <c r="Q19" i="184"/>
  <c r="P23" i="183"/>
  <c r="O23" i="183"/>
  <c r="N23" i="183"/>
  <c r="S25" i="182"/>
  <c r="R25" i="182"/>
  <c r="Q25" i="182"/>
  <c r="AT40" i="185"/>
  <c r="N23" i="184"/>
  <c r="P23" i="184"/>
  <c r="O23" i="184"/>
  <c r="AZ45" i="185"/>
  <c r="AU45" i="185"/>
  <c r="AP45" i="185"/>
  <c r="AR25" i="185"/>
  <c r="S41" i="185"/>
  <c r="R41" i="185"/>
  <c r="Q41" i="185"/>
  <c r="S39" i="184"/>
  <c r="R39" i="184"/>
  <c r="Q39" i="184"/>
  <c r="Q29" i="184"/>
  <c r="R29" i="184"/>
  <c r="S29" i="184"/>
  <c r="N25" i="184"/>
  <c r="O25" i="184"/>
  <c r="P25" i="184"/>
  <c r="P19" i="184"/>
  <c r="O19" i="184"/>
  <c r="N19" i="184"/>
  <c r="N20" i="185"/>
  <c r="P20" i="185"/>
  <c r="O20" i="185"/>
  <c r="P38" i="183"/>
  <c r="O38" i="183"/>
  <c r="N38" i="183"/>
  <c r="P43" i="183"/>
  <c r="O43" i="183"/>
  <c r="N43" i="183"/>
  <c r="AO54" i="176"/>
  <c r="P53" i="176"/>
  <c r="O32" i="184"/>
  <c r="N32" i="184"/>
  <c r="P32" i="184"/>
  <c r="AT32" i="185"/>
  <c r="O24" i="185"/>
  <c r="N24" i="185"/>
  <c r="P24" i="185"/>
  <c r="AO18" i="177"/>
  <c r="P17" i="177"/>
  <c r="EL86" i="185"/>
  <c r="EJ86" i="185"/>
  <c r="CS27" i="185"/>
  <c r="CR27" i="185"/>
  <c r="EU27" i="185"/>
  <c r="ET27" i="185"/>
  <c r="DR27" i="185"/>
  <c r="M27" i="185" s="1"/>
  <c r="DQ27" i="185"/>
  <c r="L27" i="185" s="1"/>
  <c r="ES27" i="185"/>
  <c r="EP27" i="185"/>
  <c r="EO27" i="185"/>
  <c r="EI27" i="185"/>
  <c r="EH27" i="185"/>
  <c r="O42" i="184"/>
  <c r="P42" i="184"/>
  <c r="N42" i="184"/>
  <c r="Q23" i="183"/>
  <c r="S23" i="183"/>
  <c r="R23" i="183"/>
  <c r="AP39" i="182"/>
  <c r="AZ39" i="182"/>
  <c r="AU39" i="182"/>
  <c r="S37" i="184"/>
  <c r="R37" i="184"/>
  <c r="Q37" i="184"/>
  <c r="P25" i="182"/>
  <c r="O25" i="182"/>
  <c r="N25" i="182"/>
  <c r="N17" i="183"/>
  <c r="P17" i="183"/>
  <c r="O17" i="183"/>
  <c r="T40" i="185"/>
  <c r="AR40" i="185" s="1"/>
  <c r="U40" i="185"/>
  <c r="S24" i="185"/>
  <c r="R24" i="185"/>
  <c r="Q24" i="185"/>
  <c r="S40" i="184"/>
  <c r="R40" i="184"/>
  <c r="Q40" i="184"/>
  <c r="P29" i="184"/>
  <c r="O29" i="184"/>
  <c r="N29" i="184"/>
  <c r="U39" i="182"/>
  <c r="T39" i="182"/>
  <c r="EJ85" i="184"/>
  <c r="EL85" i="184" s="1"/>
  <c r="CS26" i="184"/>
  <c r="CR26" i="184"/>
  <c r="AT26" i="184"/>
  <c r="DR26" i="184"/>
  <c r="AR26" i="184"/>
  <c r="DQ26" i="184"/>
  <c r="EU26" i="184"/>
  <c r="ET26" i="184"/>
  <c r="ES26" i="184"/>
  <c r="EI26" i="184"/>
  <c r="EP26" i="184"/>
  <c r="EO26" i="184"/>
  <c r="EH26" i="184"/>
  <c r="S20" i="185"/>
  <c r="R20" i="185"/>
  <c r="Q20" i="185"/>
  <c r="R38" i="183"/>
  <c r="Q38" i="183"/>
  <c r="S38" i="183"/>
  <c r="O41" i="184"/>
  <c r="N41" i="184"/>
  <c r="P41" i="184"/>
  <c r="O37" i="182"/>
  <c r="N37" i="182"/>
  <c r="P37" i="182"/>
  <c r="P26" i="182"/>
  <c r="N26" i="182"/>
  <c r="O26" i="182"/>
  <c r="EJ92" i="183"/>
  <c r="ES33" i="183"/>
  <c r="CR33" i="183"/>
  <c r="AT33" i="183"/>
  <c r="AR33" i="183"/>
  <c r="DR33" i="183"/>
  <c r="DQ33" i="183"/>
  <c r="CS33" i="183"/>
  <c r="EU33" i="183"/>
  <c r="EL92" i="183"/>
  <c r="EP33" i="183"/>
  <c r="ET33" i="183"/>
  <c r="EO33" i="183"/>
  <c r="EI33" i="183"/>
  <c r="EH33" i="183"/>
  <c r="P24" i="182"/>
  <c r="O24" i="182"/>
  <c r="N24" i="182"/>
  <c r="DR45" i="183"/>
  <c r="M45" i="183" s="1"/>
  <c r="DQ45" i="183"/>
  <c r="L45" i="183" s="1"/>
  <c r="EU45" i="183"/>
  <c r="EJ104" i="183"/>
  <c r="CS45" i="183"/>
  <c r="CR45" i="183"/>
  <c r="EL104" i="183"/>
  <c r="EH45" i="183"/>
  <c r="ES45" i="183"/>
  <c r="EI45" i="183"/>
  <c r="ET45" i="183"/>
  <c r="EP45" i="183"/>
  <c r="EO45" i="183"/>
  <c r="S28" i="185"/>
  <c r="R28" i="185"/>
  <c r="Q28" i="185"/>
  <c r="AT41" i="184"/>
  <c r="U2" i="13"/>
  <c r="P19" i="195" l="1"/>
  <c r="AO20" i="195"/>
  <c r="P19" i="194"/>
  <c r="AO20" i="194"/>
  <c r="AO20" i="193"/>
  <c r="P19" i="193"/>
  <c r="P19" i="192"/>
  <c r="AO20" i="192"/>
  <c r="AO20" i="191"/>
  <c r="P19" i="191"/>
  <c r="AO20" i="190"/>
  <c r="P19" i="190"/>
  <c r="P19" i="189"/>
  <c r="AO20" i="189"/>
  <c r="P43" i="185"/>
  <c r="N43" i="185"/>
  <c r="O43" i="185"/>
  <c r="S36" i="182"/>
  <c r="Q36" i="182"/>
  <c r="R36" i="182"/>
  <c r="S17" i="185"/>
  <c r="R17" i="185"/>
  <c r="Q17" i="185"/>
  <c r="AR39" i="182"/>
  <c r="P44" i="183"/>
  <c r="N44" i="183"/>
  <c r="O44" i="183"/>
  <c r="CS38" i="185"/>
  <c r="EJ97" i="185"/>
  <c r="DR38" i="185"/>
  <c r="M38" i="185" s="1"/>
  <c r="DQ38" i="185"/>
  <c r="L38" i="185" s="1"/>
  <c r="EU38" i="185"/>
  <c r="CR38" i="185"/>
  <c r="ES38" i="185"/>
  <c r="EP38" i="185"/>
  <c r="EL97" i="185"/>
  <c r="ET38" i="185"/>
  <c r="EI38" i="185"/>
  <c r="EH38" i="185"/>
  <c r="EO38" i="185"/>
  <c r="AR27" i="185"/>
  <c r="S19" i="185"/>
  <c r="R19" i="185"/>
  <c r="Q19" i="185"/>
  <c r="Q33" i="183"/>
  <c r="S33" i="183"/>
  <c r="R33" i="183"/>
  <c r="O27" i="185"/>
  <c r="N27" i="185"/>
  <c r="P27" i="185"/>
  <c r="P45" i="184"/>
  <c r="O45" i="184"/>
  <c r="N45" i="184"/>
  <c r="EJ91" i="185"/>
  <c r="CS32" i="185"/>
  <c r="CR32" i="185"/>
  <c r="EL91" i="185"/>
  <c r="ET32" i="185"/>
  <c r="DR32" i="185"/>
  <c r="M32" i="185" s="1"/>
  <c r="EU32" i="185"/>
  <c r="DQ32" i="185"/>
  <c r="L32" i="185" s="1"/>
  <c r="ES32" i="185"/>
  <c r="EP32" i="185"/>
  <c r="EO32" i="185"/>
  <c r="EH32" i="185"/>
  <c r="EI32" i="185"/>
  <c r="R44" i="185"/>
  <c r="Q44" i="185"/>
  <c r="S44" i="185"/>
  <c r="DR39" i="182"/>
  <c r="M39" i="182" s="1"/>
  <c r="DQ39" i="182"/>
  <c r="L39" i="182" s="1"/>
  <c r="EU39" i="182"/>
  <c r="ES39" i="182"/>
  <c r="CS39" i="182"/>
  <c r="CR39" i="182"/>
  <c r="EP39" i="182"/>
  <c r="EH39" i="182"/>
  <c r="EO39" i="182"/>
  <c r="ET39" i="182"/>
  <c r="EI39" i="182"/>
  <c r="S44" i="183"/>
  <c r="R44" i="183"/>
  <c r="Q44" i="183"/>
  <c r="S43" i="185"/>
  <c r="R43" i="185"/>
  <c r="Q43" i="185"/>
  <c r="P29" i="185"/>
  <c r="N29" i="185"/>
  <c r="O29" i="185"/>
  <c r="P19" i="185"/>
  <c r="O19" i="185"/>
  <c r="N19" i="185"/>
  <c r="O37" i="185"/>
  <c r="P37" i="185"/>
  <c r="N37" i="185"/>
  <c r="S29" i="185"/>
  <c r="R29" i="185"/>
  <c r="Q29" i="185"/>
  <c r="P26" i="184"/>
  <c r="O26" i="184"/>
  <c r="N26" i="184"/>
  <c r="S37" i="185"/>
  <c r="R37" i="185"/>
  <c r="Q37" i="185"/>
  <c r="N35" i="183"/>
  <c r="O35" i="183"/>
  <c r="P35" i="183"/>
  <c r="AR32" i="185"/>
  <c r="O45" i="183"/>
  <c r="N45" i="183"/>
  <c r="P45" i="183"/>
  <c r="R27" i="185"/>
  <c r="S27" i="185"/>
  <c r="Q27" i="185"/>
  <c r="P24" i="184"/>
  <c r="O24" i="184"/>
  <c r="N24" i="184"/>
  <c r="R35" i="183"/>
  <c r="Q35" i="183"/>
  <c r="S35" i="183"/>
  <c r="S34" i="185"/>
  <c r="R34" i="185"/>
  <c r="Q34" i="185"/>
  <c r="S45" i="184"/>
  <c r="R45" i="184"/>
  <c r="Q45" i="184"/>
  <c r="R40" i="183"/>
  <c r="S40" i="183"/>
  <c r="Q40" i="183"/>
  <c r="S24" i="184"/>
  <c r="R24" i="184"/>
  <c r="Q24" i="184"/>
  <c r="EL85" i="185"/>
  <c r="EJ85" i="185"/>
  <c r="EU26" i="185"/>
  <c r="CR26" i="185"/>
  <c r="DR26" i="185"/>
  <c r="M26" i="185" s="1"/>
  <c r="DQ26" i="185"/>
  <c r="L26" i="185" s="1"/>
  <c r="CS26" i="185"/>
  <c r="ET26" i="185"/>
  <c r="ES26" i="185"/>
  <c r="EI26" i="185"/>
  <c r="EH26" i="185"/>
  <c r="EP26" i="185"/>
  <c r="EO26" i="185"/>
  <c r="O34" i="185"/>
  <c r="N34" i="185"/>
  <c r="P34" i="185"/>
  <c r="S23" i="182"/>
  <c r="Q23" i="182"/>
  <c r="R23" i="182"/>
  <c r="S26" i="184"/>
  <c r="R26" i="184"/>
  <c r="Q26" i="184"/>
  <c r="P30" i="185"/>
  <c r="N30" i="185"/>
  <c r="O30" i="185"/>
  <c r="S40" i="185"/>
  <c r="R40" i="185"/>
  <c r="Q40" i="185"/>
  <c r="P23" i="185"/>
  <c r="O23" i="185"/>
  <c r="N23" i="185"/>
  <c r="S16" i="183"/>
  <c r="Q16" i="183"/>
  <c r="R16" i="183"/>
  <c r="CS45" i="185"/>
  <c r="CR45" i="185"/>
  <c r="DR45" i="185"/>
  <c r="M45" i="185" s="1"/>
  <c r="DQ45" i="185"/>
  <c r="L45" i="185" s="1"/>
  <c r="EU45" i="185"/>
  <c r="EL104" i="185"/>
  <c r="EJ104" i="185"/>
  <c r="ES45" i="185"/>
  <c r="ET45" i="185"/>
  <c r="EI45" i="185"/>
  <c r="EP45" i="185"/>
  <c r="EO45" i="185"/>
  <c r="EH45" i="185"/>
  <c r="S30" i="185"/>
  <c r="R30" i="185"/>
  <c r="Q30" i="185"/>
  <c r="P36" i="182"/>
  <c r="O36" i="182"/>
  <c r="N36" i="182"/>
  <c r="P40" i="183"/>
  <c r="O40" i="183"/>
  <c r="N40" i="183"/>
  <c r="O40" i="185"/>
  <c r="P40" i="185"/>
  <c r="N40" i="185"/>
  <c r="P31" i="185"/>
  <c r="N31" i="185"/>
  <c r="O31" i="185"/>
  <c r="O17" i="185"/>
  <c r="N17" i="185"/>
  <c r="P17" i="185"/>
  <c r="S31" i="185"/>
  <c r="R31" i="185"/>
  <c r="Q31" i="185"/>
  <c r="O33" i="183"/>
  <c r="P33" i="183"/>
  <c r="N33" i="183"/>
  <c r="AO19" i="177"/>
  <c r="P18" i="177"/>
  <c r="L29" i="178"/>
  <c r="N28" i="178"/>
  <c r="R23" i="185"/>
  <c r="S23" i="185"/>
  <c r="Q23" i="185"/>
  <c r="P44" i="185"/>
  <c r="O44" i="185"/>
  <c r="N44" i="185"/>
  <c r="AO55" i="176"/>
  <c r="P55" i="176" s="1"/>
  <c r="P54" i="176"/>
  <c r="R45" i="183"/>
  <c r="S45" i="183"/>
  <c r="Q45" i="183"/>
  <c r="P23" i="182"/>
  <c r="N23" i="182"/>
  <c r="O23" i="182"/>
  <c r="AD3" i="13"/>
  <c r="P20" i="195" l="1"/>
  <c r="AO21" i="195"/>
  <c r="P20" i="194"/>
  <c r="AO21" i="194"/>
  <c r="P20" i="193"/>
  <c r="AO21" i="193"/>
  <c r="P20" i="192"/>
  <c r="AO21" i="192"/>
  <c r="P20" i="191"/>
  <c r="AO21" i="191"/>
  <c r="P20" i="190"/>
  <c r="AO21" i="190"/>
  <c r="P20" i="189"/>
  <c r="AO21" i="189"/>
  <c r="P56" i="176"/>
  <c r="Q38" i="185"/>
  <c r="S38" i="185"/>
  <c r="R38" i="185"/>
  <c r="S39" i="182"/>
  <c r="R39" i="182"/>
  <c r="Q39" i="182"/>
  <c r="L30" i="178"/>
  <c r="N29" i="178"/>
  <c r="O29" i="178" s="1" a="1"/>
  <c r="O29" i="178" s="1"/>
  <c r="N38" i="185"/>
  <c r="P38" i="185"/>
  <c r="O38" i="185"/>
  <c r="P32" i="185"/>
  <c r="O32" i="185"/>
  <c r="N32" i="185"/>
  <c r="P39" i="182"/>
  <c r="O39" i="182"/>
  <c r="N39" i="182"/>
  <c r="P26" i="185"/>
  <c r="N26" i="185"/>
  <c r="O26" i="185"/>
  <c r="Q32" i="185"/>
  <c r="S32" i="185"/>
  <c r="R32" i="185"/>
  <c r="P19" i="177"/>
  <c r="AO20" i="177"/>
  <c r="P45" i="185"/>
  <c r="O45" i="185"/>
  <c r="N45" i="185"/>
  <c r="R26" i="185"/>
  <c r="Q26" i="185"/>
  <c r="S26" i="185"/>
  <c r="R45" i="185"/>
  <c r="Q45" i="185"/>
  <c r="S45" i="185"/>
  <c r="O28" i="178" a="1"/>
  <c r="O28" i="178" s="1"/>
  <c r="ES5" i="160"/>
  <c r="ER5" i="160"/>
  <c r="EQ5" i="160"/>
  <c r="EP5" i="160"/>
  <c r="EO5" i="160"/>
  <c r="EN5" i="160"/>
  <c r="EM5" i="160"/>
  <c r="EL5" i="160"/>
  <c r="EK5" i="160"/>
  <c r="EJ5" i="160"/>
  <c r="EI5" i="160"/>
  <c r="EH5" i="160"/>
  <c r="EG5" i="160"/>
  <c r="EF5" i="160"/>
  <c r="EE5" i="160"/>
  <c r="ED5" i="160"/>
  <c r="EC5" i="160"/>
  <c r="EB5" i="160"/>
  <c r="EA5" i="160"/>
  <c r="DZ5" i="160"/>
  <c r="DY5" i="160"/>
  <c r="DX5" i="160"/>
  <c r="DW5" i="160"/>
  <c r="DV5" i="160"/>
  <c r="DU5" i="160"/>
  <c r="DT5" i="160"/>
  <c r="DS5" i="160"/>
  <c r="DR5" i="160"/>
  <c r="DQ5" i="160"/>
  <c r="DP5" i="160"/>
  <c r="DO5" i="160"/>
  <c r="DN5" i="160"/>
  <c r="DM5" i="160"/>
  <c r="DL5" i="160"/>
  <c r="DK5" i="160"/>
  <c r="DJ5" i="160"/>
  <c r="DI5" i="160"/>
  <c r="DH5" i="160"/>
  <c r="DE5" i="160"/>
  <c r="DD5" i="160"/>
  <c r="DC5" i="160"/>
  <c r="DB5" i="160"/>
  <c r="DA5" i="160"/>
  <c r="CZ5" i="160"/>
  <c r="CY5" i="160"/>
  <c r="CX5" i="160"/>
  <c r="CW5" i="160"/>
  <c r="CV5" i="160"/>
  <c r="CU5" i="160"/>
  <c r="CT5" i="160"/>
  <c r="CS5" i="160"/>
  <c r="CR5" i="160"/>
  <c r="CQ5" i="160"/>
  <c r="CP5" i="160"/>
  <c r="CO5" i="160"/>
  <c r="CN5" i="160"/>
  <c r="CM5" i="160"/>
  <c r="CL5" i="160"/>
  <c r="CK5" i="160"/>
  <c r="CJ5" i="160"/>
  <c r="CI5" i="160"/>
  <c r="CH5" i="160"/>
  <c r="CG5" i="160"/>
  <c r="CF5" i="160"/>
  <c r="CE5" i="160"/>
  <c r="CD5" i="160"/>
  <c r="CC5" i="160"/>
  <c r="CB5" i="160"/>
  <c r="AO22" i="195" l="1"/>
  <c r="P21" i="195"/>
  <c r="AO22" i="194"/>
  <c r="P21" i="194"/>
  <c r="AO22" i="193"/>
  <c r="P21" i="193"/>
  <c r="AO22" i="192"/>
  <c r="P21" i="192"/>
  <c r="AO22" i="191"/>
  <c r="P21" i="191"/>
  <c r="AO22" i="190"/>
  <c r="P21" i="190"/>
  <c r="AO22" i="189"/>
  <c r="P21" i="189"/>
  <c r="L31" i="178"/>
  <c r="N30" i="178"/>
  <c r="O30" i="178" s="1" a="1"/>
  <c r="O30" i="178" s="1"/>
  <c r="P20" i="177"/>
  <c r="AO21" i="177"/>
  <c r="CG10" i="165"/>
  <c r="CF10" i="165"/>
  <c r="CE10" i="165"/>
  <c r="CD10" i="165"/>
  <c r="CC10" i="165"/>
  <c r="CB10" i="165"/>
  <c r="CA10" i="165"/>
  <c r="BZ10" i="165"/>
  <c r="BY10" i="165"/>
  <c r="BX10" i="165"/>
  <c r="BW10" i="165"/>
  <c r="BV10" i="165"/>
  <c r="BU10" i="165"/>
  <c r="BT10" i="165"/>
  <c r="BS10" i="165"/>
  <c r="BR10" i="165"/>
  <c r="BQ10" i="165"/>
  <c r="BP10" i="165"/>
  <c r="BO10" i="165"/>
  <c r="BN10" i="165"/>
  <c r="BM10" i="165"/>
  <c r="BL10" i="165"/>
  <c r="BK10" i="165"/>
  <c r="BJ10" i="165"/>
  <c r="BI10" i="165"/>
  <c r="BH10" i="165"/>
  <c r="BG10" i="165"/>
  <c r="BF10" i="165"/>
  <c r="BE10" i="165"/>
  <c r="BD10" i="165"/>
  <c r="BC10" i="165"/>
  <c r="BB10" i="165"/>
  <c r="AO23" i="195" l="1"/>
  <c r="P22" i="195"/>
  <c r="AO23" i="194"/>
  <c r="P22" i="194"/>
  <c r="AO23" i="193"/>
  <c r="P22" i="193"/>
  <c r="AO23" i="192"/>
  <c r="P22" i="192"/>
  <c r="AO23" i="191"/>
  <c r="P22" i="191"/>
  <c r="AO23" i="190"/>
  <c r="P22" i="190"/>
  <c r="AO23" i="189"/>
  <c r="P22" i="189"/>
  <c r="AO22" i="177"/>
  <c r="P21" i="177"/>
  <c r="N31" i="178"/>
  <c r="O31" i="178" s="1" a="1"/>
  <c r="O31" i="178" s="1"/>
  <c r="L32" i="178"/>
  <c r="O13" i="80" a="1"/>
  <c r="O13" i="80" s="1"/>
  <c r="P23" i="195" l="1"/>
  <c r="AO24" i="195"/>
  <c r="P23" i="194"/>
  <c r="AO24" i="194"/>
  <c r="AO24" i="193"/>
  <c r="P23" i="193"/>
  <c r="AO24" i="192"/>
  <c r="P23" i="192"/>
  <c r="AO24" i="191"/>
  <c r="P23" i="191"/>
  <c r="AO24" i="190"/>
  <c r="P23" i="190"/>
  <c r="AO24" i="189"/>
  <c r="P23" i="189"/>
  <c r="AO23" i="177"/>
  <c r="P22" i="177"/>
  <c r="L33" i="178"/>
  <c r="N32" i="178"/>
  <c r="O32" i="178" s="1" a="1"/>
  <c r="O32" i="178" s="1"/>
  <c r="R99" i="169"/>
  <c r="R98" i="169"/>
  <c r="R97" i="169"/>
  <c r="R96" i="169"/>
  <c r="R95" i="169"/>
  <c r="R94" i="169"/>
  <c r="R93" i="169"/>
  <c r="R92" i="169"/>
  <c r="R91" i="169"/>
  <c r="R90" i="169"/>
  <c r="R89" i="169"/>
  <c r="R88" i="169"/>
  <c r="R87" i="169"/>
  <c r="R86" i="169"/>
  <c r="R85" i="169"/>
  <c r="R84" i="169"/>
  <c r="R83" i="169"/>
  <c r="R82" i="169"/>
  <c r="R81" i="169"/>
  <c r="R80" i="169"/>
  <c r="R79" i="169"/>
  <c r="R78" i="169"/>
  <c r="R77" i="169"/>
  <c r="R76" i="169"/>
  <c r="R75" i="169"/>
  <c r="R74" i="169"/>
  <c r="R73" i="169"/>
  <c r="R72" i="169"/>
  <c r="R71" i="169"/>
  <c r="R70" i="169"/>
  <c r="R69" i="169"/>
  <c r="R68" i="169"/>
  <c r="R67" i="169"/>
  <c r="R66" i="169"/>
  <c r="R65" i="169"/>
  <c r="R64" i="169"/>
  <c r="R63" i="169"/>
  <c r="R62" i="169"/>
  <c r="R61" i="169"/>
  <c r="R60" i="169"/>
  <c r="R59" i="169"/>
  <c r="R58" i="169"/>
  <c r="R57" i="169"/>
  <c r="R56" i="169"/>
  <c r="R55" i="169"/>
  <c r="R54" i="169"/>
  <c r="R53" i="169"/>
  <c r="R52" i="169"/>
  <c r="R51" i="169"/>
  <c r="R50" i="169"/>
  <c r="R49" i="169"/>
  <c r="R48" i="169"/>
  <c r="R47" i="169"/>
  <c r="R46" i="169"/>
  <c r="R45" i="169"/>
  <c r="R44" i="169"/>
  <c r="R43" i="169"/>
  <c r="R42" i="169"/>
  <c r="R41" i="169"/>
  <c r="R40" i="169"/>
  <c r="R39" i="169"/>
  <c r="R38" i="169"/>
  <c r="R37" i="169"/>
  <c r="R36" i="169"/>
  <c r="R35" i="169"/>
  <c r="R34" i="169"/>
  <c r="R33" i="169"/>
  <c r="R32" i="169"/>
  <c r="R31" i="169"/>
  <c r="R30" i="169"/>
  <c r="R29" i="169"/>
  <c r="R28" i="169"/>
  <c r="R27" i="169"/>
  <c r="R26" i="169"/>
  <c r="R25" i="169"/>
  <c r="R24" i="169"/>
  <c r="R23" i="169"/>
  <c r="R22" i="169"/>
  <c r="R21" i="169"/>
  <c r="R20" i="169"/>
  <c r="R19" i="169"/>
  <c r="R18" i="169"/>
  <c r="R17" i="169"/>
  <c r="R16" i="169"/>
  <c r="R15" i="169"/>
  <c r="R14" i="169"/>
  <c r="L14" i="169"/>
  <c r="L15" i="169" s="1"/>
  <c r="R13" i="169"/>
  <c r="L13" i="169"/>
  <c r="P10" i="169"/>
  <c r="J10" i="169"/>
  <c r="G10" i="169"/>
  <c r="B10" i="169"/>
  <c r="G9" i="169"/>
  <c r="B9" i="169"/>
  <c r="H7" i="169"/>
  <c r="H6" i="169"/>
  <c r="M1" i="169"/>
  <c r="P24" i="195" l="1"/>
  <c r="AO25" i="195"/>
  <c r="P24" i="194"/>
  <c r="AO25" i="194"/>
  <c r="P24" i="193"/>
  <c r="AO25" i="193"/>
  <c r="P24" i="192"/>
  <c r="AO25" i="192"/>
  <c r="P24" i="191"/>
  <c r="AO25" i="191"/>
  <c r="P24" i="190"/>
  <c r="AO25" i="190"/>
  <c r="P24" i="189"/>
  <c r="AO25" i="189"/>
  <c r="L34" i="178"/>
  <c r="N33" i="178"/>
  <c r="O33" i="178" s="1" a="1"/>
  <c r="O33" i="178" s="1"/>
  <c r="AO24" i="177"/>
  <c r="P23" i="177"/>
  <c r="L16" i="169"/>
  <c r="AO26" i="195" l="1"/>
  <c r="P25" i="195"/>
  <c r="AO26" i="194"/>
  <c r="P25" i="194"/>
  <c r="AO26" i="193"/>
  <c r="P25" i="193"/>
  <c r="AO26" i="192"/>
  <c r="P25" i="192"/>
  <c r="AO26" i="191"/>
  <c r="P25" i="191"/>
  <c r="AO26" i="190"/>
  <c r="P25" i="190"/>
  <c r="AO26" i="189"/>
  <c r="P25" i="189"/>
  <c r="N34" i="178"/>
  <c r="O34" i="178" s="1" a="1"/>
  <c r="O34" i="178" s="1"/>
  <c r="L35" i="178"/>
  <c r="P24" i="177"/>
  <c r="AO25" i="177"/>
  <c r="L17" i="169"/>
  <c r="AO27" i="195" l="1"/>
  <c r="P26" i="195"/>
  <c r="AO27" i="194"/>
  <c r="P26" i="194"/>
  <c r="AO27" i="193"/>
  <c r="P26" i="193"/>
  <c r="AO27" i="192"/>
  <c r="P26" i="192"/>
  <c r="AO27" i="191"/>
  <c r="P26" i="191"/>
  <c r="AO27" i="190"/>
  <c r="P26" i="190"/>
  <c r="AO27" i="189"/>
  <c r="P26" i="189"/>
  <c r="L36" i="178"/>
  <c r="N35" i="178"/>
  <c r="O35" i="178" s="1" a="1"/>
  <c r="O35" i="178" s="1"/>
  <c r="P25" i="177"/>
  <c r="AO26" i="177"/>
  <c r="L18" i="169"/>
  <c r="T42" i="163"/>
  <c r="T41" i="163"/>
  <c r="T40" i="163"/>
  <c r="T39" i="163"/>
  <c r="T38" i="163"/>
  <c r="T37" i="163"/>
  <c r="T36" i="163"/>
  <c r="T35" i="163"/>
  <c r="T34" i="163"/>
  <c r="T33" i="163"/>
  <c r="T32" i="163"/>
  <c r="T31" i="163"/>
  <c r="T30" i="163"/>
  <c r="T29" i="163"/>
  <c r="T28" i="163"/>
  <c r="T27" i="163"/>
  <c r="T26" i="163"/>
  <c r="T25" i="163"/>
  <c r="T24" i="163"/>
  <c r="T23" i="163"/>
  <c r="T22" i="163"/>
  <c r="T21" i="163"/>
  <c r="T20" i="163"/>
  <c r="T19" i="163"/>
  <c r="T18" i="163"/>
  <c r="T17" i="163"/>
  <c r="T16" i="163"/>
  <c r="T15" i="163"/>
  <c r="T14" i="163"/>
  <c r="T42" i="162"/>
  <c r="T41" i="162"/>
  <c r="T40" i="162"/>
  <c r="T39" i="162"/>
  <c r="T38" i="162"/>
  <c r="T37" i="162"/>
  <c r="T36" i="162"/>
  <c r="T35" i="162"/>
  <c r="T34" i="162"/>
  <c r="T33" i="162"/>
  <c r="T32" i="162"/>
  <c r="T31" i="162"/>
  <c r="T30" i="162"/>
  <c r="T29" i="162"/>
  <c r="T28" i="162"/>
  <c r="T27" i="162"/>
  <c r="P27" i="195" l="1"/>
  <c r="AO28" i="195"/>
  <c r="P27" i="194"/>
  <c r="AO28" i="194"/>
  <c r="AO28" i="193"/>
  <c r="P27" i="193"/>
  <c r="AO28" i="192"/>
  <c r="P27" i="192"/>
  <c r="P27" i="191"/>
  <c r="AO28" i="191"/>
  <c r="AO28" i="190"/>
  <c r="P27" i="190"/>
  <c r="AO28" i="189"/>
  <c r="P27" i="189"/>
  <c r="AO27" i="177"/>
  <c r="P26" i="177"/>
  <c r="L37" i="178"/>
  <c r="N36" i="178"/>
  <c r="O36" i="178" s="1" a="1"/>
  <c r="O36" i="178" s="1"/>
  <c r="L19" i="169"/>
  <c r="L13" i="80"/>
  <c r="N13" i="80" s="1"/>
  <c r="P28" i="195" l="1"/>
  <c r="AO29" i="195"/>
  <c r="P28" i="194"/>
  <c r="AO29" i="194"/>
  <c r="P28" i="193"/>
  <c r="AO29" i="193"/>
  <c r="P28" i="192"/>
  <c r="AO29" i="192"/>
  <c r="P28" i="191"/>
  <c r="AO29" i="191"/>
  <c r="P28" i="190"/>
  <c r="AO29" i="190"/>
  <c r="P28" i="189"/>
  <c r="AO29" i="189"/>
  <c r="AO28" i="177"/>
  <c r="P27" i="177"/>
  <c r="N37" i="178"/>
  <c r="O37" i="178" s="1" a="1"/>
  <c r="O37" i="178" s="1"/>
  <c r="L38" i="178"/>
  <c r="L20" i="169"/>
  <c r="L14" i="80"/>
  <c r="N14" i="80" s="1"/>
  <c r="O14" i="80" s="1" a="1"/>
  <c r="O14" i="80" s="1"/>
  <c r="AO30" i="195" l="1"/>
  <c r="P29" i="195"/>
  <c r="AO30" i="194"/>
  <c r="P29" i="194"/>
  <c r="AO30" i="193"/>
  <c r="P29" i="193"/>
  <c r="AO30" i="192"/>
  <c r="P29" i="192"/>
  <c r="AO30" i="191"/>
  <c r="P29" i="191"/>
  <c r="AO30" i="190"/>
  <c r="P29" i="190"/>
  <c r="AO30" i="189"/>
  <c r="P29" i="189"/>
  <c r="L39" i="178"/>
  <c r="N38" i="178"/>
  <c r="O38" i="178" s="1" a="1"/>
  <c r="O38" i="178" s="1"/>
  <c r="AO29" i="177"/>
  <c r="P28" i="177"/>
  <c r="L21" i="169"/>
  <c r="L15" i="80"/>
  <c r="N15" i="80" s="1"/>
  <c r="O15" i="80" s="1" a="1"/>
  <c r="O15" i="80" s="1"/>
  <c r="AO14" i="114"/>
  <c r="P14" i="114" s="1"/>
  <c r="T1" i="114"/>
  <c r="AO31" i="195" l="1"/>
  <c r="P30" i="195"/>
  <c r="AO31" i="194"/>
  <c r="P30" i="194"/>
  <c r="AO31" i="193"/>
  <c r="P30" i="193"/>
  <c r="AO31" i="192"/>
  <c r="P30" i="192"/>
  <c r="AO31" i="191"/>
  <c r="P30" i="191"/>
  <c r="AO31" i="190"/>
  <c r="P30" i="190"/>
  <c r="AO31" i="189"/>
  <c r="P30" i="189"/>
  <c r="AO30" i="177"/>
  <c r="P29" i="177"/>
  <c r="L40" i="178"/>
  <c r="N39" i="178"/>
  <c r="O39" i="178" s="1" a="1"/>
  <c r="O39" i="178" s="1"/>
  <c r="AO15" i="114"/>
  <c r="P15" i="114" s="1"/>
  <c r="L22" i="169"/>
  <c r="L16" i="80"/>
  <c r="N16" i="80" s="1"/>
  <c r="O16" i="80" s="1" a="1"/>
  <c r="O16" i="80" s="1"/>
  <c r="D29" i="13"/>
  <c r="P31" i="195" l="1"/>
  <c r="AO32" i="195"/>
  <c r="P31" i="194"/>
  <c r="AO32" i="194"/>
  <c r="P31" i="193"/>
  <c r="AO32" i="193"/>
  <c r="AO32" i="192"/>
  <c r="P31" i="192"/>
  <c r="P31" i="191"/>
  <c r="AO32" i="191"/>
  <c r="P31" i="190"/>
  <c r="AO32" i="190"/>
  <c r="P31" i="189"/>
  <c r="AO32" i="189"/>
  <c r="N40" i="178"/>
  <c r="O40" i="178" s="1" a="1"/>
  <c r="O40" i="178" s="1"/>
  <c r="L41" i="178"/>
  <c r="P30" i="177"/>
  <c r="AO31" i="177"/>
  <c r="AO16" i="114"/>
  <c r="P16" i="114" s="1"/>
  <c r="L23" i="169"/>
  <c r="L17" i="80"/>
  <c r="N17" i="80" s="1"/>
  <c r="O17" i="80" s="1" a="1"/>
  <c r="O17" i="80" s="1"/>
  <c r="AO17" i="114"/>
  <c r="AO18" i="114" s="1"/>
  <c r="ES45" i="160"/>
  <c r="ER45" i="160"/>
  <c r="ES44" i="160"/>
  <c r="ER44" i="160"/>
  <c r="ES43" i="160"/>
  <c r="ER43" i="160"/>
  <c r="ES42" i="160"/>
  <c r="ER42" i="160"/>
  <c r="ES41" i="160"/>
  <c r="ER41" i="160"/>
  <c r="ES40" i="160"/>
  <c r="ER40" i="160"/>
  <c r="ES39" i="160"/>
  <c r="ER39" i="160"/>
  <c r="ES38" i="160"/>
  <c r="ER38" i="160"/>
  <c r="ES37" i="160"/>
  <c r="ER37" i="160"/>
  <c r="ES36" i="160"/>
  <c r="ER36" i="160"/>
  <c r="ES35" i="160"/>
  <c r="ER35" i="160"/>
  <c r="ES34" i="160"/>
  <c r="ER34" i="160"/>
  <c r="ES33" i="160"/>
  <c r="ER33" i="160"/>
  <c r="ES32" i="160"/>
  <c r="ER32" i="160"/>
  <c r="ES31" i="160"/>
  <c r="ER31" i="160"/>
  <c r="ES30" i="160"/>
  <c r="ER30" i="160"/>
  <c r="ES29" i="160"/>
  <c r="ER29" i="160"/>
  <c r="ES28" i="160"/>
  <c r="ER28" i="160"/>
  <c r="ES27" i="160"/>
  <c r="ER27" i="160"/>
  <c r="ES26" i="160"/>
  <c r="ER26" i="160"/>
  <c r="ES25" i="160"/>
  <c r="ER25" i="160"/>
  <c r="ES24" i="160"/>
  <c r="ER24" i="160"/>
  <c r="ES23" i="160"/>
  <c r="ER23" i="160"/>
  <c r="ES22" i="160"/>
  <c r="ER22" i="160"/>
  <c r="ES21" i="160"/>
  <c r="ER21" i="160"/>
  <c r="ES20" i="160"/>
  <c r="ER20" i="160"/>
  <c r="ES19" i="160"/>
  <c r="ER19" i="160"/>
  <c r="ES18" i="160"/>
  <c r="ER18" i="160"/>
  <c r="ES17" i="160"/>
  <c r="ER17" i="160"/>
  <c r="ES15" i="160"/>
  <c r="ER15" i="160"/>
  <c r="ES14" i="160"/>
  <c r="ER14" i="160"/>
  <c r="ES45" i="84"/>
  <c r="ER45" i="84"/>
  <c r="ES44" i="84"/>
  <c r="ER44" i="84"/>
  <c r="ES43" i="84"/>
  <c r="ER43" i="84"/>
  <c r="ES42" i="84"/>
  <c r="ER42" i="84"/>
  <c r="ES41" i="84"/>
  <c r="ER41" i="84"/>
  <c r="ES40" i="84"/>
  <c r="ER40" i="84"/>
  <c r="ES39" i="84"/>
  <c r="ER39" i="84"/>
  <c r="ES38" i="84"/>
  <c r="ER38" i="84"/>
  <c r="ES37" i="84"/>
  <c r="ER37" i="84"/>
  <c r="ES36" i="84"/>
  <c r="ER36" i="84"/>
  <c r="ES35" i="84"/>
  <c r="ER35" i="84"/>
  <c r="ES34" i="84"/>
  <c r="ER34" i="84"/>
  <c r="ES33" i="84"/>
  <c r="ER33" i="84"/>
  <c r="ES32" i="84"/>
  <c r="ER32" i="84"/>
  <c r="ES30" i="84"/>
  <c r="ER30" i="84"/>
  <c r="ES29" i="84"/>
  <c r="ER29" i="84"/>
  <c r="ES28" i="84"/>
  <c r="ER28" i="84"/>
  <c r="P32" i="195" l="1"/>
  <c r="AO33" i="195"/>
  <c r="P32" i="194"/>
  <c r="AO33" i="194"/>
  <c r="P32" i="193"/>
  <c r="AO33" i="193"/>
  <c r="P32" i="192"/>
  <c r="AO33" i="192"/>
  <c r="P32" i="191"/>
  <c r="AO33" i="191"/>
  <c r="P32" i="190"/>
  <c r="AO33" i="190"/>
  <c r="P32" i="189"/>
  <c r="AO33" i="189"/>
  <c r="AO32" i="177"/>
  <c r="P31" i="177"/>
  <c r="L42" i="178"/>
  <c r="N41" i="178"/>
  <c r="O41" i="178" s="1" a="1"/>
  <c r="O41" i="178" s="1"/>
  <c r="L24" i="169"/>
  <c r="L18" i="80"/>
  <c r="N18" i="80" s="1"/>
  <c r="O18" i="80" s="1" a="1"/>
  <c r="O18" i="80" s="1"/>
  <c r="AO19" i="114"/>
  <c r="P18" i="114"/>
  <c r="BB45" i="160"/>
  <c r="AX45" i="160"/>
  <c r="AT45" i="160"/>
  <c r="BB44" i="160"/>
  <c r="AX44" i="160"/>
  <c r="AT44" i="160"/>
  <c r="BB43" i="160"/>
  <c r="AX43" i="160"/>
  <c r="AT43" i="160"/>
  <c r="BB42" i="160"/>
  <c r="AX42" i="160"/>
  <c r="AT42" i="160"/>
  <c r="BB41" i="160"/>
  <c r="AX41" i="160"/>
  <c r="AT41" i="160"/>
  <c r="BB40" i="160"/>
  <c r="AX40" i="160"/>
  <c r="AT40" i="160"/>
  <c r="BB39" i="160"/>
  <c r="AX39" i="160"/>
  <c r="AT39" i="160"/>
  <c r="BB38" i="160"/>
  <c r="AX38" i="160"/>
  <c r="AT38" i="160"/>
  <c r="BB37" i="160"/>
  <c r="AX37" i="160"/>
  <c r="AT37" i="160"/>
  <c r="BB36" i="160"/>
  <c r="AX36" i="160"/>
  <c r="AT36" i="160"/>
  <c r="BB35" i="160"/>
  <c r="AX35" i="160"/>
  <c r="AT35" i="160"/>
  <c r="BB34" i="160"/>
  <c r="AX34" i="160"/>
  <c r="AT34" i="160"/>
  <c r="BB33" i="160"/>
  <c r="AX33" i="160"/>
  <c r="AT33" i="160"/>
  <c r="BB32" i="160"/>
  <c r="AX32" i="160"/>
  <c r="AT32" i="160"/>
  <c r="BB31" i="160"/>
  <c r="AX31" i="160"/>
  <c r="AT31" i="160"/>
  <c r="BB30" i="160"/>
  <c r="AX30" i="160"/>
  <c r="AT30" i="160"/>
  <c r="BB29" i="160"/>
  <c r="AX29" i="160"/>
  <c r="AT29" i="160"/>
  <c r="BB28" i="160"/>
  <c r="AX28" i="160"/>
  <c r="AT28" i="160"/>
  <c r="BB27" i="160"/>
  <c r="AX27" i="160"/>
  <c r="AT27" i="160"/>
  <c r="BB26" i="160"/>
  <c r="AX26" i="160"/>
  <c r="AT26" i="160"/>
  <c r="BB25" i="160"/>
  <c r="AX25" i="160"/>
  <c r="AT25" i="160"/>
  <c r="BB24" i="160"/>
  <c r="AX24" i="160"/>
  <c r="AT24" i="160"/>
  <c r="BB23" i="160"/>
  <c r="AX23" i="160"/>
  <c r="AT23" i="160"/>
  <c r="BB22" i="160"/>
  <c r="AX22" i="160"/>
  <c r="AT22" i="160"/>
  <c r="BB21" i="160"/>
  <c r="AX21" i="160"/>
  <c r="AT21" i="160"/>
  <c r="BB20" i="160"/>
  <c r="AX20" i="160"/>
  <c r="AT20" i="160"/>
  <c r="BB19" i="160"/>
  <c r="AX19" i="160"/>
  <c r="AT19" i="160"/>
  <c r="BB18" i="160"/>
  <c r="AX18" i="160"/>
  <c r="AT18" i="160"/>
  <c r="BB17" i="160"/>
  <c r="AX17" i="160"/>
  <c r="AT17" i="160"/>
  <c r="BB16" i="160"/>
  <c r="AX16" i="160"/>
  <c r="AT16" i="160"/>
  <c r="BB15" i="160"/>
  <c r="AX15" i="160"/>
  <c r="AT15" i="160"/>
  <c r="BB14" i="160"/>
  <c r="AX14" i="160"/>
  <c r="AT14" i="160"/>
  <c r="BB45" i="84"/>
  <c r="AX45" i="84"/>
  <c r="AT45" i="84"/>
  <c r="BB44" i="84"/>
  <c r="AX44" i="84"/>
  <c r="AT44" i="84"/>
  <c r="BB43" i="84"/>
  <c r="AX43" i="84"/>
  <c r="AT43" i="84"/>
  <c r="BB42" i="84"/>
  <c r="AX42" i="84"/>
  <c r="AT42" i="84"/>
  <c r="BB41" i="84"/>
  <c r="AX41" i="84"/>
  <c r="AT41" i="84"/>
  <c r="BB40" i="84"/>
  <c r="AX40" i="84"/>
  <c r="AT40" i="84"/>
  <c r="BB39" i="84"/>
  <c r="AX39" i="84"/>
  <c r="AT39" i="84"/>
  <c r="BB38" i="84"/>
  <c r="AX38" i="84"/>
  <c r="AT38" i="84"/>
  <c r="BB37" i="84"/>
  <c r="AX37" i="84"/>
  <c r="AT37" i="84"/>
  <c r="BB36" i="84"/>
  <c r="AX36" i="84"/>
  <c r="AT36" i="84"/>
  <c r="BB35" i="84"/>
  <c r="AX35" i="84"/>
  <c r="AT35" i="84"/>
  <c r="BB34" i="84"/>
  <c r="AX34" i="84"/>
  <c r="AT34" i="84"/>
  <c r="BB33" i="84"/>
  <c r="AX33" i="84"/>
  <c r="AT33" i="84"/>
  <c r="BB32" i="84"/>
  <c r="AX32" i="84"/>
  <c r="AT32" i="84"/>
  <c r="BB31" i="84"/>
  <c r="AX31" i="84"/>
  <c r="AT31" i="84"/>
  <c r="BB30" i="84"/>
  <c r="AX30" i="84"/>
  <c r="AT30" i="84"/>
  <c r="BB29" i="84"/>
  <c r="AX29" i="84"/>
  <c r="AT29" i="84"/>
  <c r="BB28" i="84"/>
  <c r="AX28" i="84"/>
  <c r="AT28" i="84"/>
  <c r="BB27" i="84"/>
  <c r="AX27" i="84"/>
  <c r="AT27" i="84"/>
  <c r="BB26" i="84"/>
  <c r="AX26" i="84"/>
  <c r="AT26" i="84"/>
  <c r="BB25" i="84"/>
  <c r="AX25" i="84"/>
  <c r="AT25" i="84"/>
  <c r="BB24" i="84"/>
  <c r="AX24" i="84"/>
  <c r="AT24" i="84"/>
  <c r="BB23" i="84"/>
  <c r="AX23" i="84"/>
  <c r="AT23" i="84"/>
  <c r="BB22" i="84"/>
  <c r="AX22" i="84"/>
  <c r="AT22" i="84"/>
  <c r="BB21" i="84"/>
  <c r="AX21" i="84"/>
  <c r="AT21" i="84"/>
  <c r="BB20" i="84"/>
  <c r="AX20" i="84"/>
  <c r="AT20" i="84"/>
  <c r="BB19" i="84"/>
  <c r="AX19" i="84"/>
  <c r="AT19" i="84"/>
  <c r="BB18" i="84"/>
  <c r="AX18" i="84"/>
  <c r="AT18" i="84"/>
  <c r="BB17" i="84"/>
  <c r="AX17" i="84"/>
  <c r="AT17" i="84"/>
  <c r="BB16" i="84"/>
  <c r="AX16" i="84"/>
  <c r="AT16" i="84"/>
  <c r="BB15" i="84"/>
  <c r="AX15" i="84"/>
  <c r="AT15" i="84"/>
  <c r="AO34" i="195" l="1"/>
  <c r="P33" i="195"/>
  <c r="AO34" i="194"/>
  <c r="P33" i="194"/>
  <c r="AO34" i="193"/>
  <c r="P33" i="193"/>
  <c r="AO34" i="192"/>
  <c r="P33" i="192"/>
  <c r="AO34" i="191"/>
  <c r="P33" i="191"/>
  <c r="AO34" i="190"/>
  <c r="P33" i="190"/>
  <c r="AO34" i="189"/>
  <c r="P33" i="189"/>
  <c r="P32" i="177"/>
  <c r="AO33" i="177"/>
  <c r="L43" i="178"/>
  <c r="N42" i="178"/>
  <c r="O42" i="178" s="1" a="1"/>
  <c r="O42" i="178" s="1"/>
  <c r="L25" i="169"/>
  <c r="L19" i="80"/>
  <c r="N19" i="80" s="1"/>
  <c r="O19" i="80" s="1" a="1"/>
  <c r="O19" i="80" s="1"/>
  <c r="AO20" i="114"/>
  <c r="P19" i="114"/>
  <c r="GE70" i="84"/>
  <c r="AQ30" i="84" s="1"/>
  <c r="GD70" i="84"/>
  <c r="AP30" i="84" s="1"/>
  <c r="AO35" i="195" l="1"/>
  <c r="P34" i="195"/>
  <c r="AO35" i="194"/>
  <c r="P34" i="194"/>
  <c r="AO35" i="193"/>
  <c r="P34" i="193"/>
  <c r="AO35" i="192"/>
  <c r="P34" i="192"/>
  <c r="AO35" i="191"/>
  <c r="P34" i="191"/>
  <c r="AO35" i="190"/>
  <c r="P34" i="190"/>
  <c r="AO35" i="189"/>
  <c r="P34" i="189"/>
  <c r="P33" i="177"/>
  <c r="AO34" i="177"/>
  <c r="N43" i="178"/>
  <c r="O43" i="178" s="1" a="1"/>
  <c r="O43" i="178" s="1"/>
  <c r="L44" i="178"/>
  <c r="L26" i="169"/>
  <c r="L20" i="80"/>
  <c r="N20" i="80" s="1"/>
  <c r="O20" i="80" s="1" a="1"/>
  <c r="O20" i="80" s="1"/>
  <c r="AO21" i="114"/>
  <c r="P20" i="114"/>
  <c r="CQ1" i="168"/>
  <c r="P35" i="195" l="1"/>
  <c r="AO36" i="195"/>
  <c r="P35" i="194"/>
  <c r="AO36" i="194"/>
  <c r="P35" i="193"/>
  <c r="AO36" i="193"/>
  <c r="P35" i="192"/>
  <c r="AO36" i="192"/>
  <c r="P35" i="191"/>
  <c r="AO36" i="191"/>
  <c r="P35" i="190"/>
  <c r="AO36" i="190"/>
  <c r="P35" i="189"/>
  <c r="AO36" i="189"/>
  <c r="AO35" i="177"/>
  <c r="P34" i="177"/>
  <c r="L45" i="178"/>
  <c r="N44" i="178"/>
  <c r="O44" i="178" s="1" a="1"/>
  <c r="O44" i="178" s="1"/>
  <c r="L27" i="169"/>
  <c r="L21" i="80"/>
  <c r="AO22" i="114"/>
  <c r="P21" i="114"/>
  <c r="P36" i="195" l="1"/>
  <c r="AO37" i="195"/>
  <c r="P36" i="194"/>
  <c r="AO37" i="194"/>
  <c r="P36" i="193"/>
  <c r="AO37" i="193"/>
  <c r="P36" i="192"/>
  <c r="AO37" i="192"/>
  <c r="P36" i="191"/>
  <c r="AO37" i="191"/>
  <c r="P36" i="190"/>
  <c r="AO37" i="190"/>
  <c r="P36" i="189"/>
  <c r="AO37" i="189"/>
  <c r="AO36" i="177"/>
  <c r="P35" i="177"/>
  <c r="L46" i="178"/>
  <c r="N45" i="178"/>
  <c r="O45" i="178" s="1" a="1"/>
  <c r="O45" i="178" s="1"/>
  <c r="L28" i="169"/>
  <c r="N21" i="80"/>
  <c r="O21" i="80" s="1" a="1"/>
  <c r="O21" i="80" s="1"/>
  <c r="L22" i="80"/>
  <c r="N22" i="80" s="1"/>
  <c r="O22" i="80" s="1" a="1"/>
  <c r="O22" i="80" s="1"/>
  <c r="AO23" i="114"/>
  <c r="P22" i="114"/>
  <c r="P10" i="80"/>
  <c r="R72" i="80"/>
  <c r="R71" i="80"/>
  <c r="R70" i="80"/>
  <c r="R69" i="80"/>
  <c r="R68" i="80"/>
  <c r="R67" i="80"/>
  <c r="R66" i="80"/>
  <c r="R65" i="80"/>
  <c r="R64" i="80"/>
  <c r="R63" i="80"/>
  <c r="R62" i="80"/>
  <c r="R61" i="80"/>
  <c r="R60" i="80"/>
  <c r="R59" i="80"/>
  <c r="R58" i="80"/>
  <c r="R57" i="80"/>
  <c r="R56" i="80"/>
  <c r="R55" i="80"/>
  <c r="R54" i="80"/>
  <c r="R53" i="80"/>
  <c r="R52" i="80"/>
  <c r="R51" i="80"/>
  <c r="R50" i="80"/>
  <c r="R49" i="80"/>
  <c r="R48" i="80"/>
  <c r="R47" i="80"/>
  <c r="AH1" i="168"/>
  <c r="HA1" i="147"/>
  <c r="BL1" i="167"/>
  <c r="HA1" i="84"/>
  <c r="AO38" i="195" l="1"/>
  <c r="P37" i="195"/>
  <c r="AO38" i="194"/>
  <c r="P37" i="194"/>
  <c r="AO38" i="193"/>
  <c r="P37" i="193"/>
  <c r="AO38" i="192"/>
  <c r="P37" i="192"/>
  <c r="AO38" i="191"/>
  <c r="P37" i="191"/>
  <c r="AO38" i="190"/>
  <c r="P37" i="190"/>
  <c r="AO38" i="189"/>
  <c r="P37" i="189"/>
  <c r="L47" i="178"/>
  <c r="N46" i="178"/>
  <c r="O46" i="178" s="1" a="1"/>
  <c r="O46" i="178" s="1"/>
  <c r="AO37" i="177"/>
  <c r="P36" i="177"/>
  <c r="L29" i="169"/>
  <c r="L23" i="80"/>
  <c r="N23" i="80" s="1"/>
  <c r="O23" i="80" s="1" a="1"/>
  <c r="O23" i="80" s="1"/>
  <c r="AO24" i="114"/>
  <c r="P23" i="114"/>
  <c r="AH2" i="168"/>
  <c r="AO39" i="195" l="1"/>
  <c r="P38" i="195"/>
  <c r="AO39" i="194"/>
  <c r="P38" i="194"/>
  <c r="AO39" i="193"/>
  <c r="P38" i="193"/>
  <c r="AO39" i="192"/>
  <c r="P38" i="192"/>
  <c r="AO39" i="191"/>
  <c r="P38" i="191"/>
  <c r="AO39" i="190"/>
  <c r="P38" i="190"/>
  <c r="AO39" i="189"/>
  <c r="P38" i="189"/>
  <c r="N47" i="178"/>
  <c r="O47" i="178" s="1" a="1"/>
  <c r="O47" i="178" s="1"/>
  <c r="L48" i="178"/>
  <c r="AO38" i="177"/>
  <c r="P37" i="177"/>
  <c r="L30" i="169"/>
  <c r="L24" i="80"/>
  <c r="N24" i="80" s="1"/>
  <c r="O24" i="80" s="1" a="1"/>
  <c r="O24" i="80" s="1"/>
  <c r="AO25" i="114"/>
  <c r="P24" i="114"/>
  <c r="AA57" i="165"/>
  <c r="Z57" i="165"/>
  <c r="Y57" i="165"/>
  <c r="X57" i="165"/>
  <c r="W57" i="165"/>
  <c r="V57" i="165"/>
  <c r="U57" i="165"/>
  <c r="T57" i="165"/>
  <c r="S57" i="165"/>
  <c r="R57" i="165"/>
  <c r="Q57" i="165"/>
  <c r="P57" i="165"/>
  <c r="O57" i="165"/>
  <c r="N57" i="165"/>
  <c r="M57" i="165"/>
  <c r="L57" i="165"/>
  <c r="K57" i="165"/>
  <c r="J57" i="165"/>
  <c r="I57" i="165"/>
  <c r="H57" i="165"/>
  <c r="G57" i="165"/>
  <c r="F57" i="165"/>
  <c r="E57" i="165"/>
  <c r="D57" i="165"/>
  <c r="C57" i="165"/>
  <c r="B57" i="165"/>
  <c r="A57" i="165"/>
  <c r="P39" i="195" l="1"/>
  <c r="AO40" i="195"/>
  <c r="P39" i="194"/>
  <c r="AO40" i="194"/>
  <c r="P39" i="193"/>
  <c r="AO40" i="193"/>
  <c r="P39" i="192"/>
  <c r="AO40" i="192"/>
  <c r="P39" i="191"/>
  <c r="AO40" i="191"/>
  <c r="P39" i="190"/>
  <c r="AO40" i="190"/>
  <c r="P39" i="189"/>
  <c r="AO40" i="189"/>
  <c r="P38" i="177"/>
  <c r="AO39" i="177"/>
  <c r="L49" i="178"/>
  <c r="N48" i="178"/>
  <c r="O48" i="178" s="1" a="1"/>
  <c r="O48" i="178" s="1"/>
  <c r="L31" i="169"/>
  <c r="L25" i="80"/>
  <c r="N25" i="80" s="1"/>
  <c r="O25" i="80" s="1" a="1"/>
  <c r="O25" i="80" s="1"/>
  <c r="AO26" i="114"/>
  <c r="P25" i="114"/>
  <c r="DY45" i="165"/>
  <c r="DY44" i="165"/>
  <c r="DY43" i="165"/>
  <c r="DY42" i="165"/>
  <c r="DY41" i="165"/>
  <c r="DY40" i="165"/>
  <c r="DY39" i="165"/>
  <c r="DY38" i="165"/>
  <c r="DY37" i="165"/>
  <c r="DY36" i="165"/>
  <c r="DY35" i="165"/>
  <c r="DY34" i="165"/>
  <c r="DY33" i="165"/>
  <c r="DY32" i="165"/>
  <c r="DY31" i="165"/>
  <c r="DY30" i="165"/>
  <c r="DY29" i="165"/>
  <c r="DY28" i="165"/>
  <c r="DY27" i="165"/>
  <c r="DY26" i="165"/>
  <c r="DY25" i="165"/>
  <c r="DY24" i="165"/>
  <c r="DY23" i="165"/>
  <c r="DY22" i="165"/>
  <c r="DY21" i="165"/>
  <c r="DY20" i="165"/>
  <c r="DY19" i="165"/>
  <c r="DY18" i="165"/>
  <c r="DY17" i="165"/>
  <c r="DY16" i="165"/>
  <c r="DY40" i="147"/>
  <c r="DY39" i="147"/>
  <c r="DY38" i="147"/>
  <c r="DY37" i="147"/>
  <c r="DY36" i="147"/>
  <c r="DY35" i="147"/>
  <c r="DY34" i="147"/>
  <c r="DY33" i="147"/>
  <c r="DY32" i="147"/>
  <c r="DY31" i="147"/>
  <c r="DY30" i="147"/>
  <c r="DY29" i="147"/>
  <c r="DY28" i="147"/>
  <c r="DY27" i="147"/>
  <c r="DY26" i="147"/>
  <c r="DY24" i="147"/>
  <c r="DY23" i="147"/>
  <c r="AA40" i="147"/>
  <c r="C40" i="147"/>
  <c r="B40" i="147"/>
  <c r="A40" i="147"/>
  <c r="AA39" i="147"/>
  <c r="C39" i="147"/>
  <c r="B39" i="147"/>
  <c r="A39" i="147"/>
  <c r="AA38" i="147"/>
  <c r="C38" i="147"/>
  <c r="B38" i="147"/>
  <c r="A38" i="147"/>
  <c r="AA37" i="147"/>
  <c r="C37" i="147"/>
  <c r="B37" i="147"/>
  <c r="A37" i="147"/>
  <c r="AA36" i="147"/>
  <c r="C36" i="147"/>
  <c r="B36" i="147"/>
  <c r="A36" i="147"/>
  <c r="AA35" i="147"/>
  <c r="C35" i="147"/>
  <c r="B35" i="147"/>
  <c r="A35" i="147"/>
  <c r="AA34" i="147"/>
  <c r="C34" i="147"/>
  <c r="B34" i="147"/>
  <c r="A34" i="147"/>
  <c r="AA33" i="147"/>
  <c r="C33" i="147"/>
  <c r="B33" i="147"/>
  <c r="A33" i="147"/>
  <c r="AA32" i="147"/>
  <c r="C32" i="147"/>
  <c r="B32" i="147"/>
  <c r="A32" i="147"/>
  <c r="AA31" i="147"/>
  <c r="C31" i="147"/>
  <c r="B31" i="147"/>
  <c r="A31" i="147"/>
  <c r="AA30" i="147"/>
  <c r="C30" i="147"/>
  <c r="B30" i="147"/>
  <c r="A30" i="147"/>
  <c r="AA29" i="147"/>
  <c r="C29" i="147"/>
  <c r="B29" i="147"/>
  <c r="A29" i="147"/>
  <c r="AA28" i="147"/>
  <c r="C28" i="147"/>
  <c r="B28" i="147"/>
  <c r="A28" i="147"/>
  <c r="AA27" i="147"/>
  <c r="C27" i="147"/>
  <c r="B27" i="147"/>
  <c r="A27" i="147"/>
  <c r="AA26" i="147"/>
  <c r="C26" i="147"/>
  <c r="B26" i="147"/>
  <c r="A26" i="147"/>
  <c r="C24" i="147"/>
  <c r="B24" i="147"/>
  <c r="A24" i="147"/>
  <c r="C23" i="147"/>
  <c r="B23" i="147"/>
  <c r="A23" i="147"/>
  <c r="AA57" i="147"/>
  <c r="Z57" i="147"/>
  <c r="Y57" i="147"/>
  <c r="X57" i="147"/>
  <c r="W57" i="147"/>
  <c r="V57" i="147"/>
  <c r="U57" i="147"/>
  <c r="T57" i="147"/>
  <c r="S57" i="147"/>
  <c r="R57" i="147"/>
  <c r="Q57" i="147"/>
  <c r="P57" i="147"/>
  <c r="O57" i="147"/>
  <c r="N57" i="147"/>
  <c r="M57" i="147"/>
  <c r="L57" i="147"/>
  <c r="K57" i="147"/>
  <c r="J57" i="147"/>
  <c r="I57" i="147"/>
  <c r="H57" i="147"/>
  <c r="G57" i="147"/>
  <c r="F57" i="147"/>
  <c r="E57" i="147"/>
  <c r="D57" i="147"/>
  <c r="C57" i="147"/>
  <c r="B57" i="147"/>
  <c r="A57" i="147"/>
  <c r="EG43" i="147"/>
  <c r="EF43" i="147"/>
  <c r="P40" i="195" l="1"/>
  <c r="AO41" i="195"/>
  <c r="P40" i="194"/>
  <c r="AO41" i="194"/>
  <c r="P40" i="193"/>
  <c r="AO41" i="193"/>
  <c r="P40" i="192"/>
  <c r="AO41" i="192"/>
  <c r="P40" i="191"/>
  <c r="AO41" i="191"/>
  <c r="P40" i="190"/>
  <c r="AO41" i="190"/>
  <c r="P40" i="189"/>
  <c r="AO41" i="189"/>
  <c r="L50" i="178"/>
  <c r="N49" i="178"/>
  <c r="O49" i="178" s="1" a="1"/>
  <c r="O49" i="178" s="1"/>
  <c r="P39" i="177"/>
  <c r="AO40" i="177"/>
  <c r="L32" i="169"/>
  <c r="L26" i="80"/>
  <c r="N26" i="80" s="1"/>
  <c r="O26" i="80" s="1" a="1"/>
  <c r="O26" i="80" s="1"/>
  <c r="AO27" i="114"/>
  <c r="P26" i="114"/>
  <c r="AE2" i="13"/>
  <c r="AO42" i="195" l="1"/>
  <c r="P41" i="195"/>
  <c r="AO42" i="194"/>
  <c r="P41" i="194"/>
  <c r="AO42" i="193"/>
  <c r="P41" i="193"/>
  <c r="AO42" i="192"/>
  <c r="P41" i="192"/>
  <c r="AO42" i="191"/>
  <c r="P41" i="191"/>
  <c r="AO42" i="190"/>
  <c r="P41" i="190"/>
  <c r="AO42" i="189"/>
  <c r="P41" i="189"/>
  <c r="AO41" i="177"/>
  <c r="P40" i="177"/>
  <c r="N50" i="178"/>
  <c r="O50" i="178" s="1" a="1"/>
  <c r="O50" i="178" s="1"/>
  <c r="L51" i="178"/>
  <c r="N51" i="178" s="1"/>
  <c r="O51" i="178" s="1" a="1"/>
  <c r="O51" i="178" s="1"/>
  <c r="N52" i="178" s="1"/>
  <c r="L33" i="169"/>
  <c r="L27" i="80"/>
  <c r="N27" i="80" s="1"/>
  <c r="O27" i="80" s="1" a="1"/>
  <c r="O27" i="80" s="1"/>
  <c r="AO28" i="114"/>
  <c r="P27" i="114"/>
  <c r="AA36" i="165"/>
  <c r="AO43" i="195" l="1"/>
  <c r="P42" i="195"/>
  <c r="AO43" i="194"/>
  <c r="P42" i="194"/>
  <c r="AO43" i="193"/>
  <c r="P42" i="193"/>
  <c r="AO43" i="192"/>
  <c r="P42" i="192"/>
  <c r="AO43" i="191"/>
  <c r="P42" i="191"/>
  <c r="AO43" i="190"/>
  <c r="P42" i="190"/>
  <c r="AO43" i="189"/>
  <c r="P42" i="189"/>
  <c r="AO42" i="177"/>
  <c r="P41" i="177"/>
  <c r="L34" i="169"/>
  <c r="L28" i="80"/>
  <c r="N28" i="80" s="1"/>
  <c r="O28" i="80" s="1" a="1"/>
  <c r="O28" i="80" s="1"/>
  <c r="AO29" i="114"/>
  <c r="P28" i="114"/>
  <c r="DI45" i="165"/>
  <c r="DI44" i="165"/>
  <c r="DI43" i="165"/>
  <c r="DI42" i="165"/>
  <c r="DI41" i="165"/>
  <c r="DI40" i="165"/>
  <c r="DI39" i="165"/>
  <c r="DI38" i="165"/>
  <c r="DI37" i="165"/>
  <c r="DI36" i="165"/>
  <c r="DI35" i="165"/>
  <c r="DI34" i="165"/>
  <c r="DI33" i="165"/>
  <c r="DI32" i="165"/>
  <c r="DI31" i="165"/>
  <c r="DI30" i="165"/>
  <c r="DI29" i="165"/>
  <c r="DI28" i="165"/>
  <c r="DI27" i="165"/>
  <c r="DI26" i="165"/>
  <c r="DI25" i="165"/>
  <c r="DI24" i="165"/>
  <c r="DI21" i="165"/>
  <c r="DI20" i="165"/>
  <c r="DI19" i="165"/>
  <c r="DI18" i="165"/>
  <c r="DI17" i="165"/>
  <c r="DI16" i="165"/>
  <c r="CY45" i="165"/>
  <c r="CY44" i="165"/>
  <c r="CY43" i="165"/>
  <c r="CY42" i="165"/>
  <c r="CY41" i="165"/>
  <c r="CY40" i="165"/>
  <c r="CY39" i="165"/>
  <c r="CY38" i="165"/>
  <c r="CY37" i="165"/>
  <c r="CY36" i="165"/>
  <c r="CY35" i="165"/>
  <c r="CY34" i="165"/>
  <c r="CY33" i="165"/>
  <c r="CY32" i="165"/>
  <c r="CY31" i="165"/>
  <c r="CY30" i="165"/>
  <c r="CY29" i="165"/>
  <c r="CY28" i="165"/>
  <c r="CY27" i="165"/>
  <c r="CY26" i="165"/>
  <c r="CY25" i="165"/>
  <c r="CY24" i="165"/>
  <c r="CY21" i="165"/>
  <c r="CY20" i="165"/>
  <c r="CY19" i="165"/>
  <c r="CY18" i="165"/>
  <c r="CY17" i="165"/>
  <c r="CY16" i="165"/>
  <c r="DI40" i="147"/>
  <c r="DI39" i="147"/>
  <c r="DI38" i="147"/>
  <c r="DI37" i="147"/>
  <c r="DI36" i="147"/>
  <c r="DI35" i="147"/>
  <c r="DI34" i="147"/>
  <c r="DI33" i="147"/>
  <c r="DI32" i="147"/>
  <c r="DI31" i="147"/>
  <c r="DI30" i="147"/>
  <c r="DI29" i="147"/>
  <c r="DI28" i="147"/>
  <c r="DI24" i="147"/>
  <c r="CY40" i="147"/>
  <c r="CY39" i="147"/>
  <c r="CY38" i="147"/>
  <c r="CY37" i="147"/>
  <c r="CY36" i="147"/>
  <c r="CY35" i="147"/>
  <c r="CY34" i="147"/>
  <c r="CY33" i="147"/>
  <c r="CY32" i="147"/>
  <c r="CY31" i="147"/>
  <c r="CY30" i="147"/>
  <c r="CY29" i="147"/>
  <c r="CY28" i="147"/>
  <c r="CY24" i="147"/>
  <c r="P43" i="195" l="1"/>
  <c r="AO44" i="195"/>
  <c r="P43" i="194"/>
  <c r="AO44" i="194"/>
  <c r="P43" i="193"/>
  <c r="AO44" i="193"/>
  <c r="P43" i="192"/>
  <c r="AO44" i="192"/>
  <c r="P43" i="191"/>
  <c r="AO44" i="191"/>
  <c r="P43" i="190"/>
  <c r="AO44" i="190"/>
  <c r="P43" i="189"/>
  <c r="AO44" i="189"/>
  <c r="AO43" i="177"/>
  <c r="P42" i="177"/>
  <c r="L35" i="169"/>
  <c r="L29" i="80"/>
  <c r="N29" i="80" s="1"/>
  <c r="O29" i="80" s="1" a="1"/>
  <c r="O29" i="80" s="1"/>
  <c r="AO30" i="114"/>
  <c r="P29" i="114"/>
  <c r="AA45" i="165"/>
  <c r="AA44" i="165"/>
  <c r="AA43" i="165"/>
  <c r="AA42" i="165"/>
  <c r="AA41" i="165"/>
  <c r="AA40" i="165"/>
  <c r="AA39" i="165"/>
  <c r="AA38" i="165"/>
  <c r="AA37" i="165"/>
  <c r="AA35" i="165"/>
  <c r="AA34" i="165"/>
  <c r="AA33" i="165"/>
  <c r="AA32" i="165"/>
  <c r="AA31" i="165"/>
  <c r="AA30" i="165"/>
  <c r="AA29" i="165"/>
  <c r="AA28" i="165"/>
  <c r="AA27" i="165"/>
  <c r="AA26" i="165"/>
  <c r="AA25" i="165"/>
  <c r="AA24" i="165"/>
  <c r="AA23" i="165"/>
  <c r="AA21" i="165"/>
  <c r="AA20" i="165"/>
  <c r="AA19" i="165"/>
  <c r="AA18" i="165"/>
  <c r="AA17" i="165"/>
  <c r="GF40" i="147"/>
  <c r="GE40" i="147" s="1"/>
  <c r="GF39" i="147"/>
  <c r="GE39" i="147" s="1"/>
  <c r="GF38" i="147"/>
  <c r="GF37" i="147"/>
  <c r="GD37" i="147" s="1"/>
  <c r="GF36" i="147"/>
  <c r="GE36" i="147" s="1"/>
  <c r="GB36" i="147"/>
  <c r="GF35" i="147"/>
  <c r="GE35" i="147" s="1"/>
  <c r="GF34" i="147"/>
  <c r="GF33" i="147"/>
  <c r="GD33" i="147" s="1"/>
  <c r="GF32" i="147"/>
  <c r="GE32" i="147" s="1"/>
  <c r="GF31" i="147"/>
  <c r="GE31" i="147" s="1"/>
  <c r="GF30" i="147"/>
  <c r="GF29" i="147"/>
  <c r="GD29" i="147" s="1"/>
  <c r="GF28" i="147"/>
  <c r="GE28" i="147" s="1"/>
  <c r="GF27" i="147"/>
  <c r="AA25" i="147"/>
  <c r="Z45" i="160"/>
  <c r="Z44" i="160"/>
  <c r="Z43" i="160"/>
  <c r="Z42" i="160"/>
  <c r="Z41" i="160"/>
  <c r="Z40" i="160"/>
  <c r="Z39" i="160"/>
  <c r="Z38" i="160"/>
  <c r="Z37" i="160"/>
  <c r="Z36" i="160"/>
  <c r="Z35" i="160"/>
  <c r="Z34" i="160"/>
  <c r="Z33" i="160"/>
  <c r="Z32" i="160"/>
  <c r="Z31" i="160"/>
  <c r="Z30" i="160"/>
  <c r="Z29" i="160"/>
  <c r="Z28" i="160"/>
  <c r="Z27" i="160"/>
  <c r="Z26" i="160"/>
  <c r="Z25" i="160"/>
  <c r="Z24" i="160"/>
  <c r="Z23" i="160"/>
  <c r="Z22" i="160"/>
  <c r="Z21" i="160"/>
  <c r="Z20" i="160"/>
  <c r="Z19" i="160"/>
  <c r="Z18" i="160"/>
  <c r="Z17" i="160"/>
  <c r="Z16" i="160"/>
  <c r="Z15" i="160"/>
  <c r="Z14" i="160"/>
  <c r="Z45" i="84"/>
  <c r="Z44" i="84"/>
  <c r="Z43" i="84"/>
  <c r="Z42" i="84"/>
  <c r="Z41" i="84"/>
  <c r="Z40" i="84"/>
  <c r="Z39" i="84"/>
  <c r="Z38" i="84"/>
  <c r="Z37" i="84"/>
  <c r="Z36" i="84"/>
  <c r="Z35" i="84"/>
  <c r="Z34" i="84"/>
  <c r="Z33" i="84"/>
  <c r="Z32" i="84"/>
  <c r="Z31" i="84"/>
  <c r="Z28" i="84"/>
  <c r="P44" i="195" l="1"/>
  <c r="AO45" i="195"/>
  <c r="P44" i="194"/>
  <c r="AO45" i="194"/>
  <c r="P44" i="193"/>
  <c r="AO45" i="193"/>
  <c r="P44" i="192"/>
  <c r="AO45" i="192"/>
  <c r="P44" i="191"/>
  <c r="AO45" i="191"/>
  <c r="P44" i="190"/>
  <c r="AO45" i="190"/>
  <c r="P44" i="189"/>
  <c r="AO45" i="189"/>
  <c r="P43" i="177"/>
  <c r="AO44" i="177"/>
  <c r="GB32" i="147"/>
  <c r="GB28" i="147"/>
  <c r="GB40" i="147"/>
  <c r="GD28" i="147"/>
  <c r="L36" i="169"/>
  <c r="L30" i="80"/>
  <c r="N30" i="80" s="1"/>
  <c r="O30" i="80" s="1" a="1"/>
  <c r="O30" i="80" s="1"/>
  <c r="AO31" i="114"/>
  <c r="P30" i="114"/>
  <c r="GB27" i="147"/>
  <c r="GD32" i="147"/>
  <c r="GD36" i="147"/>
  <c r="GD40" i="147"/>
  <c r="GB33" i="147"/>
  <c r="GB37" i="147"/>
  <c r="GB29" i="147"/>
  <c r="GE29" i="147"/>
  <c r="GA33" i="147"/>
  <c r="GE33" i="147"/>
  <c r="GA37" i="147"/>
  <c r="GE37" i="147"/>
  <c r="GD30" i="147"/>
  <c r="GE30" i="147"/>
  <c r="GD34" i="147"/>
  <c r="GE34" i="147"/>
  <c r="GD38" i="147"/>
  <c r="GE38" i="147"/>
  <c r="GA28" i="147"/>
  <c r="GC29" i="147"/>
  <c r="GA32" i="147"/>
  <c r="GC33" i="147"/>
  <c r="GA36" i="147"/>
  <c r="GC37" i="147"/>
  <c r="GA40" i="147"/>
  <c r="GA27" i="147"/>
  <c r="GC28" i="147"/>
  <c r="GA31" i="147"/>
  <c r="GC32" i="147"/>
  <c r="GA35" i="147"/>
  <c r="GC36" i="147"/>
  <c r="GA39" i="147"/>
  <c r="GC40" i="147"/>
  <c r="GB31" i="147"/>
  <c r="GB35" i="147"/>
  <c r="GB39" i="147"/>
  <c r="GA30" i="147"/>
  <c r="GC31" i="147"/>
  <c r="GA34" i="147"/>
  <c r="GC35" i="147"/>
  <c r="GA38" i="147"/>
  <c r="GC39" i="147"/>
  <c r="GB30" i="147"/>
  <c r="GD31" i="147"/>
  <c r="GB34" i="147"/>
  <c r="GD35" i="147"/>
  <c r="GB38" i="147"/>
  <c r="GD39" i="147"/>
  <c r="GA29" i="147"/>
  <c r="GC30" i="147"/>
  <c r="GC34" i="147"/>
  <c r="GC38" i="147"/>
  <c r="Z87" i="160"/>
  <c r="AO46" i="195" l="1"/>
  <c r="P45" i="195"/>
  <c r="AO46" i="194"/>
  <c r="P45" i="194"/>
  <c r="AO46" i="193"/>
  <c r="P45" i="193"/>
  <c r="AO46" i="192"/>
  <c r="P45" i="192"/>
  <c r="AO46" i="191"/>
  <c r="P45" i="191"/>
  <c r="AO46" i="190"/>
  <c r="P45" i="190"/>
  <c r="AO46" i="189"/>
  <c r="P45" i="189"/>
  <c r="P44" i="177"/>
  <c r="AO45" i="177"/>
  <c r="L37" i="169"/>
  <c r="L31" i="80"/>
  <c r="N31" i="80" s="1"/>
  <c r="O31" i="80" s="1" a="1"/>
  <c r="O31" i="80" s="1"/>
  <c r="AO32" i="114"/>
  <c r="P31" i="114"/>
  <c r="AO47" i="195" l="1"/>
  <c r="P46" i="195"/>
  <c r="AO47" i="194"/>
  <c r="P46" i="194"/>
  <c r="AO47" i="193"/>
  <c r="P46" i="193"/>
  <c r="AO47" i="192"/>
  <c r="P46" i="192"/>
  <c r="AO47" i="191"/>
  <c r="P46" i="191"/>
  <c r="AO47" i="190"/>
  <c r="P46" i="190"/>
  <c r="AO47" i="189"/>
  <c r="P46" i="189"/>
  <c r="AO46" i="177"/>
  <c r="P45" i="177"/>
  <c r="L38" i="169"/>
  <c r="L32" i="80"/>
  <c r="N32" i="80" s="1"/>
  <c r="O32" i="80" s="1" a="1"/>
  <c r="O32" i="80" s="1"/>
  <c r="AO33" i="114"/>
  <c r="P32" i="114"/>
  <c r="P47" i="195" l="1"/>
  <c r="AO48" i="195"/>
  <c r="P47" i="194"/>
  <c r="AO48" i="194"/>
  <c r="P47" i="193"/>
  <c r="AO48" i="193"/>
  <c r="P47" i="192"/>
  <c r="AO48" i="192"/>
  <c r="P47" i="191"/>
  <c r="AO48" i="191"/>
  <c r="P47" i="190"/>
  <c r="AO48" i="190"/>
  <c r="P47" i="189"/>
  <c r="AO48" i="189"/>
  <c r="AO47" i="177"/>
  <c r="P46" i="177"/>
  <c r="L39" i="169"/>
  <c r="L33" i="80"/>
  <c r="N33" i="80" s="1"/>
  <c r="O33" i="80" s="1" a="1"/>
  <c r="O33" i="80" s="1"/>
  <c r="AO34" i="114"/>
  <c r="P33" i="114"/>
  <c r="BG1" i="167"/>
  <c r="AD1" i="168"/>
  <c r="EC1" i="168"/>
  <c r="EC2" i="168" s="1"/>
  <c r="BR1" i="168"/>
  <c r="P48" i="195" l="1"/>
  <c r="AO49" i="195"/>
  <c r="P48" i="194"/>
  <c r="AO49" i="194"/>
  <c r="P48" i="193"/>
  <c r="AO49" i="193"/>
  <c r="P48" i="192"/>
  <c r="AO49" i="192"/>
  <c r="P48" i="191"/>
  <c r="AO49" i="191"/>
  <c r="P48" i="190"/>
  <c r="AO49" i="190"/>
  <c r="P48" i="189"/>
  <c r="AO49" i="189"/>
  <c r="AO48" i="177"/>
  <c r="P47" i="177"/>
  <c r="L40" i="169"/>
  <c r="L34" i="80"/>
  <c r="N34" i="80" s="1"/>
  <c r="O34" i="80" s="1" a="1"/>
  <c r="O34" i="80" s="1"/>
  <c r="AO35" i="114"/>
  <c r="P34" i="114"/>
  <c r="O1" i="167"/>
  <c r="AS1" i="167"/>
  <c r="Y1" i="168"/>
  <c r="Z1" i="167"/>
  <c r="G1" i="168"/>
  <c r="AO1" i="167"/>
  <c r="G1" i="167"/>
  <c r="BB1" i="167"/>
  <c r="D1" i="168"/>
  <c r="AA1" i="167"/>
  <c r="F1" i="167"/>
  <c r="H1" i="168"/>
  <c r="AR1" i="167"/>
  <c r="U1" i="168"/>
  <c r="P1" i="167"/>
  <c r="BA1" i="167"/>
  <c r="Z1" i="168"/>
  <c r="Q1" i="167"/>
  <c r="Y1" i="167"/>
  <c r="BC1" i="167"/>
  <c r="S1" i="167"/>
  <c r="AK1" i="167"/>
  <c r="BE1" i="167"/>
  <c r="AE1" i="168"/>
  <c r="J1" i="167"/>
  <c r="V1" i="167"/>
  <c r="AL1" i="167"/>
  <c r="AV1" i="167"/>
  <c r="BH1" i="167"/>
  <c r="P1" i="168"/>
  <c r="AF1" i="168"/>
  <c r="H1" i="167"/>
  <c r="R1" i="167"/>
  <c r="AD1" i="167"/>
  <c r="AT1" i="167"/>
  <c r="BD1" i="167"/>
  <c r="M1" i="168"/>
  <c r="AC1" i="168"/>
  <c r="I1" i="167"/>
  <c r="AU1" i="167"/>
  <c r="O1" i="168"/>
  <c r="K1" i="167"/>
  <c r="W1" i="167"/>
  <c r="AM1" i="167"/>
  <c r="AW1" i="167"/>
  <c r="BI1" i="167"/>
  <c r="Q1" i="168"/>
  <c r="N1" i="167"/>
  <c r="X1" i="167"/>
  <c r="AN1" i="167"/>
  <c r="AZ1" i="167"/>
  <c r="BJ1" i="167"/>
  <c r="BL2" i="167" s="1"/>
  <c r="R1" i="168"/>
  <c r="L1" i="167"/>
  <c r="T1" i="167"/>
  <c r="AB1" i="167"/>
  <c r="AP1" i="167"/>
  <c r="AX1" i="167"/>
  <c r="BF1" i="167"/>
  <c r="I1" i="168"/>
  <c r="W1" i="168"/>
  <c r="D1" i="167"/>
  <c r="M1" i="167"/>
  <c r="U1" i="167"/>
  <c r="AC1" i="167"/>
  <c r="AQ1" i="167"/>
  <c r="AY1" i="167"/>
  <c r="J1" i="168"/>
  <c r="X1" i="168"/>
  <c r="K1" i="168"/>
  <c r="S1" i="168"/>
  <c r="AA1" i="168"/>
  <c r="L1" i="168"/>
  <c r="T1" i="168"/>
  <c r="AB1" i="168"/>
  <c r="F1" i="168"/>
  <c r="N1" i="168"/>
  <c r="V1" i="168"/>
  <c r="BG87" i="160"/>
  <c r="BF87" i="160"/>
  <c r="BE87" i="160"/>
  <c r="BD87" i="160"/>
  <c r="BC87" i="160"/>
  <c r="BB87" i="160"/>
  <c r="BA87" i="160"/>
  <c r="AZ87" i="160"/>
  <c r="AY87" i="160"/>
  <c r="AX87" i="160"/>
  <c r="AW87" i="160"/>
  <c r="AV87" i="160"/>
  <c r="AU87" i="160"/>
  <c r="AT87" i="160"/>
  <c r="AS87" i="160"/>
  <c r="AR87" i="160"/>
  <c r="AQ87" i="160"/>
  <c r="AP87" i="160"/>
  <c r="AO87" i="160"/>
  <c r="AN87" i="160"/>
  <c r="AM87" i="160"/>
  <c r="AL87" i="160"/>
  <c r="AK87" i="160"/>
  <c r="AJ87" i="160"/>
  <c r="AI87" i="160"/>
  <c r="AH87" i="160"/>
  <c r="AG87" i="160"/>
  <c r="AF87" i="160"/>
  <c r="AE87" i="160"/>
  <c r="AD87" i="160"/>
  <c r="AC87" i="160"/>
  <c r="AB87" i="160"/>
  <c r="AA87" i="160"/>
  <c r="Y87" i="160"/>
  <c r="X87" i="160"/>
  <c r="W87" i="160"/>
  <c r="V87" i="160"/>
  <c r="U87" i="160"/>
  <c r="T87" i="160"/>
  <c r="S87" i="160"/>
  <c r="R87" i="160"/>
  <c r="Q87" i="160"/>
  <c r="P87" i="160"/>
  <c r="O87" i="160"/>
  <c r="N87" i="160"/>
  <c r="M87" i="160"/>
  <c r="L87" i="160"/>
  <c r="K87" i="160"/>
  <c r="J87" i="160"/>
  <c r="I87" i="160"/>
  <c r="H87" i="160"/>
  <c r="G87" i="160"/>
  <c r="F87" i="160"/>
  <c r="E87" i="160"/>
  <c r="D87" i="160"/>
  <c r="C87" i="160"/>
  <c r="A87" i="160"/>
  <c r="BG87" i="84"/>
  <c r="BF87" i="84"/>
  <c r="BE87" i="84"/>
  <c r="BD87" i="84"/>
  <c r="BC87" i="84"/>
  <c r="BB87" i="84"/>
  <c r="BA87" i="84"/>
  <c r="AZ87" i="84"/>
  <c r="AY87" i="84"/>
  <c r="AX87" i="84"/>
  <c r="AW87" i="84"/>
  <c r="AV87"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T87" i="84"/>
  <c r="S87" i="84"/>
  <c r="R87" i="84"/>
  <c r="Q87" i="84"/>
  <c r="P87" i="84"/>
  <c r="O87" i="84"/>
  <c r="N87" i="84"/>
  <c r="M87" i="84"/>
  <c r="L87" i="84"/>
  <c r="BU87" i="84" s="1"/>
  <c r="K87" i="84"/>
  <c r="J87" i="84"/>
  <c r="I87" i="84"/>
  <c r="BS87" i="84" s="1"/>
  <c r="H87" i="84"/>
  <c r="G87" i="84"/>
  <c r="F87" i="84"/>
  <c r="E87" i="84"/>
  <c r="D87" i="84"/>
  <c r="C87" i="84"/>
  <c r="BQ87" i="84" s="1"/>
  <c r="A87" i="84"/>
  <c r="GF23" i="147"/>
  <c r="GE23" i="147" s="1"/>
  <c r="AO50" i="195" l="1"/>
  <c r="P49" i="195"/>
  <c r="AO50" i="194"/>
  <c r="P49" i="194"/>
  <c r="AO50" i="193"/>
  <c r="P49" i="193"/>
  <c r="AO50" i="192"/>
  <c r="P49" i="192"/>
  <c r="AO50" i="191"/>
  <c r="P49" i="191"/>
  <c r="AO50" i="190"/>
  <c r="P49" i="190"/>
  <c r="AO50" i="189"/>
  <c r="P49" i="189"/>
  <c r="P48" i="177"/>
  <c r="AO49" i="177"/>
  <c r="L41" i="169"/>
  <c r="L35" i="80"/>
  <c r="N35" i="80" s="1"/>
  <c r="O35" i="80" s="1" a="1"/>
  <c r="O35" i="80" s="1"/>
  <c r="AO36" i="114"/>
  <c r="P35" i="114"/>
  <c r="GB23" i="147"/>
  <c r="GA23" i="147"/>
  <c r="BV87" i="84"/>
  <c r="BJ87" i="84"/>
  <c r="BT87" i="84"/>
  <c r="BM87" i="84"/>
  <c r="BN87" i="84"/>
  <c r="BO87" i="84"/>
  <c r="BW87" i="84"/>
  <c r="BX87" i="84" s="1"/>
  <c r="BP87" i="84"/>
  <c r="AO25" i="116"/>
  <c r="AO23" i="116"/>
  <c r="E16" i="116" s="1"/>
  <c r="AO22" i="116"/>
  <c r="E15" i="116" s="1"/>
  <c r="AO21" i="116"/>
  <c r="E14" i="116" s="1"/>
  <c r="AO20" i="116"/>
  <c r="E13" i="116" s="1"/>
  <c r="AO24" i="116"/>
  <c r="E17" i="116" s="1"/>
  <c r="AO51" i="195" l="1"/>
  <c r="P50" i="195"/>
  <c r="AO51" i="194"/>
  <c r="P50" i="194"/>
  <c r="AO51" i="193"/>
  <c r="P50" i="193"/>
  <c r="AO51" i="192"/>
  <c r="P50" i="192"/>
  <c r="AO51" i="191"/>
  <c r="P50" i="191"/>
  <c r="AO51" i="190"/>
  <c r="P50" i="190"/>
  <c r="AO51" i="189"/>
  <c r="P50" i="189"/>
  <c r="P49" i="177"/>
  <c r="AO50" i="177"/>
  <c r="L42" i="169"/>
  <c r="L36" i="80"/>
  <c r="N36" i="80" s="1"/>
  <c r="O36" i="80" s="1" a="1"/>
  <c r="O36" i="80" s="1"/>
  <c r="AO37" i="114"/>
  <c r="P36" i="114"/>
  <c r="BR87" i="84"/>
  <c r="P51" i="195" l="1"/>
  <c r="AO52" i="195"/>
  <c r="P51" i="194"/>
  <c r="AO52" i="194"/>
  <c r="P51" i="193"/>
  <c r="AO52" i="193"/>
  <c r="P51" i="192"/>
  <c r="AO52" i="192"/>
  <c r="P51" i="191"/>
  <c r="AO52" i="191"/>
  <c r="P51" i="190"/>
  <c r="AO52" i="190"/>
  <c r="P51" i="189"/>
  <c r="AO52" i="189"/>
  <c r="AO51" i="177"/>
  <c r="P50" i="177"/>
  <c r="L43" i="169"/>
  <c r="L37" i="80"/>
  <c r="N37" i="80" s="1"/>
  <c r="O37" i="80" s="1" a="1"/>
  <c r="O37" i="80" s="1"/>
  <c r="AO38" i="114"/>
  <c r="P37" i="114"/>
  <c r="GF26" i="147"/>
  <c r="P52" i="195" l="1"/>
  <c r="AO53" i="195"/>
  <c r="P52" i="194"/>
  <c r="AO53" i="194"/>
  <c r="P52" i="193"/>
  <c r="AO53" i="193"/>
  <c r="P52" i="192"/>
  <c r="AO53" i="192"/>
  <c r="P52" i="191"/>
  <c r="AO53" i="191"/>
  <c r="P52" i="190"/>
  <c r="AO53" i="190"/>
  <c r="P52" i="189"/>
  <c r="AO53" i="189"/>
  <c r="AO52" i="177"/>
  <c r="P51" i="177"/>
  <c r="L44" i="169"/>
  <c r="L38" i="80"/>
  <c r="N38" i="80" s="1"/>
  <c r="O38" i="80" s="1" a="1"/>
  <c r="O38" i="80" s="1"/>
  <c r="AO39" i="114"/>
  <c r="P38" i="114"/>
  <c r="GB26" i="147"/>
  <c r="GA26" i="147"/>
  <c r="U9" i="13"/>
  <c r="AO54" i="195" l="1"/>
  <c r="P53" i="195"/>
  <c r="AO54" i="194"/>
  <c r="P53" i="194"/>
  <c r="AO54" i="193"/>
  <c r="P53" i="193"/>
  <c r="AO54" i="192"/>
  <c r="P53" i="192"/>
  <c r="AO54" i="191"/>
  <c r="P53" i="191"/>
  <c r="AO54" i="190"/>
  <c r="P53" i="190"/>
  <c r="AO54" i="189"/>
  <c r="P53" i="189"/>
  <c r="AO53" i="177"/>
  <c r="P52" i="177"/>
  <c r="L45" i="169"/>
  <c r="L39" i="80"/>
  <c r="N39" i="80" s="1"/>
  <c r="O39" i="80" s="1" a="1"/>
  <c r="O39" i="80" s="1"/>
  <c r="AO40" i="114"/>
  <c r="P39" i="114"/>
  <c r="JL14" i="160"/>
  <c r="JL15" i="160" s="1"/>
  <c r="JL16" i="160" s="1"/>
  <c r="JL17" i="160" s="1"/>
  <c r="JL18" i="160" s="1"/>
  <c r="JL19" i="160" s="1"/>
  <c r="JL20" i="160" s="1"/>
  <c r="JL21" i="160" s="1"/>
  <c r="JL22" i="160" s="1"/>
  <c r="JL23" i="160" s="1"/>
  <c r="JL24" i="160" s="1"/>
  <c r="JL25" i="160" s="1"/>
  <c r="JL26" i="160" s="1"/>
  <c r="JL27" i="160" s="1"/>
  <c r="JL28" i="160" s="1"/>
  <c r="JL29" i="160" s="1"/>
  <c r="JL30" i="160" s="1"/>
  <c r="JL31" i="160" s="1"/>
  <c r="JL32" i="160" s="1"/>
  <c r="JL33" i="160" s="1"/>
  <c r="JL34" i="160" s="1"/>
  <c r="JL35" i="160" s="1"/>
  <c r="JL36" i="160" s="1"/>
  <c r="JL37" i="160" s="1"/>
  <c r="JL38" i="160" s="1"/>
  <c r="JL39" i="160" s="1"/>
  <c r="JL40" i="160" s="1"/>
  <c r="JL41" i="160" s="1"/>
  <c r="JL42" i="160" s="1"/>
  <c r="JL43" i="160" s="1"/>
  <c r="JL44" i="160" s="1"/>
  <c r="JL45" i="160" s="1"/>
  <c r="HA1" i="160"/>
  <c r="IB12" i="160" s="1"/>
  <c r="AO55" i="195" l="1"/>
  <c r="P55" i="195" s="1"/>
  <c r="P56" i="195" s="1"/>
  <c r="P54" i="195"/>
  <c r="AO55" i="194"/>
  <c r="P55" i="194" s="1"/>
  <c r="P54" i="194"/>
  <c r="AO55" i="193"/>
  <c r="P55" i="193" s="1"/>
  <c r="P56" i="193" s="1"/>
  <c r="P54" i="193"/>
  <c r="AO55" i="192"/>
  <c r="P55" i="192" s="1"/>
  <c r="P56" i="192" s="1"/>
  <c r="P54" i="192"/>
  <c r="AO55" i="191"/>
  <c r="P55" i="191" s="1"/>
  <c r="P56" i="191" s="1"/>
  <c r="P54" i="191"/>
  <c r="AO55" i="190"/>
  <c r="P55" i="190" s="1"/>
  <c r="P56" i="190" s="1"/>
  <c r="P54" i="190"/>
  <c r="AO55" i="189"/>
  <c r="P55" i="189" s="1"/>
  <c r="P56" i="189" s="1"/>
  <c r="P54" i="189"/>
  <c r="AO54" i="177"/>
  <c r="P53" i="177"/>
  <c r="L46" i="169"/>
  <c r="L40" i="80"/>
  <c r="N40" i="80" s="1"/>
  <c r="O40" i="80" s="1" a="1"/>
  <c r="O40" i="80" s="1"/>
  <c r="AO41" i="114"/>
  <c r="P40" i="114"/>
  <c r="IN12" i="160"/>
  <c r="IV12" i="160"/>
  <c r="JD12" i="160"/>
  <c r="IW12" i="160"/>
  <c r="HH12" i="160"/>
  <c r="IX12" i="160"/>
  <c r="IQ12" i="160"/>
  <c r="IY12" i="160"/>
  <c r="JG12" i="160"/>
  <c r="IO12" i="160"/>
  <c r="JE12" i="160"/>
  <c r="IP12" i="160"/>
  <c r="JF12" i="160"/>
  <c r="IR12" i="160"/>
  <c r="IZ12" i="160"/>
  <c r="JH12" i="160"/>
  <c r="IS12" i="160"/>
  <c r="IL12" i="160"/>
  <c r="JB12" i="160"/>
  <c r="JJ12" i="160"/>
  <c r="JA12" i="160"/>
  <c r="JI12" i="160"/>
  <c r="IT12" i="160"/>
  <c r="IM12" i="160"/>
  <c r="IU12" i="160"/>
  <c r="JC12" i="160"/>
  <c r="JK12" i="160"/>
  <c r="HI12" i="160"/>
  <c r="HS12" i="160"/>
  <c r="ID12" i="160"/>
  <c r="HJ12" i="160"/>
  <c r="HT12" i="160"/>
  <c r="HK12" i="160"/>
  <c r="HX12" i="160"/>
  <c r="HW12" i="160"/>
  <c r="HL12" i="160"/>
  <c r="HD12" i="160"/>
  <c r="HO12" i="160"/>
  <c r="HY12" i="160"/>
  <c r="HF12" i="160"/>
  <c r="HP12" i="160"/>
  <c r="HZ12" i="160"/>
  <c r="HG12" i="160"/>
  <c r="HQ12" i="160"/>
  <c r="IA12" i="160"/>
  <c r="HR12" i="160"/>
  <c r="HM12" i="160"/>
  <c r="HU12" i="160"/>
  <c r="IC12" i="160"/>
  <c r="HN12" i="160"/>
  <c r="HV12" i="160"/>
  <c r="P56" i="194" l="1"/>
  <c r="P54" i="177"/>
  <c r="AO55" i="177"/>
  <c r="P55" i="177" s="1"/>
  <c r="P56" i="177" s="1"/>
  <c r="L47" i="169"/>
  <c r="L41" i="80"/>
  <c r="N41" i="80" s="1"/>
  <c r="O41" i="80" s="1" a="1"/>
  <c r="O41" i="80" s="1"/>
  <c r="AO42" i="114"/>
  <c r="P41" i="114"/>
  <c r="JL14" i="84"/>
  <c r="JL15" i="84" s="1"/>
  <c r="JL16" i="84" s="1"/>
  <c r="JL17" i="84" s="1"/>
  <c r="JL18" i="84" s="1"/>
  <c r="JL19" i="84" s="1"/>
  <c r="JL20" i="84" s="1"/>
  <c r="JL21" i="84" s="1"/>
  <c r="JL22" i="84" s="1"/>
  <c r="JL23" i="84" s="1"/>
  <c r="JL24" i="84" s="1"/>
  <c r="JL25" i="84" s="1"/>
  <c r="JL26" i="84" s="1"/>
  <c r="JL27" i="84" s="1"/>
  <c r="JL28" i="84" s="1"/>
  <c r="JL29" i="84" s="1"/>
  <c r="JL30" i="84" s="1"/>
  <c r="JL31" i="84" s="1"/>
  <c r="JL32" i="84" s="1"/>
  <c r="JL33" i="84" s="1"/>
  <c r="JL34" i="84" s="1"/>
  <c r="JL35" i="84" s="1"/>
  <c r="JL36" i="84" s="1"/>
  <c r="JL37" i="84" s="1"/>
  <c r="JL38" i="84" s="1"/>
  <c r="JL39" i="84" s="1"/>
  <c r="JL40" i="84" s="1"/>
  <c r="JL41" i="84" s="1"/>
  <c r="JL42" i="84" s="1"/>
  <c r="JL43" i="84" s="1"/>
  <c r="JL44" i="84" s="1"/>
  <c r="JL45" i="84" s="1"/>
  <c r="L48" i="169" l="1"/>
  <c r="L42" i="80"/>
  <c r="N42" i="80" s="1"/>
  <c r="O42" i="80" s="1" a="1"/>
  <c r="O42" i="80" s="1"/>
  <c r="AO43" i="114"/>
  <c r="P42" i="114"/>
  <c r="IB26" i="84"/>
  <c r="JK12" i="84"/>
  <c r="L49" i="169" l="1"/>
  <c r="L43" i="80"/>
  <c r="N43" i="80" s="1"/>
  <c r="O43" i="80" s="1" a="1"/>
  <c r="O43" i="80" s="1"/>
  <c r="AO44" i="114"/>
  <c r="P43" i="114"/>
  <c r="IO12" i="84"/>
  <c r="IW12" i="84"/>
  <c r="JG12" i="84"/>
  <c r="JB12" i="84"/>
  <c r="IL12" i="84"/>
  <c r="JF12" i="84"/>
  <c r="IM12" i="84"/>
  <c r="IY12" i="84"/>
  <c r="JH12" i="84"/>
  <c r="IV12" i="84"/>
  <c r="IP12" i="84"/>
  <c r="IQ12" i="84"/>
  <c r="JE12" i="84"/>
  <c r="JJ12" i="84"/>
  <c r="IS12" i="84"/>
  <c r="IZ12" i="84"/>
  <c r="IT12" i="84"/>
  <c r="JD12" i="84"/>
  <c r="IU12" i="84"/>
  <c r="IN12" i="84"/>
  <c r="JC12" i="84"/>
  <c r="JA12" i="84"/>
  <c r="JI12" i="84"/>
  <c r="IR12" i="84"/>
  <c r="IX12" i="84"/>
  <c r="HZ26" i="84"/>
  <c r="HA1" i="165"/>
  <c r="IF14" i="165" s="1"/>
  <c r="HB11" i="165"/>
  <c r="HC11" i="165" s="1"/>
  <c r="HD11" i="165" s="1"/>
  <c r="HE11" i="165" s="1"/>
  <c r="HF11" i="165" s="1"/>
  <c r="HG11" i="165" s="1"/>
  <c r="HH11" i="165" s="1"/>
  <c r="HI11" i="165" s="1"/>
  <c r="HJ11" i="165" s="1"/>
  <c r="HK11" i="165" s="1"/>
  <c r="HL11" i="165" s="1"/>
  <c r="HM11" i="165" s="1"/>
  <c r="HN11" i="165" s="1"/>
  <c r="HO11" i="165" s="1"/>
  <c r="HP11" i="165" s="1"/>
  <c r="HQ11" i="165" s="1"/>
  <c r="HR11" i="165" s="1"/>
  <c r="HS11" i="165" s="1"/>
  <c r="HT11" i="165" s="1"/>
  <c r="HU11" i="165" s="1"/>
  <c r="HV11" i="165" s="1"/>
  <c r="HW11" i="165" s="1"/>
  <c r="HX11" i="165" s="1"/>
  <c r="HY11" i="165" s="1"/>
  <c r="HZ11" i="165" s="1"/>
  <c r="IA11" i="165" s="1"/>
  <c r="IB11" i="165" s="1"/>
  <c r="IC11" i="165" s="1"/>
  <c r="ID11" i="165" s="1"/>
  <c r="IE11" i="165" s="1"/>
  <c r="IF11" i="165" s="1"/>
  <c r="IC21" i="147"/>
  <c r="L50" i="169" l="1"/>
  <c r="L44" i="80"/>
  <c r="N44" i="80" s="1"/>
  <c r="O44" i="80" s="1" a="1"/>
  <c r="O44" i="80" s="1"/>
  <c r="AO45" i="114"/>
  <c r="P44" i="114"/>
  <c r="HD21" i="147"/>
  <c r="HM21" i="147"/>
  <c r="ID21" i="147"/>
  <c r="HH21" i="147"/>
  <c r="HV21" i="147"/>
  <c r="HF21" i="147"/>
  <c r="HO21" i="147"/>
  <c r="HW21" i="147"/>
  <c r="IF21" i="147"/>
  <c r="HU21" i="147"/>
  <c r="HN21" i="147"/>
  <c r="IE21" i="147"/>
  <c r="HG21" i="147"/>
  <c r="HP21" i="147"/>
  <c r="HX21" i="147"/>
  <c r="IB21" i="147"/>
  <c r="HJ21" i="147"/>
  <c r="HR21" i="147"/>
  <c r="HZ21" i="147"/>
  <c r="HI21" i="147"/>
  <c r="HQ21" i="147"/>
  <c r="HY21" i="147"/>
  <c r="HK21" i="147"/>
  <c r="HS21" i="147"/>
  <c r="IA21" i="147"/>
  <c r="HL21" i="147"/>
  <c r="HT21" i="147"/>
  <c r="HT26" i="84"/>
  <c r="HD26" i="84"/>
  <c r="HU26" i="84"/>
  <c r="IC26" i="84"/>
  <c r="HF26" i="84"/>
  <c r="HN26" i="84"/>
  <c r="HV26" i="84"/>
  <c r="ID26" i="84"/>
  <c r="HH26" i="84"/>
  <c r="HO26" i="84"/>
  <c r="HW26" i="84"/>
  <c r="HK26" i="84"/>
  <c r="HS26" i="84"/>
  <c r="HI26" i="84"/>
  <c r="IA26" i="84"/>
  <c r="HX26" i="84"/>
  <c r="HL26" i="84"/>
  <c r="HM26" i="84"/>
  <c r="HP26" i="84"/>
  <c r="HY26" i="84"/>
  <c r="HG26" i="84"/>
  <c r="HQ26" i="84"/>
  <c r="HJ26" i="84"/>
  <c r="HR26" i="84"/>
  <c r="HY14" i="165"/>
  <c r="IA14" i="165"/>
  <c r="HI14" i="165"/>
  <c r="HR14" i="165"/>
  <c r="HK14" i="165"/>
  <c r="IB14" i="165"/>
  <c r="IC14" i="165"/>
  <c r="HF14" i="165"/>
  <c r="HN14" i="165"/>
  <c r="HV14" i="165"/>
  <c r="ID14" i="165"/>
  <c r="HJ14" i="165"/>
  <c r="HS14" i="165"/>
  <c r="HT14" i="165"/>
  <c r="HM14" i="165"/>
  <c r="HG14" i="165"/>
  <c r="HO14" i="165"/>
  <c r="HW14" i="165"/>
  <c r="IE14" i="165"/>
  <c r="HQ14" i="165"/>
  <c r="HZ14" i="165"/>
  <c r="HL14" i="165"/>
  <c r="HD14" i="165"/>
  <c r="HU14" i="165"/>
  <c r="HH14" i="165"/>
  <c r="HP14" i="165"/>
  <c r="HX14" i="165"/>
  <c r="L51" i="169" l="1"/>
  <c r="N52" i="169" s="1"/>
  <c r="L45" i="80"/>
  <c r="N45" i="80" s="1"/>
  <c r="O45" i="80" s="1" a="1"/>
  <c r="O45" i="80" s="1"/>
  <c r="AO46" i="114"/>
  <c r="P45" i="114"/>
  <c r="IG7" i="84"/>
  <c r="IH7" i="84" s="1"/>
  <c r="II7" i="84" s="1"/>
  <c r="IJ7" i="84" s="1"/>
  <c r="IK7" i="84" s="1"/>
  <c r="IL7" i="84" s="1"/>
  <c r="IM7" i="84" s="1"/>
  <c r="IN7" i="84" s="1"/>
  <c r="IO7" i="84" s="1"/>
  <c r="IP7" i="84" s="1"/>
  <c r="IQ7" i="84" s="1"/>
  <c r="IR7" i="84" s="1"/>
  <c r="IS7" i="84" s="1"/>
  <c r="IT7" i="84" s="1"/>
  <c r="IU7" i="84" s="1"/>
  <c r="IV7" i="84" s="1"/>
  <c r="IW7" i="84" s="1"/>
  <c r="IX7" i="84" s="1"/>
  <c r="IY7" i="84" s="1"/>
  <c r="IZ7" i="84" s="1"/>
  <c r="JA7" i="84" s="1"/>
  <c r="JB7" i="84" s="1"/>
  <c r="JC7" i="84" s="1"/>
  <c r="JD7" i="84" s="1"/>
  <c r="JE7" i="84" s="1"/>
  <c r="JF7" i="84" s="1"/>
  <c r="JG7" i="84" s="1"/>
  <c r="JH7" i="84" s="1"/>
  <c r="JI7" i="84" s="1"/>
  <c r="JJ7" i="84" s="1"/>
  <c r="IG6" i="84"/>
  <c r="IH6" i="84" s="1"/>
  <c r="II6" i="84" s="1"/>
  <c r="IJ6" i="84" s="1"/>
  <c r="IK6" i="84" s="1"/>
  <c r="IL6" i="84" s="1"/>
  <c r="IM6" i="84" s="1"/>
  <c r="IN6" i="84" s="1"/>
  <c r="IO6" i="84" s="1"/>
  <c r="IP6" i="84" s="1"/>
  <c r="IQ6" i="84" s="1"/>
  <c r="IR6" i="84" s="1"/>
  <c r="IS6" i="84" s="1"/>
  <c r="IT6" i="84" s="1"/>
  <c r="IU6" i="84" s="1"/>
  <c r="IV6" i="84" s="1"/>
  <c r="IW6" i="84" s="1"/>
  <c r="IX6" i="84" s="1"/>
  <c r="IY6" i="84" s="1"/>
  <c r="IZ6" i="84" s="1"/>
  <c r="JA6" i="84" s="1"/>
  <c r="JB6" i="84" s="1"/>
  <c r="JC6" i="84" s="1"/>
  <c r="JD6" i="84" s="1"/>
  <c r="JE6" i="84" s="1"/>
  <c r="JF6" i="84" s="1"/>
  <c r="JG6" i="84" s="1"/>
  <c r="JH6" i="84" s="1"/>
  <c r="HB19" i="84"/>
  <c r="HC19" i="84" s="1"/>
  <c r="HD19" i="84" s="1"/>
  <c r="HE19" i="84" s="1"/>
  <c r="HF19" i="84" s="1"/>
  <c r="HG19" i="84" s="1"/>
  <c r="HH19" i="84" s="1"/>
  <c r="HI19" i="84" s="1"/>
  <c r="HJ19" i="84" s="1"/>
  <c r="HK19" i="84" s="1"/>
  <c r="HL19" i="84" s="1"/>
  <c r="HM19" i="84" s="1"/>
  <c r="HN19" i="84" s="1"/>
  <c r="HO19" i="84" s="1"/>
  <c r="HP19" i="84" s="1"/>
  <c r="HQ19" i="84" s="1"/>
  <c r="HR19" i="84" s="1"/>
  <c r="HS19" i="84" s="1"/>
  <c r="HT19" i="84" s="1"/>
  <c r="HU19" i="84" s="1"/>
  <c r="HV19" i="84" s="1"/>
  <c r="HW19" i="84" s="1"/>
  <c r="HX19" i="84" s="1"/>
  <c r="HY19" i="84" s="1"/>
  <c r="HZ19" i="84" s="1"/>
  <c r="IA19" i="84" s="1"/>
  <c r="IB19" i="84" s="1"/>
  <c r="IC19" i="84" s="1"/>
  <c r="ID19" i="84" s="1"/>
  <c r="HB20" i="84"/>
  <c r="HC20" i="84" s="1"/>
  <c r="HD20" i="84" s="1"/>
  <c r="HE20" i="84" s="1"/>
  <c r="HF20" i="84" s="1"/>
  <c r="HG20" i="84" s="1"/>
  <c r="HH20" i="84" s="1"/>
  <c r="HI20" i="84" s="1"/>
  <c r="HJ20" i="84" s="1"/>
  <c r="HK20" i="84" s="1"/>
  <c r="HL20" i="84" s="1"/>
  <c r="HM20" i="84" s="1"/>
  <c r="HN20" i="84" s="1"/>
  <c r="HO20" i="84" s="1"/>
  <c r="HP20" i="84" s="1"/>
  <c r="HQ20" i="84" s="1"/>
  <c r="HR20" i="84" s="1"/>
  <c r="HS20" i="84" s="1"/>
  <c r="HT20" i="84" s="1"/>
  <c r="HU20" i="84" s="1"/>
  <c r="HV20" i="84" s="1"/>
  <c r="HW20" i="84" s="1"/>
  <c r="HX20" i="84" s="1"/>
  <c r="HY20" i="84" s="1"/>
  <c r="HZ20" i="84" s="1"/>
  <c r="L46" i="80" l="1"/>
  <c r="N46" i="80" s="1"/>
  <c r="O46" i="80" s="1" a="1"/>
  <c r="O46" i="80" s="1"/>
  <c r="AO47" i="114"/>
  <c r="P46" i="114"/>
  <c r="IG10" i="84"/>
  <c r="IH10" i="84" s="1"/>
  <c r="II10" i="84" s="1"/>
  <c r="IJ10" i="84" s="1"/>
  <c r="IK10" i="84" s="1"/>
  <c r="IL10" i="84" s="1"/>
  <c r="IM10" i="84" s="1"/>
  <c r="IN10" i="84" s="1"/>
  <c r="IO10" i="84" s="1"/>
  <c r="IP10" i="84" s="1"/>
  <c r="IQ10" i="84" s="1"/>
  <c r="IR10" i="84" s="1"/>
  <c r="IS10" i="84" s="1"/>
  <c r="IT10" i="84" s="1"/>
  <c r="IU10" i="84" s="1"/>
  <c r="IV10" i="84" s="1"/>
  <c r="IW10" i="84" s="1"/>
  <c r="IX10" i="84" s="1"/>
  <c r="IY10" i="84" s="1"/>
  <c r="IZ10" i="84" s="1"/>
  <c r="JA10" i="84" s="1"/>
  <c r="JB10" i="84" s="1"/>
  <c r="JC10" i="84" s="1"/>
  <c r="JD10" i="84" s="1"/>
  <c r="JE10" i="84" s="1"/>
  <c r="JF10" i="84" s="1"/>
  <c r="JG10" i="84" s="1"/>
  <c r="JH10" i="84" s="1"/>
  <c r="JI10" i="84" s="1"/>
  <c r="JJ10" i="84" s="1"/>
  <c r="JK10" i="84" s="1"/>
  <c r="HB22" i="84"/>
  <c r="HC22" i="84" s="1"/>
  <c r="HD22" i="84" s="1"/>
  <c r="HE22" i="84" s="1"/>
  <c r="HF22" i="84" s="1"/>
  <c r="HG22" i="84" s="1"/>
  <c r="HH22" i="84" s="1"/>
  <c r="HI22" i="84" s="1"/>
  <c r="HJ22" i="84" s="1"/>
  <c r="HK22" i="84" s="1"/>
  <c r="HL22" i="84" s="1"/>
  <c r="HM22" i="84" s="1"/>
  <c r="HN22" i="84" s="1"/>
  <c r="HO22" i="84" s="1"/>
  <c r="HP22" i="84" s="1"/>
  <c r="HQ22" i="84" s="1"/>
  <c r="HR22" i="84" s="1"/>
  <c r="HS22" i="84" s="1"/>
  <c r="HT22" i="84" s="1"/>
  <c r="HU22" i="84" s="1"/>
  <c r="HV22" i="84" s="1"/>
  <c r="HW22" i="84" s="1"/>
  <c r="HX22" i="84" s="1"/>
  <c r="HY22" i="84" s="1"/>
  <c r="HZ22" i="84" s="1"/>
  <c r="IA22" i="84" s="1"/>
  <c r="IB22" i="84" s="1"/>
  <c r="HB10" i="163"/>
  <c r="HC10" i="163" s="1"/>
  <c r="HD10" i="163" s="1"/>
  <c r="HE10" i="163" s="1"/>
  <c r="HF10" i="163" s="1"/>
  <c r="HG10" i="163" s="1"/>
  <c r="HH10" i="163" s="1"/>
  <c r="HI10" i="163" s="1"/>
  <c r="HJ10" i="163" s="1"/>
  <c r="HK10" i="163" s="1"/>
  <c r="HL10" i="163" s="1"/>
  <c r="HM10" i="163" s="1"/>
  <c r="HN10" i="163" s="1"/>
  <c r="HO10" i="163" s="1"/>
  <c r="HP10" i="163" s="1"/>
  <c r="HB22" i="162"/>
  <c r="HC22" i="162" s="1"/>
  <c r="HD22" i="162" s="1"/>
  <c r="HE22" i="162" s="1"/>
  <c r="HF22" i="162" s="1"/>
  <c r="HG22" i="162" s="1"/>
  <c r="HH22" i="162" s="1"/>
  <c r="HI22" i="162" s="1"/>
  <c r="HJ22" i="162" s="1"/>
  <c r="HK22" i="162" s="1"/>
  <c r="HL22" i="162" s="1"/>
  <c r="HM22" i="162" s="1"/>
  <c r="HN22" i="162" s="1"/>
  <c r="HO22" i="162" s="1"/>
  <c r="HP22" i="162" s="1"/>
  <c r="L47" i="80" l="1"/>
  <c r="N47" i="80" s="1"/>
  <c r="O47" i="80" s="1" a="1"/>
  <c r="O47" i="80" s="1"/>
  <c r="AO48" i="114"/>
  <c r="P47" i="114"/>
  <c r="GG54" i="84"/>
  <c r="GH54" i="84"/>
  <c r="AZ14" i="84" s="1"/>
  <c r="GI54" i="84"/>
  <c r="BD14" i="84" s="1"/>
  <c r="GG55" i="84"/>
  <c r="GH55" i="84"/>
  <c r="GI55" i="84"/>
  <c r="GG56" i="84"/>
  <c r="GH56" i="84"/>
  <c r="GI56" i="84"/>
  <c r="GG57" i="84"/>
  <c r="GH57" i="84"/>
  <c r="GI57" i="84"/>
  <c r="GG58" i="84"/>
  <c r="GH58" i="84"/>
  <c r="GI58" i="84"/>
  <c r="GG59" i="84"/>
  <c r="GH59" i="84"/>
  <c r="GI59" i="84"/>
  <c r="L48" i="80" l="1"/>
  <c r="N48" i="80" s="1"/>
  <c r="O48" i="80" s="1" a="1"/>
  <c r="O48" i="80" s="1"/>
  <c r="AO49" i="114"/>
  <c r="P48" i="114"/>
  <c r="AW16" i="84"/>
  <c r="AV16" i="84"/>
  <c r="AW19" i="84"/>
  <c r="AV19" i="84"/>
  <c r="BE15" i="84"/>
  <c r="BD15" i="84"/>
  <c r="BA15" i="84"/>
  <c r="AZ15" i="84"/>
  <c r="AW15" i="84"/>
  <c r="AV15" i="84"/>
  <c r="BA16" i="84"/>
  <c r="AZ16" i="84"/>
  <c r="AW18" i="84"/>
  <c r="AV18" i="84"/>
  <c r="BA17" i="84"/>
  <c r="AZ17" i="84"/>
  <c r="BA18" i="84"/>
  <c r="AZ18" i="84"/>
  <c r="BE18" i="84"/>
  <c r="BD18" i="84"/>
  <c r="BE17" i="84"/>
  <c r="BD17" i="84"/>
  <c r="BE19" i="84"/>
  <c r="BD19" i="84"/>
  <c r="AW17" i="84"/>
  <c r="AV17" i="84"/>
  <c r="BA19" i="84"/>
  <c r="AZ19" i="84"/>
  <c r="BD16" i="84"/>
  <c r="BE16" i="84"/>
  <c r="BE14" i="84"/>
  <c r="BA14" i="84"/>
  <c r="AV14" i="84"/>
  <c r="AW14" i="84"/>
  <c r="BB7" i="84"/>
  <c r="BB7" i="160"/>
  <c r="L49" i="80" l="1"/>
  <c r="N49" i="80" s="1"/>
  <c r="O49" i="80" s="1" a="1"/>
  <c r="O49" i="80" s="1"/>
  <c r="AO50" i="114"/>
  <c r="P49" i="114"/>
  <c r="O7" i="163"/>
  <c r="O7" i="162"/>
  <c r="Y7" i="165"/>
  <c r="Y7" i="147"/>
  <c r="X7" i="160"/>
  <c r="X7" i="84"/>
  <c r="L50" i="80" l="1"/>
  <c r="N50" i="80" s="1"/>
  <c r="O50" i="80" s="1" a="1"/>
  <c r="O50" i="80" s="1"/>
  <c r="AO51" i="114"/>
  <c r="P50" i="114"/>
  <c r="L7" i="145"/>
  <c r="L7" i="117"/>
  <c r="H7" i="80"/>
  <c r="M7" i="84"/>
  <c r="M7" i="160"/>
  <c r="M7" i="165"/>
  <c r="M7" i="147"/>
  <c r="DN9" i="165"/>
  <c r="DM9" i="165"/>
  <c r="DL9" i="165"/>
  <c r="DK9" i="165"/>
  <c r="DJ9" i="165"/>
  <c r="DI9" i="165"/>
  <c r="DH9" i="165"/>
  <c r="DG9" i="165"/>
  <c r="DN8" i="165"/>
  <c r="DM8" i="165"/>
  <c r="DL8" i="165"/>
  <c r="DK8" i="165"/>
  <c r="DJ8" i="165"/>
  <c r="DI8" i="165"/>
  <c r="DH8" i="165"/>
  <c r="DG8" i="165"/>
  <c r="DN7" i="165"/>
  <c r="DM7" i="165"/>
  <c r="DL7" i="165"/>
  <c r="DK7" i="165"/>
  <c r="DJ7" i="165"/>
  <c r="DI7" i="165"/>
  <c r="DH7" i="165"/>
  <c r="DG7" i="165"/>
  <c r="DN6" i="165"/>
  <c r="DM6" i="165"/>
  <c r="DL6" i="165"/>
  <c r="DK6" i="165"/>
  <c r="DJ6" i="165"/>
  <c r="DI6" i="165"/>
  <c r="DH6" i="165"/>
  <c r="DG6" i="165"/>
  <c r="DN5" i="165"/>
  <c r="DM5" i="165"/>
  <c r="DL5" i="165"/>
  <c r="DK5" i="165"/>
  <c r="DJ5" i="165"/>
  <c r="DI5" i="165"/>
  <c r="DH5" i="165"/>
  <c r="DG5" i="165"/>
  <c r="DN4" i="165"/>
  <c r="DM4" i="165"/>
  <c r="DL4" i="165"/>
  <c r="DK4" i="165"/>
  <c r="DJ4" i="165"/>
  <c r="DI4" i="165"/>
  <c r="DH4" i="165"/>
  <c r="DG4" i="165"/>
  <c r="DN3" i="165"/>
  <c r="DM3" i="165"/>
  <c r="DL3" i="165"/>
  <c r="DK3" i="165"/>
  <c r="DJ3" i="165"/>
  <c r="DI3" i="165"/>
  <c r="DH3" i="165"/>
  <c r="DG3" i="165"/>
  <c r="DN2" i="165"/>
  <c r="DM2" i="165"/>
  <c r="DL2" i="165"/>
  <c r="DK2" i="165"/>
  <c r="DJ2" i="165"/>
  <c r="DI2" i="165"/>
  <c r="DH2" i="165"/>
  <c r="DG2" i="165"/>
  <c r="L51" i="80" l="1"/>
  <c r="N51" i="80" s="1"/>
  <c r="O51" i="80" s="1" a="1"/>
  <c r="O51" i="80" s="1"/>
  <c r="AO52" i="114"/>
  <c r="P51" i="114"/>
  <c r="N10" i="114"/>
  <c r="N7" i="114"/>
  <c r="AO53" i="114" l="1"/>
  <c r="P52" i="114"/>
  <c r="AR57" i="165"/>
  <c r="AX57" i="165"/>
  <c r="AO54" i="114" l="1"/>
  <c r="P53" i="114"/>
  <c r="AT57" i="165"/>
  <c r="AV57" i="165"/>
  <c r="AW57" i="165"/>
  <c r="EX5" i="84"/>
  <c r="EX5" i="160"/>
  <c r="DJ45" i="165"/>
  <c r="DJ44" i="165"/>
  <c r="DJ43" i="165"/>
  <c r="DJ42" i="165"/>
  <c r="DJ41" i="165"/>
  <c r="DJ40" i="165"/>
  <c r="DJ39" i="165"/>
  <c r="DJ38" i="165"/>
  <c r="DJ37" i="165"/>
  <c r="DJ36" i="165"/>
  <c r="DJ35" i="165"/>
  <c r="DJ34" i="165"/>
  <c r="DJ33" i="165"/>
  <c r="DJ32" i="165"/>
  <c r="DJ31" i="165"/>
  <c r="DJ30" i="165"/>
  <c r="DJ29" i="165"/>
  <c r="DJ28" i="165"/>
  <c r="DJ27" i="165"/>
  <c r="DJ26" i="165"/>
  <c r="DJ25" i="165"/>
  <c r="DJ24" i="165"/>
  <c r="DJ23" i="165"/>
  <c r="DJ22" i="165"/>
  <c r="DJ21" i="165"/>
  <c r="DJ20" i="165"/>
  <c r="DJ19" i="165"/>
  <c r="DJ18" i="165"/>
  <c r="DJ17" i="165"/>
  <c r="CZ45" i="165"/>
  <c r="CZ44" i="165"/>
  <c r="CZ43" i="165"/>
  <c r="CZ42" i="165"/>
  <c r="CZ41" i="165"/>
  <c r="CZ40" i="165"/>
  <c r="CZ39" i="165"/>
  <c r="CZ38" i="165"/>
  <c r="CZ37" i="165"/>
  <c r="CZ36" i="165"/>
  <c r="CZ35" i="165"/>
  <c r="CZ34" i="165"/>
  <c r="CZ33" i="165"/>
  <c r="CZ32" i="165"/>
  <c r="CZ31" i="165"/>
  <c r="CZ30" i="165"/>
  <c r="CZ29" i="165"/>
  <c r="CZ28" i="165"/>
  <c r="CZ27" i="165"/>
  <c r="CZ26" i="165"/>
  <c r="CZ25" i="165"/>
  <c r="CZ24" i="165"/>
  <c r="CZ23" i="165"/>
  <c r="CZ22" i="165"/>
  <c r="CZ21" i="165"/>
  <c r="CZ20" i="165"/>
  <c r="CZ19" i="165"/>
  <c r="CZ18" i="165"/>
  <c r="CZ17" i="165"/>
  <c r="DJ16" i="165"/>
  <c r="CZ16" i="165"/>
  <c r="DJ40" i="147"/>
  <c r="DJ39" i="147"/>
  <c r="DJ38" i="147"/>
  <c r="DJ37" i="147"/>
  <c r="DJ36" i="147"/>
  <c r="DJ35" i="147"/>
  <c r="DJ34" i="147"/>
  <c r="DJ33" i="147"/>
  <c r="DJ32" i="147"/>
  <c r="DJ31" i="147"/>
  <c r="DJ30" i="147"/>
  <c r="DJ29" i="147"/>
  <c r="DJ28" i="147"/>
  <c r="DJ27" i="147"/>
  <c r="DJ26" i="147"/>
  <c r="DJ24" i="147"/>
  <c r="DJ23" i="147"/>
  <c r="DJ25" i="147"/>
  <c r="AO55" i="114" l="1"/>
  <c r="P55" i="114" s="1"/>
  <c r="P54" i="114"/>
  <c r="AK57" i="165"/>
  <c r="AJ57" i="165" s="1"/>
  <c r="DN9" i="147"/>
  <c r="DM9" i="147"/>
  <c r="DL9" i="147"/>
  <c r="DK9" i="147"/>
  <c r="DJ9" i="147"/>
  <c r="DI9" i="147"/>
  <c r="DH9" i="147"/>
  <c r="DG9" i="147"/>
  <c r="DN8" i="147"/>
  <c r="DM8" i="147"/>
  <c r="DL8" i="147"/>
  <c r="DK8" i="147"/>
  <c r="DJ8" i="147"/>
  <c r="DI8" i="147"/>
  <c r="DH8" i="147"/>
  <c r="DG8" i="147"/>
  <c r="DN7" i="147"/>
  <c r="DM7" i="147"/>
  <c r="DL7" i="147"/>
  <c r="DK7" i="147"/>
  <c r="DJ7" i="147"/>
  <c r="DI7" i="147"/>
  <c r="DH7" i="147"/>
  <c r="DG7" i="147"/>
  <c r="DN6" i="147"/>
  <c r="DM6" i="147"/>
  <c r="DL6" i="147"/>
  <c r="DK6" i="147"/>
  <c r="DJ6" i="147"/>
  <c r="DI6" i="147"/>
  <c r="DH6" i="147"/>
  <c r="DG6" i="147"/>
  <c r="DN5" i="147"/>
  <c r="DM5" i="147"/>
  <c r="DL5" i="147"/>
  <c r="DK5" i="147"/>
  <c r="DJ5" i="147"/>
  <c r="DI5" i="147"/>
  <c r="DH5" i="147"/>
  <c r="DG5" i="147"/>
  <c r="DN4" i="147"/>
  <c r="DM4" i="147"/>
  <c r="DL4" i="147"/>
  <c r="DK4" i="147"/>
  <c r="DJ4" i="147"/>
  <c r="DI4" i="147"/>
  <c r="DH4" i="147"/>
  <c r="DG4" i="147"/>
  <c r="DN3" i="147"/>
  <c r="DM3" i="147"/>
  <c r="DL3" i="147"/>
  <c r="DK3" i="147"/>
  <c r="DJ3" i="147"/>
  <c r="DI3" i="147"/>
  <c r="DH3" i="147"/>
  <c r="DG3" i="147"/>
  <c r="DN2" i="147"/>
  <c r="DM2" i="147"/>
  <c r="DL2" i="147"/>
  <c r="DK2" i="147"/>
  <c r="DJ2" i="147"/>
  <c r="DI2" i="147"/>
  <c r="DH2" i="147"/>
  <c r="DG2" i="147"/>
  <c r="AQ57" i="165" l="1"/>
  <c r="AM57" i="165"/>
  <c r="AL57" i="165"/>
  <c r="AU57" i="165" s="1"/>
  <c r="AS57" i="165"/>
  <c r="AN57" i="165"/>
  <c r="AO57" i="165"/>
  <c r="CZ40" i="147"/>
  <c r="CZ39" i="147"/>
  <c r="CZ38" i="147"/>
  <c r="CZ37" i="147"/>
  <c r="CZ36" i="147"/>
  <c r="CZ35" i="147"/>
  <c r="CZ34" i="147"/>
  <c r="CZ33" i="147"/>
  <c r="CZ32" i="147"/>
  <c r="CZ31" i="147"/>
  <c r="CZ30" i="147"/>
  <c r="CZ29" i="147"/>
  <c r="CZ28" i="147"/>
  <c r="CZ27" i="147"/>
  <c r="CZ26" i="147"/>
  <c r="CZ25" i="147"/>
  <c r="CZ24" i="147"/>
  <c r="CZ23" i="147"/>
  <c r="AP57" i="165" l="1"/>
  <c r="AZ57" i="165" s="1"/>
  <c r="AH49" i="117" l="1"/>
  <c r="AG49" i="117"/>
  <c r="Y49" i="117"/>
  <c r="X49" i="117"/>
  <c r="W49" i="117"/>
  <c r="V49" i="117"/>
  <c r="U49" i="117"/>
  <c r="T49" i="117"/>
  <c r="S49" i="117"/>
  <c r="R49" i="117"/>
  <c r="Z49" i="117" s="1"/>
  <c r="P49" i="117"/>
  <c r="AE49" i="117" l="1"/>
  <c r="AA49" i="117"/>
  <c r="AB49" i="117"/>
  <c r="AC49" i="117"/>
  <c r="AD49" i="117"/>
  <c r="AF49" i="117"/>
  <c r="A30" i="160"/>
  <c r="A29" i="160"/>
  <c r="A28" i="160"/>
  <c r="A27" i="160"/>
  <c r="A26" i="160"/>
  <c r="A25" i="160"/>
  <c r="A24" i="160"/>
  <c r="A23" i="160"/>
  <c r="A22" i="160"/>
  <c r="A21" i="160"/>
  <c r="A20" i="160"/>
  <c r="A19" i="160"/>
  <c r="A18" i="160"/>
  <c r="A17" i="160"/>
  <c r="A16" i="160"/>
  <c r="GF16" i="160" s="1"/>
  <c r="BJ28" i="160"/>
  <c r="AB23" i="84"/>
  <c r="AB22" i="84"/>
  <c r="AB21" i="84"/>
  <c r="AB20" i="84"/>
  <c r="AB19" i="84"/>
  <c r="AB18" i="84"/>
  <c r="AB17" i="84"/>
  <c r="A30" i="84"/>
  <c r="A33" i="84"/>
  <c r="A32" i="84"/>
  <c r="A31" i="84"/>
  <c r="GF31" i="84" s="1"/>
  <c r="A29" i="84"/>
  <c r="A28" i="84"/>
  <c r="GF28" i="84" s="1"/>
  <c r="A34" i="84"/>
  <c r="A25" i="147"/>
  <c r="GF25" i="147" s="1"/>
  <c r="GF33" i="84" l="1"/>
  <c r="GF23" i="160"/>
  <c r="GF29" i="160"/>
  <c r="GF30" i="160"/>
  <c r="GD16" i="160"/>
  <c r="GB16" i="160"/>
  <c r="GE16" i="160"/>
  <c r="GC16" i="160"/>
  <c r="GA16" i="160"/>
  <c r="GF24" i="160"/>
  <c r="GF22" i="160"/>
  <c r="GF34" i="84"/>
  <c r="GF17" i="160"/>
  <c r="GF25" i="160"/>
  <c r="GC28" i="84"/>
  <c r="GE28" i="84"/>
  <c r="GB28" i="84"/>
  <c r="GD28" i="84"/>
  <c r="GA28" i="84"/>
  <c r="GF18" i="160"/>
  <c r="GF26" i="160"/>
  <c r="GF32" i="84"/>
  <c r="GF19" i="160"/>
  <c r="GF27" i="160"/>
  <c r="GF21" i="160"/>
  <c r="GA31" i="84"/>
  <c r="GD31" i="84"/>
  <c r="GE31" i="84"/>
  <c r="GB31" i="84"/>
  <c r="GC31" i="84"/>
  <c r="GF20" i="160"/>
  <c r="GF28" i="160"/>
  <c r="GF30" i="84"/>
  <c r="GF29" i="84"/>
  <c r="GB25" i="147"/>
  <c r="GA25" i="147"/>
  <c r="FQ21" i="84"/>
  <c r="FQ22" i="84"/>
  <c r="FQ17" i="84"/>
  <c r="FQ23" i="84"/>
  <c r="FQ19" i="84"/>
  <c r="FQ18" i="84"/>
  <c r="FQ20" i="84"/>
  <c r="BJ21" i="160"/>
  <c r="AX23" i="147"/>
  <c r="BJ22" i="160"/>
  <c r="BJ27" i="160"/>
  <c r="BJ33" i="84"/>
  <c r="BJ34" i="84"/>
  <c r="BJ29" i="84"/>
  <c r="BJ30" i="84"/>
  <c r="BJ31" i="84" s="1"/>
  <c r="BJ32" i="84" s="1"/>
  <c r="BJ29" i="160"/>
  <c r="BJ23" i="160"/>
  <c r="BJ18" i="160"/>
  <c r="BJ19" i="160" s="1"/>
  <c r="BJ30" i="160"/>
  <c r="BJ16" i="160"/>
  <c r="BJ24" i="160"/>
  <c r="BJ28" i="84"/>
  <c r="BY87" i="84" s="1"/>
  <c r="BJ20" i="160"/>
  <c r="BJ17" i="160"/>
  <c r="BJ25" i="160"/>
  <c r="BJ26" i="160"/>
  <c r="AX27" i="147"/>
  <c r="GE25" i="160" l="1"/>
  <c r="GB25" i="160"/>
  <c r="GC25" i="160"/>
  <c r="GD25" i="160"/>
  <c r="GA25" i="160"/>
  <c r="GA27" i="160"/>
  <c r="GD27" i="160"/>
  <c r="GB27" i="160"/>
  <c r="GC27" i="160"/>
  <c r="GE27" i="160"/>
  <c r="GE18" i="160"/>
  <c r="GD18" i="160"/>
  <c r="GB18" i="160"/>
  <c r="GC18" i="160"/>
  <c r="GA18" i="160"/>
  <c r="GE29" i="160"/>
  <c r="GB29" i="160"/>
  <c r="GA29" i="160"/>
  <c r="GC29" i="160"/>
  <c r="GD29" i="160"/>
  <c r="GE21" i="160"/>
  <c r="GB21" i="160"/>
  <c r="GC21" i="160"/>
  <c r="GD21" i="160"/>
  <c r="GA21" i="160"/>
  <c r="GE17" i="160"/>
  <c r="GB17" i="160"/>
  <c r="GC17" i="160"/>
  <c r="GD17" i="160"/>
  <c r="GA17" i="160"/>
  <c r="GE22" i="160"/>
  <c r="GD22" i="160"/>
  <c r="GB22" i="160"/>
  <c r="GC22" i="160"/>
  <c r="GA22" i="160"/>
  <c r="GD24" i="160"/>
  <c r="GE24" i="160"/>
  <c r="GB24" i="160"/>
  <c r="GA24" i="160"/>
  <c r="GC24" i="160"/>
  <c r="GA19" i="160"/>
  <c r="GD19" i="160"/>
  <c r="GB19" i="160"/>
  <c r="GE19" i="160"/>
  <c r="GC19" i="160"/>
  <c r="GB23" i="160"/>
  <c r="GD23" i="160"/>
  <c r="GC23" i="160"/>
  <c r="GE23" i="160"/>
  <c r="GA23" i="160"/>
  <c r="GC28" i="160"/>
  <c r="GD28" i="160"/>
  <c r="GE28" i="160"/>
  <c r="GA28" i="160"/>
  <c r="GB28" i="160"/>
  <c r="GE26" i="160"/>
  <c r="GD26" i="160"/>
  <c r="GB26" i="160"/>
  <c r="GA26" i="160"/>
  <c r="GC26" i="160"/>
  <c r="GE34" i="84"/>
  <c r="GD34" i="84"/>
  <c r="GB34" i="84"/>
  <c r="GA34" i="84"/>
  <c r="GC34" i="84"/>
  <c r="GE30" i="160"/>
  <c r="GD30" i="160"/>
  <c r="GB30" i="160"/>
  <c r="GC30" i="160"/>
  <c r="GA30" i="160"/>
  <c r="GC20" i="160"/>
  <c r="GA20" i="160"/>
  <c r="GB20" i="160"/>
  <c r="GD20" i="160"/>
  <c r="GE20" i="160"/>
  <c r="GD32" i="84"/>
  <c r="GB32" i="84"/>
  <c r="GE32" i="84"/>
  <c r="GA32" i="84"/>
  <c r="GC32" i="84"/>
  <c r="GE33" i="84"/>
  <c r="GB33" i="84"/>
  <c r="GC33" i="84"/>
  <c r="GA33" i="84"/>
  <c r="GD33" i="84"/>
  <c r="GE30" i="84"/>
  <c r="GD30" i="84"/>
  <c r="GB30" i="84"/>
  <c r="GC30" i="84"/>
  <c r="GA30" i="84"/>
  <c r="GE29" i="84"/>
  <c r="GB29" i="84"/>
  <c r="GA29" i="84"/>
  <c r="GD29" i="84"/>
  <c r="GC29" i="84"/>
  <c r="CX1" i="147"/>
  <c r="CY1" i="147" s="1"/>
  <c r="DD1" i="147"/>
  <c r="DQ1" i="147"/>
  <c r="CX2" i="147"/>
  <c r="CZ2" i="147"/>
  <c r="DB2" i="147"/>
  <c r="DD2" i="147"/>
  <c r="CU23" i="147"/>
  <c r="CW23" i="147"/>
  <c r="CX23" i="147"/>
  <c r="DA23" i="147"/>
  <c r="DC23" i="147"/>
  <c r="DD23" i="147"/>
  <c r="FD23" i="147" s="1"/>
  <c r="DG23" i="147"/>
  <c r="DH23" i="147"/>
  <c r="FM23" i="147" s="1"/>
  <c r="DK23" i="147"/>
  <c r="DM23" i="147"/>
  <c r="DN23" i="147"/>
  <c r="FI23" i="147" s="1"/>
  <c r="DO23" i="147"/>
  <c r="DS23" i="147"/>
  <c r="CW24" i="147"/>
  <c r="CX24" i="147"/>
  <c r="DA24" i="147"/>
  <c r="DC24" i="147"/>
  <c r="DD24" i="147"/>
  <c r="FD24" i="147" s="1"/>
  <c r="DG24" i="147"/>
  <c r="DH24" i="147"/>
  <c r="DK24" i="147"/>
  <c r="DM24" i="147"/>
  <c r="DN24" i="147"/>
  <c r="FI24" i="147" s="1"/>
  <c r="DO24" i="147"/>
  <c r="DS24" i="147"/>
  <c r="CW25" i="147"/>
  <c r="CX25" i="147"/>
  <c r="DA25" i="147"/>
  <c r="DC25" i="147"/>
  <c r="DD25" i="147"/>
  <c r="FD25" i="147" s="1"/>
  <c r="DE25" i="147"/>
  <c r="DG25" i="147"/>
  <c r="DH25" i="147"/>
  <c r="DK25" i="147"/>
  <c r="DM25" i="147"/>
  <c r="DN25" i="147"/>
  <c r="FI25" i="147" s="1"/>
  <c r="DO25" i="147"/>
  <c r="DS25" i="147"/>
  <c r="DY25" i="147"/>
  <c r="CW26" i="147"/>
  <c r="CX26" i="147"/>
  <c r="DA26" i="147"/>
  <c r="DC26" i="147"/>
  <c r="DD26" i="147"/>
  <c r="FD26" i="147" s="1"/>
  <c r="DE26" i="147"/>
  <c r="DG26" i="147"/>
  <c r="DH26" i="147"/>
  <c r="FM26" i="147" s="1"/>
  <c r="DK26" i="147"/>
  <c r="DM26" i="147"/>
  <c r="DN26" i="147"/>
  <c r="FI26" i="147" s="1"/>
  <c r="DO26" i="147"/>
  <c r="DS26" i="147"/>
  <c r="CU27" i="147"/>
  <c r="CW27" i="147"/>
  <c r="CX27" i="147"/>
  <c r="DA27" i="147"/>
  <c r="DC27" i="147"/>
  <c r="DD27" i="147"/>
  <c r="FD27" i="147" s="1"/>
  <c r="DE27" i="147"/>
  <c r="DG27" i="147"/>
  <c r="DH27" i="147"/>
  <c r="DK27" i="147"/>
  <c r="DM27" i="147"/>
  <c r="DN27" i="147"/>
  <c r="FI27" i="147" s="1"/>
  <c r="DO27" i="147"/>
  <c r="DS27" i="147"/>
  <c r="CU28" i="147"/>
  <c r="BO28" i="147" s="1"/>
  <c r="CW28" i="147"/>
  <c r="CX28" i="147"/>
  <c r="DA28" i="147"/>
  <c r="DB28" i="147"/>
  <c r="DC28" i="147"/>
  <c r="DD28" i="147"/>
  <c r="FD28" i="147" s="1"/>
  <c r="DE28" i="147"/>
  <c r="DG28" i="147"/>
  <c r="DH28" i="147"/>
  <c r="DK28" i="147"/>
  <c r="DL28" i="147"/>
  <c r="DM28" i="147"/>
  <c r="DN28" i="147"/>
  <c r="FI28" i="147" s="1"/>
  <c r="DO28" i="147"/>
  <c r="DS28" i="147"/>
  <c r="EZ28" i="147"/>
  <c r="FC28" i="147"/>
  <c r="CU29" i="147"/>
  <c r="CW29" i="147"/>
  <c r="CX29" i="147"/>
  <c r="DA29" i="147"/>
  <c r="DB29" i="147"/>
  <c r="DC29" i="147"/>
  <c r="DD29" i="147"/>
  <c r="FD29" i="147" s="1"/>
  <c r="DE29" i="147"/>
  <c r="DG29" i="147"/>
  <c r="DH29" i="147"/>
  <c r="DK29" i="147"/>
  <c r="DL29" i="147"/>
  <c r="DM29" i="147"/>
  <c r="DN29" i="147"/>
  <c r="FI29" i="147" s="1"/>
  <c r="DO29" i="147"/>
  <c r="DS29" i="147"/>
  <c r="EZ29" i="147"/>
  <c r="FC29" i="147"/>
  <c r="CU30" i="147"/>
  <c r="CW30" i="147"/>
  <c r="CX30" i="147"/>
  <c r="DA30" i="147"/>
  <c r="DB30" i="147"/>
  <c r="DC30" i="147"/>
  <c r="DD30" i="147"/>
  <c r="FD30" i="147" s="1"/>
  <c r="DE30" i="147"/>
  <c r="DG30" i="147"/>
  <c r="DH30" i="147"/>
  <c r="DK30" i="147"/>
  <c r="DL30" i="147"/>
  <c r="DM30" i="147"/>
  <c r="DN30" i="147"/>
  <c r="FI30" i="147" s="1"/>
  <c r="DO30" i="147"/>
  <c r="DS30" i="147"/>
  <c r="EZ30" i="147"/>
  <c r="FC30" i="147"/>
  <c r="CU31" i="147"/>
  <c r="CV31" i="147"/>
  <c r="CW31" i="147"/>
  <c r="CX31" i="147"/>
  <c r="FH31" i="147" s="1"/>
  <c r="DA31" i="147"/>
  <c r="DB31" i="147"/>
  <c r="DC31" i="147"/>
  <c r="DD31" i="147"/>
  <c r="FD31" i="147" s="1"/>
  <c r="DE31" i="147"/>
  <c r="DF31" i="147"/>
  <c r="DG31" i="147"/>
  <c r="DH31" i="147"/>
  <c r="FV31" i="147" s="1"/>
  <c r="DK31" i="147"/>
  <c r="DL31" i="147"/>
  <c r="DM31" i="147"/>
  <c r="DN31" i="147"/>
  <c r="FI31" i="147" s="1"/>
  <c r="DO31" i="147"/>
  <c r="DS31" i="147"/>
  <c r="EZ31" i="147"/>
  <c r="FC31" i="147"/>
  <c r="CU32" i="147"/>
  <c r="BO32" i="147" s="1"/>
  <c r="CV32" i="147"/>
  <c r="CW32" i="147"/>
  <c r="CX32" i="147"/>
  <c r="DA32" i="147"/>
  <c r="DB32" i="147"/>
  <c r="DC32" i="147"/>
  <c r="DD32" i="147"/>
  <c r="FD32" i="147" s="1"/>
  <c r="DE32" i="147"/>
  <c r="DF32" i="147"/>
  <c r="DG32" i="147"/>
  <c r="DH32" i="147"/>
  <c r="FM32" i="147" s="1"/>
  <c r="DK32" i="147"/>
  <c r="DL32" i="147"/>
  <c r="DM32" i="147"/>
  <c r="DN32" i="147"/>
  <c r="FI32" i="147" s="1"/>
  <c r="DO32" i="147"/>
  <c r="DS32" i="147"/>
  <c r="EZ32" i="147"/>
  <c r="FC32" i="147"/>
  <c r="CU33" i="147"/>
  <c r="CV33" i="147"/>
  <c r="CW33" i="147"/>
  <c r="CX33" i="147"/>
  <c r="FH33" i="147" s="1"/>
  <c r="DA33" i="147"/>
  <c r="DB33" i="147"/>
  <c r="DC33" i="147"/>
  <c r="DD33" i="147"/>
  <c r="FD33" i="147" s="1"/>
  <c r="DE33" i="147"/>
  <c r="DF33" i="147"/>
  <c r="DG33" i="147"/>
  <c r="DH33" i="147"/>
  <c r="DK33" i="147"/>
  <c r="DL33" i="147"/>
  <c r="DM33" i="147"/>
  <c r="DN33" i="147"/>
  <c r="FI33" i="147" s="1"/>
  <c r="DO33" i="147"/>
  <c r="DS33" i="147"/>
  <c r="EZ33" i="147"/>
  <c r="FC33" i="147"/>
  <c r="CU34" i="147"/>
  <c r="CV34" i="147"/>
  <c r="CW34" i="147"/>
  <c r="CX34" i="147"/>
  <c r="DA34" i="147"/>
  <c r="DB34" i="147"/>
  <c r="DC34" i="147"/>
  <c r="DD34" i="147"/>
  <c r="FD34" i="147" s="1"/>
  <c r="DE34" i="147"/>
  <c r="DF34" i="147"/>
  <c r="DG34" i="147"/>
  <c r="DH34" i="147"/>
  <c r="FV34" i="147" s="1"/>
  <c r="DK34" i="147"/>
  <c r="DL34" i="147"/>
  <c r="DM34" i="147"/>
  <c r="DN34" i="147"/>
  <c r="FI34" i="147" s="1"/>
  <c r="DO34" i="147"/>
  <c r="DS34" i="147"/>
  <c r="EZ34" i="147"/>
  <c r="FC34" i="147"/>
  <c r="CU35" i="147"/>
  <c r="CV35" i="147"/>
  <c r="CW35" i="147"/>
  <c r="CX35" i="147"/>
  <c r="FU35" i="147" s="1"/>
  <c r="DA35" i="147"/>
  <c r="DB35" i="147"/>
  <c r="DC35" i="147"/>
  <c r="DD35" i="147"/>
  <c r="FD35" i="147" s="1"/>
  <c r="DE35" i="147"/>
  <c r="DF35" i="147"/>
  <c r="DG35" i="147"/>
  <c r="DH35" i="147"/>
  <c r="FM35" i="147" s="1"/>
  <c r="DK35" i="147"/>
  <c r="DL35" i="147"/>
  <c r="DM35" i="147"/>
  <c r="DN35" i="147"/>
  <c r="FI35" i="147" s="1"/>
  <c r="DO35" i="147"/>
  <c r="DS35" i="147"/>
  <c r="EZ35" i="147"/>
  <c r="FC35" i="147"/>
  <c r="CU36" i="147"/>
  <c r="CV36" i="147"/>
  <c r="CW36" i="147"/>
  <c r="CX36" i="147"/>
  <c r="FH36" i="147" s="1"/>
  <c r="DA36" i="147"/>
  <c r="DB36" i="147"/>
  <c r="DC36" i="147"/>
  <c r="DD36" i="147"/>
  <c r="FD36" i="147" s="1"/>
  <c r="DE36" i="147"/>
  <c r="DF36" i="147"/>
  <c r="DG36" i="147"/>
  <c r="DH36" i="147"/>
  <c r="DK36" i="147"/>
  <c r="DL36" i="147"/>
  <c r="DM36" i="147"/>
  <c r="DN36" i="147"/>
  <c r="FI36" i="147" s="1"/>
  <c r="DO36" i="147"/>
  <c r="DS36" i="147"/>
  <c r="EZ36" i="147"/>
  <c r="FC36" i="147"/>
  <c r="CU37" i="147"/>
  <c r="CV37" i="147"/>
  <c r="CW37" i="147"/>
  <c r="CX37" i="147"/>
  <c r="DA37" i="147"/>
  <c r="DB37" i="147"/>
  <c r="DC37" i="147"/>
  <c r="DD37" i="147"/>
  <c r="FD37" i="147" s="1"/>
  <c r="DE37" i="147"/>
  <c r="DF37" i="147"/>
  <c r="DG37" i="147"/>
  <c r="DH37" i="147"/>
  <c r="FV37" i="147" s="1"/>
  <c r="DK37" i="147"/>
  <c r="DL37" i="147"/>
  <c r="DM37" i="147"/>
  <c r="DN37" i="147"/>
  <c r="FI37" i="147" s="1"/>
  <c r="DO37" i="147"/>
  <c r="DS37" i="147"/>
  <c r="EZ37" i="147"/>
  <c r="FC37" i="147"/>
  <c r="CU38" i="147"/>
  <c r="CV38" i="147"/>
  <c r="CW38" i="147"/>
  <c r="CX38" i="147"/>
  <c r="FU38" i="147" s="1"/>
  <c r="DA38" i="147"/>
  <c r="DB38" i="147"/>
  <c r="DC38" i="147"/>
  <c r="DD38" i="147"/>
  <c r="FD38" i="147" s="1"/>
  <c r="DE38" i="147"/>
  <c r="DF38" i="147"/>
  <c r="DG38" i="147"/>
  <c r="DH38" i="147"/>
  <c r="FV38" i="147" s="1"/>
  <c r="DK38" i="147"/>
  <c r="DL38" i="147"/>
  <c r="DM38" i="147"/>
  <c r="DN38" i="147"/>
  <c r="FI38" i="147" s="1"/>
  <c r="DO38" i="147"/>
  <c r="DS38" i="147"/>
  <c r="EZ38" i="147"/>
  <c r="FC38" i="147"/>
  <c r="CU39" i="147"/>
  <c r="CV39" i="147"/>
  <c r="CW39" i="147"/>
  <c r="CX39" i="147"/>
  <c r="FH39" i="147" s="1"/>
  <c r="FS39" i="147"/>
  <c r="DA39" i="147"/>
  <c r="DB39" i="147"/>
  <c r="DC39" i="147"/>
  <c r="DD39" i="147"/>
  <c r="FD39" i="147" s="1"/>
  <c r="DE39" i="147"/>
  <c r="DF39" i="147"/>
  <c r="DG39" i="147"/>
  <c r="DH39" i="147"/>
  <c r="FV39" i="147" s="1"/>
  <c r="FT39" i="147"/>
  <c r="DK39" i="147"/>
  <c r="DL39" i="147"/>
  <c r="DM39" i="147"/>
  <c r="DN39" i="147"/>
  <c r="FI39" i="147" s="1"/>
  <c r="DO39" i="147"/>
  <c r="DS39" i="147"/>
  <c r="EZ39" i="147"/>
  <c r="FC39" i="147"/>
  <c r="CU40" i="147"/>
  <c r="CV40" i="147"/>
  <c r="CW40" i="147"/>
  <c r="CX40" i="147"/>
  <c r="DA40" i="147"/>
  <c r="DB40" i="147"/>
  <c r="DC40" i="147"/>
  <c r="DD40" i="147"/>
  <c r="FD40" i="147" s="1"/>
  <c r="DE40" i="147"/>
  <c r="DF40" i="147"/>
  <c r="DG40" i="147"/>
  <c r="DH40" i="147"/>
  <c r="FT40" i="147"/>
  <c r="DK40" i="147"/>
  <c r="DL40" i="147"/>
  <c r="DM40" i="147"/>
  <c r="DN40" i="147"/>
  <c r="FI40" i="147" s="1"/>
  <c r="DO40" i="147"/>
  <c r="DS40" i="147"/>
  <c r="EZ40" i="147"/>
  <c r="FC40" i="147"/>
  <c r="CU69" i="147"/>
  <c r="EY69" i="147" s="1"/>
  <c r="CV69" i="147"/>
  <c r="DX69" i="147" s="1"/>
  <c r="CW69" i="147"/>
  <c r="CX69" i="147"/>
  <c r="FU69" i="147" s="1"/>
  <c r="CY69" i="147"/>
  <c r="CZ69" i="147"/>
  <c r="DA69" i="147"/>
  <c r="DB69" i="147"/>
  <c r="DC69" i="147"/>
  <c r="DD69" i="147"/>
  <c r="DO69" i="147" s="1"/>
  <c r="DE69" i="147"/>
  <c r="FA69" i="147" s="1"/>
  <c r="DF69" i="147"/>
  <c r="EC69" i="147" s="1"/>
  <c r="DG69" i="147"/>
  <c r="DH69" i="147"/>
  <c r="FM69" i="147" s="1"/>
  <c r="DI69" i="147"/>
  <c r="DJ69" i="147"/>
  <c r="DK69" i="147"/>
  <c r="DL69" i="147"/>
  <c r="DM69" i="147"/>
  <c r="DN69" i="147"/>
  <c r="FI69" i="147" s="1"/>
  <c r="DQ69" i="147"/>
  <c r="DR69" i="147"/>
  <c r="DS69" i="147"/>
  <c r="DY69" i="147"/>
  <c r="EU69" i="147"/>
  <c r="EW69" i="147"/>
  <c r="EZ69" i="147"/>
  <c r="FC69" i="147"/>
  <c r="CC25" i="147" l="1"/>
  <c r="CM25" i="147" s="1"/>
  <c r="EE30" i="147"/>
  <c r="BQ28" i="147"/>
  <c r="CL28" i="147" s="1"/>
  <c r="CA27" i="147"/>
  <c r="CC27" i="147"/>
  <c r="CM27" i="147" s="1"/>
  <c r="CA39" i="147"/>
  <c r="CC39" i="147"/>
  <c r="CM39" i="147" s="1"/>
  <c r="CA28" i="147"/>
  <c r="CC28" i="147"/>
  <c r="CM28" i="147" s="1"/>
  <c r="CA29" i="147"/>
  <c r="CC29" i="147"/>
  <c r="CM29" i="147" s="1"/>
  <c r="DZ39" i="147"/>
  <c r="BQ39" i="147"/>
  <c r="CL39" i="147" s="1"/>
  <c r="BO39" i="147"/>
  <c r="CC37" i="147"/>
  <c r="CM37" i="147" s="1"/>
  <c r="CA37" i="147"/>
  <c r="BO37" i="147"/>
  <c r="BQ37" i="147"/>
  <c r="CL37" i="147" s="1"/>
  <c r="CA35" i="147"/>
  <c r="CC35" i="147"/>
  <c r="CM35" i="147" s="1"/>
  <c r="BQ35" i="147"/>
  <c r="CL35" i="147" s="1"/>
  <c r="BO35" i="147"/>
  <c r="CC33" i="147"/>
  <c r="CM33" i="147" s="1"/>
  <c r="CA33" i="147"/>
  <c r="BQ33" i="147"/>
  <c r="CL33" i="147" s="1"/>
  <c r="BO33" i="147"/>
  <c r="CA31" i="147"/>
  <c r="CC31" i="147"/>
  <c r="CM31" i="147" s="1"/>
  <c r="BQ31" i="147"/>
  <c r="CL31" i="147" s="1"/>
  <c r="BO31" i="147"/>
  <c r="DZ29" i="147"/>
  <c r="DZ26" i="147"/>
  <c r="BO23" i="147"/>
  <c r="BQ23" i="147"/>
  <c r="CL23" i="147" s="1"/>
  <c r="BO30" i="147"/>
  <c r="BQ30" i="147"/>
  <c r="CL30" i="147" s="1"/>
  <c r="DZ28" i="147"/>
  <c r="CA25" i="147"/>
  <c r="CA40" i="147"/>
  <c r="CC40" i="147"/>
  <c r="CM40" i="147" s="1"/>
  <c r="CA30" i="147"/>
  <c r="CC30" i="147"/>
  <c r="CM30" i="147" s="1"/>
  <c r="BO40" i="147"/>
  <c r="BQ40" i="147"/>
  <c r="CL40" i="147" s="1"/>
  <c r="CA38" i="147"/>
  <c r="CC38" i="147"/>
  <c r="CM38" i="147" s="1"/>
  <c r="BO38" i="147"/>
  <c r="BQ38" i="147"/>
  <c r="CL38" i="147" s="1"/>
  <c r="CA36" i="147"/>
  <c r="CC36" i="147"/>
  <c r="CM36" i="147" s="1"/>
  <c r="BO36" i="147"/>
  <c r="BQ36" i="147"/>
  <c r="CL36" i="147" s="1"/>
  <c r="CA34" i="147"/>
  <c r="CC34" i="147"/>
  <c r="CM34" i="147" s="1"/>
  <c r="BO34" i="147"/>
  <c r="BQ34" i="147"/>
  <c r="CL34" i="147" s="1"/>
  <c r="CA32" i="147"/>
  <c r="CC32" i="147"/>
  <c r="CM32" i="147" s="1"/>
  <c r="BQ32" i="147"/>
  <c r="CL32" i="147" s="1"/>
  <c r="BQ29" i="147"/>
  <c r="CL29" i="147" s="1"/>
  <c r="BO29" i="147"/>
  <c r="BO27" i="147"/>
  <c r="BQ27" i="147"/>
  <c r="CL27" i="147" s="1"/>
  <c r="CA26" i="147"/>
  <c r="CC26" i="147"/>
  <c r="CM26" i="147" s="1"/>
  <c r="DZ38" i="147"/>
  <c r="EE37" i="147"/>
  <c r="EF37" i="147" s="1"/>
  <c r="EJ37" i="147" s="1"/>
  <c r="DZ36" i="147"/>
  <c r="EE35" i="147"/>
  <c r="EF35" i="147" s="1"/>
  <c r="EJ35" i="147" s="1"/>
  <c r="DZ34" i="147"/>
  <c r="EE33" i="147"/>
  <c r="EG33" i="147" s="1"/>
  <c r="EK33" i="147" s="1"/>
  <c r="DZ32" i="147"/>
  <c r="EE31" i="147"/>
  <c r="EG31" i="147" s="1"/>
  <c r="EK31" i="147" s="1"/>
  <c r="FR37" i="147"/>
  <c r="FR35" i="147"/>
  <c r="FQ35" i="147"/>
  <c r="FR33" i="147"/>
  <c r="FQ33" i="147"/>
  <c r="DZ27" i="147"/>
  <c r="EL37" i="147"/>
  <c r="EM37" i="147" s="1"/>
  <c r="EL35" i="147"/>
  <c r="EM35" i="147" s="1"/>
  <c r="EE39" i="147"/>
  <c r="EG39" i="147" s="1"/>
  <c r="EK39" i="147" s="1"/>
  <c r="EL33" i="147"/>
  <c r="EM33" i="147" s="1"/>
  <c r="EL31" i="147"/>
  <c r="EM31" i="147" s="1"/>
  <c r="EL28" i="147"/>
  <c r="EN28" i="147" s="1"/>
  <c r="DZ30" i="147"/>
  <c r="EE28" i="147"/>
  <c r="EF28" i="147" s="1"/>
  <c r="EJ28" i="147" s="1"/>
  <c r="EL36" i="147"/>
  <c r="EL32" i="147"/>
  <c r="FQ40" i="147"/>
  <c r="EE38" i="147"/>
  <c r="EE36" i="147"/>
  <c r="DZ35" i="147"/>
  <c r="EE34" i="147"/>
  <c r="DZ33" i="147"/>
  <c r="EE32" i="147"/>
  <c r="DZ31" i="147"/>
  <c r="EF30" i="147"/>
  <c r="EJ30" i="147" s="1"/>
  <c r="EG30" i="147"/>
  <c r="EK30" i="147" s="1"/>
  <c r="DX40" i="147"/>
  <c r="DW40" i="147"/>
  <c r="FR40" i="147"/>
  <c r="DZ37" i="147"/>
  <c r="DZ40" i="147"/>
  <c r="EL39" i="147"/>
  <c r="EC38" i="147"/>
  <c r="EB38" i="147"/>
  <c r="EA38" i="147"/>
  <c r="ED38" i="147"/>
  <c r="DV38" i="147"/>
  <c r="DX38" i="147"/>
  <c r="DW38" i="147"/>
  <c r="EC36" i="147"/>
  <c r="EB36" i="147"/>
  <c r="EA36" i="147"/>
  <c r="ED36" i="147"/>
  <c r="DV36" i="147"/>
  <c r="DX36" i="147"/>
  <c r="DW36" i="147"/>
  <c r="FO36" i="147" s="1"/>
  <c r="EC34" i="147"/>
  <c r="EB34" i="147"/>
  <c r="EA34" i="147"/>
  <c r="ED34" i="147"/>
  <c r="DU34" i="147"/>
  <c r="DX34" i="147"/>
  <c r="DW34" i="147"/>
  <c r="EC32" i="147"/>
  <c r="FP32" i="147" s="1"/>
  <c r="EB32" i="147"/>
  <c r="EA32" i="147"/>
  <c r="ED32" i="147"/>
  <c r="DX32" i="147"/>
  <c r="DW32" i="147"/>
  <c r="EL29" i="147"/>
  <c r="FQ39" i="147"/>
  <c r="FQ37" i="147"/>
  <c r="FQ31" i="147"/>
  <c r="EC40" i="147"/>
  <c r="EB40" i="147"/>
  <c r="EA40" i="147"/>
  <c r="ED40" i="147"/>
  <c r="FR38" i="147"/>
  <c r="FQ38" i="147"/>
  <c r="FR36" i="147"/>
  <c r="FQ36" i="147"/>
  <c r="FR34" i="147"/>
  <c r="FQ34" i="147"/>
  <c r="FR32" i="147"/>
  <c r="FQ32" i="147"/>
  <c r="EE29" i="147"/>
  <c r="EL34" i="147"/>
  <c r="ED39" i="147"/>
  <c r="EC39" i="147"/>
  <c r="EB39" i="147"/>
  <c r="EA39" i="147"/>
  <c r="FR31" i="147"/>
  <c r="CY23" i="147"/>
  <c r="EL38" i="147"/>
  <c r="EL30" i="147"/>
  <c r="EL40" i="147"/>
  <c r="EE40" i="147"/>
  <c r="FR39" i="147"/>
  <c r="DV39" i="147"/>
  <c r="DX39" i="147"/>
  <c r="DW39" i="147"/>
  <c r="FO39" i="147" s="1"/>
  <c r="ED37" i="147"/>
  <c r="EC37" i="147"/>
  <c r="EB37" i="147"/>
  <c r="EA37" i="147"/>
  <c r="DV37" i="147"/>
  <c r="DX37" i="147"/>
  <c r="DW37" i="147"/>
  <c r="ED35" i="147"/>
  <c r="EC35" i="147"/>
  <c r="FP35" i="147" s="1"/>
  <c r="EB35" i="147"/>
  <c r="EA35" i="147"/>
  <c r="DU35" i="147"/>
  <c r="DX35" i="147"/>
  <c r="DW35" i="147"/>
  <c r="ED33" i="147"/>
  <c r="I33" i="147" s="1"/>
  <c r="EC33" i="147"/>
  <c r="EB33" i="147"/>
  <c r="EA33" i="147"/>
  <c r="DV33" i="147"/>
  <c r="DX33" i="147"/>
  <c r="DW33" i="147"/>
  <c r="FO33" i="147" s="1"/>
  <c r="ED31" i="147"/>
  <c r="EC31" i="147"/>
  <c r="EB31" i="147"/>
  <c r="EA31" i="147"/>
  <c r="DX31" i="147"/>
  <c r="DW31" i="147"/>
  <c r="FO31" i="147" s="1"/>
  <c r="DI27" i="147"/>
  <c r="FA28" i="147"/>
  <c r="FA32" i="147"/>
  <c r="EX30" i="147"/>
  <c r="FA37" i="147"/>
  <c r="FA25" i="147"/>
  <c r="DI25" i="147"/>
  <c r="FB35" i="147"/>
  <c r="EY35" i="147"/>
  <c r="FA26" i="147"/>
  <c r="DI26" i="147"/>
  <c r="FA38" i="147"/>
  <c r="FA33" i="147"/>
  <c r="EY33" i="147"/>
  <c r="EY29" i="147"/>
  <c r="EY27" i="147"/>
  <c r="CY27" i="147"/>
  <c r="FA39" i="147"/>
  <c r="FA36" i="147"/>
  <c r="EX36" i="147"/>
  <c r="FB29" i="147"/>
  <c r="EX40" i="147"/>
  <c r="FA34" i="147"/>
  <c r="EY23" i="147"/>
  <c r="FH26" i="147"/>
  <c r="FH25" i="147"/>
  <c r="DT32" i="147"/>
  <c r="DT30" i="147"/>
  <c r="FE30" i="147"/>
  <c r="FF30" i="147" s="1"/>
  <c r="FG30" i="147" s="1"/>
  <c r="Y30" i="147" s="1"/>
  <c r="DT39" i="147"/>
  <c r="DT37" i="147"/>
  <c r="FJ26" i="147"/>
  <c r="FK26" i="147" s="1"/>
  <c r="FL26" i="147" s="1"/>
  <c r="Z26" i="147" s="1"/>
  <c r="FJ31" i="147"/>
  <c r="FK31" i="147" s="1"/>
  <c r="FL31" i="147" s="1"/>
  <c r="Z31" i="147" s="1"/>
  <c r="FE23" i="147"/>
  <c r="FF23" i="147" s="1"/>
  <c r="FG23" i="147" s="1"/>
  <c r="Y23" i="147" s="1"/>
  <c r="FJ27" i="147"/>
  <c r="FK27" i="147" s="1"/>
  <c r="FL27" i="147" s="1"/>
  <c r="Z27" i="147" s="1"/>
  <c r="FT35" i="147"/>
  <c r="FS28" i="147"/>
  <c r="FJ36" i="147"/>
  <c r="FK36" i="147" s="1"/>
  <c r="FL36" i="147" s="1"/>
  <c r="Z36" i="147" s="1"/>
  <c r="FS34" i="147"/>
  <c r="FS31" i="147"/>
  <c r="FT30" i="147"/>
  <c r="FS38" i="147"/>
  <c r="FS33" i="147"/>
  <c r="FT24" i="147"/>
  <c r="FT36" i="147"/>
  <c r="DT35" i="147"/>
  <c r="FE31" i="147"/>
  <c r="FF31" i="147" s="1"/>
  <c r="FG31" i="147" s="1"/>
  <c r="Y31" i="147" s="1"/>
  <c r="FT28" i="147"/>
  <c r="FS36" i="147"/>
  <c r="FE36" i="147"/>
  <c r="FF36" i="147" s="1"/>
  <c r="FG36" i="147" s="1"/>
  <c r="Y36" i="147" s="1"/>
  <c r="FT33" i="147"/>
  <c r="FN69" i="147"/>
  <c r="FT37" i="147"/>
  <c r="FE33" i="147"/>
  <c r="FF33" i="147" s="1"/>
  <c r="FG33" i="147" s="1"/>
  <c r="Y33" i="147" s="1"/>
  <c r="FJ30" i="147"/>
  <c r="FK30" i="147" s="1"/>
  <c r="FL30" i="147" s="1"/>
  <c r="Z30" i="147" s="1"/>
  <c r="FS30" i="147"/>
  <c r="FT29" i="147"/>
  <c r="FE39" i="147"/>
  <c r="FF39" i="147" s="1"/>
  <c r="FG39" i="147" s="1"/>
  <c r="Y39" i="147" s="1"/>
  <c r="FJ37" i="147"/>
  <c r="FK37" i="147" s="1"/>
  <c r="FL37" i="147" s="1"/>
  <c r="Z37" i="147" s="1"/>
  <c r="FS37" i="147"/>
  <c r="DT34" i="147"/>
  <c r="FB25" i="147"/>
  <c r="FU39" i="147"/>
  <c r="FM27" i="147"/>
  <c r="EX27" i="147"/>
  <c r="FH30" i="147"/>
  <c r="FB38" i="147"/>
  <c r="FB32" i="147"/>
  <c r="EL69" i="147"/>
  <c r="EN69" i="147" s="1"/>
  <c r="ER69" i="147" s="1"/>
  <c r="EY30" i="147"/>
  <c r="FM38" i="147"/>
  <c r="EY36" i="147"/>
  <c r="FB26" i="147"/>
  <c r="FR69" i="147"/>
  <c r="FB39" i="147"/>
  <c r="FH35" i="147"/>
  <c r="EY40" i="147"/>
  <c r="DU37" i="147"/>
  <c r="FM37" i="147"/>
  <c r="FN31" i="147"/>
  <c r="EB69" i="147"/>
  <c r="EA69" i="147"/>
  <c r="FV35" i="147"/>
  <c r="FB34" i="147"/>
  <c r="EX23" i="147"/>
  <c r="ED69" i="147"/>
  <c r="FH69" i="147"/>
  <c r="DT69" i="147"/>
  <c r="EX35" i="147"/>
  <c r="DU31" i="147"/>
  <c r="DV31" i="147" s="1"/>
  <c r="DU38" i="147"/>
  <c r="FA29" i="147"/>
  <c r="FB28" i="147"/>
  <c r="FB36" i="147"/>
  <c r="DP31" i="147"/>
  <c r="FV32" i="147"/>
  <c r="FB69" i="147"/>
  <c r="DP34" i="147"/>
  <c r="DU33" i="147"/>
  <c r="EX69" i="147"/>
  <c r="FU36" i="147"/>
  <c r="FB33" i="147"/>
  <c r="FM28" i="147"/>
  <c r="FH27" i="147"/>
  <c r="FU40" i="147"/>
  <c r="FH40" i="147"/>
  <c r="FE28" i="147"/>
  <c r="FF28" i="147" s="1"/>
  <c r="FG28" i="147" s="1"/>
  <c r="Y28" i="147" s="1"/>
  <c r="FJ28" i="147"/>
  <c r="FK28" i="147" s="1"/>
  <c r="FL28" i="147" s="1"/>
  <c r="Z28" i="147" s="1"/>
  <c r="FM24" i="147"/>
  <c r="ES69" i="147"/>
  <c r="FS69" i="147"/>
  <c r="DP40" i="147"/>
  <c r="DU40" i="147"/>
  <c r="EY39" i="147"/>
  <c r="DP38" i="147"/>
  <c r="FU34" i="147"/>
  <c r="FH34" i="147"/>
  <c r="FJ33" i="147"/>
  <c r="FK33" i="147" s="1"/>
  <c r="FL33" i="147" s="1"/>
  <c r="Z33" i="147" s="1"/>
  <c r="DV32" i="147"/>
  <c r="FT31" i="147"/>
  <c r="FM30" i="147"/>
  <c r="DV40" i="147"/>
  <c r="EX39" i="147"/>
  <c r="FN38" i="147"/>
  <c r="FJ38" i="147"/>
  <c r="FK38" i="147" s="1"/>
  <c r="FL38" i="147" s="1"/>
  <c r="Z38" i="147" s="1"/>
  <c r="FH37" i="147"/>
  <c r="FU37" i="147"/>
  <c r="DV35" i="147"/>
  <c r="EY32" i="147"/>
  <c r="FT69" i="147"/>
  <c r="FM34" i="147"/>
  <c r="DP35" i="147"/>
  <c r="EY34" i="147"/>
  <c r="EX34" i="147"/>
  <c r="EX32" i="147"/>
  <c r="FM40" i="147"/>
  <c r="FV40" i="147"/>
  <c r="FM39" i="147"/>
  <c r="FH38" i="147"/>
  <c r="DU36" i="147"/>
  <c r="FU33" i="147"/>
  <c r="FA31" i="147"/>
  <c r="FB31" i="147"/>
  <c r="FE26" i="147"/>
  <c r="FF26" i="147" s="1"/>
  <c r="FG26" i="147" s="1"/>
  <c r="Y26" i="147" s="1"/>
  <c r="FE25" i="147"/>
  <c r="FF25" i="147" s="1"/>
  <c r="FG25" i="147" s="1"/>
  <c r="DZ25" i="147"/>
  <c r="DU39" i="147"/>
  <c r="FN40" i="147"/>
  <c r="FA40" i="147"/>
  <c r="FB40" i="147"/>
  <c r="FS29" i="147"/>
  <c r="FE37" i="147"/>
  <c r="FF37" i="147" s="1"/>
  <c r="FG37" i="147" s="1"/>
  <c r="Y37" i="147" s="1"/>
  <c r="FM25" i="147"/>
  <c r="FJ23" i="147"/>
  <c r="FK23" i="147" s="1"/>
  <c r="FL23" i="147" s="1"/>
  <c r="Z23" i="147" s="1"/>
  <c r="EY38" i="147"/>
  <c r="EX38" i="147"/>
  <c r="DP33" i="147"/>
  <c r="EX29" i="147"/>
  <c r="FM29" i="147"/>
  <c r="FM31" i="147"/>
  <c r="DT29" i="147"/>
  <c r="DZ69" i="147"/>
  <c r="FJ35" i="147"/>
  <c r="FK35" i="147" s="1"/>
  <c r="FL35" i="147" s="1"/>
  <c r="Z35" i="147" s="1"/>
  <c r="DT27" i="147"/>
  <c r="FJ39" i="147"/>
  <c r="FK39" i="147" s="1"/>
  <c r="FL39" i="147" s="1"/>
  <c r="Z39" i="147" s="1"/>
  <c r="DV34" i="147"/>
  <c r="FE34" i="147"/>
  <c r="FF34" i="147" s="1"/>
  <c r="FG34" i="147" s="1"/>
  <c r="Y34" i="147" s="1"/>
  <c r="FD69" i="147"/>
  <c r="FE69" i="147" s="1"/>
  <c r="FF69" i="147" s="1"/>
  <c r="FG69" i="147" s="1"/>
  <c r="ET69" i="147"/>
  <c r="DV69" i="147"/>
  <c r="EE69" i="147"/>
  <c r="EG69" i="147" s="1"/>
  <c r="EK69" i="147" s="1"/>
  <c r="DP69" i="147"/>
  <c r="FP69" i="147"/>
  <c r="FJ69" i="147"/>
  <c r="FK69" i="147" s="1"/>
  <c r="FL69" i="147" s="1"/>
  <c r="FT34" i="147"/>
  <c r="FV69" i="147"/>
  <c r="FE38" i="147"/>
  <c r="FF38" i="147" s="1"/>
  <c r="FG38" i="147" s="1"/>
  <c r="Y38" i="147" s="1"/>
  <c r="FV33" i="147"/>
  <c r="FM33" i="147"/>
  <c r="DT40" i="147"/>
  <c r="FN35" i="147"/>
  <c r="FA35" i="147"/>
  <c r="FB30" i="147"/>
  <c r="FH23" i="147"/>
  <c r="FJ40" i="147"/>
  <c r="FK40" i="147" s="1"/>
  <c r="FL40" i="147" s="1"/>
  <c r="Z40" i="147" s="1"/>
  <c r="FE40" i="147"/>
  <c r="FF40" i="147" s="1"/>
  <c r="FG40" i="147" s="1"/>
  <c r="Y40" i="147" s="1"/>
  <c r="FS40" i="147"/>
  <c r="FB37" i="147"/>
  <c r="FN36" i="147"/>
  <c r="DT33" i="147"/>
  <c r="EX33" i="147"/>
  <c r="FA30" i="147"/>
  <c r="FA27" i="147"/>
  <c r="FB27" i="147"/>
  <c r="FT32" i="147"/>
  <c r="EY31" i="147"/>
  <c r="EX31" i="147"/>
  <c r="FH29" i="147"/>
  <c r="FJ32" i="147"/>
  <c r="FK32" i="147" s="1"/>
  <c r="FL32" i="147" s="1"/>
  <c r="Z32" i="147" s="1"/>
  <c r="FE32" i="147"/>
  <c r="FF32" i="147" s="1"/>
  <c r="FG32" i="147" s="1"/>
  <c r="Y32" i="147" s="1"/>
  <c r="DU69" i="147"/>
  <c r="DW69" i="147"/>
  <c r="FO69" i="147" s="1"/>
  <c r="DP39" i="147"/>
  <c r="FT38" i="147"/>
  <c r="DP37" i="147"/>
  <c r="FN37" i="147"/>
  <c r="DP36" i="147"/>
  <c r="FM36" i="147"/>
  <c r="FV36" i="147"/>
  <c r="FE35" i="147"/>
  <c r="FF35" i="147" s="1"/>
  <c r="FG35" i="147" s="1"/>
  <c r="Y35" i="147" s="1"/>
  <c r="DT28" i="147"/>
  <c r="EX28" i="147"/>
  <c r="EY28" i="147"/>
  <c r="FJ24" i="147"/>
  <c r="FK24" i="147" s="1"/>
  <c r="FL24" i="147" s="1"/>
  <c r="Z24" i="147" s="1"/>
  <c r="FE24" i="147"/>
  <c r="FF24" i="147" s="1"/>
  <c r="FG24" i="147" s="1"/>
  <c r="Y24" i="147" s="1"/>
  <c r="FS35" i="147"/>
  <c r="DT31" i="147"/>
  <c r="FQ69" i="147"/>
  <c r="FN39" i="147"/>
  <c r="EX37" i="147"/>
  <c r="EY37" i="147"/>
  <c r="FS32" i="147"/>
  <c r="FN34" i="147"/>
  <c r="FJ34" i="147"/>
  <c r="FK34" i="147" s="1"/>
  <c r="FL34" i="147" s="1"/>
  <c r="Z34" i="147" s="1"/>
  <c r="FH32" i="147"/>
  <c r="FU32" i="147"/>
  <c r="FE29" i="147"/>
  <c r="FF29" i="147" s="1"/>
  <c r="FG29" i="147" s="1"/>
  <c r="Y29" i="147" s="1"/>
  <c r="FJ29" i="147"/>
  <c r="FK29" i="147" s="1"/>
  <c r="FL29" i="147" s="1"/>
  <c r="Z29" i="147" s="1"/>
  <c r="FJ25" i="147"/>
  <c r="FK25" i="147" s="1"/>
  <c r="FL25" i="147" s="1"/>
  <c r="DT38" i="147"/>
  <c r="DT36" i="147"/>
  <c r="DU32" i="147"/>
  <c r="DP32" i="147"/>
  <c r="FH24" i="147"/>
  <c r="FN32" i="147"/>
  <c r="FH28" i="147"/>
  <c r="FE27" i="147"/>
  <c r="FF27" i="147" s="1"/>
  <c r="FG27" i="147" s="1"/>
  <c r="Y27" i="147" s="1"/>
  <c r="FN33" i="147"/>
  <c r="DT23" i="147"/>
  <c r="EN37" i="147" l="1"/>
  <c r="FO38" i="147"/>
  <c r="EG35" i="147"/>
  <c r="EK35" i="147" s="1"/>
  <c r="FO40" i="147"/>
  <c r="FP38" i="147"/>
  <c r="EN31" i="147"/>
  <c r="ER31" i="147" s="1"/>
  <c r="FP40" i="147"/>
  <c r="EG37" i="147"/>
  <c r="EK37" i="147" s="1"/>
  <c r="FP36" i="147"/>
  <c r="FP37" i="147"/>
  <c r="FP34" i="147"/>
  <c r="FP33" i="147"/>
  <c r="FO34" i="147"/>
  <c r="FP31" i="147"/>
  <c r="FO37" i="147"/>
  <c r="FP39" i="147"/>
  <c r="FO35" i="147"/>
  <c r="FO32" i="147"/>
  <c r="EM28" i="147"/>
  <c r="EF39" i="147"/>
  <c r="EJ39" i="147" s="1"/>
  <c r="EF33" i="147"/>
  <c r="EJ33" i="147" s="1"/>
  <c r="EF31" i="147"/>
  <c r="EJ31" i="147" s="1"/>
  <c r="EG28" i="147"/>
  <c r="EK28" i="147" s="1"/>
  <c r="EN33" i="147"/>
  <c r="K33" i="147"/>
  <c r="J33" i="147"/>
  <c r="EN35" i="147"/>
  <c r="GE26" i="147"/>
  <c r="E38" i="147"/>
  <c r="D38" i="147"/>
  <c r="E36" i="147"/>
  <c r="D36" i="147"/>
  <c r="E33" i="147"/>
  <c r="D33" i="147"/>
  <c r="D34" i="147"/>
  <c r="E34" i="147"/>
  <c r="EF34" i="147"/>
  <c r="EJ34" i="147" s="1"/>
  <c r="EG34" i="147"/>
  <c r="EK34" i="147" s="1"/>
  <c r="EF38" i="147"/>
  <c r="EJ38" i="147" s="1"/>
  <c r="EG38" i="147"/>
  <c r="EK38" i="147" s="1"/>
  <c r="EF40" i="147"/>
  <c r="EJ40" i="147" s="1"/>
  <c r="EG40" i="147"/>
  <c r="EK40" i="147" s="1"/>
  <c r="E40" i="147"/>
  <c r="D40" i="147"/>
  <c r="EN40" i="147"/>
  <c r="ER40" i="147" s="1"/>
  <c r="EM40" i="147"/>
  <c r="EN34" i="147"/>
  <c r="ER34" i="147" s="1"/>
  <c r="EM34" i="147"/>
  <c r="EF32" i="147"/>
  <c r="EJ32" i="147" s="1"/>
  <c r="EG32" i="147"/>
  <c r="EK32" i="147" s="1"/>
  <c r="E37" i="147"/>
  <c r="D37" i="147"/>
  <c r="E35" i="147"/>
  <c r="D35" i="147"/>
  <c r="EN30" i="147"/>
  <c r="EM30" i="147"/>
  <c r="EM39" i="147"/>
  <c r="EN39" i="147"/>
  <c r="EN32" i="147"/>
  <c r="EM32" i="147"/>
  <c r="EN38" i="147"/>
  <c r="EM38" i="147"/>
  <c r="EF36" i="147"/>
  <c r="EJ36" i="147" s="1"/>
  <c r="EG36" i="147"/>
  <c r="EK36" i="147" s="1"/>
  <c r="EN36" i="147"/>
  <c r="EM36" i="147"/>
  <c r="E31" i="147"/>
  <c r="D31" i="147"/>
  <c r="E39" i="147"/>
  <c r="D39" i="147"/>
  <c r="EM29" i="147"/>
  <c r="EN29" i="147"/>
  <c r="E32" i="147"/>
  <c r="D32" i="147"/>
  <c r="EG29" i="147"/>
  <c r="EK29" i="147" s="1"/>
  <c r="EF29" i="147"/>
  <c r="EJ29" i="147" s="1"/>
  <c r="GE27" i="147"/>
  <c r="F39" i="147"/>
  <c r="H39" i="147"/>
  <c r="G39" i="147"/>
  <c r="I38" i="147"/>
  <c r="K38" i="147"/>
  <c r="J38" i="147"/>
  <c r="H38" i="147"/>
  <c r="G38" i="147"/>
  <c r="F38" i="147"/>
  <c r="J35" i="147"/>
  <c r="I35" i="147"/>
  <c r="K35" i="147"/>
  <c r="K31" i="147"/>
  <c r="J31" i="147"/>
  <c r="I31" i="147"/>
  <c r="K32" i="147"/>
  <c r="J32" i="147"/>
  <c r="I32" i="147"/>
  <c r="H32" i="147"/>
  <c r="G32" i="147"/>
  <c r="F32" i="147"/>
  <c r="H34" i="147"/>
  <c r="G34" i="147"/>
  <c r="F34" i="147"/>
  <c r="H37" i="147"/>
  <c r="F37" i="147"/>
  <c r="G37" i="147"/>
  <c r="I36" i="147"/>
  <c r="K36" i="147"/>
  <c r="J36" i="147"/>
  <c r="G36" i="147"/>
  <c r="F36" i="147"/>
  <c r="H36" i="147"/>
  <c r="K37" i="147"/>
  <c r="J37" i="147"/>
  <c r="I37" i="147"/>
  <c r="H40" i="147"/>
  <c r="G40" i="147"/>
  <c r="F40" i="147"/>
  <c r="K39" i="147"/>
  <c r="J39" i="147"/>
  <c r="I39" i="147"/>
  <c r="K40" i="147"/>
  <c r="J40" i="147"/>
  <c r="I40" i="147"/>
  <c r="H35" i="147"/>
  <c r="G35" i="147"/>
  <c r="F35" i="147"/>
  <c r="K34" i="147"/>
  <c r="J34" i="147"/>
  <c r="I34" i="147"/>
  <c r="H33" i="147"/>
  <c r="G33" i="147"/>
  <c r="F33" i="147"/>
  <c r="EQ33" i="147"/>
  <c r="EQ35" i="147"/>
  <c r="EZ23" i="147"/>
  <c r="EE23" i="147" s="1"/>
  <c r="FU31" i="147"/>
  <c r="EM69" i="147"/>
  <c r="EO69" i="147" s="1"/>
  <c r="EP69" i="147"/>
  <c r="EI69" i="147"/>
  <c r="EF69" i="147"/>
  <c r="EH69" i="147" s="1"/>
  <c r="EV69" i="147"/>
  <c r="EQ37" i="147"/>
  <c r="ER28" i="147"/>
  <c r="EQ36" i="147" l="1"/>
  <c r="EQ39" i="147"/>
  <c r="ER38" i="147"/>
  <c r="EV38" i="147" s="1"/>
  <c r="EQ30" i="147"/>
  <c r="EQ29" i="147"/>
  <c r="EF23" i="147"/>
  <c r="EG23" i="147"/>
  <c r="EV40" i="147"/>
  <c r="ER30" i="147"/>
  <c r="EV30" i="147" s="1"/>
  <c r="ER35" i="147"/>
  <c r="EV35" i="147" s="1"/>
  <c r="ER33" i="147"/>
  <c r="EV33" i="147" s="1"/>
  <c r="EQ38" i="147"/>
  <c r="ER39" i="147"/>
  <c r="ER29" i="147"/>
  <c r="ER37" i="147"/>
  <c r="EV37" i="147" s="1"/>
  <c r="EQ31" i="147"/>
  <c r="ER36" i="147"/>
  <c r="EV36" i="147" s="1"/>
  <c r="EQ34" i="147"/>
  <c r="EV28" i="147"/>
  <c r="EQ28" i="147"/>
  <c r="EQ40" i="147"/>
  <c r="EV34" i="147"/>
  <c r="EQ69" i="147"/>
  <c r="EJ69" i="147"/>
  <c r="ER32" i="147"/>
  <c r="EV32" i="147" s="1"/>
  <c r="EQ32" i="147"/>
  <c r="EV31" i="147"/>
  <c r="AX29" i="147"/>
  <c r="AX28" i="147"/>
  <c r="EK23" i="147" l="1"/>
  <c r="EJ23" i="147"/>
  <c r="CJ40" i="147"/>
  <c r="X40" i="147"/>
  <c r="CJ28" i="147"/>
  <c r="X28" i="147"/>
  <c r="CJ30" i="147"/>
  <c r="X30" i="147"/>
  <c r="CJ38" i="147"/>
  <c r="X38" i="147"/>
  <c r="CJ33" i="147"/>
  <c r="X33" i="147"/>
  <c r="CJ34" i="147"/>
  <c r="X34" i="147"/>
  <c r="CJ32" i="147"/>
  <c r="X32" i="147"/>
  <c r="CJ36" i="147"/>
  <c r="X36" i="147"/>
  <c r="CJ31" i="147"/>
  <c r="X31" i="147"/>
  <c r="F31" i="147"/>
  <c r="H31" i="147"/>
  <c r="G31" i="147"/>
  <c r="CJ37" i="147"/>
  <c r="X37" i="147"/>
  <c r="CJ35" i="147"/>
  <c r="X35" i="147"/>
  <c r="EV29" i="147"/>
  <c r="EV39" i="147"/>
  <c r="CJ39" i="147" l="1"/>
  <c r="X39" i="147"/>
  <c r="CJ29" i="147"/>
  <c r="X29" i="147"/>
  <c r="DQ1" i="165"/>
  <c r="EY4" i="160" l="1"/>
  <c r="EY4" i="84"/>
  <c r="C44" i="165" l="1"/>
  <c r="B44" i="165"/>
  <c r="A44" i="165"/>
  <c r="GF44" i="165" s="1"/>
  <c r="C43" i="165"/>
  <c r="B43" i="165"/>
  <c r="A43" i="165"/>
  <c r="GF43" i="165" s="1"/>
  <c r="C42" i="165"/>
  <c r="B42" i="165"/>
  <c r="A42" i="165"/>
  <c r="GF42" i="165" s="1"/>
  <c r="C41" i="165"/>
  <c r="B41" i="165"/>
  <c r="A41" i="165"/>
  <c r="GF41" i="165" s="1"/>
  <c r="C40" i="165"/>
  <c r="B40" i="165"/>
  <c r="A40" i="165"/>
  <c r="GF40" i="165" s="1"/>
  <c r="C39" i="165"/>
  <c r="B39" i="165"/>
  <c r="A39" i="165"/>
  <c r="GF39" i="165" s="1"/>
  <c r="C38" i="165"/>
  <c r="B38" i="165"/>
  <c r="A38" i="165"/>
  <c r="GF38" i="165" s="1"/>
  <c r="C37" i="165"/>
  <c r="B37" i="165"/>
  <c r="A37" i="165"/>
  <c r="GF37" i="165" s="1"/>
  <c r="C36" i="165"/>
  <c r="B36" i="165"/>
  <c r="A36" i="165"/>
  <c r="GF36" i="165" s="1"/>
  <c r="C35" i="165"/>
  <c r="B35" i="165"/>
  <c r="A35" i="165"/>
  <c r="GF35" i="165" s="1"/>
  <c r="C34" i="165"/>
  <c r="B34" i="165"/>
  <c r="A34" i="165"/>
  <c r="GF34" i="165" s="1"/>
  <c r="C33" i="165"/>
  <c r="B33" i="165"/>
  <c r="A33" i="165"/>
  <c r="GF33" i="165" s="1"/>
  <c r="C32" i="165"/>
  <c r="B32" i="165"/>
  <c r="A32" i="165"/>
  <c r="GF32" i="165" s="1"/>
  <c r="C31" i="165"/>
  <c r="B31" i="165"/>
  <c r="A31" i="165"/>
  <c r="GF31" i="165" s="1"/>
  <c r="C30" i="165"/>
  <c r="B30" i="165"/>
  <c r="A30" i="165"/>
  <c r="GF30" i="165" s="1"/>
  <c r="C29" i="165"/>
  <c r="B29" i="165"/>
  <c r="A29" i="165"/>
  <c r="GF29" i="165" s="1"/>
  <c r="C28" i="165"/>
  <c r="B28" i="165"/>
  <c r="A28" i="165"/>
  <c r="GF28" i="165" s="1"/>
  <c r="C27" i="165"/>
  <c r="B27" i="165"/>
  <c r="A27" i="165"/>
  <c r="GF27" i="165" s="1"/>
  <c r="C26" i="165"/>
  <c r="B26" i="165"/>
  <c r="A26" i="165"/>
  <c r="GF26" i="165" s="1"/>
  <c r="C25" i="165"/>
  <c r="B25" i="165"/>
  <c r="A25" i="165"/>
  <c r="GF25" i="165" s="1"/>
  <c r="C24" i="165"/>
  <c r="B24" i="165"/>
  <c r="A24" i="165"/>
  <c r="GF24" i="165" s="1"/>
  <c r="C23" i="165"/>
  <c r="B23" i="165"/>
  <c r="A23" i="165"/>
  <c r="GF23" i="165" s="1"/>
  <c r="C22" i="165"/>
  <c r="B22" i="165"/>
  <c r="A22" i="165"/>
  <c r="GF22" i="165" s="1"/>
  <c r="C21" i="165"/>
  <c r="B21" i="165"/>
  <c r="A21" i="165"/>
  <c r="GF21" i="165" s="1"/>
  <c r="C20" i="165"/>
  <c r="B20" i="165"/>
  <c r="A20" i="165"/>
  <c r="GF20" i="165" s="1"/>
  <c r="C19" i="165"/>
  <c r="B19" i="165"/>
  <c r="A19" i="165"/>
  <c r="GF19" i="165" s="1"/>
  <c r="C18" i="165"/>
  <c r="B18" i="165"/>
  <c r="A18" i="165"/>
  <c r="GF18" i="165" s="1"/>
  <c r="GE18" i="165" s="1"/>
  <c r="C17" i="165"/>
  <c r="B17" i="165"/>
  <c r="A17" i="165"/>
  <c r="GF17" i="165" s="1"/>
  <c r="C16" i="165"/>
  <c r="B16" i="165"/>
  <c r="A16" i="165"/>
  <c r="GF16" i="165" s="1"/>
  <c r="AV39" i="147"/>
  <c r="AV38" i="147"/>
  <c r="AV37" i="147"/>
  <c r="AV36" i="147"/>
  <c r="AV35" i="147"/>
  <c r="AV34" i="147"/>
  <c r="AV33" i="147"/>
  <c r="AV32" i="147"/>
  <c r="AV31" i="147"/>
  <c r="AV30" i="147"/>
  <c r="AV29" i="147"/>
  <c r="AV28" i="147"/>
  <c r="AV26" i="147"/>
  <c r="C25" i="147"/>
  <c r="B25" i="147"/>
  <c r="AV24" i="147"/>
  <c r="GF24" i="147"/>
  <c r="GE24" i="147" s="1"/>
  <c r="AV23" i="147"/>
  <c r="AA44" i="84"/>
  <c r="F44" i="84"/>
  <c r="C44" i="84"/>
  <c r="B44" i="84"/>
  <c r="A44" i="84"/>
  <c r="AA43" i="84"/>
  <c r="F43" i="84"/>
  <c r="C43" i="84"/>
  <c r="B43" i="84"/>
  <c r="A43" i="84"/>
  <c r="AA42" i="84"/>
  <c r="F42" i="84"/>
  <c r="C42" i="84"/>
  <c r="B42" i="84"/>
  <c r="A42" i="84"/>
  <c r="AA41" i="84"/>
  <c r="F41" i="84"/>
  <c r="C41" i="84"/>
  <c r="B41" i="84"/>
  <c r="A41" i="84"/>
  <c r="AA40" i="84"/>
  <c r="F40" i="84"/>
  <c r="C40" i="84"/>
  <c r="B40" i="84"/>
  <c r="A40" i="84"/>
  <c r="AA39" i="84"/>
  <c r="F39" i="84"/>
  <c r="C39" i="84"/>
  <c r="B39" i="84"/>
  <c r="A39" i="84"/>
  <c r="AA38" i="84"/>
  <c r="F38" i="84"/>
  <c r="C38" i="84"/>
  <c r="B38" i="84"/>
  <c r="A38" i="84"/>
  <c r="AA37" i="84"/>
  <c r="F37" i="84"/>
  <c r="C37" i="84"/>
  <c r="B37" i="84"/>
  <c r="A37" i="84"/>
  <c r="AA36" i="84"/>
  <c r="F36" i="84"/>
  <c r="C36" i="84"/>
  <c r="B36" i="84"/>
  <c r="A36" i="84"/>
  <c r="AA35" i="84"/>
  <c r="F35" i="84"/>
  <c r="C35" i="84"/>
  <c r="B35" i="84"/>
  <c r="A35" i="84"/>
  <c r="AA34" i="84"/>
  <c r="F34" i="84"/>
  <c r="C34" i="84"/>
  <c r="B34" i="84"/>
  <c r="AA33" i="84"/>
  <c r="F33" i="84"/>
  <c r="C33" i="84"/>
  <c r="B33" i="84"/>
  <c r="AA32" i="84"/>
  <c r="F32" i="84"/>
  <c r="C32" i="84"/>
  <c r="B32" i="84"/>
  <c r="AA31" i="84"/>
  <c r="F31" i="84"/>
  <c r="C31" i="84"/>
  <c r="B31" i="84"/>
  <c r="AA30" i="84"/>
  <c r="F30" i="84"/>
  <c r="C30" i="84"/>
  <c r="B30" i="84"/>
  <c r="AA29" i="84"/>
  <c r="F29" i="84"/>
  <c r="C29" i="84"/>
  <c r="BP29" i="84" s="1"/>
  <c r="B29" i="84"/>
  <c r="AA28" i="84"/>
  <c r="F28" i="84"/>
  <c r="C28" i="84"/>
  <c r="BP28" i="84" s="1"/>
  <c r="B28" i="84"/>
  <c r="GF36" i="84" l="1"/>
  <c r="GB19" i="165"/>
  <c r="GE19" i="165"/>
  <c r="GD19" i="165"/>
  <c r="GA19" i="165"/>
  <c r="GC19" i="165"/>
  <c r="GF42" i="84"/>
  <c r="GE21" i="165"/>
  <c r="GB21" i="165"/>
  <c r="GC21" i="165"/>
  <c r="GA21" i="165"/>
  <c r="GD21" i="165"/>
  <c r="GE29" i="165"/>
  <c r="GB29" i="165"/>
  <c r="GA29" i="165"/>
  <c r="GC29" i="165"/>
  <c r="GD29" i="165"/>
  <c r="GE37" i="165"/>
  <c r="GB37" i="165"/>
  <c r="GC37" i="165"/>
  <c r="GA37" i="165"/>
  <c r="GD37" i="165"/>
  <c r="GF39" i="84"/>
  <c r="GD16" i="165"/>
  <c r="GE16" i="165"/>
  <c r="GC16" i="165"/>
  <c r="GA16" i="165"/>
  <c r="GB16" i="165"/>
  <c r="GD32" i="165"/>
  <c r="GE32" i="165"/>
  <c r="GA32" i="165"/>
  <c r="GB32" i="165"/>
  <c r="GC32" i="165"/>
  <c r="GD40" i="165"/>
  <c r="GE40" i="165"/>
  <c r="GC40" i="165"/>
  <c r="GA40" i="165"/>
  <c r="GB40" i="165"/>
  <c r="GF41" i="84"/>
  <c r="GE30" i="165"/>
  <c r="GD30" i="165"/>
  <c r="GB30" i="165"/>
  <c r="GA30" i="165"/>
  <c r="GC30" i="165"/>
  <c r="GE38" i="165"/>
  <c r="GD38" i="165"/>
  <c r="GB38" i="165"/>
  <c r="GA38" i="165"/>
  <c r="GC38" i="165"/>
  <c r="GF44" i="84"/>
  <c r="GF38" i="84"/>
  <c r="GE17" i="165"/>
  <c r="GD17" i="165"/>
  <c r="GA17" i="165"/>
  <c r="GB17" i="165"/>
  <c r="GC17" i="165"/>
  <c r="GE25" i="165"/>
  <c r="GA25" i="165"/>
  <c r="GB25" i="165"/>
  <c r="GD25" i="165"/>
  <c r="GC25" i="165"/>
  <c r="GE33" i="165"/>
  <c r="GB33" i="165"/>
  <c r="GA33" i="165"/>
  <c r="GC33" i="165"/>
  <c r="GD33" i="165"/>
  <c r="GE41" i="165"/>
  <c r="GA41" i="165"/>
  <c r="GD41" i="165"/>
  <c r="GB41" i="165"/>
  <c r="GC41" i="165"/>
  <c r="GA43" i="165"/>
  <c r="GE43" i="165"/>
  <c r="GD43" i="165"/>
  <c r="GB43" i="165"/>
  <c r="GC43" i="165"/>
  <c r="GF43" i="84"/>
  <c r="GD28" i="165"/>
  <c r="GE28" i="165"/>
  <c r="GA28" i="165"/>
  <c r="GB28" i="165"/>
  <c r="GC28" i="165"/>
  <c r="GD36" i="165"/>
  <c r="GE36" i="165"/>
  <c r="GA36" i="165"/>
  <c r="GB36" i="165"/>
  <c r="GC36" i="165"/>
  <c r="GC44" i="165"/>
  <c r="GE44" i="165"/>
  <c r="GD44" i="165"/>
  <c r="GA44" i="165"/>
  <c r="GB44" i="165"/>
  <c r="GA35" i="165"/>
  <c r="GE35" i="165"/>
  <c r="GD35" i="165"/>
  <c r="GB35" i="165"/>
  <c r="GC35" i="165"/>
  <c r="GF35" i="84"/>
  <c r="GF40" i="84"/>
  <c r="GA31" i="165"/>
  <c r="GE31" i="165"/>
  <c r="GD31" i="165"/>
  <c r="GB31" i="165"/>
  <c r="GC31" i="165"/>
  <c r="GA39" i="165"/>
  <c r="GE39" i="165"/>
  <c r="GD39" i="165"/>
  <c r="GB39" i="165"/>
  <c r="GC39" i="165"/>
  <c r="GA27" i="165"/>
  <c r="GE27" i="165"/>
  <c r="GD27" i="165"/>
  <c r="GB27" i="165"/>
  <c r="GC27" i="165"/>
  <c r="GF37" i="84"/>
  <c r="GE26" i="165"/>
  <c r="GD26" i="165"/>
  <c r="GB26" i="165"/>
  <c r="GA26" i="165"/>
  <c r="GC26" i="165"/>
  <c r="GE34" i="165"/>
  <c r="GD34" i="165"/>
  <c r="GB34" i="165"/>
  <c r="GA34" i="165"/>
  <c r="GC34" i="165"/>
  <c r="GE42" i="165"/>
  <c r="GD42" i="165"/>
  <c r="GB42" i="165"/>
  <c r="GA42" i="165"/>
  <c r="GC42" i="165"/>
  <c r="GA20" i="165"/>
  <c r="GB20" i="165"/>
  <c r="GB24" i="165"/>
  <c r="GA24" i="165"/>
  <c r="GA23" i="165"/>
  <c r="GB23" i="165"/>
  <c r="GB22" i="165"/>
  <c r="GA22" i="165"/>
  <c r="GB18" i="165"/>
  <c r="GA18" i="165"/>
  <c r="GB24" i="147"/>
  <c r="GA24" i="147"/>
  <c r="AX24" i="147"/>
  <c r="AX25" i="147" s="1"/>
  <c r="AX26" i="147" s="1"/>
  <c r="AV27" i="147"/>
  <c r="AV25" i="147"/>
  <c r="AX29" i="165"/>
  <c r="AX37" i="165"/>
  <c r="BJ44" i="84"/>
  <c r="AX32" i="147"/>
  <c r="AX16" i="165"/>
  <c r="AX24" i="165"/>
  <c r="AX32" i="165"/>
  <c r="AX40" i="165"/>
  <c r="AX19" i="165"/>
  <c r="AX27" i="165"/>
  <c r="AX35" i="165"/>
  <c r="AX43" i="165"/>
  <c r="AX38" i="147"/>
  <c r="AX22" i="165"/>
  <c r="AX30" i="165"/>
  <c r="AX38" i="165"/>
  <c r="AX34" i="147"/>
  <c r="BJ39" i="84"/>
  <c r="AX37" i="147"/>
  <c r="AX17" i="165"/>
  <c r="AX25" i="165"/>
  <c r="AX33" i="165"/>
  <c r="AX41" i="165"/>
  <c r="BJ37" i="84"/>
  <c r="AX31" i="147"/>
  <c r="BJ42" i="84"/>
  <c r="BJ36" i="84"/>
  <c r="BJ41" i="84"/>
  <c r="AX35" i="147"/>
  <c r="BJ38" i="84"/>
  <c r="AX30" i="147"/>
  <c r="BJ35" i="84"/>
  <c r="BJ43" i="84"/>
  <c r="AX33" i="147"/>
  <c r="BJ40" i="84"/>
  <c r="AX36" i="147"/>
  <c r="AX20" i="165"/>
  <c r="AX21" i="165" s="1"/>
  <c r="AX28" i="165"/>
  <c r="AX36" i="165"/>
  <c r="AX44" i="165"/>
  <c r="AX39" i="147"/>
  <c r="AX23" i="165"/>
  <c r="AX31" i="165"/>
  <c r="AX39" i="165"/>
  <c r="AX18" i="165"/>
  <c r="AX26" i="165"/>
  <c r="AX34" i="165"/>
  <c r="AX42" i="165"/>
  <c r="AV23" i="165"/>
  <c r="AW23" i="165"/>
  <c r="AV31" i="165"/>
  <c r="AW31" i="165"/>
  <c r="AV39" i="165"/>
  <c r="AW39" i="165"/>
  <c r="AW26" i="165"/>
  <c r="AV26" i="165"/>
  <c r="AW34" i="165"/>
  <c r="AV34" i="165"/>
  <c r="AW42" i="165"/>
  <c r="AV42" i="165"/>
  <c r="AW21" i="165"/>
  <c r="AV21" i="165"/>
  <c r="AV29" i="165"/>
  <c r="AW29" i="165"/>
  <c r="AV43" i="165"/>
  <c r="AW43" i="165"/>
  <c r="AW22" i="165"/>
  <c r="AV22" i="165"/>
  <c r="AW30" i="165"/>
  <c r="AV30" i="165"/>
  <c r="AW38" i="165"/>
  <c r="AV38" i="165"/>
  <c r="AV16" i="165"/>
  <c r="AW16" i="165"/>
  <c r="AW32" i="165"/>
  <c r="AV32" i="165"/>
  <c r="AW40" i="165"/>
  <c r="AV40" i="165"/>
  <c r="AV27" i="165"/>
  <c r="AW27" i="165"/>
  <c r="AV35" i="165"/>
  <c r="AW35" i="165"/>
  <c r="AW25" i="165"/>
  <c r="AV25" i="165"/>
  <c r="AW33" i="165"/>
  <c r="AV33" i="165"/>
  <c r="AW41" i="165"/>
  <c r="AV41" i="165"/>
  <c r="AV37" i="165"/>
  <c r="AW37" i="165"/>
  <c r="AW24" i="165"/>
  <c r="AV24" i="165"/>
  <c r="AW20" i="165"/>
  <c r="AV20" i="165"/>
  <c r="AW28" i="165"/>
  <c r="AV28" i="165"/>
  <c r="AW36" i="165"/>
  <c r="AV36" i="165"/>
  <c r="AW44" i="165"/>
  <c r="AV44" i="165"/>
  <c r="AW19" i="165"/>
  <c r="AV19" i="165"/>
  <c r="AV18" i="165"/>
  <c r="AW18" i="165"/>
  <c r="AV17" i="165"/>
  <c r="AW17" i="165"/>
  <c r="FC29" i="165"/>
  <c r="FC28" i="165"/>
  <c r="FC27" i="165"/>
  <c r="FC26" i="165"/>
  <c r="FC25" i="165"/>
  <c r="FC24" i="165"/>
  <c r="FC21" i="165"/>
  <c r="FC19" i="165"/>
  <c r="FC17" i="165"/>
  <c r="FC16" i="165"/>
  <c r="GE38" i="84" l="1"/>
  <c r="GD38" i="84"/>
  <c r="GB38" i="84"/>
  <c r="GC38" i="84"/>
  <c r="GA38" i="84"/>
  <c r="GE42" i="84"/>
  <c r="GD42" i="84"/>
  <c r="GB42" i="84"/>
  <c r="GC42" i="84"/>
  <c r="GA42" i="84"/>
  <c r="GE37" i="84"/>
  <c r="GB37" i="84"/>
  <c r="GC37" i="84"/>
  <c r="GD37" i="84"/>
  <c r="GA37" i="84"/>
  <c r="GD40" i="84"/>
  <c r="GC40" i="84"/>
  <c r="GA40" i="84"/>
  <c r="GE40" i="84"/>
  <c r="GB40" i="84"/>
  <c r="GA43" i="84"/>
  <c r="GD43" i="84"/>
  <c r="GE43" i="84"/>
  <c r="GB43" i="84"/>
  <c r="GC43" i="84"/>
  <c r="GE41" i="84"/>
  <c r="GB41" i="84"/>
  <c r="GA41" i="84"/>
  <c r="GC41" i="84"/>
  <c r="GD41" i="84"/>
  <c r="GC44" i="84"/>
  <c r="GD44" i="84"/>
  <c r="GE44" i="84"/>
  <c r="GA44" i="84"/>
  <c r="GB44" i="84"/>
  <c r="GA35" i="84"/>
  <c r="GD35" i="84"/>
  <c r="GC35" i="84"/>
  <c r="GB35" i="84"/>
  <c r="GE35" i="84"/>
  <c r="GB39" i="84"/>
  <c r="GD39" i="84"/>
  <c r="GE39" i="84"/>
  <c r="GA39" i="84"/>
  <c r="GC39" i="84"/>
  <c r="GC36" i="84"/>
  <c r="GA36" i="84"/>
  <c r="GE36" i="84"/>
  <c r="GB36" i="84"/>
  <c r="GD36" i="84"/>
  <c r="BF45" i="160"/>
  <c r="AO45" i="160"/>
  <c r="AN45" i="160"/>
  <c r="AM45" i="160"/>
  <c r="AK45" i="160"/>
  <c r="AB45" i="160"/>
  <c r="BF44" i="160"/>
  <c r="AO44" i="160"/>
  <c r="AN44" i="160"/>
  <c r="AM44" i="160"/>
  <c r="AK44" i="160"/>
  <c r="AB44" i="160"/>
  <c r="BF43" i="160"/>
  <c r="AO43" i="160"/>
  <c r="AN43" i="160"/>
  <c r="AM43" i="160"/>
  <c r="AK43" i="160"/>
  <c r="AB43" i="160"/>
  <c r="BF42" i="160"/>
  <c r="AO42" i="160"/>
  <c r="AN42" i="160"/>
  <c r="AM42" i="160"/>
  <c r="AK42" i="160"/>
  <c r="AB42" i="160"/>
  <c r="BF41" i="160"/>
  <c r="AO41" i="160"/>
  <c r="AN41" i="160"/>
  <c r="AM41" i="160"/>
  <c r="AK41" i="160"/>
  <c r="AB41" i="160"/>
  <c r="BF40" i="160"/>
  <c r="AO40" i="160"/>
  <c r="AN40" i="160"/>
  <c r="AM40" i="160"/>
  <c r="AK40" i="160"/>
  <c r="AB40" i="160"/>
  <c r="BF39" i="160"/>
  <c r="AO39" i="160"/>
  <c r="AN39" i="160"/>
  <c r="AM39" i="160"/>
  <c r="AK39" i="160"/>
  <c r="AB39" i="160"/>
  <c r="BF38" i="160"/>
  <c r="AO38" i="160"/>
  <c r="AN38" i="160"/>
  <c r="AM38" i="160"/>
  <c r="AK38" i="160"/>
  <c r="AB38" i="160"/>
  <c r="BF37" i="160"/>
  <c r="AO37" i="160"/>
  <c r="AN37" i="160"/>
  <c r="AM37" i="160"/>
  <c r="AK37" i="160"/>
  <c r="AB37" i="160"/>
  <c r="BF36" i="160"/>
  <c r="AO36" i="160"/>
  <c r="AN36" i="160"/>
  <c r="AM36" i="160"/>
  <c r="AK36" i="160"/>
  <c r="AB36" i="160"/>
  <c r="BF35" i="160"/>
  <c r="AO35" i="160"/>
  <c r="AN35" i="160"/>
  <c r="AM35" i="160"/>
  <c r="AK35" i="160"/>
  <c r="AB35" i="160"/>
  <c r="BF34" i="160"/>
  <c r="AO34" i="160"/>
  <c r="AN34" i="160"/>
  <c r="AM34" i="160"/>
  <c r="AK34" i="160"/>
  <c r="AB34" i="160"/>
  <c r="BF33" i="160"/>
  <c r="AO33" i="160"/>
  <c r="AN33" i="160"/>
  <c r="AM33" i="160"/>
  <c r="AK33" i="160"/>
  <c r="AB33" i="160"/>
  <c r="BF32" i="160"/>
  <c r="AO32" i="160"/>
  <c r="AN32" i="160"/>
  <c r="AM32" i="160"/>
  <c r="AK32" i="160"/>
  <c r="AB32" i="160"/>
  <c r="BF31" i="160"/>
  <c r="AO31" i="160"/>
  <c r="AN31" i="160"/>
  <c r="AM31" i="160"/>
  <c r="AK31" i="160"/>
  <c r="AB31" i="160"/>
  <c r="BF30" i="160"/>
  <c r="AO30" i="160"/>
  <c r="AN30" i="160"/>
  <c r="AM30" i="160"/>
  <c r="AK30" i="160"/>
  <c r="AB30" i="160"/>
  <c r="BF29" i="160"/>
  <c r="AO29" i="160"/>
  <c r="AN29" i="160"/>
  <c r="AM29" i="160"/>
  <c r="AK29" i="160"/>
  <c r="AB29" i="160"/>
  <c r="BF28" i="160"/>
  <c r="AO28" i="160"/>
  <c r="AN28" i="160"/>
  <c r="AM28" i="160"/>
  <c r="AK28" i="160"/>
  <c r="AB28" i="160"/>
  <c r="BF27" i="160"/>
  <c r="AO27" i="160"/>
  <c r="AN27" i="160"/>
  <c r="AM27" i="160"/>
  <c r="AK27" i="160"/>
  <c r="AB27" i="160"/>
  <c r="BF26" i="160"/>
  <c r="AO26" i="160"/>
  <c r="AN26" i="160"/>
  <c r="AM26" i="160"/>
  <c r="AK26" i="160"/>
  <c r="AB26" i="160"/>
  <c r="BF25" i="160"/>
  <c r="AO25" i="160"/>
  <c r="AN25" i="160"/>
  <c r="AM25" i="160"/>
  <c r="AK25" i="160"/>
  <c r="AB25" i="160"/>
  <c r="BF24" i="160"/>
  <c r="AO24" i="160"/>
  <c r="AN24" i="160"/>
  <c r="AM24" i="160"/>
  <c r="AK24" i="160"/>
  <c r="AB24" i="160"/>
  <c r="BF23" i="160"/>
  <c r="AO23" i="160"/>
  <c r="AN23" i="160"/>
  <c r="AM23" i="160"/>
  <c r="AK23" i="160"/>
  <c r="AB23" i="160"/>
  <c r="BF22" i="160"/>
  <c r="AO22" i="160"/>
  <c r="AN22" i="160"/>
  <c r="AM22" i="160"/>
  <c r="AK22" i="160"/>
  <c r="AB22" i="160"/>
  <c r="BF21" i="160"/>
  <c r="AO21" i="160"/>
  <c r="AN21" i="160"/>
  <c r="AM21" i="160"/>
  <c r="AK21" i="160"/>
  <c r="AB21" i="160"/>
  <c r="BF20" i="160"/>
  <c r="AO20" i="160"/>
  <c r="AN20" i="160"/>
  <c r="AM20" i="160"/>
  <c r="AK20" i="160"/>
  <c r="AB20" i="160"/>
  <c r="BF19" i="160"/>
  <c r="AO19" i="160"/>
  <c r="AN19" i="160"/>
  <c r="AM19" i="160"/>
  <c r="AK19" i="160"/>
  <c r="AB19" i="160"/>
  <c r="BF18" i="160"/>
  <c r="AO18" i="160"/>
  <c r="AN18" i="160"/>
  <c r="AM18" i="160"/>
  <c r="AK18" i="160"/>
  <c r="AB18" i="160"/>
  <c r="BF17" i="160"/>
  <c r="AO17" i="160"/>
  <c r="AN17" i="160"/>
  <c r="AM17" i="160"/>
  <c r="AK17" i="160"/>
  <c r="AB17" i="160"/>
  <c r="BF16" i="160"/>
  <c r="AO16" i="160"/>
  <c r="AN16" i="160"/>
  <c r="AM16" i="160"/>
  <c r="AK16" i="160"/>
  <c r="AB16" i="160"/>
  <c r="BF15" i="160"/>
  <c r="AO15" i="160"/>
  <c r="AN15" i="160"/>
  <c r="AM15" i="160"/>
  <c r="AK15" i="160"/>
  <c r="AB15" i="160"/>
  <c r="BF14" i="160"/>
  <c r="AO14" i="160"/>
  <c r="AN14" i="160"/>
  <c r="AM14" i="160"/>
  <c r="AK14" i="160"/>
  <c r="AB14" i="160"/>
  <c r="FO22" i="160" l="1"/>
  <c r="FO28" i="160"/>
  <c r="FO29" i="160"/>
  <c r="FO25" i="160"/>
  <c r="FO16" i="160"/>
  <c r="FO18" i="160"/>
  <c r="FO24" i="160"/>
  <c r="FO20" i="160"/>
  <c r="FO26" i="160"/>
  <c r="FO23" i="160"/>
  <c r="FO19" i="160"/>
  <c r="FO27" i="160"/>
  <c r="FO30" i="160"/>
  <c r="FO21" i="160"/>
  <c r="FO17" i="160"/>
  <c r="EZ45" i="160"/>
  <c r="EZ44" i="160"/>
  <c r="EZ43" i="160"/>
  <c r="EZ42" i="160"/>
  <c r="EZ41" i="160"/>
  <c r="EZ40" i="160"/>
  <c r="EZ39" i="160"/>
  <c r="EZ38" i="160"/>
  <c r="EZ37" i="160"/>
  <c r="EZ36" i="160"/>
  <c r="EZ35" i="160"/>
  <c r="EZ34" i="160"/>
  <c r="EZ33" i="160"/>
  <c r="EZ32" i="160"/>
  <c r="EZ31" i="160"/>
  <c r="EZ15" i="160"/>
  <c r="EZ14" i="160"/>
  <c r="EX85" i="160"/>
  <c r="EX84" i="160"/>
  <c r="EX83" i="160"/>
  <c r="EX82" i="160"/>
  <c r="EX81" i="160"/>
  <c r="EX80" i="160"/>
  <c r="EX79" i="160"/>
  <c r="EX78" i="160"/>
  <c r="EX77" i="160"/>
  <c r="EX76" i="160"/>
  <c r="EX75" i="160"/>
  <c r="EX74" i="160"/>
  <c r="EX73" i="160"/>
  <c r="EX72" i="160"/>
  <c r="EX71" i="160"/>
  <c r="EX70" i="160"/>
  <c r="EX69" i="160"/>
  <c r="EX68" i="160"/>
  <c r="EX67" i="160"/>
  <c r="EX66" i="160"/>
  <c r="EX65" i="160"/>
  <c r="EX64" i="160"/>
  <c r="EX63" i="160"/>
  <c r="EX61" i="160"/>
  <c r="EX60" i="160"/>
  <c r="EX57" i="160"/>
  <c r="EX85" i="84"/>
  <c r="EX84" i="84"/>
  <c r="EX83" i="84"/>
  <c r="EX82" i="84"/>
  <c r="EX81" i="84"/>
  <c r="EX80" i="84"/>
  <c r="EX79" i="84"/>
  <c r="EX78" i="84"/>
  <c r="EX77" i="84"/>
  <c r="EX76" i="84"/>
  <c r="EX74" i="84"/>
  <c r="EX73" i="84"/>
  <c r="N498" i="146" l="1"/>
  <c r="N497" i="146"/>
  <c r="N496" i="146"/>
  <c r="N495" i="146"/>
  <c r="N494" i="146"/>
  <c r="N493" i="146"/>
  <c r="N492" i="146"/>
  <c r="N491" i="146"/>
  <c r="N490" i="146"/>
  <c r="N489" i="146"/>
  <c r="N488" i="146"/>
  <c r="N487" i="146"/>
  <c r="N486" i="146"/>
  <c r="N485" i="146"/>
  <c r="N484" i="146"/>
  <c r="N483" i="146"/>
  <c r="N482" i="146"/>
  <c r="N481" i="146"/>
  <c r="N480" i="146"/>
  <c r="N479" i="146"/>
  <c r="N478" i="146"/>
  <c r="N477" i="146"/>
  <c r="N476" i="146"/>
  <c r="N475" i="146"/>
  <c r="N474" i="146"/>
  <c r="N473" i="146"/>
  <c r="N472" i="146"/>
  <c r="N471" i="146"/>
  <c r="N470" i="146"/>
  <c r="N469" i="146"/>
  <c r="N468" i="146"/>
  <c r="N467" i="146"/>
  <c r="N466" i="146"/>
  <c r="N465" i="146"/>
  <c r="N464" i="146"/>
  <c r="N463" i="146"/>
  <c r="N462" i="146"/>
  <c r="N461" i="146"/>
  <c r="N460" i="146"/>
  <c r="N459" i="146"/>
  <c r="N458" i="146"/>
  <c r="N457" i="146"/>
  <c r="N456" i="146"/>
  <c r="N455" i="146"/>
  <c r="N454" i="146"/>
  <c r="N453" i="146"/>
  <c r="N452" i="146"/>
  <c r="N451" i="146"/>
  <c r="N450" i="146"/>
  <c r="N449" i="146"/>
  <c r="N448" i="146"/>
  <c r="N447" i="146"/>
  <c r="N446" i="146"/>
  <c r="N445" i="146"/>
  <c r="N444" i="146"/>
  <c r="N443" i="146"/>
  <c r="N442" i="146"/>
  <c r="N441" i="146"/>
  <c r="N440" i="146"/>
  <c r="N439" i="146"/>
  <c r="N438" i="146"/>
  <c r="N437" i="146"/>
  <c r="N436" i="146"/>
  <c r="N435" i="146"/>
  <c r="N434" i="146"/>
  <c r="N433" i="146"/>
  <c r="N432" i="146"/>
  <c r="N431" i="146"/>
  <c r="N430" i="146"/>
  <c r="N429" i="146"/>
  <c r="N428" i="146"/>
  <c r="N427" i="146"/>
  <c r="N426" i="146"/>
  <c r="N425" i="146"/>
  <c r="N424" i="146"/>
  <c r="N423" i="146"/>
  <c r="N422" i="146"/>
  <c r="N421" i="146"/>
  <c r="N420" i="146"/>
  <c r="N419" i="146"/>
  <c r="N418" i="146"/>
  <c r="N417" i="146"/>
  <c r="N416" i="146"/>
  <c r="N415" i="146"/>
  <c r="N414" i="146"/>
  <c r="N413" i="146"/>
  <c r="N412" i="146"/>
  <c r="N411" i="146"/>
  <c r="N410" i="146"/>
  <c r="N409" i="146"/>
  <c r="N408" i="146"/>
  <c r="N407" i="146"/>
  <c r="N406" i="146"/>
  <c r="N405" i="146"/>
  <c r="N404" i="146"/>
  <c r="N403" i="146"/>
  <c r="N402" i="146"/>
  <c r="N401" i="146"/>
  <c r="N400" i="146"/>
  <c r="N399" i="146"/>
  <c r="N398" i="146"/>
  <c r="N397" i="146"/>
  <c r="N396" i="146"/>
  <c r="N395" i="146"/>
  <c r="N394" i="146"/>
  <c r="N393" i="146"/>
  <c r="N392" i="146"/>
  <c r="N391" i="146"/>
  <c r="N390" i="146"/>
  <c r="N389" i="146"/>
  <c r="N388" i="146"/>
  <c r="N387" i="146"/>
  <c r="N386" i="146"/>
  <c r="N385" i="146"/>
  <c r="N384" i="146"/>
  <c r="N383" i="146"/>
  <c r="N382" i="146"/>
  <c r="N381" i="146"/>
  <c r="N380" i="146"/>
  <c r="N379" i="146"/>
  <c r="N378" i="146"/>
  <c r="N377" i="146"/>
  <c r="N376" i="146"/>
  <c r="N375" i="146"/>
  <c r="N374" i="146"/>
  <c r="N373" i="146"/>
  <c r="N372" i="146"/>
  <c r="N371" i="146"/>
  <c r="N370" i="146"/>
  <c r="N369" i="146"/>
  <c r="N368" i="146"/>
  <c r="N367" i="146"/>
  <c r="N366" i="146"/>
  <c r="N365" i="146"/>
  <c r="N364" i="146"/>
  <c r="N363" i="146"/>
  <c r="N362" i="146"/>
  <c r="N361" i="146"/>
  <c r="N360" i="146"/>
  <c r="N359" i="146"/>
  <c r="N358" i="146"/>
  <c r="N357" i="146"/>
  <c r="N356" i="146"/>
  <c r="N355" i="146"/>
  <c r="N354" i="146"/>
  <c r="N353" i="146"/>
  <c r="N352" i="146"/>
  <c r="N351" i="146"/>
  <c r="N350" i="146"/>
  <c r="N349" i="146"/>
  <c r="N348" i="146"/>
  <c r="N347" i="146"/>
  <c r="N346" i="146"/>
  <c r="N345" i="146"/>
  <c r="N344" i="146"/>
  <c r="N343" i="146"/>
  <c r="N342" i="146"/>
  <c r="N341" i="146"/>
  <c r="N340" i="146"/>
  <c r="N339" i="146"/>
  <c r="N338" i="146"/>
  <c r="N337" i="146"/>
  <c r="N336" i="146"/>
  <c r="N335" i="146"/>
  <c r="N334" i="146"/>
  <c r="N333" i="146"/>
  <c r="N332" i="146"/>
  <c r="N331" i="146"/>
  <c r="N330" i="146"/>
  <c r="N329" i="146"/>
  <c r="N328" i="146"/>
  <c r="N327" i="146"/>
  <c r="N326" i="146"/>
  <c r="N325" i="146"/>
  <c r="N324" i="146"/>
  <c r="N323" i="146"/>
  <c r="N322" i="146"/>
  <c r="N321" i="146"/>
  <c r="N320" i="146"/>
  <c r="N319" i="146"/>
  <c r="N318" i="146"/>
  <c r="N317" i="146"/>
  <c r="N316" i="146"/>
  <c r="N315" i="146"/>
  <c r="N314" i="146"/>
  <c r="N313" i="146"/>
  <c r="N312" i="146"/>
  <c r="N311" i="146"/>
  <c r="N310" i="146"/>
  <c r="N309" i="146"/>
  <c r="N308" i="146"/>
  <c r="N307" i="146"/>
  <c r="N306" i="146"/>
  <c r="N305" i="146"/>
  <c r="N304" i="146"/>
  <c r="N303" i="146"/>
  <c r="N302" i="146"/>
  <c r="N301" i="146"/>
  <c r="N300" i="146"/>
  <c r="N299" i="146"/>
  <c r="N298" i="146"/>
  <c r="N297" i="146"/>
  <c r="N296" i="146"/>
  <c r="N295" i="146"/>
  <c r="N294" i="146"/>
  <c r="N293" i="146"/>
  <c r="N292" i="146"/>
  <c r="N291" i="146"/>
  <c r="N290" i="146"/>
  <c r="N289" i="146"/>
  <c r="N288" i="146"/>
  <c r="N287" i="146"/>
  <c r="N286" i="146"/>
  <c r="N285" i="146"/>
  <c r="N284" i="146"/>
  <c r="N283" i="146"/>
  <c r="N282" i="146"/>
  <c r="N281" i="146"/>
  <c r="N280" i="146"/>
  <c r="N279" i="146"/>
  <c r="N278" i="146"/>
  <c r="N277" i="146"/>
  <c r="N276" i="146"/>
  <c r="N275" i="146"/>
  <c r="N274" i="146"/>
  <c r="N273" i="146"/>
  <c r="N272" i="146"/>
  <c r="N271" i="146"/>
  <c r="N270" i="146"/>
  <c r="N269" i="146"/>
  <c r="N268" i="146"/>
  <c r="N267" i="146"/>
  <c r="N266" i="146"/>
  <c r="N265" i="146"/>
  <c r="N264" i="146"/>
  <c r="N263" i="146"/>
  <c r="N262" i="146"/>
  <c r="N261" i="146"/>
  <c r="N260" i="146"/>
  <c r="N259" i="146"/>
  <c r="N258" i="146"/>
  <c r="N257" i="146"/>
  <c r="N256" i="146"/>
  <c r="N255" i="146"/>
  <c r="N254" i="146"/>
  <c r="N253" i="146"/>
  <c r="N252" i="146"/>
  <c r="N251" i="146"/>
  <c r="N250" i="146"/>
  <c r="N249" i="146"/>
  <c r="N248" i="146"/>
  <c r="N247" i="146"/>
  <c r="N246" i="146"/>
  <c r="N245" i="146"/>
  <c r="N244" i="146"/>
  <c r="N243" i="146"/>
  <c r="N242" i="146"/>
  <c r="N241" i="146"/>
  <c r="N240" i="146"/>
  <c r="N239" i="146"/>
  <c r="N238" i="146"/>
  <c r="N237" i="146"/>
  <c r="N236" i="146"/>
  <c r="N235" i="146"/>
  <c r="N234" i="146"/>
  <c r="N233" i="146"/>
  <c r="N232" i="146"/>
  <c r="N231" i="146"/>
  <c r="N230" i="146"/>
  <c r="N229" i="146"/>
  <c r="N228" i="146"/>
  <c r="N227" i="146"/>
  <c r="N226" i="146"/>
  <c r="N225" i="146"/>
  <c r="N224" i="146"/>
  <c r="N223" i="146"/>
  <c r="N222" i="146"/>
  <c r="N221" i="146"/>
  <c r="N220" i="146"/>
  <c r="N219" i="146"/>
  <c r="N218" i="146"/>
  <c r="N217" i="146"/>
  <c r="N216" i="146"/>
  <c r="N215" i="146"/>
  <c r="N214" i="146"/>
  <c r="N213" i="146"/>
  <c r="N212" i="146"/>
  <c r="N211" i="146"/>
  <c r="N210" i="146"/>
  <c r="N209" i="146"/>
  <c r="N208" i="146"/>
  <c r="N207" i="146"/>
  <c r="N206" i="146"/>
  <c r="N205" i="146"/>
  <c r="N204" i="146"/>
  <c r="N203" i="146"/>
  <c r="N202" i="146"/>
  <c r="N201" i="146"/>
  <c r="N200" i="146"/>
  <c r="N199" i="146"/>
  <c r="N198" i="146"/>
  <c r="N197" i="146"/>
  <c r="N196" i="146"/>
  <c r="N195" i="146"/>
  <c r="N194" i="146"/>
  <c r="N193" i="146"/>
  <c r="N192" i="146"/>
  <c r="N191" i="146"/>
  <c r="N190" i="146"/>
  <c r="N189" i="146"/>
  <c r="N188" i="146"/>
  <c r="N187" i="146"/>
  <c r="N186" i="146"/>
  <c r="N185" i="146"/>
  <c r="N184" i="146"/>
  <c r="N183" i="146"/>
  <c r="N182" i="146"/>
  <c r="N181" i="146"/>
  <c r="N180" i="146"/>
  <c r="N179" i="146"/>
  <c r="N178" i="146"/>
  <c r="N177" i="146"/>
  <c r="N176" i="146"/>
  <c r="N175" i="146"/>
  <c r="N174" i="146"/>
  <c r="N173" i="146"/>
  <c r="N172" i="146"/>
  <c r="N171" i="146"/>
  <c r="N170" i="146"/>
  <c r="N169" i="146"/>
  <c r="N168" i="146"/>
  <c r="N167" i="146"/>
  <c r="N166" i="146"/>
  <c r="N165" i="146"/>
  <c r="N164" i="146"/>
  <c r="N163" i="146"/>
  <c r="N162" i="146"/>
  <c r="N161" i="146"/>
  <c r="N160" i="146"/>
  <c r="N159" i="146"/>
  <c r="N158" i="146"/>
  <c r="N157" i="146"/>
  <c r="N156" i="146"/>
  <c r="N155" i="146"/>
  <c r="N154" i="146"/>
  <c r="N153" i="146"/>
  <c r="N152" i="146"/>
  <c r="N151" i="146"/>
  <c r="N150" i="146"/>
  <c r="N149" i="146"/>
  <c r="N148" i="146"/>
  <c r="N147" i="146"/>
  <c r="N146" i="146"/>
  <c r="N145" i="146"/>
  <c r="N144" i="146"/>
  <c r="N143" i="146"/>
  <c r="N142" i="146"/>
  <c r="N141" i="146"/>
  <c r="N140" i="146"/>
  <c r="N139" i="146"/>
  <c r="N138" i="146"/>
  <c r="N137" i="146"/>
  <c r="N136" i="146"/>
  <c r="N135" i="146"/>
  <c r="N134" i="146"/>
  <c r="N133" i="146"/>
  <c r="N132" i="146"/>
  <c r="N131" i="146"/>
  <c r="N130" i="146"/>
  <c r="N129" i="146"/>
  <c r="N128" i="146"/>
  <c r="N127" i="146"/>
  <c r="N126" i="146"/>
  <c r="N125" i="146"/>
  <c r="N124" i="146"/>
  <c r="N123" i="146"/>
  <c r="N122" i="146"/>
  <c r="N121" i="146"/>
  <c r="N120" i="146"/>
  <c r="N119" i="146"/>
  <c r="N118" i="146"/>
  <c r="N117" i="146"/>
  <c r="N116" i="146"/>
  <c r="N115" i="146"/>
  <c r="N114" i="146"/>
  <c r="N113" i="146"/>
  <c r="N112" i="146"/>
  <c r="N111" i="146"/>
  <c r="N110" i="146"/>
  <c r="N109" i="146"/>
  <c r="N108" i="146"/>
  <c r="N107" i="146"/>
  <c r="N106" i="146"/>
  <c r="N105" i="146"/>
  <c r="N104" i="146"/>
  <c r="N103" i="146"/>
  <c r="N102" i="146"/>
  <c r="N101" i="146"/>
  <c r="N100" i="146"/>
  <c r="N99" i="146"/>
  <c r="N98" i="146"/>
  <c r="N97" i="146"/>
  <c r="N96" i="146"/>
  <c r="N95" i="146"/>
  <c r="N94" i="146"/>
  <c r="N93" i="146"/>
  <c r="N92" i="146"/>
  <c r="N91" i="146"/>
  <c r="N90" i="146"/>
  <c r="N89" i="146"/>
  <c r="N88" i="146"/>
  <c r="N87" i="146"/>
  <c r="N86" i="146"/>
  <c r="N85" i="146"/>
  <c r="N84" i="146"/>
  <c r="N83" i="146"/>
  <c r="N82" i="146"/>
  <c r="N81" i="146"/>
  <c r="N80" i="146"/>
  <c r="N79" i="146"/>
  <c r="N78" i="146"/>
  <c r="N77" i="146"/>
  <c r="N76" i="146"/>
  <c r="N75" i="146"/>
  <c r="N74" i="146"/>
  <c r="N73" i="146"/>
  <c r="N72" i="146"/>
  <c r="N71" i="146"/>
  <c r="N70" i="146"/>
  <c r="N69" i="146"/>
  <c r="N68" i="146"/>
  <c r="N67" i="146"/>
  <c r="N66" i="146"/>
  <c r="N65" i="146"/>
  <c r="N64" i="146"/>
  <c r="N63" i="146"/>
  <c r="N62" i="146"/>
  <c r="N61" i="146"/>
  <c r="N60" i="146"/>
  <c r="N59" i="146"/>
  <c r="N58" i="146"/>
  <c r="N57" i="146"/>
  <c r="N56" i="146"/>
  <c r="N55" i="146"/>
  <c r="N54" i="146"/>
  <c r="N53" i="146"/>
  <c r="N52" i="146"/>
  <c r="N51" i="146"/>
  <c r="N50" i="146"/>
  <c r="N49" i="146"/>
  <c r="N48" i="146"/>
  <c r="N47" i="146"/>
  <c r="N46" i="146"/>
  <c r="N45" i="146"/>
  <c r="N44" i="146"/>
  <c r="N43" i="146"/>
  <c r="N42" i="146"/>
  <c r="N41" i="146"/>
  <c r="N40" i="146"/>
  <c r="N39" i="146"/>
  <c r="N38" i="146"/>
  <c r="N37" i="146"/>
  <c r="N36" i="146"/>
  <c r="N35" i="146"/>
  <c r="N34" i="146"/>
  <c r="N33" i="146"/>
  <c r="N32" i="146"/>
  <c r="N31" i="146"/>
  <c r="N30" i="146"/>
  <c r="N29" i="146"/>
  <c r="N28" i="146"/>
  <c r="N27" i="146"/>
  <c r="N26" i="146"/>
  <c r="N25" i="146"/>
  <c r="N24" i="146"/>
  <c r="N23" i="146"/>
  <c r="N22" i="146"/>
  <c r="N21" i="146"/>
  <c r="N20" i="146"/>
  <c r="N19" i="146"/>
  <c r="N18" i="146"/>
  <c r="N17" i="146"/>
  <c r="N16" i="146"/>
  <c r="N15" i="146"/>
  <c r="N14" i="146"/>
  <c r="N13" i="146"/>
  <c r="N12" i="146"/>
  <c r="N11" i="146"/>
  <c r="N10" i="146"/>
  <c r="N9" i="146"/>
  <c r="N8" i="146"/>
  <c r="N7" i="146"/>
  <c r="N6" i="146"/>
  <c r="N5" i="146"/>
  <c r="N4" i="146"/>
  <c r="N3" i="146"/>
  <c r="CV23" i="147" l="1"/>
  <c r="CV27" i="147"/>
  <c r="DF23" i="147"/>
  <c r="CV25" i="147"/>
  <c r="DF25" i="147"/>
  <c r="DF27" i="147"/>
  <c r="CV26" i="147"/>
  <c r="DF26" i="147"/>
  <c r="CV30" i="147"/>
  <c r="DF30" i="147"/>
  <c r="CV29" i="147"/>
  <c r="DF29" i="147"/>
  <c r="CV28" i="147"/>
  <c r="DF28" i="147"/>
  <c r="CV24" i="147"/>
  <c r="DF24" i="147"/>
  <c r="EY45" i="160"/>
  <c r="EY44" i="160"/>
  <c r="EY43" i="160"/>
  <c r="EY42" i="160"/>
  <c r="EY41" i="160"/>
  <c r="EY40" i="160"/>
  <c r="EY39" i="160"/>
  <c r="EY38" i="160"/>
  <c r="EY37" i="160"/>
  <c r="EY36" i="160"/>
  <c r="EY35" i="160"/>
  <c r="EY34" i="160"/>
  <c r="EY33" i="160"/>
  <c r="EY32" i="160"/>
  <c r="EY31" i="160"/>
  <c r="EY15" i="160"/>
  <c r="EY14" i="160"/>
  <c r="DW26" i="147" l="1"/>
  <c r="FO26" i="147" s="1"/>
  <c r="FQ27" i="147"/>
  <c r="FR26" i="147"/>
  <c r="FR27" i="147"/>
  <c r="FR25" i="147"/>
  <c r="EC28" i="147"/>
  <c r="FP28" i="147" s="1"/>
  <c r="EB28" i="147"/>
  <c r="EA28" i="147"/>
  <c r="ED28" i="147"/>
  <c r="FR28" i="147"/>
  <c r="GD24" i="147"/>
  <c r="GC24" i="147"/>
  <c r="ED29" i="147"/>
  <c r="EC29" i="147"/>
  <c r="FP29" i="147" s="1"/>
  <c r="EB29" i="147"/>
  <c r="EA29" i="147"/>
  <c r="FR29" i="147"/>
  <c r="GD26" i="147"/>
  <c r="EA26" i="147"/>
  <c r="EB26" i="147" s="1"/>
  <c r="EC26" i="147" s="1"/>
  <c r="FP26" i="147" s="1"/>
  <c r="DX29" i="147"/>
  <c r="DW29" i="147"/>
  <c r="FO29" i="147" s="1"/>
  <c r="FQ29" i="147"/>
  <c r="EB23" i="147"/>
  <c r="EA23" i="147"/>
  <c r="ED23" i="147"/>
  <c r="EC23" i="147"/>
  <c r="FP23" i="147" s="1"/>
  <c r="DX28" i="147"/>
  <c r="DW28" i="147"/>
  <c r="FO28" i="147" s="1"/>
  <c r="FQ28" i="147"/>
  <c r="EC30" i="147"/>
  <c r="FP30" i="147" s="1"/>
  <c r="EB30" i="147"/>
  <c r="EA30" i="147"/>
  <c r="ED30" i="147"/>
  <c r="FR30" i="147"/>
  <c r="DX30" i="147"/>
  <c r="DW30" i="147"/>
  <c r="FO30" i="147" s="1"/>
  <c r="FQ30" i="147"/>
  <c r="DX23" i="147"/>
  <c r="DW23" i="147"/>
  <c r="FO23" i="147" s="1"/>
  <c r="FQ23" i="147"/>
  <c r="EA27" i="147"/>
  <c r="GD27" i="147"/>
  <c r="GC27" i="147"/>
  <c r="GD25" i="147"/>
  <c r="GC26" i="147"/>
  <c r="GC25" i="147"/>
  <c r="GD23" i="147"/>
  <c r="GC23" i="147"/>
  <c r="EA25" i="147"/>
  <c r="FN26" i="147"/>
  <c r="DP26" i="147" s="1"/>
  <c r="D26" i="147" s="1"/>
  <c r="E26" i="147" s="1"/>
  <c r="FV29" i="147"/>
  <c r="FN25" i="147"/>
  <c r="DP25" i="147" s="1"/>
  <c r="DU28" i="147"/>
  <c r="DV28" i="147" s="1"/>
  <c r="FU28" i="147" s="1"/>
  <c r="DP28" i="147"/>
  <c r="FN28" i="147"/>
  <c r="FN29" i="147"/>
  <c r="DP29" i="147" s="1"/>
  <c r="DU29" i="147"/>
  <c r="DV29" i="147" s="1"/>
  <c r="FU29" i="147" s="1"/>
  <c r="FV30" i="147"/>
  <c r="DU27" i="147"/>
  <c r="FN27" i="147"/>
  <c r="DP27" i="147" s="1"/>
  <c r="DU30" i="147"/>
  <c r="DV30" i="147" s="1"/>
  <c r="FN30" i="147"/>
  <c r="DP30" i="147"/>
  <c r="DU23" i="147"/>
  <c r="FN23" i="147"/>
  <c r="DP23" i="147" s="1"/>
  <c r="FN24" i="147"/>
  <c r="DP24" i="147" s="1"/>
  <c r="CO85" i="160"/>
  <c r="CN85" i="160"/>
  <c r="CM85" i="160"/>
  <c r="CO84" i="160"/>
  <c r="CN84" i="160"/>
  <c r="CM84" i="160"/>
  <c r="CO83" i="160"/>
  <c r="CN83" i="160"/>
  <c r="CM83" i="160"/>
  <c r="CO82" i="160"/>
  <c r="CN82" i="160"/>
  <c r="CM82" i="160"/>
  <c r="CO81" i="160"/>
  <c r="CN81" i="160"/>
  <c r="CM81" i="160"/>
  <c r="CO80" i="160"/>
  <c r="CN80" i="160"/>
  <c r="CM80" i="160"/>
  <c r="CO79" i="160"/>
  <c r="CN79" i="160"/>
  <c r="CM79" i="160"/>
  <c r="CO78" i="160"/>
  <c r="CN78" i="160"/>
  <c r="CM78" i="160"/>
  <c r="CO77" i="160"/>
  <c r="CN77" i="160"/>
  <c r="CM77" i="160"/>
  <c r="CO76" i="160"/>
  <c r="CN76" i="160"/>
  <c r="CM76" i="160"/>
  <c r="CO75" i="160"/>
  <c r="CN75" i="160"/>
  <c r="CM75" i="160"/>
  <c r="CO74" i="160"/>
  <c r="CN74" i="160"/>
  <c r="CM74" i="160"/>
  <c r="CO73" i="160"/>
  <c r="CN73" i="160"/>
  <c r="CM73" i="160"/>
  <c r="CO72" i="160"/>
  <c r="CN72" i="160"/>
  <c r="CM72" i="160"/>
  <c r="CO71" i="160"/>
  <c r="CN71" i="160"/>
  <c r="CM71" i="160"/>
  <c r="CO70" i="160"/>
  <c r="CN70" i="160"/>
  <c r="CM70" i="160"/>
  <c r="CO69" i="160"/>
  <c r="CN69" i="160"/>
  <c r="CM69" i="160"/>
  <c r="CO68" i="160"/>
  <c r="CN68" i="160"/>
  <c r="CM68" i="160"/>
  <c r="CO67" i="160"/>
  <c r="CN67" i="160"/>
  <c r="CM67" i="160"/>
  <c r="CO66" i="160"/>
  <c r="CN66" i="160"/>
  <c r="CM66" i="160"/>
  <c r="CO65" i="160"/>
  <c r="CN65" i="160"/>
  <c r="CM65" i="160"/>
  <c r="CO64" i="160"/>
  <c r="CN64" i="160"/>
  <c r="CM64" i="160"/>
  <c r="CO63" i="160"/>
  <c r="CN63" i="160"/>
  <c r="CM63" i="160"/>
  <c r="CO62" i="160"/>
  <c r="CN62" i="160"/>
  <c r="CM62" i="160"/>
  <c r="CO61" i="160"/>
  <c r="CN61" i="160"/>
  <c r="CM61" i="160"/>
  <c r="CO60" i="160"/>
  <c r="CN60" i="160"/>
  <c r="CM60" i="160"/>
  <c r="DH60" i="160" s="1"/>
  <c r="CO59" i="160"/>
  <c r="CN59" i="160"/>
  <c r="CM59" i="160"/>
  <c r="CO58" i="160"/>
  <c r="CN58" i="160"/>
  <c r="CM58" i="160"/>
  <c r="CO57" i="160"/>
  <c r="CN57" i="160"/>
  <c r="CM57" i="160"/>
  <c r="CO56" i="160"/>
  <c r="CN56" i="160"/>
  <c r="CM56" i="160"/>
  <c r="CO55" i="160"/>
  <c r="CN55" i="160"/>
  <c r="CM55" i="160"/>
  <c r="CO54" i="160"/>
  <c r="CN54" i="160"/>
  <c r="CM54" i="160"/>
  <c r="CF85" i="160"/>
  <c r="CE85" i="160"/>
  <c r="CD85" i="160"/>
  <c r="CF84" i="160"/>
  <c r="CE84" i="160"/>
  <c r="CD84" i="160"/>
  <c r="CF83" i="160"/>
  <c r="CE83" i="160"/>
  <c r="CD83" i="160"/>
  <c r="CF82" i="160"/>
  <c r="CE82" i="160"/>
  <c r="CD82" i="160"/>
  <c r="CF81" i="160"/>
  <c r="CE81" i="160"/>
  <c r="CD81" i="160"/>
  <c r="CF80" i="160"/>
  <c r="CE80" i="160"/>
  <c r="CD80" i="160"/>
  <c r="CF79" i="160"/>
  <c r="CE79" i="160"/>
  <c r="CD79" i="160"/>
  <c r="CF78" i="160"/>
  <c r="CE78" i="160"/>
  <c r="CD78" i="160"/>
  <c r="CF77" i="160"/>
  <c r="CE77" i="160"/>
  <c r="CD77" i="160"/>
  <c r="CF76" i="160"/>
  <c r="CE76" i="160"/>
  <c r="CD76" i="160"/>
  <c r="CF75" i="160"/>
  <c r="CE75" i="160"/>
  <c r="CD75" i="160"/>
  <c r="CF74" i="160"/>
  <c r="CE74" i="160"/>
  <c r="CD74" i="160"/>
  <c r="CF73" i="160"/>
  <c r="CE73" i="160"/>
  <c r="CD73" i="160"/>
  <c r="CF72" i="160"/>
  <c r="CE72" i="160"/>
  <c r="CD72" i="160"/>
  <c r="CF71" i="160"/>
  <c r="CE71" i="160"/>
  <c r="CD71" i="160"/>
  <c r="CF70" i="160"/>
  <c r="CE70" i="160"/>
  <c r="CD70" i="160"/>
  <c r="CF69" i="160"/>
  <c r="CE69" i="160"/>
  <c r="CD69" i="160"/>
  <c r="CF68" i="160"/>
  <c r="CE68" i="160"/>
  <c r="CD68" i="160"/>
  <c r="CF67" i="160"/>
  <c r="CE67" i="160"/>
  <c r="CD67" i="160"/>
  <c r="CF66" i="160"/>
  <c r="CE66" i="160"/>
  <c r="CD66" i="160"/>
  <c r="CF65" i="160"/>
  <c r="CE65" i="160"/>
  <c r="CD65" i="160"/>
  <c r="CF64" i="160"/>
  <c r="CE64" i="160"/>
  <c r="CD64" i="160"/>
  <c r="CF63" i="160"/>
  <c r="CE63" i="160"/>
  <c r="CD63" i="160"/>
  <c r="CF62" i="160"/>
  <c r="CE62" i="160"/>
  <c r="CD62" i="160"/>
  <c r="CF61" i="160"/>
  <c r="CE61" i="160"/>
  <c r="CD61" i="160"/>
  <c r="CF60" i="160"/>
  <c r="CE60" i="160"/>
  <c r="CD60" i="160"/>
  <c r="DB60" i="160" s="1"/>
  <c r="CF59" i="160"/>
  <c r="CE59" i="160"/>
  <c r="CD59" i="160"/>
  <c r="CF58" i="160"/>
  <c r="CE58" i="160"/>
  <c r="CD58" i="160"/>
  <c r="CF57" i="160"/>
  <c r="CE57" i="160"/>
  <c r="CD57" i="160"/>
  <c r="CF56" i="160"/>
  <c r="CE56" i="160"/>
  <c r="CD56" i="160"/>
  <c r="CF55" i="160"/>
  <c r="CE55" i="160"/>
  <c r="CD55" i="160"/>
  <c r="CF54" i="160"/>
  <c r="CE54" i="160"/>
  <c r="CD54" i="160"/>
  <c r="CO85" i="84"/>
  <c r="CO84" i="84"/>
  <c r="CO83" i="84"/>
  <c r="CO82" i="84"/>
  <c r="CO81" i="84"/>
  <c r="CO80" i="84"/>
  <c r="CO79" i="84"/>
  <c r="CO78" i="84"/>
  <c r="CO77" i="84"/>
  <c r="CO76" i="84"/>
  <c r="CO75" i="84"/>
  <c r="CO74" i="84"/>
  <c r="CO73" i="84"/>
  <c r="CO72" i="84"/>
  <c r="CO71" i="84"/>
  <c r="CO70" i="84"/>
  <c r="CO69" i="84"/>
  <c r="CO68" i="84"/>
  <c r="CF85" i="84"/>
  <c r="CF84" i="84"/>
  <c r="CF83" i="84"/>
  <c r="CF82" i="84"/>
  <c r="CF81" i="84"/>
  <c r="CF80" i="84"/>
  <c r="CF79" i="84"/>
  <c r="CF78" i="84"/>
  <c r="CF77" i="84"/>
  <c r="CF76" i="84"/>
  <c r="CF75" i="84"/>
  <c r="CF74" i="84"/>
  <c r="CF73" i="84"/>
  <c r="CF72" i="84"/>
  <c r="CF71" i="84"/>
  <c r="CF70" i="84"/>
  <c r="CF69" i="84"/>
  <c r="CF68" i="84"/>
  <c r="CM85" i="84"/>
  <c r="CM84" i="84"/>
  <c r="CM83" i="84"/>
  <c r="CM82" i="84"/>
  <c r="CM81" i="84"/>
  <c r="CM80" i="84"/>
  <c r="CM79" i="84"/>
  <c r="CM78" i="84"/>
  <c r="CM77" i="84"/>
  <c r="CM76" i="84"/>
  <c r="CM75" i="84"/>
  <c r="CM74" i="84"/>
  <c r="CM73" i="84"/>
  <c r="CM72" i="84"/>
  <c r="CM71" i="84"/>
  <c r="CM70" i="84"/>
  <c r="CM69" i="84"/>
  <c r="CM68" i="84"/>
  <c r="CD85" i="84"/>
  <c r="CD84" i="84"/>
  <c r="CD83" i="84"/>
  <c r="CD82" i="84"/>
  <c r="CD81" i="84"/>
  <c r="CD80" i="84"/>
  <c r="CD79" i="84"/>
  <c r="CD78" i="84"/>
  <c r="CD77" i="84"/>
  <c r="CD76" i="84"/>
  <c r="CD75" i="84"/>
  <c r="CD74" i="84"/>
  <c r="CD73" i="84"/>
  <c r="CD72" i="84"/>
  <c r="CD71" i="84"/>
  <c r="CD70" i="84"/>
  <c r="CD69" i="84"/>
  <c r="CD68" i="84"/>
  <c r="D24" i="147" l="1"/>
  <c r="E24" i="147" s="1"/>
  <c r="DX26" i="147"/>
  <c r="D23" i="147"/>
  <c r="E23" i="147"/>
  <c r="ED26" i="147"/>
  <c r="E29" i="147"/>
  <c r="D29" i="147"/>
  <c r="D30" i="147"/>
  <c r="E30" i="147"/>
  <c r="E28" i="147"/>
  <c r="D28" i="147"/>
  <c r="D27" i="147"/>
  <c r="E27" i="147" s="1"/>
  <c r="FV28" i="147"/>
  <c r="FU30" i="147"/>
  <c r="DC76" i="84"/>
  <c r="DB76" i="84"/>
  <c r="DC84" i="84"/>
  <c r="DB84" i="84"/>
  <c r="DI74" i="84"/>
  <c r="DH74" i="84"/>
  <c r="DI82" i="84"/>
  <c r="DH82" i="84"/>
  <c r="DC54" i="160"/>
  <c r="DB54" i="160"/>
  <c r="DC62" i="160"/>
  <c r="DB62" i="160"/>
  <c r="DC70" i="160"/>
  <c r="DB70" i="160"/>
  <c r="DC78" i="160"/>
  <c r="DB78" i="160"/>
  <c r="DI54" i="160"/>
  <c r="DH54" i="160"/>
  <c r="DI62" i="160"/>
  <c r="DH62" i="160"/>
  <c r="DI70" i="160"/>
  <c r="DH70" i="160"/>
  <c r="DI78" i="160"/>
  <c r="DH78" i="160"/>
  <c r="DC69" i="84"/>
  <c r="DB69" i="84"/>
  <c r="DC77" i="84"/>
  <c r="DB77" i="84"/>
  <c r="DC85" i="84"/>
  <c r="DB85" i="84"/>
  <c r="DI75" i="84"/>
  <c r="DH75" i="84"/>
  <c r="DI83" i="84"/>
  <c r="DH83" i="84"/>
  <c r="DC57" i="160"/>
  <c r="DB57" i="160"/>
  <c r="DC65" i="160"/>
  <c r="DB65" i="160"/>
  <c r="DC73" i="160"/>
  <c r="DB73" i="160"/>
  <c r="DC81" i="160"/>
  <c r="DB81" i="160"/>
  <c r="DI57" i="160"/>
  <c r="DH57" i="160"/>
  <c r="DI65" i="160"/>
  <c r="DH65" i="160"/>
  <c r="DI73" i="160"/>
  <c r="DH73" i="160"/>
  <c r="DI81" i="160"/>
  <c r="DH81" i="160"/>
  <c r="DC78" i="84"/>
  <c r="DB78" i="84"/>
  <c r="DI84" i="84"/>
  <c r="DH84" i="84"/>
  <c r="DC68" i="160"/>
  <c r="DB68" i="160"/>
  <c r="DC76" i="160"/>
  <c r="DB76" i="160"/>
  <c r="DI68" i="160"/>
  <c r="DH68" i="160"/>
  <c r="DI76" i="160"/>
  <c r="DH76" i="160"/>
  <c r="DI69" i="84"/>
  <c r="DH69" i="84"/>
  <c r="DC63" i="160"/>
  <c r="DB63" i="160"/>
  <c r="DC71" i="160"/>
  <c r="DB71" i="160"/>
  <c r="DI55" i="160"/>
  <c r="DH55" i="160"/>
  <c r="DI63" i="160"/>
  <c r="DH63" i="160"/>
  <c r="DI71" i="160"/>
  <c r="DH71" i="160"/>
  <c r="DI79" i="160"/>
  <c r="DH79" i="160"/>
  <c r="DC74" i="160"/>
  <c r="DB74" i="160"/>
  <c r="DC82" i="160"/>
  <c r="DB82" i="160"/>
  <c r="DI74" i="160"/>
  <c r="DH74" i="160"/>
  <c r="DC73" i="84"/>
  <c r="DB73" i="84"/>
  <c r="DC81" i="84"/>
  <c r="DB81" i="84"/>
  <c r="DI79" i="84"/>
  <c r="DH79" i="84"/>
  <c r="DC61" i="160"/>
  <c r="DB61" i="160"/>
  <c r="DC69" i="160"/>
  <c r="DB69" i="160"/>
  <c r="DC77" i="160"/>
  <c r="DB77" i="160"/>
  <c r="DC85" i="160"/>
  <c r="DB85" i="160"/>
  <c r="DI61" i="160"/>
  <c r="DH61" i="160"/>
  <c r="DI69" i="160"/>
  <c r="DH69" i="160"/>
  <c r="DI77" i="160"/>
  <c r="DH77" i="160"/>
  <c r="DI85" i="160"/>
  <c r="DH85" i="160"/>
  <c r="DI76" i="84"/>
  <c r="DH76" i="84"/>
  <c r="DC84" i="160"/>
  <c r="DB84" i="160"/>
  <c r="DI84" i="160"/>
  <c r="DH84" i="160"/>
  <c r="DC79" i="84"/>
  <c r="DB79" i="84"/>
  <c r="DI85" i="84"/>
  <c r="DH85" i="84"/>
  <c r="DC80" i="84"/>
  <c r="DB80" i="84"/>
  <c r="DI78" i="84"/>
  <c r="DH78" i="84"/>
  <c r="DC58" i="160"/>
  <c r="DB58" i="160"/>
  <c r="DC66" i="160"/>
  <c r="DB66" i="160"/>
  <c r="DI58" i="160"/>
  <c r="DH58" i="160"/>
  <c r="DI66" i="160"/>
  <c r="DH66" i="160"/>
  <c r="DI82" i="160"/>
  <c r="DH82" i="160"/>
  <c r="DC74" i="84"/>
  <c r="DB74" i="84"/>
  <c r="DC82" i="84"/>
  <c r="DB82" i="84"/>
  <c r="DI80" i="84"/>
  <c r="DH80" i="84"/>
  <c r="DC64" i="160"/>
  <c r="DB64" i="160"/>
  <c r="DC72" i="160"/>
  <c r="DB72" i="160"/>
  <c r="DC80" i="160"/>
  <c r="DB80" i="160"/>
  <c r="DI64" i="160"/>
  <c r="DH64" i="160"/>
  <c r="DI72" i="160"/>
  <c r="DH72" i="160"/>
  <c r="DI80" i="160"/>
  <c r="DH80" i="160"/>
  <c r="DI77" i="84"/>
  <c r="DH77" i="84"/>
  <c r="DC55" i="160"/>
  <c r="DB55" i="160"/>
  <c r="DC79" i="160"/>
  <c r="DB79" i="160"/>
  <c r="DC75" i="84"/>
  <c r="DB75" i="84"/>
  <c r="DC83" i="84"/>
  <c r="DB83" i="84"/>
  <c r="DI73" i="84"/>
  <c r="DH73" i="84"/>
  <c r="DI81" i="84"/>
  <c r="DH81" i="84"/>
  <c r="DC59" i="160"/>
  <c r="DB59" i="160"/>
  <c r="DC67" i="160"/>
  <c r="DB67" i="160"/>
  <c r="DC75" i="160"/>
  <c r="DB75" i="160"/>
  <c r="DC83" i="160"/>
  <c r="DB83" i="160"/>
  <c r="DI59" i="160"/>
  <c r="DH59" i="160"/>
  <c r="DI67" i="160"/>
  <c r="DH67" i="160"/>
  <c r="DI75" i="160"/>
  <c r="DH75" i="160"/>
  <c r="DI83" i="160"/>
  <c r="DH83" i="160"/>
  <c r="H26" i="147" l="1"/>
  <c r="F26" i="147"/>
  <c r="G26" i="147" s="1"/>
  <c r="DH45" i="165"/>
  <c r="DH44" i="165"/>
  <c r="DH43" i="165"/>
  <c r="DH42" i="165"/>
  <c r="DH41" i="165"/>
  <c r="DH40" i="165"/>
  <c r="DH39" i="165"/>
  <c r="DH38" i="165"/>
  <c r="DH37" i="165"/>
  <c r="DH36" i="165"/>
  <c r="DH35" i="165"/>
  <c r="DH34" i="165"/>
  <c r="DH33" i="165"/>
  <c r="DH32" i="165"/>
  <c r="DH31" i="165"/>
  <c r="DH30" i="165"/>
  <c r="DH29" i="165"/>
  <c r="DH28" i="165"/>
  <c r="DH27" i="165"/>
  <c r="DH26" i="165"/>
  <c r="DH25" i="165"/>
  <c r="DH24" i="165"/>
  <c r="DH23" i="165"/>
  <c r="DH22" i="165"/>
  <c r="DH21" i="165"/>
  <c r="DH20" i="165"/>
  <c r="DH19" i="165"/>
  <c r="DH18" i="165"/>
  <c r="DH17" i="165"/>
  <c r="DH16" i="165"/>
  <c r="CX45" i="165"/>
  <c r="CX44" i="165"/>
  <c r="CX43" i="165"/>
  <c r="CX42" i="165"/>
  <c r="CX41" i="165"/>
  <c r="CX40" i="165"/>
  <c r="CX39" i="165"/>
  <c r="CX38" i="165"/>
  <c r="CX37" i="165"/>
  <c r="CX36" i="165"/>
  <c r="CX35" i="165"/>
  <c r="CX34" i="165"/>
  <c r="CX33" i="165"/>
  <c r="CX32" i="165"/>
  <c r="CX31" i="165"/>
  <c r="CX30" i="165"/>
  <c r="CX29" i="165"/>
  <c r="CX28" i="165"/>
  <c r="CX27" i="165"/>
  <c r="CX26" i="165"/>
  <c r="CX25" i="165"/>
  <c r="CX24" i="165"/>
  <c r="CX23" i="165"/>
  <c r="CX22" i="165"/>
  <c r="CX21" i="165"/>
  <c r="CX20" i="165"/>
  <c r="CX19" i="165"/>
  <c r="CX18" i="165"/>
  <c r="CX17" i="165"/>
  <c r="CX16" i="165"/>
  <c r="G28" i="147" l="1"/>
  <c r="F28" i="147"/>
  <c r="H28" i="147"/>
  <c r="K29" i="147"/>
  <c r="J29" i="147"/>
  <c r="I29" i="147"/>
  <c r="I30" i="147"/>
  <c r="K30" i="147"/>
  <c r="J30" i="147"/>
  <c r="H30" i="147"/>
  <c r="G30" i="147"/>
  <c r="F30" i="147"/>
  <c r="H29" i="147"/>
  <c r="F29" i="147"/>
  <c r="G29" i="147"/>
  <c r="I28" i="147"/>
  <c r="K28" i="147"/>
  <c r="J28" i="147"/>
  <c r="C23" i="160"/>
  <c r="B23" i="160"/>
  <c r="EZ23" i="160" l="1"/>
  <c r="EY23" i="160"/>
  <c r="R14" i="114"/>
  <c r="CI70" i="84"/>
  <c r="EN104" i="165" l="1"/>
  <c r="EN103" i="165"/>
  <c r="EN102" i="165"/>
  <c r="EN101" i="165"/>
  <c r="EN100" i="165"/>
  <c r="EN99" i="165"/>
  <c r="EN98" i="165"/>
  <c r="EN97" i="165"/>
  <c r="EN95" i="165"/>
  <c r="EN94" i="165"/>
  <c r="EN93" i="165"/>
  <c r="EN92" i="165"/>
  <c r="EN91" i="165"/>
  <c r="EN90" i="165"/>
  <c r="EN89" i="165"/>
  <c r="EN88" i="165"/>
  <c r="EN87" i="165"/>
  <c r="EN86" i="165"/>
  <c r="EN85" i="165"/>
  <c r="EN84" i="165"/>
  <c r="EN83" i="165"/>
  <c r="EN82" i="165"/>
  <c r="EN81" i="165"/>
  <c r="EN80" i="165"/>
  <c r="EN79" i="165"/>
  <c r="EN78" i="165"/>
  <c r="EN77" i="165"/>
  <c r="EN76" i="165"/>
  <c r="EN75" i="165"/>
  <c r="EN96" i="165"/>
  <c r="AA45" i="160" l="1"/>
  <c r="F45" i="160"/>
  <c r="C45" i="160"/>
  <c r="B45" i="160"/>
  <c r="A45" i="160"/>
  <c r="AA44" i="160"/>
  <c r="F44" i="160"/>
  <c r="C44" i="160"/>
  <c r="B44" i="160"/>
  <c r="A44" i="160"/>
  <c r="AA43" i="160"/>
  <c r="F43" i="160"/>
  <c r="C43" i="160"/>
  <c r="B43" i="160"/>
  <c r="A43" i="160"/>
  <c r="AA42" i="160"/>
  <c r="F42" i="160"/>
  <c r="C42" i="160"/>
  <c r="B42" i="160"/>
  <c r="A42" i="160"/>
  <c r="AA41" i="160"/>
  <c r="F41" i="160"/>
  <c r="C41" i="160"/>
  <c r="B41" i="160"/>
  <c r="A41" i="160"/>
  <c r="AA40" i="160"/>
  <c r="F40" i="160"/>
  <c r="C40" i="160"/>
  <c r="B40" i="160"/>
  <c r="A40" i="160"/>
  <c r="AA39" i="160"/>
  <c r="F39" i="160"/>
  <c r="C39" i="160"/>
  <c r="B39" i="160"/>
  <c r="A39" i="160"/>
  <c r="AA38" i="160"/>
  <c r="F38" i="160"/>
  <c r="C38" i="160"/>
  <c r="B38" i="160"/>
  <c r="A38" i="160"/>
  <c r="AA37" i="160"/>
  <c r="F37" i="160"/>
  <c r="C37" i="160"/>
  <c r="B37" i="160"/>
  <c r="A37" i="160"/>
  <c r="AA36" i="160"/>
  <c r="F36" i="160"/>
  <c r="C36" i="160"/>
  <c r="B36" i="160"/>
  <c r="A36" i="160"/>
  <c r="AA35" i="160"/>
  <c r="F35" i="160"/>
  <c r="C35" i="160"/>
  <c r="B35" i="160"/>
  <c r="A35" i="160"/>
  <c r="AA34" i="160"/>
  <c r="F34" i="160"/>
  <c r="C34" i="160"/>
  <c r="B34" i="160"/>
  <c r="A34" i="160"/>
  <c r="AA33" i="160"/>
  <c r="F33" i="160"/>
  <c r="C33" i="160"/>
  <c r="B33" i="160"/>
  <c r="A33" i="160"/>
  <c r="AA32" i="160"/>
  <c r="F32" i="160"/>
  <c r="C32" i="160"/>
  <c r="B32" i="160"/>
  <c r="A32" i="160"/>
  <c r="AA31" i="160"/>
  <c r="F31" i="160"/>
  <c r="C31" i="160"/>
  <c r="B31" i="160"/>
  <c r="A31" i="160"/>
  <c r="AA30" i="160"/>
  <c r="F30" i="160"/>
  <c r="C30" i="160"/>
  <c r="B30" i="160"/>
  <c r="AA29" i="160"/>
  <c r="F29" i="160"/>
  <c r="C29" i="160"/>
  <c r="B29" i="160"/>
  <c r="AA28" i="160"/>
  <c r="F28" i="160"/>
  <c r="C28" i="160"/>
  <c r="B28" i="160"/>
  <c r="AA27" i="160"/>
  <c r="F27" i="160"/>
  <c r="C27" i="160"/>
  <c r="B27" i="160"/>
  <c r="AA26" i="160"/>
  <c r="F26" i="160"/>
  <c r="C26" i="160"/>
  <c r="B26" i="160"/>
  <c r="AA25" i="160"/>
  <c r="F25" i="160"/>
  <c r="C25" i="160"/>
  <c r="B25" i="160"/>
  <c r="AA24" i="160"/>
  <c r="F24" i="160"/>
  <c r="C24" i="160"/>
  <c r="B24" i="160"/>
  <c r="AA23" i="160"/>
  <c r="F23" i="160"/>
  <c r="AA22" i="160"/>
  <c r="F22" i="160"/>
  <c r="C22" i="160"/>
  <c r="B22" i="160"/>
  <c r="AA21" i="160"/>
  <c r="F21" i="160"/>
  <c r="C21" i="160"/>
  <c r="B21" i="160"/>
  <c r="AA20" i="160"/>
  <c r="F20" i="160"/>
  <c r="C20" i="160"/>
  <c r="B20" i="160"/>
  <c r="AA19" i="160"/>
  <c r="F19" i="160"/>
  <c r="C19" i="160"/>
  <c r="B19" i="160"/>
  <c r="AA18" i="160"/>
  <c r="F18" i="160"/>
  <c r="C18" i="160"/>
  <c r="B18" i="160"/>
  <c r="AA17" i="160"/>
  <c r="F17" i="160"/>
  <c r="C17" i="160"/>
  <c r="B17" i="160"/>
  <c r="AA16" i="160"/>
  <c r="F16" i="160"/>
  <c r="C16" i="160"/>
  <c r="B16" i="160"/>
  <c r="AA15" i="160"/>
  <c r="F15" i="160"/>
  <c r="C15" i="160"/>
  <c r="BP15" i="160" s="1"/>
  <c r="B15" i="160"/>
  <c r="A15" i="160"/>
  <c r="AA14" i="160"/>
  <c r="F14" i="160"/>
  <c r="C14" i="160"/>
  <c r="BP14" i="160" s="1"/>
  <c r="B14" i="160"/>
  <c r="A14" i="160"/>
  <c r="C45" i="165"/>
  <c r="B45" i="165"/>
  <c r="A45" i="165"/>
  <c r="GF45" i="165" s="1"/>
  <c r="GF38" i="160" l="1"/>
  <c r="FO38" i="160"/>
  <c r="GF32" i="160"/>
  <c r="FO32" i="160"/>
  <c r="GF14" i="160"/>
  <c r="FO14" i="160"/>
  <c r="FQ35" i="160"/>
  <c r="FQ14" i="160"/>
  <c r="FQ17" i="160"/>
  <c r="FQ44" i="160"/>
  <c r="FQ30" i="160"/>
  <c r="FQ16" i="160"/>
  <c r="FQ25" i="160"/>
  <c r="FQ34" i="160"/>
  <c r="FQ38" i="160"/>
  <c r="FQ45" i="160"/>
  <c r="FQ24" i="160"/>
  <c r="FQ33" i="160"/>
  <c r="FQ21" i="160"/>
  <c r="FQ43" i="160"/>
  <c r="FQ20" i="160"/>
  <c r="FQ32" i="160"/>
  <c r="FQ41" i="160"/>
  <c r="FQ29" i="160"/>
  <c r="FQ15" i="160"/>
  <c r="FQ40" i="160"/>
  <c r="FQ42" i="160"/>
  <c r="FQ37" i="160"/>
  <c r="FQ23" i="160"/>
  <c r="FQ18" i="160"/>
  <c r="FQ19" i="160"/>
  <c r="FQ28" i="160"/>
  <c r="FQ26" i="160"/>
  <c r="FQ39" i="160"/>
  <c r="FQ27" i="160"/>
  <c r="FQ36" i="160"/>
  <c r="FQ22" i="160"/>
  <c r="FQ31" i="160"/>
  <c r="GF35" i="160"/>
  <c r="FO35" i="160"/>
  <c r="GF43" i="160"/>
  <c r="FO43" i="160"/>
  <c r="GF37" i="160"/>
  <c r="FO37" i="160"/>
  <c r="GF45" i="160"/>
  <c r="FO45" i="160"/>
  <c r="GF34" i="160"/>
  <c r="FO34" i="160"/>
  <c r="GF42" i="160"/>
  <c r="FO42" i="160"/>
  <c r="GF31" i="160"/>
  <c r="FO31" i="160"/>
  <c r="GF39" i="160"/>
  <c r="FO39" i="160"/>
  <c r="GE45" i="165"/>
  <c r="GA45" i="165"/>
  <c r="GC45" i="165"/>
  <c r="GD45" i="165"/>
  <c r="GB45" i="165"/>
  <c r="GF15" i="160"/>
  <c r="FO15" i="160"/>
  <c r="GF36" i="160"/>
  <c r="FO36" i="160"/>
  <c r="GF44" i="160"/>
  <c r="FO44" i="160"/>
  <c r="GF40" i="160"/>
  <c r="FO40" i="160"/>
  <c r="GF33" i="160"/>
  <c r="FO33" i="160"/>
  <c r="GF41" i="160"/>
  <c r="FO41" i="160"/>
  <c r="BJ38" i="160"/>
  <c r="BJ14" i="160"/>
  <c r="BJ35" i="160"/>
  <c r="BJ43" i="160"/>
  <c r="BJ32" i="160"/>
  <c r="BJ40" i="160"/>
  <c r="BJ37" i="160"/>
  <c r="BJ34" i="160"/>
  <c r="AX45" i="165"/>
  <c r="BJ15" i="160"/>
  <c r="BJ36" i="160"/>
  <c r="BJ44" i="160"/>
  <c r="BJ45" i="160"/>
  <c r="BJ42" i="160"/>
  <c r="BJ31" i="160"/>
  <c r="BJ39" i="160"/>
  <c r="BJ33" i="160"/>
  <c r="BJ41" i="160"/>
  <c r="AW45" i="165"/>
  <c r="AV45" i="165"/>
  <c r="R99" i="80"/>
  <c r="R98" i="80"/>
  <c r="R97" i="80"/>
  <c r="R96" i="80"/>
  <c r="R95" i="80"/>
  <c r="R94" i="80"/>
  <c r="R93" i="80"/>
  <c r="R92" i="80"/>
  <c r="R91" i="80"/>
  <c r="R90" i="80"/>
  <c r="R89" i="80"/>
  <c r="R88" i="80"/>
  <c r="R87" i="80"/>
  <c r="R86" i="80"/>
  <c r="R85" i="80"/>
  <c r="R84" i="80"/>
  <c r="R83" i="80"/>
  <c r="R82" i="80"/>
  <c r="R81" i="80"/>
  <c r="R80" i="80"/>
  <c r="R79" i="80"/>
  <c r="R78" i="80"/>
  <c r="R77" i="80"/>
  <c r="R76" i="80"/>
  <c r="R75" i="80"/>
  <c r="R74" i="80"/>
  <c r="R73" i="80"/>
  <c r="R46" i="80"/>
  <c r="R45" i="80"/>
  <c r="R44" i="80"/>
  <c r="R43" i="80"/>
  <c r="R42" i="80"/>
  <c r="R41" i="80"/>
  <c r="R40" i="80"/>
  <c r="R39" i="80"/>
  <c r="R38" i="80"/>
  <c r="R37" i="80"/>
  <c r="R36" i="80"/>
  <c r="R35" i="80"/>
  <c r="R34" i="80"/>
  <c r="R33" i="80"/>
  <c r="R32" i="80"/>
  <c r="R31" i="80"/>
  <c r="R30" i="80"/>
  <c r="R29" i="80"/>
  <c r="R28" i="80"/>
  <c r="R27" i="80"/>
  <c r="R26" i="80"/>
  <c r="R25" i="80"/>
  <c r="R24" i="80"/>
  <c r="R23" i="80"/>
  <c r="R22" i="80"/>
  <c r="R21" i="80"/>
  <c r="R20" i="80"/>
  <c r="R19" i="80"/>
  <c r="R18" i="80"/>
  <c r="R17" i="80"/>
  <c r="R16" i="80"/>
  <c r="R15" i="80"/>
  <c r="R14" i="80"/>
  <c r="R13" i="80"/>
  <c r="GD44" i="160" l="1"/>
  <c r="GE44" i="160"/>
  <c r="GA44" i="160"/>
  <c r="GB44" i="160"/>
  <c r="GC44" i="160"/>
  <c r="GE41" i="160"/>
  <c r="GB41" i="160"/>
  <c r="GA41" i="160"/>
  <c r="GC41" i="160"/>
  <c r="GD41" i="160"/>
  <c r="GE34" i="160"/>
  <c r="GD34" i="160"/>
  <c r="GB34" i="160"/>
  <c r="GC34" i="160"/>
  <c r="GA34" i="160"/>
  <c r="GA35" i="160"/>
  <c r="GD35" i="160"/>
  <c r="GC35" i="160"/>
  <c r="GB35" i="160"/>
  <c r="GE35" i="160"/>
  <c r="GB39" i="160"/>
  <c r="GD39" i="160"/>
  <c r="GE39" i="160"/>
  <c r="GA39" i="160"/>
  <c r="GC39" i="160"/>
  <c r="GE45" i="160"/>
  <c r="GB45" i="160"/>
  <c r="GA45" i="160"/>
  <c r="GC45" i="160"/>
  <c r="GD45" i="160"/>
  <c r="GE14" i="160"/>
  <c r="GD14" i="160"/>
  <c r="GB14" i="160"/>
  <c r="GA14" i="160"/>
  <c r="GC14" i="160"/>
  <c r="GD36" i="160"/>
  <c r="GA36" i="160"/>
  <c r="GB36" i="160"/>
  <c r="GC36" i="160"/>
  <c r="GE36" i="160"/>
  <c r="GE33" i="160"/>
  <c r="GB33" i="160"/>
  <c r="GC33" i="160"/>
  <c r="GA33" i="160"/>
  <c r="GD33" i="160"/>
  <c r="GB15" i="160"/>
  <c r="GD15" i="160"/>
  <c r="GC15" i="160"/>
  <c r="GA15" i="160"/>
  <c r="GE15" i="160"/>
  <c r="GB31" i="160"/>
  <c r="GD31" i="160"/>
  <c r="GE31" i="160"/>
  <c r="GA31" i="160"/>
  <c r="GC31" i="160"/>
  <c r="GE37" i="160"/>
  <c r="GB37" i="160"/>
  <c r="GC37" i="160"/>
  <c r="GD37" i="160"/>
  <c r="GA37" i="160"/>
  <c r="GD32" i="160"/>
  <c r="GC32" i="160"/>
  <c r="GE32" i="160"/>
  <c r="GA32" i="160"/>
  <c r="GB32" i="160"/>
  <c r="GD40" i="160"/>
  <c r="GB40" i="160"/>
  <c r="GC40" i="160"/>
  <c r="GA40" i="160"/>
  <c r="GE40" i="160"/>
  <c r="GE42" i="160"/>
  <c r="GD42" i="160"/>
  <c r="GB42" i="160"/>
  <c r="GC42" i="160"/>
  <c r="GA42" i="160"/>
  <c r="GB43" i="160"/>
  <c r="GD43" i="160"/>
  <c r="GE43" i="160"/>
  <c r="GA43" i="160"/>
  <c r="GC43" i="160"/>
  <c r="GE38" i="160"/>
  <c r="GD38" i="160"/>
  <c r="GB38" i="160"/>
  <c r="GC38" i="160"/>
  <c r="GA38" i="160"/>
  <c r="GF57" i="165"/>
  <c r="GE57" i="165" l="1"/>
  <c r="GD57" i="165"/>
  <c r="GC57" i="165"/>
  <c r="GB57" i="165"/>
  <c r="GA57" i="165"/>
  <c r="S1" i="162"/>
  <c r="S42" i="162" l="1"/>
  <c r="S31" i="162"/>
  <c r="S39" i="162"/>
  <c r="S36" i="162"/>
  <c r="S34" i="162"/>
  <c r="S27" i="162"/>
  <c r="S32" i="162"/>
  <c r="S29" i="162"/>
  <c r="S33" i="162"/>
  <c r="S37" i="162"/>
  <c r="S30" i="162"/>
  <c r="S38" i="162"/>
  <c r="S40" i="162"/>
  <c r="S28" i="162"/>
  <c r="S41" i="162"/>
  <c r="S35" i="162"/>
  <c r="U15" i="13"/>
  <c r="U17" i="13"/>
  <c r="AW28" i="147" l="1"/>
  <c r="AW27" i="147"/>
  <c r="AW26" i="147"/>
  <c r="AW25" i="147"/>
  <c r="AW24" i="147"/>
  <c r="AW23" i="147" l="1"/>
  <c r="CI68" i="84" l="1"/>
  <c r="F1" i="146" l="1"/>
  <c r="H1" i="146"/>
  <c r="M6" i="165" l="1"/>
  <c r="M6" i="160"/>
  <c r="AW39" i="147" l="1"/>
  <c r="AW33" i="147"/>
  <c r="AW31" i="147"/>
  <c r="AW29" i="147"/>
  <c r="AW37" i="147"/>
  <c r="AW35" i="147"/>
  <c r="AW38" i="147"/>
  <c r="AW36" i="147"/>
  <c r="AW34" i="147"/>
  <c r="AW32" i="147"/>
  <c r="AW30" i="147"/>
  <c r="BF14" i="84" l="1"/>
  <c r="BB14" i="84"/>
  <c r="AX14" i="84"/>
  <c r="AT14" i="84"/>
  <c r="AO14" i="84"/>
  <c r="AN14" i="84"/>
  <c r="AM14" i="84"/>
  <c r="AK14" i="84"/>
  <c r="AB14" i="84"/>
  <c r="EZ14" i="84" l="1"/>
  <c r="FQ14" i="84"/>
  <c r="FO33" i="84"/>
  <c r="FO32" i="84"/>
  <c r="FO34" i="84"/>
  <c r="FO30" i="84"/>
  <c r="FO28" i="84"/>
  <c r="FO31" i="84"/>
  <c r="FO42" i="84"/>
  <c r="FO38" i="84"/>
  <c r="FO36" i="84"/>
  <c r="FO39" i="84"/>
  <c r="FO35" i="84"/>
  <c r="FO41" i="84"/>
  <c r="FO43" i="84"/>
  <c r="FO40" i="84"/>
  <c r="FO37" i="84"/>
  <c r="FO44" i="84"/>
  <c r="P17" i="114"/>
  <c r="P56" i="114" s="1"/>
  <c r="E47" i="163"/>
  <c r="E47" i="162"/>
  <c r="D15" i="13" l="1"/>
  <c r="D14" i="13"/>
  <c r="D13" i="13"/>
  <c r="D12" i="13"/>
  <c r="D11" i="13"/>
  <c r="A5" i="194" l="1"/>
  <c r="A5" i="195"/>
  <c r="N1" i="194"/>
  <c r="N1" i="195"/>
  <c r="N2" i="194"/>
  <c r="N2" i="195"/>
  <c r="N3" i="194"/>
  <c r="N3" i="195"/>
  <c r="N4" i="194"/>
  <c r="N4" i="195"/>
  <c r="A5" i="192"/>
  <c r="A5" i="193"/>
  <c r="N1" i="192"/>
  <c r="N1" i="193"/>
  <c r="N2" i="192"/>
  <c r="N2" i="193"/>
  <c r="N3" i="192"/>
  <c r="N3" i="193"/>
  <c r="N4" i="192"/>
  <c r="N4" i="193"/>
  <c r="A5" i="190"/>
  <c r="A5" i="191"/>
  <c r="N1" i="190"/>
  <c r="N1" i="191"/>
  <c r="N2" i="190"/>
  <c r="N2" i="191"/>
  <c r="N3" i="190"/>
  <c r="N3" i="191"/>
  <c r="N4" i="190"/>
  <c r="N4" i="191"/>
  <c r="A5" i="188"/>
  <c r="A5" i="189"/>
  <c r="I1" i="188"/>
  <c r="N1" i="189"/>
  <c r="I2" i="188"/>
  <c r="N2" i="189"/>
  <c r="I3" i="188"/>
  <c r="N3" i="189"/>
  <c r="I4" i="188"/>
  <c r="N4" i="189"/>
  <c r="I2" i="169"/>
  <c r="P2" i="186"/>
  <c r="AA2" i="185"/>
  <c r="AA2" i="184"/>
  <c r="AA2" i="183"/>
  <c r="AA2" i="182"/>
  <c r="N2" i="174"/>
  <c r="N2" i="176"/>
  <c r="N2" i="171"/>
  <c r="I2" i="178"/>
  <c r="N2" i="173"/>
  <c r="N2" i="175"/>
  <c r="N2" i="177"/>
  <c r="M2" i="170"/>
  <c r="N2" i="172"/>
  <c r="A5" i="169"/>
  <c r="A5" i="186"/>
  <c r="A5" i="185"/>
  <c r="A5" i="184"/>
  <c r="A5" i="183"/>
  <c r="A5" i="182"/>
  <c r="A5" i="176"/>
  <c r="A5" i="171"/>
  <c r="A5" i="178"/>
  <c r="A5" i="173"/>
  <c r="A5" i="175"/>
  <c r="A5" i="177"/>
  <c r="A5" i="170"/>
  <c r="A5" i="172"/>
  <c r="A5" i="174"/>
  <c r="I3" i="169"/>
  <c r="P3" i="186"/>
  <c r="AA3" i="185"/>
  <c r="AA3" i="184"/>
  <c r="AA3" i="183"/>
  <c r="AA3" i="182"/>
  <c r="N3" i="174"/>
  <c r="N3" i="176"/>
  <c r="N3" i="171"/>
  <c r="I3" i="178"/>
  <c r="N3" i="173"/>
  <c r="N3" i="175"/>
  <c r="N3" i="177"/>
  <c r="M3" i="170"/>
  <c r="N3" i="172"/>
  <c r="Z1" i="160"/>
  <c r="P1" i="186"/>
  <c r="AA1" i="185"/>
  <c r="AA1" i="184"/>
  <c r="AA1" i="183"/>
  <c r="AA1" i="182"/>
  <c r="N1" i="177"/>
  <c r="N1" i="172"/>
  <c r="M1" i="170"/>
  <c r="N1" i="174"/>
  <c r="N1" i="175"/>
  <c r="N1" i="171"/>
  <c r="N1" i="176"/>
  <c r="I1" i="178"/>
  <c r="N1" i="173"/>
  <c r="I4" i="169"/>
  <c r="P4" i="186"/>
  <c r="AA4" i="185"/>
  <c r="AA4" i="184"/>
  <c r="AA4" i="183"/>
  <c r="AA4" i="182"/>
  <c r="N4" i="176"/>
  <c r="N4" i="171"/>
  <c r="N4" i="174"/>
  <c r="I4" i="178"/>
  <c r="N4" i="173"/>
  <c r="N4" i="175"/>
  <c r="N4" i="177"/>
  <c r="M4" i="170"/>
  <c r="N4" i="172"/>
  <c r="I1" i="169"/>
  <c r="Z1" i="84"/>
  <c r="BV30" i="114"/>
  <c r="BU30" i="114"/>
  <c r="BT30" i="114"/>
  <c r="EZ22" i="160" l="1"/>
  <c r="EY22" i="160"/>
  <c r="Q30" i="13"/>
  <c r="L1" i="169" l="1"/>
  <c r="S1" i="114"/>
  <c r="H1" i="145"/>
  <c r="D1" i="169" l="1"/>
  <c r="D4" i="169"/>
  <c r="D2" i="169"/>
  <c r="BQ45" i="160"/>
  <c r="BN45" i="160"/>
  <c r="BO45" i="160" s="1"/>
  <c r="BQ44" i="160"/>
  <c r="BN44" i="160"/>
  <c r="BO44" i="160" s="1"/>
  <c r="BQ43" i="160"/>
  <c r="BN43" i="160"/>
  <c r="BM43" i="160" s="1"/>
  <c r="BQ42" i="160"/>
  <c r="BN42" i="160"/>
  <c r="BO42" i="160" s="1"/>
  <c r="BQ41" i="160"/>
  <c r="BN41" i="160"/>
  <c r="BO41" i="160" s="1"/>
  <c r="BQ40" i="160"/>
  <c r="BN40" i="160"/>
  <c r="BO40" i="160" s="1"/>
  <c r="BQ39" i="160"/>
  <c r="BN39" i="160"/>
  <c r="BO39" i="160" s="1"/>
  <c r="BM39" i="160"/>
  <c r="BQ38" i="160"/>
  <c r="BN38" i="160"/>
  <c r="BO38" i="160" s="1"/>
  <c r="BQ37" i="160"/>
  <c r="BN37" i="160"/>
  <c r="BM37" i="160" s="1"/>
  <c r="BQ36" i="160"/>
  <c r="BO36" i="160"/>
  <c r="BN36" i="160"/>
  <c r="BM36" i="160"/>
  <c r="BQ35" i="160"/>
  <c r="BN35" i="160"/>
  <c r="BO35" i="160" s="1"/>
  <c r="BM35" i="160"/>
  <c r="BQ34" i="160"/>
  <c r="BN34" i="160"/>
  <c r="BM34" i="160" s="1"/>
  <c r="BQ33" i="160"/>
  <c r="BN33" i="160"/>
  <c r="BO33" i="160" s="1"/>
  <c r="BM33" i="160"/>
  <c r="BQ32" i="160"/>
  <c r="BN32" i="160"/>
  <c r="BO32" i="160" s="1"/>
  <c r="BM32" i="160"/>
  <c r="BQ31" i="160"/>
  <c r="BN31" i="160"/>
  <c r="BM31" i="160" s="1"/>
  <c r="BQ30" i="160"/>
  <c r="BN30" i="160"/>
  <c r="BO30" i="160" s="1"/>
  <c r="BQ29" i="160"/>
  <c r="BN29" i="160"/>
  <c r="BO29" i="160" s="1"/>
  <c r="BM29" i="160"/>
  <c r="BQ28" i="160"/>
  <c r="BN28" i="160"/>
  <c r="BO28" i="160" s="1"/>
  <c r="BQ27" i="160"/>
  <c r="BN27" i="160"/>
  <c r="BO27" i="160" s="1"/>
  <c r="BQ26" i="160"/>
  <c r="BN26" i="160"/>
  <c r="BO26" i="160" s="1"/>
  <c r="BQ24" i="160"/>
  <c r="BN24" i="160"/>
  <c r="BO24" i="160" s="1"/>
  <c r="BM24" i="160"/>
  <c r="BQ23" i="160"/>
  <c r="BN23" i="160"/>
  <c r="BO23" i="160" s="1"/>
  <c r="BQ22" i="160"/>
  <c r="BN22" i="160"/>
  <c r="BM22" i="160" s="1"/>
  <c r="BQ21" i="160"/>
  <c r="BN21" i="160"/>
  <c r="BM21" i="160" s="1"/>
  <c r="BQ20" i="160"/>
  <c r="BN20" i="160"/>
  <c r="BO20" i="160" s="1"/>
  <c r="BQ19" i="160"/>
  <c r="BN19" i="160"/>
  <c r="BO19" i="160" s="1"/>
  <c r="BQ18" i="160"/>
  <c r="BN18" i="160"/>
  <c r="BO18" i="160" s="1"/>
  <c r="BQ17" i="160"/>
  <c r="BN17" i="160"/>
  <c r="BO17" i="160" s="1"/>
  <c r="BQ14" i="160"/>
  <c r="BN14" i="160"/>
  <c r="BM14" i="160" s="1"/>
  <c r="FA64" i="160" l="1"/>
  <c r="EZ64" i="160"/>
  <c r="FA69" i="160"/>
  <c r="EZ69" i="160"/>
  <c r="EZ76" i="160"/>
  <c r="FA76" i="160"/>
  <c r="FA73" i="160"/>
  <c r="EZ73" i="160"/>
  <c r="EZ75" i="160"/>
  <c r="FA75" i="160"/>
  <c r="FA72" i="160"/>
  <c r="EZ72" i="160"/>
  <c r="FA79" i="160"/>
  <c r="EZ79" i="160"/>
  <c r="EZ24" i="160"/>
  <c r="EY24" i="160"/>
  <c r="EZ28" i="160"/>
  <c r="EY28" i="160"/>
  <c r="EZ26" i="160"/>
  <c r="EY26" i="160"/>
  <c r="EZ18" i="160"/>
  <c r="EY18" i="160"/>
  <c r="EZ19" i="160"/>
  <c r="EY19" i="160"/>
  <c r="EZ25" i="160"/>
  <c r="EY25" i="160"/>
  <c r="EZ29" i="160"/>
  <c r="EY29" i="160"/>
  <c r="EZ27" i="160"/>
  <c r="EY27" i="160"/>
  <c r="BM18" i="160"/>
  <c r="BR18" i="160" s="1"/>
  <c r="BM19" i="160"/>
  <c r="BR19" i="160" s="1"/>
  <c r="BM23" i="160"/>
  <c r="BR23" i="160" s="1"/>
  <c r="BM26" i="160"/>
  <c r="FA66" i="160" s="1"/>
  <c r="BM28" i="160"/>
  <c r="EZ68" i="160" s="1"/>
  <c r="BM38" i="160"/>
  <c r="BR38" i="160" s="1"/>
  <c r="BM40" i="160"/>
  <c r="BR40" i="160" s="1"/>
  <c r="BM42" i="160"/>
  <c r="BR42" i="160" s="1"/>
  <c r="BM44" i="160"/>
  <c r="BR44" i="160" s="1"/>
  <c r="BO22" i="160"/>
  <c r="BR22" i="160" s="1"/>
  <c r="BO37" i="160"/>
  <c r="BR37" i="160" s="1"/>
  <c r="BO43" i="160"/>
  <c r="BR43" i="160" s="1"/>
  <c r="BR36" i="160"/>
  <c r="BR33" i="160"/>
  <c r="BR39" i="160"/>
  <c r="BO21" i="160"/>
  <c r="BR21" i="160" s="1"/>
  <c r="BR24" i="160"/>
  <c r="BO31" i="160"/>
  <c r="BR31" i="160" s="1"/>
  <c r="BO34" i="160"/>
  <c r="BR34" i="160" s="1"/>
  <c r="BM17" i="160"/>
  <c r="BR17" i="160" s="1"/>
  <c r="BM20" i="160"/>
  <c r="BR20" i="160" s="1"/>
  <c r="BM27" i="160"/>
  <c r="BR27" i="160" s="1"/>
  <c r="BM30" i="160"/>
  <c r="BR30" i="160" s="1"/>
  <c r="BM41" i="160"/>
  <c r="BR41" i="160" s="1"/>
  <c r="BM45" i="160"/>
  <c r="BR45" i="160" s="1"/>
  <c r="BO14" i="160"/>
  <c r="BR14" i="160" s="1"/>
  <c r="BR32" i="160"/>
  <c r="BR29" i="160"/>
  <c r="BR35" i="160"/>
  <c r="FA84" i="160" l="1"/>
  <c r="BR26" i="160"/>
  <c r="EZ67" i="160"/>
  <c r="BR28" i="160"/>
  <c r="EZ85" i="160"/>
  <c r="EZ82" i="160"/>
  <c r="FA68" i="160"/>
  <c r="FA80" i="160"/>
  <c r="EZ60" i="160"/>
  <c r="FA60" i="160"/>
  <c r="FA54" i="160"/>
  <c r="FA67" i="160"/>
  <c r="EZ84" i="160"/>
  <c r="EZ54" i="160"/>
  <c r="EX54" i="160" s="1"/>
  <c r="FA82" i="160"/>
  <c r="EZ63" i="160"/>
  <c r="EZ71" i="160"/>
  <c r="EZ77" i="160"/>
  <c r="FA85" i="160"/>
  <c r="FA62" i="160"/>
  <c r="EZ83" i="160"/>
  <c r="EZ59" i="160"/>
  <c r="EX59" i="160" s="1"/>
  <c r="FA59" i="160"/>
  <c r="EZ80" i="160"/>
  <c r="FA58" i="160"/>
  <c r="EZ81" i="160"/>
  <c r="EZ70" i="160"/>
  <c r="EZ66" i="160"/>
  <c r="FA57" i="160"/>
  <c r="EZ78" i="160"/>
  <c r="FA74" i="160"/>
  <c r="EZ74" i="160"/>
  <c r="FA63" i="160"/>
  <c r="FA71" i="160"/>
  <c r="EZ62" i="160"/>
  <c r="FA83" i="160"/>
  <c r="FA77" i="160"/>
  <c r="EZ58" i="160"/>
  <c r="FA81" i="160"/>
  <c r="FA70" i="160"/>
  <c r="EZ57" i="160"/>
  <c r="FA78" i="160"/>
  <c r="EZ61" i="160"/>
  <c r="FA61" i="160"/>
  <c r="FG1" i="84" l="1"/>
  <c r="FG1" i="160"/>
  <c r="DD1" i="165"/>
  <c r="AE25" i="163" l="1"/>
  <c r="W25" i="163"/>
  <c r="U25" i="163"/>
  <c r="W25" i="162"/>
  <c r="U25" i="162"/>
  <c r="AE25" i="162"/>
  <c r="GE85" i="160" l="1"/>
  <c r="AQ45" i="160" s="1"/>
  <c r="GD85" i="160"/>
  <c r="AP45" i="160" s="1"/>
  <c r="GE84" i="160"/>
  <c r="AQ44" i="160" s="1"/>
  <c r="GD84" i="160"/>
  <c r="AP44" i="160" s="1"/>
  <c r="GE83" i="160"/>
  <c r="AQ43" i="160" s="1"/>
  <c r="GD83" i="160"/>
  <c r="AP43" i="160" s="1"/>
  <c r="GE82" i="160"/>
  <c r="AQ42" i="160" s="1"/>
  <c r="GD82" i="160"/>
  <c r="AP42" i="160" s="1"/>
  <c r="GE81" i="160"/>
  <c r="AQ41" i="160" s="1"/>
  <c r="GD81" i="160"/>
  <c r="AP41" i="160" s="1"/>
  <c r="GE80" i="160"/>
  <c r="AQ40" i="160" s="1"/>
  <c r="GD80" i="160"/>
  <c r="AP40" i="160" s="1"/>
  <c r="GE79" i="160"/>
  <c r="AQ39" i="160" s="1"/>
  <c r="GD79" i="160"/>
  <c r="AP39" i="160" s="1"/>
  <c r="GE78" i="160"/>
  <c r="AQ38" i="160" s="1"/>
  <c r="GD78" i="160"/>
  <c r="AP38" i="160" s="1"/>
  <c r="GE77" i="160"/>
  <c r="AQ37" i="160" s="1"/>
  <c r="GD77" i="160"/>
  <c r="AP37" i="160" s="1"/>
  <c r="GE76" i="160"/>
  <c r="AQ36" i="160" s="1"/>
  <c r="GD76" i="160"/>
  <c r="AP36" i="160" s="1"/>
  <c r="GE75" i="160"/>
  <c r="AQ35" i="160" s="1"/>
  <c r="GD75" i="160"/>
  <c r="AP35" i="160" s="1"/>
  <c r="GE74" i="160"/>
  <c r="AQ34" i="160" s="1"/>
  <c r="GD74" i="160"/>
  <c r="AP34" i="160" s="1"/>
  <c r="GE73" i="160"/>
  <c r="AQ33" i="160" s="1"/>
  <c r="GD73" i="160"/>
  <c r="AP33" i="160" s="1"/>
  <c r="GE72" i="160"/>
  <c r="AQ32" i="160" s="1"/>
  <c r="GD72" i="160"/>
  <c r="AP32" i="160" s="1"/>
  <c r="GE71" i="160"/>
  <c r="AQ31" i="160" s="1"/>
  <c r="GD71" i="160"/>
  <c r="AP31" i="160" s="1"/>
  <c r="GE70" i="160"/>
  <c r="AQ30" i="160" s="1"/>
  <c r="GD70" i="160"/>
  <c r="AP30" i="160" s="1"/>
  <c r="GE69" i="160"/>
  <c r="AQ29" i="160" s="1"/>
  <c r="GD69" i="160"/>
  <c r="AP29" i="160" s="1"/>
  <c r="GE68" i="160"/>
  <c r="AQ28" i="160" s="1"/>
  <c r="GD68" i="160"/>
  <c r="AP28" i="160" s="1"/>
  <c r="GE67" i="160"/>
  <c r="AQ27" i="160" s="1"/>
  <c r="GD67" i="160"/>
  <c r="AP27" i="160" s="1"/>
  <c r="GE66" i="160"/>
  <c r="AQ26" i="160" s="1"/>
  <c r="GD66" i="160"/>
  <c r="AP26" i="160" s="1"/>
  <c r="GE65" i="160"/>
  <c r="AQ25" i="160" s="1"/>
  <c r="GD65" i="160"/>
  <c r="AP25" i="160" s="1"/>
  <c r="GE64" i="160"/>
  <c r="AQ24" i="160" s="1"/>
  <c r="GD64" i="160"/>
  <c r="AP24" i="160" s="1"/>
  <c r="GE63" i="160"/>
  <c r="AQ23" i="160" s="1"/>
  <c r="GD63" i="160"/>
  <c r="AP23" i="160" s="1"/>
  <c r="GE62" i="160"/>
  <c r="AQ22" i="160" s="1"/>
  <c r="GD62" i="160"/>
  <c r="AP22" i="160" s="1"/>
  <c r="GE61" i="160"/>
  <c r="AQ21" i="160" s="1"/>
  <c r="GD61" i="160"/>
  <c r="AP21" i="160" s="1"/>
  <c r="GE60" i="160"/>
  <c r="AQ20" i="160" s="1"/>
  <c r="GD60" i="160"/>
  <c r="AP20" i="160" s="1"/>
  <c r="GE59" i="160"/>
  <c r="AQ19" i="160" s="1"/>
  <c r="GD59" i="160"/>
  <c r="AP19" i="160" s="1"/>
  <c r="GE58" i="160"/>
  <c r="AQ18" i="160" s="1"/>
  <c r="GD58" i="160"/>
  <c r="AP18" i="160" s="1"/>
  <c r="GE57" i="160"/>
  <c r="AQ17" i="160" s="1"/>
  <c r="GD57" i="160"/>
  <c r="AP17" i="160" s="1"/>
  <c r="GE56" i="160"/>
  <c r="AQ16" i="160" s="1"/>
  <c r="GD56" i="160"/>
  <c r="AP16" i="160" s="1"/>
  <c r="GE55" i="160"/>
  <c r="AQ15" i="160" s="1"/>
  <c r="GD55" i="160"/>
  <c r="AP15" i="160" s="1"/>
  <c r="GE54" i="160"/>
  <c r="AQ14" i="160" s="1"/>
  <c r="GD54" i="160"/>
  <c r="AP14" i="160" s="1"/>
  <c r="GE85" i="84"/>
  <c r="AQ45" i="84" s="1"/>
  <c r="GD85" i="84"/>
  <c r="AP45" i="84" s="1"/>
  <c r="GE84" i="84"/>
  <c r="AQ44" i="84" s="1"/>
  <c r="GD84" i="84"/>
  <c r="AP44" i="84" s="1"/>
  <c r="GE83" i="84"/>
  <c r="AQ43" i="84" s="1"/>
  <c r="GD83" i="84"/>
  <c r="AP43" i="84" s="1"/>
  <c r="GE82" i="84"/>
  <c r="AQ42" i="84" s="1"/>
  <c r="GD82" i="84"/>
  <c r="AP42" i="84" s="1"/>
  <c r="GE81" i="84"/>
  <c r="AQ41" i="84" s="1"/>
  <c r="GD81" i="84"/>
  <c r="AP41" i="84" s="1"/>
  <c r="GE80" i="84"/>
  <c r="AQ40" i="84" s="1"/>
  <c r="GD80" i="84"/>
  <c r="AP40" i="84" s="1"/>
  <c r="GE79" i="84"/>
  <c r="AQ39" i="84" s="1"/>
  <c r="GD79" i="84"/>
  <c r="AP39" i="84" s="1"/>
  <c r="GE78" i="84"/>
  <c r="AQ38" i="84" s="1"/>
  <c r="GD78" i="84"/>
  <c r="AP38" i="84" s="1"/>
  <c r="GE77" i="84"/>
  <c r="AQ37" i="84" s="1"/>
  <c r="GD77" i="84"/>
  <c r="AP37" i="84" s="1"/>
  <c r="GE76" i="84"/>
  <c r="AQ36" i="84" s="1"/>
  <c r="GD76" i="84"/>
  <c r="AP36" i="84" s="1"/>
  <c r="GE75" i="84"/>
  <c r="AQ35" i="84" s="1"/>
  <c r="GD75" i="84"/>
  <c r="AP35" i="84" s="1"/>
  <c r="GE74" i="84"/>
  <c r="AQ34" i="84" s="1"/>
  <c r="GD74" i="84"/>
  <c r="AP34" i="84" s="1"/>
  <c r="GE73" i="84"/>
  <c r="AQ33" i="84" s="1"/>
  <c r="GD73" i="84"/>
  <c r="AP33" i="84" s="1"/>
  <c r="GE72" i="84"/>
  <c r="AQ32" i="84" s="1"/>
  <c r="GD72" i="84"/>
  <c r="AP32" i="84" s="1"/>
  <c r="GE71" i="84"/>
  <c r="AQ31" i="84" s="1"/>
  <c r="GD71" i="84"/>
  <c r="AP31" i="84" s="1"/>
  <c r="GE69" i="84"/>
  <c r="AQ29" i="84" s="1"/>
  <c r="GD69" i="84"/>
  <c r="AP29" i="84" s="1"/>
  <c r="GE68" i="84"/>
  <c r="AQ28" i="84" s="1"/>
  <c r="GD68" i="84"/>
  <c r="AP28" i="84" s="1"/>
  <c r="GE67" i="84"/>
  <c r="AQ27" i="84" s="1"/>
  <c r="GD67" i="84"/>
  <c r="AP27" i="84" s="1"/>
  <c r="GE66" i="84"/>
  <c r="AQ26" i="84" s="1"/>
  <c r="GD66" i="84"/>
  <c r="AP26" i="84" s="1"/>
  <c r="GE65" i="84"/>
  <c r="AQ25" i="84" s="1"/>
  <c r="GD65" i="84"/>
  <c r="AP25" i="84" s="1"/>
  <c r="GE64" i="84"/>
  <c r="AQ24" i="84" s="1"/>
  <c r="GD64" i="84"/>
  <c r="AP24" i="84" s="1"/>
  <c r="GE63" i="84"/>
  <c r="AQ23" i="84" s="1"/>
  <c r="GD63" i="84"/>
  <c r="AP23" i="84" s="1"/>
  <c r="GE62" i="84"/>
  <c r="AQ22" i="84" s="1"/>
  <c r="GD62" i="84"/>
  <c r="AP22" i="84" s="1"/>
  <c r="GE61" i="84"/>
  <c r="AQ21" i="84" s="1"/>
  <c r="GD61" i="84"/>
  <c r="AP21" i="84" s="1"/>
  <c r="GE60" i="84"/>
  <c r="AQ20" i="84" s="1"/>
  <c r="GD60" i="84"/>
  <c r="AP20" i="84" s="1"/>
  <c r="GE59" i="84"/>
  <c r="AQ19" i="84" s="1"/>
  <c r="GD59" i="84"/>
  <c r="AP19" i="84" s="1"/>
  <c r="GE58" i="84"/>
  <c r="AQ18" i="84" s="1"/>
  <c r="GD58" i="84"/>
  <c r="AP18" i="84" s="1"/>
  <c r="GE57" i="84"/>
  <c r="AQ17" i="84" s="1"/>
  <c r="GD57" i="84"/>
  <c r="AP17" i="84" s="1"/>
  <c r="GE54" i="84"/>
  <c r="AQ14" i="84" s="1"/>
  <c r="GD54" i="84"/>
  <c r="AP14" i="84" s="1"/>
  <c r="BQ32" i="84" l="1"/>
  <c r="DF45" i="165"/>
  <c r="DM45" i="165"/>
  <c r="CV45" i="165"/>
  <c r="DF44" i="165"/>
  <c r="DM44" i="165"/>
  <c r="CV44" i="165"/>
  <c r="DF43" i="165"/>
  <c r="DM43" i="165"/>
  <c r="CV43" i="165"/>
  <c r="DF42" i="165"/>
  <c r="DM42" i="165"/>
  <c r="CV42" i="165"/>
  <c r="DF41" i="165"/>
  <c r="DM41" i="165"/>
  <c r="CV41" i="165"/>
  <c r="DF40" i="165"/>
  <c r="DM40" i="165"/>
  <c r="CV40" i="165"/>
  <c r="DF39" i="165"/>
  <c r="DM39" i="165"/>
  <c r="CV39" i="165"/>
  <c r="DF38" i="165"/>
  <c r="DM38" i="165"/>
  <c r="CV38" i="165"/>
  <c r="DF37" i="165"/>
  <c r="DM37" i="165"/>
  <c r="CV37" i="165"/>
  <c r="DF36" i="165"/>
  <c r="DM36" i="165"/>
  <c r="CV36" i="165"/>
  <c r="DF35" i="165"/>
  <c r="DM35" i="165"/>
  <c r="CV35" i="165"/>
  <c r="DF34" i="165"/>
  <c r="DM34" i="165"/>
  <c r="CV34" i="165"/>
  <c r="DF33" i="165"/>
  <c r="DM33" i="165"/>
  <c r="CV33" i="165"/>
  <c r="DF32" i="165"/>
  <c r="DM32" i="165"/>
  <c r="CV32" i="165"/>
  <c r="DF31" i="165"/>
  <c r="DM31" i="165"/>
  <c r="CV31" i="165"/>
  <c r="DF30" i="165"/>
  <c r="DM30" i="165"/>
  <c r="CV30" i="165"/>
  <c r="DF29" i="165"/>
  <c r="DM29" i="165"/>
  <c r="CV29" i="165"/>
  <c r="DF28" i="165"/>
  <c r="DM28" i="165"/>
  <c r="CV28" i="165"/>
  <c r="DF27" i="165"/>
  <c r="DM27" i="165"/>
  <c r="CV27" i="165"/>
  <c r="DF26" i="165"/>
  <c r="DM26" i="165"/>
  <c r="CV26" i="165"/>
  <c r="DF25" i="165"/>
  <c r="DM25" i="165"/>
  <c r="CV25" i="165"/>
  <c r="DF24" i="165"/>
  <c r="DM24" i="165"/>
  <c r="CV24" i="165"/>
  <c r="DF23" i="165"/>
  <c r="DM23" i="165"/>
  <c r="CV23" i="165"/>
  <c r="DM22" i="165"/>
  <c r="DF21" i="165"/>
  <c r="DM21" i="165"/>
  <c r="CV21" i="165"/>
  <c r="DF20" i="165"/>
  <c r="GD20" i="165" s="1"/>
  <c r="DM20" i="165"/>
  <c r="CV20" i="165"/>
  <c r="GC20" i="165" s="1"/>
  <c r="DM19" i="165"/>
  <c r="DF18" i="165"/>
  <c r="DM18" i="165"/>
  <c r="CV18" i="165"/>
  <c r="DF17" i="165"/>
  <c r="DM17" i="165"/>
  <c r="CV17" i="165"/>
  <c r="DF16" i="165"/>
  <c r="DM16" i="165"/>
  <c r="CV16" i="165"/>
  <c r="DE45" i="165"/>
  <c r="CU45" i="165"/>
  <c r="DE44" i="165"/>
  <c r="CU44" i="165"/>
  <c r="DE43" i="165"/>
  <c r="CU43" i="165"/>
  <c r="DE42" i="165"/>
  <c r="CU42" i="165"/>
  <c r="DE41" i="165"/>
  <c r="CU41" i="165"/>
  <c r="DE40" i="165"/>
  <c r="CU40" i="165"/>
  <c r="DE39" i="165"/>
  <c r="CU39" i="165"/>
  <c r="DE38" i="165"/>
  <c r="CU38" i="165"/>
  <c r="DE37" i="165"/>
  <c r="CU37" i="165"/>
  <c r="DE36" i="165"/>
  <c r="CU36" i="165"/>
  <c r="DE35" i="165"/>
  <c r="CU35" i="165"/>
  <c r="DE34" i="165"/>
  <c r="CU34" i="165"/>
  <c r="DE33" i="165"/>
  <c r="CU33" i="165"/>
  <c r="DE32" i="165"/>
  <c r="CU32" i="165"/>
  <c r="DE31" i="165"/>
  <c r="CU31" i="165"/>
  <c r="CU30" i="165"/>
  <c r="CU29" i="165"/>
  <c r="DE28" i="165"/>
  <c r="CU28" i="165"/>
  <c r="DE27" i="165"/>
  <c r="CU27" i="165"/>
  <c r="DE26" i="165"/>
  <c r="CU26" i="165"/>
  <c r="DE25" i="165"/>
  <c r="CU25" i="165"/>
  <c r="DE24" i="165"/>
  <c r="CU24" i="165"/>
  <c r="DE23" i="165"/>
  <c r="CU23" i="165"/>
  <c r="DE22" i="165"/>
  <c r="CU22" i="165"/>
  <c r="DE21" i="165"/>
  <c r="CU21" i="165"/>
  <c r="DE19" i="165"/>
  <c r="CU19" i="165"/>
  <c r="DE18" i="165"/>
  <c r="CU18" i="165"/>
  <c r="DE16" i="165"/>
  <c r="CU16" i="165"/>
  <c r="DE17" i="165"/>
  <c r="CU17" i="165"/>
  <c r="FY54" i="160"/>
  <c r="FZ54" i="160" s="1"/>
  <c r="FS54" i="84"/>
  <c r="FU54" i="84"/>
  <c r="CU68" i="84"/>
  <c r="CB68" i="84"/>
  <c r="CV19" i="165"/>
  <c r="AV40" i="147"/>
  <c r="AE36" i="147"/>
  <c r="AE30" i="147"/>
  <c r="AH29" i="147"/>
  <c r="AE28" i="147"/>
  <c r="M7" i="146"/>
  <c r="AG26" i="147"/>
  <c r="AG24" i="147"/>
  <c r="DD45" i="165"/>
  <c r="FD45" i="165" s="1"/>
  <c r="DD44" i="165"/>
  <c r="FD44" i="165" s="1"/>
  <c r="DD43" i="165"/>
  <c r="FD43" i="165" s="1"/>
  <c r="DD42" i="165"/>
  <c r="FD42" i="165" s="1"/>
  <c r="DD41" i="165"/>
  <c r="FD41" i="165" s="1"/>
  <c r="DD40" i="165"/>
  <c r="FD40" i="165" s="1"/>
  <c r="DD39" i="165"/>
  <c r="FD39" i="165" s="1"/>
  <c r="DD38" i="165"/>
  <c r="FD38" i="165" s="1"/>
  <c r="FH38" i="165" s="1"/>
  <c r="DD37" i="165"/>
  <c r="FD37" i="165" s="1"/>
  <c r="DD36" i="165"/>
  <c r="FD36" i="165" s="1"/>
  <c r="DD35" i="165"/>
  <c r="FD35" i="165" s="1"/>
  <c r="DD34" i="165"/>
  <c r="FD34" i="165" s="1"/>
  <c r="DD33" i="165"/>
  <c r="FD33" i="165" s="1"/>
  <c r="DD32" i="165"/>
  <c r="FD32" i="165" s="1"/>
  <c r="DD31" i="165"/>
  <c r="FD31" i="165" s="1"/>
  <c r="DD30" i="165"/>
  <c r="FD30" i="165" s="1"/>
  <c r="DD29" i="165"/>
  <c r="FD29" i="165" s="1"/>
  <c r="DD28" i="165"/>
  <c r="FD28" i="165" s="1"/>
  <c r="DD27" i="165"/>
  <c r="FD27" i="165" s="1"/>
  <c r="DD26" i="165"/>
  <c r="FD26" i="165" s="1"/>
  <c r="DD25" i="165"/>
  <c r="FD25" i="165" s="1"/>
  <c r="DD24" i="165"/>
  <c r="FD24" i="165" s="1"/>
  <c r="DD23" i="165"/>
  <c r="FD23" i="165" s="1"/>
  <c r="DD22" i="165"/>
  <c r="FD22" i="165" s="1"/>
  <c r="FH22" i="165" s="1"/>
  <c r="DD21" i="165"/>
  <c r="FD21" i="165" s="1"/>
  <c r="DD20" i="165"/>
  <c r="FD20" i="165" s="1"/>
  <c r="DD19" i="165"/>
  <c r="FD19" i="165" s="1"/>
  <c r="DD18" i="165"/>
  <c r="FD18" i="165" s="1"/>
  <c r="DD17" i="165"/>
  <c r="FD17" i="165" s="1"/>
  <c r="DD16" i="165"/>
  <c r="FD16" i="165" s="1"/>
  <c r="DN45" i="165"/>
  <c r="FI45" i="165" s="1"/>
  <c r="DN44" i="165"/>
  <c r="FI44" i="165" s="1"/>
  <c r="DN43" i="165"/>
  <c r="FI43" i="165" s="1"/>
  <c r="DN42" i="165"/>
  <c r="FI42" i="165" s="1"/>
  <c r="DN41" i="165"/>
  <c r="FI41" i="165" s="1"/>
  <c r="DN40" i="165"/>
  <c r="FI40" i="165" s="1"/>
  <c r="DN39" i="165"/>
  <c r="FI39" i="165" s="1"/>
  <c r="DN38" i="165"/>
  <c r="FI38" i="165" s="1"/>
  <c r="DN37" i="165"/>
  <c r="FI37" i="165" s="1"/>
  <c r="DN36" i="165"/>
  <c r="FI36" i="165" s="1"/>
  <c r="DN35" i="165"/>
  <c r="FI35" i="165" s="1"/>
  <c r="DN34" i="165"/>
  <c r="FI34" i="165" s="1"/>
  <c r="DN33" i="165"/>
  <c r="FI33" i="165" s="1"/>
  <c r="DN32" i="165"/>
  <c r="FI32" i="165" s="1"/>
  <c r="DN31" i="165"/>
  <c r="FI31" i="165" s="1"/>
  <c r="DN30" i="165"/>
  <c r="FI30" i="165" s="1"/>
  <c r="DN29" i="165"/>
  <c r="FI29" i="165" s="1"/>
  <c r="DN28" i="165"/>
  <c r="FI28" i="165" s="1"/>
  <c r="DN27" i="165"/>
  <c r="FI27" i="165" s="1"/>
  <c r="DN26" i="165"/>
  <c r="FI26" i="165" s="1"/>
  <c r="DN25" i="165"/>
  <c r="FI25" i="165" s="1"/>
  <c r="DN24" i="165"/>
  <c r="FI24" i="165" s="1"/>
  <c r="DN23" i="165"/>
  <c r="FI23" i="165" s="1"/>
  <c r="DN22" i="165"/>
  <c r="FI22" i="165" s="1"/>
  <c r="DN21" i="165"/>
  <c r="FI21" i="165" s="1"/>
  <c r="DN20" i="165"/>
  <c r="FI20" i="165" s="1"/>
  <c r="DN19" i="165"/>
  <c r="FI19" i="165" s="1"/>
  <c r="DN18" i="165"/>
  <c r="FI18" i="165" s="1"/>
  <c r="DN17" i="165"/>
  <c r="FI17" i="165" s="1"/>
  <c r="DN16" i="165"/>
  <c r="FI16" i="165" s="1"/>
  <c r="CT85" i="160"/>
  <c r="EP85" i="160" s="1"/>
  <c r="CT84" i="160"/>
  <c r="EP84" i="160" s="1"/>
  <c r="CT83" i="160"/>
  <c r="EP83" i="160" s="1"/>
  <c r="CT82" i="160"/>
  <c r="EP82" i="160" s="1"/>
  <c r="CT81" i="160"/>
  <c r="EP81" i="160" s="1"/>
  <c r="CT80" i="160"/>
  <c r="EP80" i="160" s="1"/>
  <c r="CT79" i="160"/>
  <c r="CT78" i="160"/>
  <c r="EP78" i="160" s="1"/>
  <c r="CT77" i="160"/>
  <c r="EP77" i="160" s="1"/>
  <c r="CT76" i="160"/>
  <c r="EP76" i="160" s="1"/>
  <c r="CT75" i="160"/>
  <c r="EP75" i="160" s="1"/>
  <c r="CT74" i="160"/>
  <c r="EP74" i="160" s="1"/>
  <c r="CT73" i="160"/>
  <c r="EP73" i="160" s="1"/>
  <c r="CT72" i="160"/>
  <c r="EP72" i="160" s="1"/>
  <c r="CT71" i="160"/>
  <c r="CT70" i="160"/>
  <c r="EP70" i="160" s="1"/>
  <c r="CT69" i="160"/>
  <c r="EP69" i="160" s="1"/>
  <c r="CT68" i="160"/>
  <c r="EP68" i="160" s="1"/>
  <c r="CT67" i="160"/>
  <c r="EP67" i="160" s="1"/>
  <c r="CT66" i="160"/>
  <c r="EP66" i="160" s="1"/>
  <c r="CT65" i="160"/>
  <c r="EP65" i="160" s="1"/>
  <c r="CT64" i="160"/>
  <c r="EP64" i="160" s="1"/>
  <c r="CT63" i="160"/>
  <c r="EP63" i="160" s="1"/>
  <c r="CT62" i="160"/>
  <c r="EP62" i="160" s="1"/>
  <c r="CT61" i="160"/>
  <c r="EP61" i="160" s="1"/>
  <c r="CT60" i="160"/>
  <c r="EP60" i="160" s="1"/>
  <c r="CT59" i="160"/>
  <c r="EP59" i="160" s="1"/>
  <c r="CT58" i="160"/>
  <c r="EP58" i="160" s="1"/>
  <c r="CT57" i="160"/>
  <c r="EP57" i="160" s="1"/>
  <c r="CT56" i="160"/>
  <c r="EP56" i="160" s="1"/>
  <c r="CT55" i="160"/>
  <c r="EP55" i="160" s="1"/>
  <c r="CK85" i="160"/>
  <c r="EK85" i="160" s="1"/>
  <c r="CK84" i="160"/>
  <c r="EK84" i="160" s="1"/>
  <c r="CK83" i="160"/>
  <c r="EK83" i="160" s="1"/>
  <c r="CK82" i="160"/>
  <c r="EK82" i="160" s="1"/>
  <c r="CK81" i="160"/>
  <c r="EK81" i="160" s="1"/>
  <c r="CK80" i="160"/>
  <c r="EK80" i="160" s="1"/>
  <c r="CK79" i="160"/>
  <c r="EK79" i="160" s="1"/>
  <c r="CK78" i="160"/>
  <c r="EK78" i="160" s="1"/>
  <c r="CK77" i="160"/>
  <c r="EK77" i="160" s="1"/>
  <c r="CK76" i="160"/>
  <c r="EK76" i="160" s="1"/>
  <c r="CK75" i="160"/>
  <c r="EK75" i="160" s="1"/>
  <c r="CK74" i="160"/>
  <c r="EK74" i="160" s="1"/>
  <c r="CK73" i="160"/>
  <c r="EK73" i="160" s="1"/>
  <c r="CK72" i="160"/>
  <c r="EK72" i="160" s="1"/>
  <c r="CK71" i="160"/>
  <c r="EK71" i="160" s="1"/>
  <c r="CK70" i="160"/>
  <c r="EK70" i="160" s="1"/>
  <c r="CK69" i="160"/>
  <c r="EK69" i="160" s="1"/>
  <c r="CK68" i="160"/>
  <c r="EK68" i="160" s="1"/>
  <c r="CK67" i="160"/>
  <c r="EK67" i="160" s="1"/>
  <c r="CK66" i="160"/>
  <c r="EK66" i="160" s="1"/>
  <c r="CK65" i="160"/>
  <c r="EK65" i="160" s="1"/>
  <c r="CK64" i="160"/>
  <c r="EK64" i="160" s="1"/>
  <c r="CK63" i="160"/>
  <c r="EK63" i="160" s="1"/>
  <c r="CK62" i="160"/>
  <c r="EK62" i="160" s="1"/>
  <c r="CK61" i="160"/>
  <c r="EK61" i="160" s="1"/>
  <c r="CK60" i="160"/>
  <c r="EK60" i="160" s="1"/>
  <c r="CK59" i="160"/>
  <c r="EK59" i="160" s="1"/>
  <c r="CK58" i="160"/>
  <c r="EK58" i="160" s="1"/>
  <c r="CK57" i="160"/>
  <c r="EK57" i="160" s="1"/>
  <c r="CK56" i="160"/>
  <c r="EK56" i="160" s="1"/>
  <c r="CK55" i="160"/>
  <c r="EK55" i="160" s="1"/>
  <c r="CT54" i="160"/>
  <c r="EP54" i="160" s="1"/>
  <c r="CK54" i="160"/>
  <c r="EK54" i="160" s="1"/>
  <c r="CT85" i="84"/>
  <c r="EP85" i="84" s="1"/>
  <c r="CT84" i="84"/>
  <c r="EP84" i="84" s="1"/>
  <c r="CT83" i="84"/>
  <c r="EP83" i="84" s="1"/>
  <c r="CT82" i="84"/>
  <c r="EP82" i="84" s="1"/>
  <c r="CT81" i="84"/>
  <c r="EP81" i="84" s="1"/>
  <c r="CT80" i="84"/>
  <c r="CT79" i="84"/>
  <c r="CT78" i="84"/>
  <c r="EP78" i="84" s="1"/>
  <c r="CT77" i="84"/>
  <c r="EP77" i="84" s="1"/>
  <c r="CT76" i="84"/>
  <c r="EP76" i="84" s="1"/>
  <c r="CT75" i="84"/>
  <c r="EP75" i="84" s="1"/>
  <c r="CT74" i="84"/>
  <c r="EP74" i="84" s="1"/>
  <c r="CT73" i="84"/>
  <c r="EP73" i="84" s="1"/>
  <c r="CT72" i="84"/>
  <c r="EP72" i="84" s="1"/>
  <c r="CT71" i="84"/>
  <c r="EP71" i="84" s="1"/>
  <c r="CT69" i="84"/>
  <c r="EP69" i="84" s="1"/>
  <c r="CT68" i="84"/>
  <c r="EP68" i="84" s="1"/>
  <c r="EQ68" i="84" s="1"/>
  <c r="ER68" i="84" s="1"/>
  <c r="CK85" i="84"/>
  <c r="EK85" i="84" s="1"/>
  <c r="CK84" i="84"/>
  <c r="EK84" i="84" s="1"/>
  <c r="CK83" i="84"/>
  <c r="EK83" i="84" s="1"/>
  <c r="CK82" i="84"/>
  <c r="EK82" i="84" s="1"/>
  <c r="CK81" i="84"/>
  <c r="EK81" i="84" s="1"/>
  <c r="CK80" i="84"/>
  <c r="EK80" i="84" s="1"/>
  <c r="CK79" i="84"/>
  <c r="EK79" i="84" s="1"/>
  <c r="CK78" i="84"/>
  <c r="EK78" i="84" s="1"/>
  <c r="CK77" i="84"/>
  <c r="EK77" i="84" s="1"/>
  <c r="CK76" i="84"/>
  <c r="EK76" i="84" s="1"/>
  <c r="CK75" i="84"/>
  <c r="EK75" i="84" s="1"/>
  <c r="CK74" i="84"/>
  <c r="EK74" i="84" s="1"/>
  <c r="CK73" i="84"/>
  <c r="EK73" i="84" s="1"/>
  <c r="CK72" i="84"/>
  <c r="EK72" i="84" s="1"/>
  <c r="CK71" i="84"/>
  <c r="EK71" i="84" s="1"/>
  <c r="CK69" i="84"/>
  <c r="EK69" i="84" s="1"/>
  <c r="CK68" i="84"/>
  <c r="EK68" i="84" s="1"/>
  <c r="EL68" i="84" s="1"/>
  <c r="EM68" i="84" s="1"/>
  <c r="CT70" i="84"/>
  <c r="EP70" i="84" s="1"/>
  <c r="CK70" i="84"/>
  <c r="EK70" i="84" s="1"/>
  <c r="CS84" i="160"/>
  <c r="FE84" i="160"/>
  <c r="CJ84" i="160"/>
  <c r="CY84" i="160"/>
  <c r="FD84" i="160"/>
  <c r="CS83" i="160"/>
  <c r="FE83" i="160"/>
  <c r="CJ83" i="160"/>
  <c r="CY83" i="160"/>
  <c r="FD83" i="160"/>
  <c r="CS82" i="160"/>
  <c r="DG82" i="160"/>
  <c r="FE82" i="160"/>
  <c r="CJ82" i="160"/>
  <c r="CY82" i="160"/>
  <c r="FD82" i="160"/>
  <c r="CS81" i="160"/>
  <c r="FE81" i="160"/>
  <c r="CJ81" i="160"/>
  <c r="CY81" i="160"/>
  <c r="FD81" i="160"/>
  <c r="CS80" i="160"/>
  <c r="DG80" i="160"/>
  <c r="FE80" i="160"/>
  <c r="CJ80" i="160"/>
  <c r="CY80" i="160"/>
  <c r="CS79" i="160"/>
  <c r="FE79" i="160"/>
  <c r="CJ79" i="160"/>
  <c r="CY79" i="160"/>
  <c r="FD79" i="160"/>
  <c r="CS78" i="160"/>
  <c r="DG78" i="160"/>
  <c r="FE78" i="160"/>
  <c r="CJ78" i="160"/>
  <c r="CY78" i="160"/>
  <c r="FD78" i="160"/>
  <c r="CS77" i="160"/>
  <c r="FE77" i="160"/>
  <c r="CJ77" i="160"/>
  <c r="DA77" i="160"/>
  <c r="CY77" i="160"/>
  <c r="FD77" i="160"/>
  <c r="CS76" i="160"/>
  <c r="FE76" i="160"/>
  <c r="CJ76" i="160"/>
  <c r="CY76" i="160"/>
  <c r="FD76" i="160"/>
  <c r="CS75" i="160"/>
  <c r="FE75" i="160"/>
  <c r="CJ75" i="160"/>
  <c r="DA75" i="160"/>
  <c r="CY75" i="160"/>
  <c r="FD75" i="160"/>
  <c r="CS74" i="160"/>
  <c r="FE74" i="160"/>
  <c r="CJ74" i="160"/>
  <c r="CY74" i="160"/>
  <c r="FD74" i="160"/>
  <c r="CS73" i="160"/>
  <c r="FE73" i="160"/>
  <c r="CJ73" i="160"/>
  <c r="CY73" i="160"/>
  <c r="FD73" i="160"/>
  <c r="CS72" i="160"/>
  <c r="FE72" i="160"/>
  <c r="CJ72" i="160"/>
  <c r="CY72" i="160"/>
  <c r="CS71" i="160"/>
  <c r="CJ71" i="160"/>
  <c r="CY71" i="160"/>
  <c r="FD71" i="160"/>
  <c r="CS70" i="160"/>
  <c r="DG70" i="160"/>
  <c r="FE70" i="160"/>
  <c r="CJ70" i="160"/>
  <c r="CY70" i="160"/>
  <c r="CS69" i="160"/>
  <c r="CJ69" i="160"/>
  <c r="CY69" i="160"/>
  <c r="FD69" i="160"/>
  <c r="CS68" i="160"/>
  <c r="FE68" i="160"/>
  <c r="CJ68" i="160"/>
  <c r="CY68" i="160"/>
  <c r="FD68" i="160"/>
  <c r="CS67" i="160"/>
  <c r="FE67" i="160"/>
  <c r="CJ67" i="160"/>
  <c r="DA67" i="160"/>
  <c r="CY67" i="160"/>
  <c r="FD67" i="160"/>
  <c r="CS66" i="160"/>
  <c r="FE66" i="160"/>
  <c r="CJ66" i="160"/>
  <c r="CY66" i="160"/>
  <c r="FD66" i="160"/>
  <c r="CS65" i="160"/>
  <c r="FE65" i="160"/>
  <c r="CJ65" i="160"/>
  <c r="CY65" i="160"/>
  <c r="FD65" i="160"/>
  <c r="CS64" i="160"/>
  <c r="FE64" i="160"/>
  <c r="CJ64" i="160"/>
  <c r="CY64" i="160"/>
  <c r="FD64" i="160"/>
  <c r="CS63" i="160"/>
  <c r="FE63" i="160"/>
  <c r="CJ63" i="160"/>
  <c r="CY63" i="160"/>
  <c r="FD63" i="160"/>
  <c r="CS62" i="160"/>
  <c r="CJ62" i="160"/>
  <c r="CY62" i="160"/>
  <c r="CS61" i="160"/>
  <c r="CJ61" i="160"/>
  <c r="CY61" i="160"/>
  <c r="CS60" i="160"/>
  <c r="DG60" i="160" s="1"/>
  <c r="CJ60" i="160"/>
  <c r="CY60" i="160"/>
  <c r="CS59" i="160"/>
  <c r="DG59" i="160"/>
  <c r="CJ59" i="160"/>
  <c r="CY59" i="160"/>
  <c r="FD59" i="160"/>
  <c r="CS58" i="160"/>
  <c r="CJ58" i="160"/>
  <c r="CY58" i="160"/>
  <c r="CS57" i="160"/>
  <c r="FE57" i="160"/>
  <c r="CJ57" i="160"/>
  <c r="CY57" i="160"/>
  <c r="CS56" i="160"/>
  <c r="CJ56" i="160"/>
  <c r="CY56" i="160"/>
  <c r="CS55" i="160"/>
  <c r="FE55" i="160"/>
  <c r="CJ55" i="160"/>
  <c r="CY55" i="160"/>
  <c r="FD55" i="160"/>
  <c r="CS54" i="160"/>
  <c r="CJ54" i="160"/>
  <c r="CY54" i="160"/>
  <c r="FD54" i="160"/>
  <c r="CS85" i="160"/>
  <c r="FE85" i="160"/>
  <c r="CJ85" i="160"/>
  <c r="CY85" i="160"/>
  <c r="FD85" i="160"/>
  <c r="CS85" i="84"/>
  <c r="DG85" i="84"/>
  <c r="CJ85" i="84"/>
  <c r="DA85" i="84"/>
  <c r="CY85" i="84"/>
  <c r="FD85" i="84"/>
  <c r="CS84" i="84"/>
  <c r="DG84" i="84"/>
  <c r="CJ84" i="84"/>
  <c r="DA84" i="84"/>
  <c r="CY84" i="84"/>
  <c r="CS83" i="84"/>
  <c r="DG83" i="84"/>
  <c r="CJ83" i="84"/>
  <c r="DA83" i="84"/>
  <c r="CY83" i="84"/>
  <c r="CS82" i="84"/>
  <c r="DG82" i="84"/>
  <c r="CJ82" i="84"/>
  <c r="CY82" i="84"/>
  <c r="CS81" i="84"/>
  <c r="DG81" i="84"/>
  <c r="CJ81" i="84"/>
  <c r="DA81" i="84"/>
  <c r="CY81" i="84"/>
  <c r="CS80" i="84"/>
  <c r="DG80" i="84"/>
  <c r="CJ80" i="84"/>
  <c r="DA80" i="84"/>
  <c r="CY80" i="84"/>
  <c r="CS79" i="84"/>
  <c r="DG79" i="84"/>
  <c r="CJ79" i="84"/>
  <c r="DA79" i="84"/>
  <c r="CY79" i="84"/>
  <c r="CS78" i="84"/>
  <c r="CJ78" i="84"/>
  <c r="CY78" i="84"/>
  <c r="CS77" i="84"/>
  <c r="CJ77" i="84"/>
  <c r="DA77" i="84"/>
  <c r="CY77" i="84"/>
  <c r="CS76" i="84"/>
  <c r="DG76" i="84"/>
  <c r="FE76" i="84"/>
  <c r="CJ76" i="84"/>
  <c r="DA76" i="84"/>
  <c r="CY76" i="84"/>
  <c r="CS75" i="84"/>
  <c r="DG75" i="84"/>
  <c r="FE75" i="84"/>
  <c r="CJ75" i="84"/>
  <c r="DA75" i="84"/>
  <c r="CY75" i="84"/>
  <c r="FD75" i="84"/>
  <c r="CS74" i="84"/>
  <c r="DG74" i="84"/>
  <c r="FE74" i="84"/>
  <c r="CJ74" i="84"/>
  <c r="DA74" i="84"/>
  <c r="CY74" i="84"/>
  <c r="CS73" i="84"/>
  <c r="CJ73" i="84"/>
  <c r="CY73" i="84"/>
  <c r="CS72" i="84"/>
  <c r="CJ72" i="84"/>
  <c r="CY72" i="84"/>
  <c r="CS71" i="84"/>
  <c r="CJ71" i="84"/>
  <c r="CY71" i="84"/>
  <c r="CS69" i="84"/>
  <c r="DG69" i="84"/>
  <c r="CJ69" i="84"/>
  <c r="DA69" i="84"/>
  <c r="CY69" i="84"/>
  <c r="FD69" i="84"/>
  <c r="CS68" i="84"/>
  <c r="DE68" i="84"/>
  <c r="CJ68" i="84"/>
  <c r="CY68" i="84"/>
  <c r="CS70" i="84"/>
  <c r="DE70" i="84"/>
  <c r="CJ70" i="84"/>
  <c r="CY70" i="84"/>
  <c r="DC45" i="165"/>
  <c r="DS45" i="165"/>
  <c r="DC44" i="165"/>
  <c r="DS44" i="165"/>
  <c r="DC43" i="165"/>
  <c r="DS43" i="165"/>
  <c r="DC42" i="165"/>
  <c r="DS42" i="165"/>
  <c r="DC41" i="165"/>
  <c r="DS41" i="165"/>
  <c r="DC40" i="165"/>
  <c r="DS40" i="165"/>
  <c r="DC39" i="165"/>
  <c r="DS39" i="165"/>
  <c r="DC38" i="165"/>
  <c r="DS38" i="165"/>
  <c r="DC37" i="165"/>
  <c r="DS37" i="165"/>
  <c r="DC36" i="165"/>
  <c r="DS36" i="165"/>
  <c r="DC35" i="165"/>
  <c r="DS35" i="165"/>
  <c r="DC34" i="165"/>
  <c r="DS34" i="165"/>
  <c r="DC33" i="165"/>
  <c r="DS33" i="165"/>
  <c r="DC32" i="165"/>
  <c r="DS32" i="165"/>
  <c r="DC31" i="165"/>
  <c r="DS31" i="165"/>
  <c r="DC30" i="165"/>
  <c r="DS30" i="165"/>
  <c r="DC29" i="165"/>
  <c r="DS29" i="165"/>
  <c r="DC28" i="165"/>
  <c r="DS28" i="165"/>
  <c r="DC27" i="165"/>
  <c r="DS27" i="165"/>
  <c r="DC26" i="165"/>
  <c r="DS26" i="165"/>
  <c r="DC25" i="165"/>
  <c r="DS25" i="165"/>
  <c r="DC24" i="165"/>
  <c r="DS24" i="165"/>
  <c r="DC23" i="165"/>
  <c r="DS23" i="165"/>
  <c r="DC22" i="165"/>
  <c r="DS22" i="165"/>
  <c r="DC21" i="165"/>
  <c r="DS21" i="165"/>
  <c r="DC20" i="165"/>
  <c r="DS20" i="165"/>
  <c r="DC19" i="165"/>
  <c r="DS19" i="165"/>
  <c r="DC18" i="165"/>
  <c r="DS18" i="165"/>
  <c r="DC17" i="165"/>
  <c r="DS17" i="165"/>
  <c r="DC16" i="165"/>
  <c r="DS16" i="165"/>
  <c r="AK41" i="165"/>
  <c r="AL41" i="165" s="1"/>
  <c r="AK32" i="165"/>
  <c r="AL32" i="165" s="1"/>
  <c r="AK17" i="165"/>
  <c r="AL17" i="165" s="1"/>
  <c r="AH48" i="117"/>
  <c r="AG48" i="117"/>
  <c r="AH47" i="117"/>
  <c r="AG47" i="117"/>
  <c r="AH46" i="117"/>
  <c r="AG46" i="117"/>
  <c r="AH45" i="117"/>
  <c r="AG45" i="117"/>
  <c r="AH44" i="117"/>
  <c r="AG44" i="117"/>
  <c r="AH43" i="117"/>
  <c r="AG43" i="117"/>
  <c r="AH42" i="117"/>
  <c r="AG42" i="117"/>
  <c r="AH41" i="117"/>
  <c r="AG41" i="117"/>
  <c r="AH40" i="117"/>
  <c r="AG40" i="117"/>
  <c r="AH39" i="117"/>
  <c r="AG39" i="117"/>
  <c r="AH38" i="117"/>
  <c r="AG38" i="117"/>
  <c r="AH37" i="117"/>
  <c r="AG37" i="117"/>
  <c r="AH36" i="117"/>
  <c r="AG36" i="117"/>
  <c r="AH35" i="117"/>
  <c r="AG35" i="117"/>
  <c r="AH34" i="117"/>
  <c r="AG34" i="117"/>
  <c r="AH33" i="117"/>
  <c r="AG33" i="117"/>
  <c r="AH32" i="117"/>
  <c r="AG32" i="117"/>
  <c r="AH31" i="117"/>
  <c r="AG31" i="117"/>
  <c r="AH30" i="117"/>
  <c r="AG30" i="117"/>
  <c r="AH29" i="117"/>
  <c r="AG29" i="117"/>
  <c r="AH28" i="117"/>
  <c r="AG28" i="117"/>
  <c r="AH27" i="117"/>
  <c r="AG27" i="117"/>
  <c r="AH26" i="117"/>
  <c r="AG26" i="117"/>
  <c r="AH24" i="117"/>
  <c r="AG24" i="117"/>
  <c r="AH23" i="117"/>
  <c r="AG23" i="117"/>
  <c r="AH22" i="117"/>
  <c r="AG22" i="117"/>
  <c r="AH21" i="117"/>
  <c r="AG21" i="117"/>
  <c r="AH20" i="117"/>
  <c r="AG20" i="117"/>
  <c r="AH19" i="117"/>
  <c r="AG19" i="117"/>
  <c r="AH18" i="117"/>
  <c r="AG18" i="117"/>
  <c r="AH17" i="117"/>
  <c r="AG17" i="117"/>
  <c r="AH16" i="117"/>
  <c r="AG16" i="117"/>
  <c r="AH15" i="117"/>
  <c r="AG15" i="117"/>
  <c r="AH14" i="117"/>
  <c r="AG14" i="117"/>
  <c r="AH13" i="117"/>
  <c r="AG13" i="117"/>
  <c r="AH25" i="117"/>
  <c r="AG25" i="117"/>
  <c r="M6" i="84"/>
  <c r="CU70" i="84"/>
  <c r="CC30" i="114"/>
  <c r="CB30" i="114"/>
  <c r="CA30" i="114"/>
  <c r="BY30" i="114"/>
  <c r="M3" i="146"/>
  <c r="M14" i="146"/>
  <c r="M4" i="146"/>
  <c r="M21" i="146"/>
  <c r="M11" i="146"/>
  <c r="M22" i="146"/>
  <c r="M17" i="146"/>
  <c r="M20" i="146"/>
  <c r="M19" i="146"/>
  <c r="M6" i="146"/>
  <c r="DE23" i="147" s="1"/>
  <c r="M16" i="146"/>
  <c r="M15" i="146"/>
  <c r="M12" i="146"/>
  <c r="M18" i="146"/>
  <c r="M13" i="146"/>
  <c r="M10" i="146"/>
  <c r="M8" i="146"/>
  <c r="M5" i="146"/>
  <c r="CU25" i="147" s="1"/>
  <c r="BQ25" i="147" s="1"/>
  <c r="DF19" i="165"/>
  <c r="M9" i="146"/>
  <c r="DE85" i="84"/>
  <c r="DE84" i="84"/>
  <c r="DE83" i="84"/>
  <c r="DE82" i="84"/>
  <c r="DE81" i="84"/>
  <c r="DE80" i="84"/>
  <c r="DE79" i="84"/>
  <c r="DE78" i="84"/>
  <c r="DE77" i="84"/>
  <c r="DE76" i="84"/>
  <c r="DE75" i="84"/>
  <c r="DE74" i="84"/>
  <c r="DE73" i="84"/>
  <c r="DE72" i="84"/>
  <c r="DE71" i="84"/>
  <c r="DE69" i="84"/>
  <c r="DE85" i="160"/>
  <c r="DE84" i="160"/>
  <c r="DE83" i="160"/>
  <c r="DE82" i="160"/>
  <c r="DE81" i="160"/>
  <c r="DE80" i="160"/>
  <c r="DE79" i="160"/>
  <c r="DE78" i="160"/>
  <c r="DE77" i="160"/>
  <c r="DE76" i="160"/>
  <c r="DE75" i="160"/>
  <c r="DE74" i="160"/>
  <c r="DE73" i="160"/>
  <c r="DE72" i="160"/>
  <c r="DE71" i="160"/>
  <c r="DE70" i="160"/>
  <c r="DE69" i="160"/>
  <c r="DE68" i="160"/>
  <c r="DE67" i="160"/>
  <c r="DE66" i="160"/>
  <c r="DE65" i="160"/>
  <c r="DE64" i="160"/>
  <c r="DE63" i="160"/>
  <c r="DE62" i="160"/>
  <c r="DE61" i="160"/>
  <c r="DE60" i="160"/>
  <c r="DE59" i="160"/>
  <c r="DE58" i="160"/>
  <c r="DE57" i="160"/>
  <c r="DE56" i="160"/>
  <c r="DE55" i="160"/>
  <c r="FH43" i="165"/>
  <c r="FH40" i="165"/>
  <c r="FM38" i="165"/>
  <c r="FM36" i="165"/>
  <c r="FM34" i="165"/>
  <c r="FH34" i="165"/>
  <c r="FM31" i="165"/>
  <c r="FM29" i="165"/>
  <c r="FM27" i="165"/>
  <c r="FH27" i="165"/>
  <c r="FM26" i="165"/>
  <c r="FH26" i="165"/>
  <c r="FH24" i="165"/>
  <c r="FH23" i="165"/>
  <c r="FM20" i="165"/>
  <c r="FM19" i="165"/>
  <c r="FH19" i="165"/>
  <c r="FM18" i="165"/>
  <c r="FH18" i="165"/>
  <c r="FH17" i="165"/>
  <c r="FM16" i="165"/>
  <c r="DC6" i="165"/>
  <c r="DB6" i="165"/>
  <c r="DA6" i="165"/>
  <c r="CZ6" i="165"/>
  <c r="CY6" i="165"/>
  <c r="CX6" i="165"/>
  <c r="CW6" i="165"/>
  <c r="CV6" i="165"/>
  <c r="DC5" i="165"/>
  <c r="DB5" i="165"/>
  <c r="DA5" i="165"/>
  <c r="CZ5" i="165"/>
  <c r="CY5" i="165"/>
  <c r="CX5" i="165"/>
  <c r="AM52" i="165" s="1"/>
  <c r="CW5" i="165"/>
  <c r="CV5" i="165"/>
  <c r="DC4" i="165"/>
  <c r="DB4" i="165"/>
  <c r="DA4" i="165"/>
  <c r="AK53" i="165" s="1"/>
  <c r="CZ4" i="165"/>
  <c r="CY4" i="165"/>
  <c r="CX4" i="165"/>
  <c r="AM49" i="165" s="1"/>
  <c r="CW4" i="165"/>
  <c r="CV4" i="165"/>
  <c r="DD2" i="165"/>
  <c r="DB2" i="165"/>
  <c r="CZ2" i="165"/>
  <c r="CX2" i="165"/>
  <c r="CX1" i="165"/>
  <c r="CY1" i="165" s="1"/>
  <c r="DK45" i="165"/>
  <c r="FT45" i="165"/>
  <c r="DG45" i="165"/>
  <c r="DA45" i="165"/>
  <c r="FS45" i="165"/>
  <c r="CW45" i="165"/>
  <c r="DL44" i="165"/>
  <c r="DK44" i="165"/>
  <c r="DG44" i="165"/>
  <c r="DB44" i="165"/>
  <c r="DA44" i="165"/>
  <c r="FS44" i="165"/>
  <c r="CW44" i="165"/>
  <c r="DL43" i="165"/>
  <c r="DK43" i="165"/>
  <c r="DG43" i="165"/>
  <c r="DB43" i="165"/>
  <c r="DA43" i="165"/>
  <c r="CW43" i="165"/>
  <c r="DL42" i="165"/>
  <c r="DK42" i="165"/>
  <c r="DG42" i="165"/>
  <c r="DB42" i="165"/>
  <c r="DA42" i="165"/>
  <c r="CW42" i="165"/>
  <c r="DL41" i="165"/>
  <c r="DK41" i="165"/>
  <c r="FT41" i="165"/>
  <c r="DG41" i="165"/>
  <c r="DB41" i="165"/>
  <c r="DA41" i="165"/>
  <c r="CW41" i="165"/>
  <c r="DL40" i="165"/>
  <c r="DK40" i="165"/>
  <c r="DG40" i="165"/>
  <c r="DB40" i="165"/>
  <c r="DA40" i="165"/>
  <c r="CW40" i="165"/>
  <c r="DL39" i="165"/>
  <c r="DK39" i="165"/>
  <c r="DG39" i="165"/>
  <c r="DB39" i="165"/>
  <c r="DA39" i="165"/>
  <c r="CW39" i="165"/>
  <c r="DL38" i="165"/>
  <c r="DK38" i="165"/>
  <c r="DG38" i="165"/>
  <c r="DB38" i="165"/>
  <c r="DA38" i="165"/>
  <c r="CW38" i="165"/>
  <c r="DL37" i="165"/>
  <c r="DK37" i="165"/>
  <c r="FT37" i="165"/>
  <c r="DG37" i="165"/>
  <c r="DB37" i="165"/>
  <c r="DA37" i="165"/>
  <c r="CW37" i="165"/>
  <c r="DL36" i="165"/>
  <c r="DK36" i="165"/>
  <c r="DG36" i="165"/>
  <c r="DB36" i="165"/>
  <c r="DA36" i="165"/>
  <c r="FS36" i="165"/>
  <c r="CW36" i="165"/>
  <c r="DL35" i="165"/>
  <c r="DK35" i="165"/>
  <c r="FT35" i="165"/>
  <c r="DG35" i="165"/>
  <c r="DB35" i="165"/>
  <c r="DA35" i="165"/>
  <c r="CW35" i="165"/>
  <c r="DL34" i="165"/>
  <c r="DK34" i="165"/>
  <c r="FT34" i="165"/>
  <c r="DG34" i="165"/>
  <c r="DB34" i="165"/>
  <c r="DA34" i="165"/>
  <c r="CW34" i="165"/>
  <c r="DL33" i="165"/>
  <c r="DK33" i="165"/>
  <c r="DG33" i="165"/>
  <c r="DB33" i="165"/>
  <c r="DA33" i="165"/>
  <c r="CW33" i="165"/>
  <c r="DL32" i="165"/>
  <c r="DK32" i="165"/>
  <c r="DG32" i="165"/>
  <c r="DB32" i="165"/>
  <c r="DA32" i="165"/>
  <c r="CW32" i="165"/>
  <c r="DL31" i="165"/>
  <c r="DK31" i="165"/>
  <c r="DG31" i="165"/>
  <c r="DB31" i="165"/>
  <c r="DA31" i="165"/>
  <c r="CW31" i="165"/>
  <c r="DK30" i="165"/>
  <c r="DG30" i="165"/>
  <c r="DA30" i="165"/>
  <c r="CW30" i="165"/>
  <c r="DL29" i="165"/>
  <c r="DK29" i="165"/>
  <c r="EL29" i="165" s="1"/>
  <c r="FT29" i="165"/>
  <c r="DG29" i="165"/>
  <c r="DB29" i="165"/>
  <c r="DA29" i="165"/>
  <c r="FS29" i="165"/>
  <c r="CW29" i="165"/>
  <c r="DL28" i="165"/>
  <c r="DK28" i="165"/>
  <c r="EL28" i="165" s="1"/>
  <c r="DG28" i="165"/>
  <c r="DB28" i="165"/>
  <c r="DA28" i="165"/>
  <c r="CW28" i="165"/>
  <c r="DL27" i="165"/>
  <c r="DK27" i="165"/>
  <c r="EL27" i="165" s="1"/>
  <c r="DG27" i="165"/>
  <c r="DB27" i="165"/>
  <c r="DA27" i="165"/>
  <c r="CW27" i="165"/>
  <c r="DK26" i="165"/>
  <c r="EL26" i="165" s="1"/>
  <c r="DG26" i="165"/>
  <c r="DA26" i="165"/>
  <c r="CW26" i="165"/>
  <c r="DK25" i="165"/>
  <c r="EL25" i="165" s="1"/>
  <c r="FT25" i="165"/>
  <c r="DG25" i="165"/>
  <c r="DA25" i="165"/>
  <c r="CW25" i="165"/>
  <c r="DK24" i="165"/>
  <c r="EL24" i="165" s="1"/>
  <c r="DG24" i="165"/>
  <c r="DB24" i="165"/>
  <c r="DA24" i="165"/>
  <c r="FS24" i="165"/>
  <c r="CW24" i="165"/>
  <c r="DK23" i="165"/>
  <c r="DG23" i="165"/>
  <c r="DA23" i="165"/>
  <c r="CW23" i="165"/>
  <c r="DK22" i="165"/>
  <c r="DG22" i="165"/>
  <c r="DA22" i="165"/>
  <c r="CW22" i="165"/>
  <c r="DL21" i="165"/>
  <c r="DK21" i="165"/>
  <c r="EL21" i="165" s="1"/>
  <c r="DG21" i="165"/>
  <c r="DB21" i="165"/>
  <c r="DA21" i="165"/>
  <c r="FS21" i="165"/>
  <c r="CW21" i="165"/>
  <c r="DK20" i="165"/>
  <c r="DG20" i="165"/>
  <c r="DA20" i="165"/>
  <c r="CW20" i="165"/>
  <c r="DL19" i="165"/>
  <c r="DK19" i="165"/>
  <c r="EL19" i="165" s="1"/>
  <c r="DG19" i="165"/>
  <c r="DB19" i="165"/>
  <c r="DA19" i="165"/>
  <c r="CW19" i="165"/>
  <c r="DK18" i="165"/>
  <c r="DG18" i="165"/>
  <c r="DA18" i="165"/>
  <c r="CW18" i="165"/>
  <c r="DK17" i="165"/>
  <c r="EL17" i="165" s="1"/>
  <c r="FT17" i="165"/>
  <c r="DG17" i="165"/>
  <c r="DA17" i="165"/>
  <c r="FS17" i="165"/>
  <c r="CW17" i="165"/>
  <c r="DK16" i="165"/>
  <c r="EL16" i="165" s="1"/>
  <c r="DG16" i="165"/>
  <c r="DA16" i="165"/>
  <c r="CW16" i="165"/>
  <c r="CC68" i="147"/>
  <c r="CB68" i="147"/>
  <c r="AF24" i="147"/>
  <c r="AG25" i="147"/>
  <c r="AF29" i="147"/>
  <c r="AE32" i="147"/>
  <c r="AG32" i="147"/>
  <c r="AE33" i="147"/>
  <c r="AF33" i="147"/>
  <c r="AG33" i="147"/>
  <c r="AD33" i="147"/>
  <c r="AE34" i="147"/>
  <c r="AG34" i="147"/>
  <c r="AE35" i="147"/>
  <c r="AE37" i="147"/>
  <c r="AF37" i="147"/>
  <c r="AG37" i="147"/>
  <c r="AD37" i="147"/>
  <c r="AE38" i="147"/>
  <c r="AF38" i="147"/>
  <c r="AG38" i="147"/>
  <c r="AE39" i="147"/>
  <c r="AF39" i="147"/>
  <c r="AG39" i="147"/>
  <c r="AD39" i="147"/>
  <c r="AH28" i="147"/>
  <c r="AH33" i="147"/>
  <c r="AH37" i="147"/>
  <c r="AH38" i="147"/>
  <c r="AH39" i="147"/>
  <c r="DO45" i="165"/>
  <c r="CO45" i="165"/>
  <c r="CN45" i="165"/>
  <c r="AE1" i="165"/>
  <c r="AY57" i="165" s="1"/>
  <c r="AH45" i="165"/>
  <c r="AG45" i="165"/>
  <c r="AF45" i="165"/>
  <c r="AE45" i="165"/>
  <c r="AD45" i="165" s="1"/>
  <c r="DO44" i="165"/>
  <c r="CO44" i="165"/>
  <c r="CN44" i="165"/>
  <c r="AH44" i="165"/>
  <c r="AG44" i="165"/>
  <c r="AF44" i="165"/>
  <c r="AE44" i="165"/>
  <c r="AD44" i="165" s="1"/>
  <c r="DO43" i="165"/>
  <c r="CO43" i="165"/>
  <c r="CN43" i="165"/>
  <c r="AH43" i="165"/>
  <c r="AG43" i="165"/>
  <c r="AF43" i="165"/>
  <c r="AE43" i="165"/>
  <c r="DO42" i="165"/>
  <c r="CO42" i="165"/>
  <c r="CN42" i="165"/>
  <c r="AG42" i="165"/>
  <c r="AF42" i="165"/>
  <c r="AE42" i="165"/>
  <c r="AD42" i="165" s="1"/>
  <c r="DO41" i="165"/>
  <c r="CO41" i="165"/>
  <c r="CN41" i="165"/>
  <c r="AH41" i="165"/>
  <c r="AG41" i="165"/>
  <c r="AF41" i="165"/>
  <c r="AE41" i="165"/>
  <c r="AD41" i="165" s="1"/>
  <c r="DO40" i="165"/>
  <c r="CO40" i="165"/>
  <c r="CN40" i="165"/>
  <c r="AH40" i="165"/>
  <c r="AG40" i="165"/>
  <c r="AF40" i="165"/>
  <c r="AE40" i="165"/>
  <c r="DO39" i="165"/>
  <c r="CO39" i="165"/>
  <c r="CN39" i="165"/>
  <c r="AH39" i="165"/>
  <c r="AG39" i="165"/>
  <c r="AF39" i="165"/>
  <c r="AE39" i="165"/>
  <c r="AD39" i="165" s="1"/>
  <c r="DO38" i="165"/>
  <c r="CO38" i="165"/>
  <c r="CN38" i="165"/>
  <c r="AH38" i="165"/>
  <c r="AG38" i="165"/>
  <c r="AF38" i="165"/>
  <c r="AE38" i="165"/>
  <c r="AD38" i="165" s="1"/>
  <c r="DO37" i="165"/>
  <c r="CO37" i="165"/>
  <c r="CN37" i="165"/>
  <c r="AH37" i="165"/>
  <c r="AG37" i="165"/>
  <c r="DO36" i="165"/>
  <c r="CO36" i="165"/>
  <c r="CN36" i="165"/>
  <c r="DO35" i="165"/>
  <c r="CO35" i="165"/>
  <c r="CN35" i="165"/>
  <c r="AH35" i="165"/>
  <c r="AG35" i="165"/>
  <c r="DO34" i="165"/>
  <c r="CO34" i="165"/>
  <c r="CN34" i="165"/>
  <c r="AH34" i="165"/>
  <c r="AG34" i="165"/>
  <c r="AF34" i="165"/>
  <c r="AE34" i="165"/>
  <c r="AD34" i="165" s="1"/>
  <c r="DO33" i="165"/>
  <c r="CO33" i="165"/>
  <c r="CN33" i="165"/>
  <c r="AH33" i="165"/>
  <c r="AG33" i="165"/>
  <c r="AF33" i="165"/>
  <c r="AE33" i="165"/>
  <c r="AD33" i="165" s="1"/>
  <c r="DO32" i="165"/>
  <c r="CO32" i="165"/>
  <c r="CN32" i="165"/>
  <c r="AH32" i="165"/>
  <c r="AG32" i="165"/>
  <c r="AF32" i="165"/>
  <c r="AE32" i="165"/>
  <c r="DO31" i="165"/>
  <c r="CO31" i="165"/>
  <c r="CN31" i="165"/>
  <c r="AH31" i="165"/>
  <c r="AG31" i="165"/>
  <c r="AF31" i="165"/>
  <c r="AE31" i="165"/>
  <c r="DO30" i="165"/>
  <c r="CO30" i="165"/>
  <c r="CN30" i="165"/>
  <c r="DO29" i="165"/>
  <c r="CO29" i="165"/>
  <c r="CN29" i="165"/>
  <c r="AH29" i="165"/>
  <c r="AG29" i="165"/>
  <c r="AF29" i="165"/>
  <c r="AE29" i="165"/>
  <c r="DO28" i="165"/>
  <c r="FJ28" i="165" s="1"/>
  <c r="FK28" i="165" s="1"/>
  <c r="FL28" i="165" s="1"/>
  <c r="Z28" i="165" s="1"/>
  <c r="CO28" i="165"/>
  <c r="CN28" i="165"/>
  <c r="AH28" i="165"/>
  <c r="AG28" i="165"/>
  <c r="AF28" i="165"/>
  <c r="AE28" i="165"/>
  <c r="DO27" i="165"/>
  <c r="CO27" i="165"/>
  <c r="CN27" i="165"/>
  <c r="AH27" i="165"/>
  <c r="AG27" i="165"/>
  <c r="AF27" i="165"/>
  <c r="AE27" i="165"/>
  <c r="DO26" i="165"/>
  <c r="CO26" i="165"/>
  <c r="CN26" i="165"/>
  <c r="AH26" i="165"/>
  <c r="AG26" i="165"/>
  <c r="AF26" i="165"/>
  <c r="AE26" i="165"/>
  <c r="DO25" i="165"/>
  <c r="CO25" i="165"/>
  <c r="CN25" i="165"/>
  <c r="AH25" i="165"/>
  <c r="AG25" i="165"/>
  <c r="AF25" i="165"/>
  <c r="AE25" i="165"/>
  <c r="DO24" i="165"/>
  <c r="FJ24" i="165" s="1"/>
  <c r="FK24" i="165" s="1"/>
  <c r="FL24" i="165" s="1"/>
  <c r="Z24" i="165" s="1"/>
  <c r="CO24" i="165"/>
  <c r="CN24" i="165"/>
  <c r="AH24" i="165"/>
  <c r="AG24" i="165"/>
  <c r="AF24" i="165"/>
  <c r="AE24" i="165"/>
  <c r="DO23" i="165"/>
  <c r="CO23" i="165"/>
  <c r="CN23" i="165"/>
  <c r="AH23" i="165"/>
  <c r="AG23" i="165"/>
  <c r="AF23" i="165"/>
  <c r="AE23" i="165"/>
  <c r="DO22" i="165"/>
  <c r="CO22" i="165"/>
  <c r="CN22" i="165"/>
  <c r="AH22" i="165"/>
  <c r="AG22" i="165"/>
  <c r="AF22" i="165"/>
  <c r="AE22" i="165"/>
  <c r="DO21" i="165"/>
  <c r="CO21" i="165"/>
  <c r="CN21" i="165"/>
  <c r="AH21" i="165"/>
  <c r="AG21" i="165"/>
  <c r="AE21" i="165"/>
  <c r="DO20" i="165"/>
  <c r="CO20" i="165"/>
  <c r="CN20" i="165"/>
  <c r="AH20" i="165"/>
  <c r="AG20" i="165"/>
  <c r="AF20" i="165"/>
  <c r="AE20" i="165"/>
  <c r="DO19" i="165"/>
  <c r="CO19" i="165"/>
  <c r="CN19" i="165"/>
  <c r="DO18" i="165"/>
  <c r="CO18" i="165"/>
  <c r="CN18" i="165"/>
  <c r="AH18" i="165"/>
  <c r="AG18" i="165"/>
  <c r="AF18" i="165"/>
  <c r="AE18" i="165"/>
  <c r="DO17" i="165"/>
  <c r="CO17" i="165"/>
  <c r="CN17" i="165"/>
  <c r="AH17" i="165"/>
  <c r="AG17" i="165"/>
  <c r="AF17" i="165"/>
  <c r="AE17" i="165"/>
  <c r="DO16" i="165"/>
  <c r="CO16" i="165"/>
  <c r="CN16" i="165"/>
  <c r="AH16" i="165"/>
  <c r="AG16" i="165"/>
  <c r="AF16" i="165"/>
  <c r="AE16" i="165"/>
  <c r="AD16" i="165" s="1"/>
  <c r="CO40" i="147"/>
  <c r="CN40" i="147"/>
  <c r="CO39" i="147"/>
  <c r="CN39" i="147"/>
  <c r="CO38" i="147"/>
  <c r="CN38" i="147"/>
  <c r="CO37" i="147"/>
  <c r="CN37" i="147"/>
  <c r="CO36" i="147"/>
  <c r="CN36" i="147"/>
  <c r="CO35" i="147"/>
  <c r="CN35" i="147"/>
  <c r="CO34" i="147"/>
  <c r="CN34" i="147"/>
  <c r="CO33" i="147"/>
  <c r="CN33" i="147"/>
  <c r="CO32" i="147"/>
  <c r="CN32" i="147"/>
  <c r="CO31" i="147"/>
  <c r="CN31" i="147"/>
  <c r="CO30" i="147"/>
  <c r="CN30" i="147"/>
  <c r="CO29" i="147"/>
  <c r="CN29" i="147"/>
  <c r="CO28" i="147"/>
  <c r="CN28" i="147"/>
  <c r="CO27" i="147"/>
  <c r="CN27" i="147"/>
  <c r="CO26" i="147"/>
  <c r="CN26" i="147"/>
  <c r="CO25" i="147"/>
  <c r="CN25" i="147"/>
  <c r="CO24" i="147"/>
  <c r="CN24" i="147"/>
  <c r="CO23" i="147"/>
  <c r="CN23" i="147"/>
  <c r="AA12" i="165"/>
  <c r="AB12" i="165" s="1"/>
  <c r="AD1" i="165"/>
  <c r="P2" i="165" s="1"/>
  <c r="Y6" i="165"/>
  <c r="C9" i="165"/>
  <c r="S9" i="165"/>
  <c r="C10" i="165"/>
  <c r="S10" i="165"/>
  <c r="Z10" i="165"/>
  <c r="AL52" i="165"/>
  <c r="C19" i="116"/>
  <c r="FS54" i="160"/>
  <c r="FR54" i="160" s="1"/>
  <c r="FS55" i="160" s="1"/>
  <c r="FO55" i="160" s="1"/>
  <c r="AF15" i="160" s="1"/>
  <c r="C47" i="163"/>
  <c r="A45" i="84"/>
  <c r="F1" i="164"/>
  <c r="B4" i="164"/>
  <c r="E4" i="164"/>
  <c r="B5" i="164"/>
  <c r="E5" i="164"/>
  <c r="H5" i="164"/>
  <c r="FA2" i="84"/>
  <c r="CU73" i="84"/>
  <c r="CC73" i="84"/>
  <c r="EF73" i="84" s="1"/>
  <c r="CH73" i="84"/>
  <c r="CI73" i="84"/>
  <c r="CE73" i="84"/>
  <c r="CL73" i="84"/>
  <c r="CQ73" i="84"/>
  <c r="CR73" i="84"/>
  <c r="CN73" i="84"/>
  <c r="EB73" i="84"/>
  <c r="CP73" i="84"/>
  <c r="CG73" i="84"/>
  <c r="CU72" i="84"/>
  <c r="CH72" i="84"/>
  <c r="CE72" i="84"/>
  <c r="CQ72" i="84"/>
  <c r="CR72" i="84"/>
  <c r="CN72" i="84"/>
  <c r="BN32" i="84"/>
  <c r="BO32" i="84" s="1"/>
  <c r="CG72" i="84"/>
  <c r="FB72" i="84" s="1"/>
  <c r="CP72" i="84"/>
  <c r="CU71" i="84"/>
  <c r="CC71" i="84"/>
  <c r="EE71" i="84" s="1"/>
  <c r="CH71" i="84"/>
  <c r="CI71" i="84"/>
  <c r="CE71" i="84"/>
  <c r="CL71" i="84"/>
  <c r="CQ71" i="84"/>
  <c r="CR71" i="84"/>
  <c r="CN71" i="84"/>
  <c r="EB71" i="84"/>
  <c r="CP71" i="84"/>
  <c r="CG71" i="84"/>
  <c r="CH70" i="84"/>
  <c r="CE70" i="84"/>
  <c r="CQ70" i="84"/>
  <c r="CR70" i="84"/>
  <c r="CN70" i="84"/>
  <c r="EB70" i="84"/>
  <c r="CP70" i="84"/>
  <c r="CG70" i="84"/>
  <c r="CU69" i="84"/>
  <c r="CC69" i="84"/>
  <c r="CH69" i="84"/>
  <c r="CI69" i="84"/>
  <c r="CE69" i="84"/>
  <c r="FD4" i="84"/>
  <c r="FE4" i="84"/>
  <c r="FA4" i="84"/>
  <c r="CL69" i="84"/>
  <c r="CQ69" i="84"/>
  <c r="CR69" i="84"/>
  <c r="CN69" i="84"/>
  <c r="EB69" i="84"/>
  <c r="CP69" i="84"/>
  <c r="CG69" i="84"/>
  <c r="BN29" i="84"/>
  <c r="BM29" i="84" s="1"/>
  <c r="CC68" i="84"/>
  <c r="CH68" i="84"/>
  <c r="CE68" i="84"/>
  <c r="CL68" i="84"/>
  <c r="CQ68" i="84"/>
  <c r="CN68" i="84"/>
  <c r="CP68" i="84"/>
  <c r="CG68" i="84"/>
  <c r="BF20" i="84"/>
  <c r="GI60" i="84"/>
  <c r="CB72" i="84"/>
  <c r="CB73" i="84"/>
  <c r="CB69" i="84"/>
  <c r="CB70" i="84"/>
  <c r="CB71" i="84"/>
  <c r="CB74" i="84"/>
  <c r="CB75" i="84"/>
  <c r="CB76" i="84"/>
  <c r="CB77" i="84"/>
  <c r="CB78" i="84"/>
  <c r="CB79" i="84"/>
  <c r="CB80" i="84"/>
  <c r="CB81" i="84"/>
  <c r="CB82" i="84"/>
  <c r="CB83" i="84"/>
  <c r="CB84" i="84"/>
  <c r="CB85" i="84"/>
  <c r="GH60" i="84"/>
  <c r="GG60" i="84"/>
  <c r="GF60" i="84"/>
  <c r="AO20" i="84"/>
  <c r="AN20" i="84"/>
  <c r="AM20" i="84"/>
  <c r="AK20" i="84"/>
  <c r="FM54" i="84"/>
  <c r="BF19" i="84"/>
  <c r="GF59" i="84"/>
  <c r="AO19" i="84"/>
  <c r="AN19" i="84"/>
  <c r="AM19" i="84"/>
  <c r="AK19" i="84"/>
  <c r="BF18" i="84"/>
  <c r="FH58" i="84"/>
  <c r="AO18" i="84"/>
  <c r="AN18" i="84"/>
  <c r="AM18" i="84"/>
  <c r="AK18" i="84"/>
  <c r="BF17" i="84"/>
  <c r="GF57" i="84"/>
  <c r="AO17" i="84"/>
  <c r="AN17" i="84"/>
  <c r="AM17" i="84"/>
  <c r="AK17" i="84"/>
  <c r="BF16" i="84"/>
  <c r="FH56" i="84"/>
  <c r="GF56" i="84"/>
  <c r="AO16" i="84"/>
  <c r="AN16" i="84"/>
  <c r="AM16" i="84"/>
  <c r="AK16" i="84"/>
  <c r="AB16" i="84"/>
  <c r="BF15" i="84"/>
  <c r="GF55" i="84"/>
  <c r="AO15" i="84"/>
  <c r="AN15" i="84"/>
  <c r="AM15" i="84"/>
  <c r="AK15" i="84"/>
  <c r="FK54" i="84"/>
  <c r="FK55" i="84" s="1"/>
  <c r="FJ55" i="84" s="1"/>
  <c r="AB15" i="84"/>
  <c r="FQ15" i="84" s="1"/>
  <c r="BX14" i="84"/>
  <c r="DE54" i="160"/>
  <c r="HP87" i="84"/>
  <c r="GH87" i="84"/>
  <c r="CL64" i="160"/>
  <c r="EI64" i="160" s="1"/>
  <c r="CQ64" i="160"/>
  <c r="CR64" i="160"/>
  <c r="M6" i="147"/>
  <c r="CP84" i="160"/>
  <c r="CG84" i="160"/>
  <c r="CP83" i="160"/>
  <c r="CG83" i="160"/>
  <c r="FB83" i="160" s="1"/>
  <c r="CP82" i="160"/>
  <c r="CG82" i="160"/>
  <c r="CP81" i="160"/>
  <c r="CG81" i="160"/>
  <c r="CP80" i="160"/>
  <c r="CG80" i="160"/>
  <c r="CP79" i="160"/>
  <c r="CG79" i="160"/>
  <c r="FB79" i="160" s="1"/>
  <c r="CP78" i="160"/>
  <c r="CG78" i="160"/>
  <c r="CP77" i="160"/>
  <c r="CG77" i="160"/>
  <c r="CP76" i="160"/>
  <c r="CG76" i="160"/>
  <c r="CP75" i="160"/>
  <c r="CG75" i="160"/>
  <c r="CP74" i="160"/>
  <c r="CG74" i="160"/>
  <c r="DZ74" i="160" s="1"/>
  <c r="CP73" i="160"/>
  <c r="CG73" i="160"/>
  <c r="CP72" i="160"/>
  <c r="CG72" i="160"/>
  <c r="CP71" i="160"/>
  <c r="CG71" i="160"/>
  <c r="CP70" i="160"/>
  <c r="CG70" i="160"/>
  <c r="DZ70" i="160" s="1"/>
  <c r="CP69" i="160"/>
  <c r="CG69" i="160"/>
  <c r="CP68" i="160"/>
  <c r="CG68" i="160"/>
  <c r="CP67" i="160"/>
  <c r="CG67" i="160"/>
  <c r="DZ67" i="160" s="1"/>
  <c r="CP66" i="160"/>
  <c r="CG66" i="160"/>
  <c r="CP65" i="160"/>
  <c r="CG65" i="160"/>
  <c r="DZ65" i="160" s="1"/>
  <c r="CP64" i="160"/>
  <c r="CG64" i="160"/>
  <c r="CP63" i="160"/>
  <c r="CG63" i="160"/>
  <c r="FB63" i="160" s="1"/>
  <c r="CP62" i="160"/>
  <c r="CG62" i="160"/>
  <c r="FB62" i="160" s="1"/>
  <c r="CP61" i="160"/>
  <c r="CG61" i="160"/>
  <c r="CP60" i="160"/>
  <c r="CG60" i="160"/>
  <c r="CP59" i="160"/>
  <c r="CG59" i="160"/>
  <c r="CP58" i="160"/>
  <c r="CG58" i="160"/>
  <c r="CP57" i="160"/>
  <c r="FC57" i="160" s="1"/>
  <c r="CG57" i="160"/>
  <c r="CP56" i="160"/>
  <c r="CG56" i="160"/>
  <c r="CP55" i="160"/>
  <c r="CG55" i="160"/>
  <c r="CP54" i="160"/>
  <c r="CG54" i="160"/>
  <c r="FB54" i="160" s="1"/>
  <c r="CP85" i="160"/>
  <c r="CG85" i="160"/>
  <c r="CP85" i="84"/>
  <c r="CG85" i="84"/>
  <c r="CP84" i="84"/>
  <c r="CG84" i="84"/>
  <c r="DZ84" i="84" s="1"/>
  <c r="CP83" i="84"/>
  <c r="CG83" i="84"/>
  <c r="CP82" i="84"/>
  <c r="CG82" i="84"/>
  <c r="CP81" i="84"/>
  <c r="CG81" i="84"/>
  <c r="CP80" i="84"/>
  <c r="CG80" i="84"/>
  <c r="CP79" i="84"/>
  <c r="CG79" i="84"/>
  <c r="CP78" i="84"/>
  <c r="CG78" i="84"/>
  <c r="DZ78" i="84" s="1"/>
  <c r="CP77" i="84"/>
  <c r="CG77" i="84"/>
  <c r="CP76" i="84"/>
  <c r="CG76" i="84"/>
  <c r="CP75" i="84"/>
  <c r="CG75" i="84"/>
  <c r="FB75" i="84" s="1"/>
  <c r="CP74" i="84"/>
  <c r="CG74" i="84"/>
  <c r="DZ74" i="84" s="1"/>
  <c r="U1" i="13"/>
  <c r="AC2" i="13"/>
  <c r="AC3" i="13"/>
  <c r="AE3" i="13"/>
  <c r="AC4" i="13"/>
  <c r="AD4" i="13"/>
  <c r="AE4" i="13"/>
  <c r="AC5" i="13"/>
  <c r="AD5" i="13"/>
  <c r="AE5" i="13"/>
  <c r="AC6" i="13"/>
  <c r="AD6" i="13"/>
  <c r="AE6" i="13"/>
  <c r="AC7" i="13"/>
  <c r="AD7" i="13"/>
  <c r="AE7" i="13"/>
  <c r="AC8" i="13"/>
  <c r="AD8" i="13"/>
  <c r="AE8" i="13"/>
  <c r="AC9" i="13"/>
  <c r="AD9" i="13"/>
  <c r="AE9" i="13"/>
  <c r="AC10" i="13"/>
  <c r="AD10" i="13"/>
  <c r="AE10" i="13"/>
  <c r="AC11" i="13"/>
  <c r="AD11" i="13"/>
  <c r="AE11" i="13"/>
  <c r="AC12" i="13"/>
  <c r="AD12" i="13"/>
  <c r="AE12" i="13"/>
  <c r="AC13" i="13"/>
  <c r="AD13" i="13"/>
  <c r="AE13" i="13"/>
  <c r="AC14" i="13"/>
  <c r="AD14" i="13"/>
  <c r="AE14" i="13"/>
  <c r="AC15" i="13"/>
  <c r="AD15" i="13"/>
  <c r="AE15" i="13"/>
  <c r="AC16" i="13"/>
  <c r="AD16" i="13"/>
  <c r="AE16" i="13"/>
  <c r="AC17" i="13"/>
  <c r="AD17" i="13"/>
  <c r="AE17" i="13"/>
  <c r="AC18" i="13"/>
  <c r="AD18" i="13"/>
  <c r="AE18" i="13"/>
  <c r="AC19" i="13"/>
  <c r="AD19" i="13"/>
  <c r="AE19" i="13"/>
  <c r="AC20" i="13"/>
  <c r="AD20" i="13"/>
  <c r="AE20" i="13"/>
  <c r="AC21" i="13"/>
  <c r="AD21" i="13"/>
  <c r="AE21" i="13"/>
  <c r="AC22" i="13"/>
  <c r="AD22" i="13"/>
  <c r="AE22" i="13"/>
  <c r="AC23" i="13"/>
  <c r="AD23" i="13"/>
  <c r="AE23" i="13"/>
  <c r="AC24" i="13"/>
  <c r="AD24" i="13"/>
  <c r="AE24" i="13"/>
  <c r="AC25" i="13"/>
  <c r="AD25" i="13"/>
  <c r="AE25" i="13"/>
  <c r="AC26" i="13"/>
  <c r="AD26" i="13"/>
  <c r="AE26" i="13"/>
  <c r="AC27" i="13"/>
  <c r="AD27" i="13"/>
  <c r="AE27" i="13"/>
  <c r="AC28" i="13"/>
  <c r="AD28" i="13"/>
  <c r="AE28" i="13"/>
  <c r="AC29" i="13"/>
  <c r="AD29" i="13"/>
  <c r="AE29" i="13"/>
  <c r="AC30" i="13"/>
  <c r="AD30" i="13"/>
  <c r="AE30" i="13"/>
  <c r="Q31" i="13"/>
  <c r="AC31" i="13"/>
  <c r="AD31" i="13"/>
  <c r="AE31" i="13"/>
  <c r="AC32" i="13"/>
  <c r="AD32" i="13"/>
  <c r="AE32" i="13"/>
  <c r="AC33" i="13"/>
  <c r="AD33" i="13"/>
  <c r="AE33" i="13"/>
  <c r="AC34" i="13"/>
  <c r="AD34" i="13"/>
  <c r="AE34" i="13"/>
  <c r="AC35" i="13"/>
  <c r="AD35" i="13"/>
  <c r="AE35" i="13"/>
  <c r="AC36" i="13"/>
  <c r="AD36" i="13"/>
  <c r="AE36" i="13"/>
  <c r="AC37" i="13"/>
  <c r="AD37" i="13"/>
  <c r="AE37" i="13"/>
  <c r="AC38" i="13"/>
  <c r="AD38" i="13"/>
  <c r="AE38" i="13"/>
  <c r="AC39" i="13"/>
  <c r="AD39" i="13"/>
  <c r="AE39" i="13"/>
  <c r="AC40" i="13"/>
  <c r="AD40" i="13"/>
  <c r="AE40" i="13"/>
  <c r="AC41" i="13"/>
  <c r="AD41" i="13"/>
  <c r="AE41" i="13"/>
  <c r="AC42" i="13"/>
  <c r="AD42" i="13"/>
  <c r="AE42" i="13"/>
  <c r="AC43" i="13"/>
  <c r="AD43" i="13"/>
  <c r="AE43" i="13"/>
  <c r="AC44" i="13"/>
  <c r="AD44" i="13"/>
  <c r="AE44" i="13"/>
  <c r="AC45" i="13"/>
  <c r="AD45" i="13"/>
  <c r="AE45" i="13"/>
  <c r="AC46" i="13"/>
  <c r="AD46" i="13"/>
  <c r="AE46" i="13"/>
  <c r="AC47" i="13"/>
  <c r="AD47" i="13"/>
  <c r="AE47" i="13"/>
  <c r="AC48" i="13"/>
  <c r="AD48" i="13"/>
  <c r="AE48" i="13"/>
  <c r="AC49" i="13"/>
  <c r="AD49" i="13"/>
  <c r="AE49" i="13"/>
  <c r="AC50" i="13"/>
  <c r="AD50" i="13"/>
  <c r="AE50" i="13"/>
  <c r="AC51" i="13"/>
  <c r="AD51" i="13"/>
  <c r="AE51" i="13"/>
  <c r="AC52" i="13"/>
  <c r="AD52" i="13"/>
  <c r="AE52" i="13"/>
  <c r="AC53" i="13"/>
  <c r="AD53" i="13"/>
  <c r="AE53" i="13"/>
  <c r="AC54" i="13"/>
  <c r="AD54" i="13"/>
  <c r="AE54" i="13"/>
  <c r="AC55" i="13"/>
  <c r="AD55" i="13"/>
  <c r="AE55" i="13"/>
  <c r="AC56" i="13"/>
  <c r="AD56" i="13"/>
  <c r="AE56" i="13"/>
  <c r="AC57" i="13"/>
  <c r="AD57" i="13"/>
  <c r="AE57" i="13"/>
  <c r="AC58" i="13"/>
  <c r="AD58" i="13"/>
  <c r="AE58" i="13"/>
  <c r="AC59" i="13"/>
  <c r="AD59" i="13"/>
  <c r="AE59" i="13"/>
  <c r="AC60" i="13"/>
  <c r="AD60" i="13"/>
  <c r="AE60" i="13"/>
  <c r="AC61" i="13"/>
  <c r="AD61" i="13"/>
  <c r="AE61" i="13"/>
  <c r="AC62" i="13"/>
  <c r="AD62" i="13"/>
  <c r="AE62" i="13"/>
  <c r="AC63" i="13"/>
  <c r="AD63" i="13"/>
  <c r="AE63" i="13"/>
  <c r="AC64" i="13"/>
  <c r="AD64" i="13"/>
  <c r="AE64" i="13"/>
  <c r="AC65" i="13"/>
  <c r="AD65" i="13"/>
  <c r="AE65" i="13"/>
  <c r="AC66" i="13"/>
  <c r="AD66" i="13"/>
  <c r="AE66" i="13"/>
  <c r="AC67" i="13"/>
  <c r="AD67" i="13"/>
  <c r="AE67" i="13"/>
  <c r="AC68" i="13"/>
  <c r="AD68" i="13"/>
  <c r="AE68" i="13"/>
  <c r="AC69" i="13"/>
  <c r="AD69" i="13"/>
  <c r="AE69" i="13"/>
  <c r="AC70" i="13"/>
  <c r="AD70" i="13"/>
  <c r="AE70" i="13"/>
  <c r="AC71" i="13"/>
  <c r="AD71" i="13"/>
  <c r="AE71" i="13"/>
  <c r="AC72" i="13"/>
  <c r="AD72" i="13"/>
  <c r="AE72" i="13"/>
  <c r="AC73" i="13"/>
  <c r="AD73" i="13"/>
  <c r="AE73" i="13"/>
  <c r="AC74" i="13"/>
  <c r="AD74" i="13"/>
  <c r="AE74" i="13"/>
  <c r="AC75" i="13"/>
  <c r="AD75" i="13"/>
  <c r="AE75" i="13"/>
  <c r="AC76" i="13"/>
  <c r="AD76" i="13"/>
  <c r="AE76" i="13"/>
  <c r="AC77" i="13"/>
  <c r="AD77" i="13"/>
  <c r="AE77" i="13"/>
  <c r="AC78" i="13"/>
  <c r="AD78" i="13"/>
  <c r="AE78" i="13"/>
  <c r="AC79" i="13"/>
  <c r="AD79" i="13"/>
  <c r="AE79" i="13"/>
  <c r="AC80" i="13"/>
  <c r="AD80" i="13"/>
  <c r="AE80" i="13"/>
  <c r="AC81" i="13"/>
  <c r="AD81" i="13"/>
  <c r="AE81" i="13"/>
  <c r="AC82" i="13"/>
  <c r="AD82" i="13"/>
  <c r="AE82" i="13"/>
  <c r="AC83" i="13"/>
  <c r="AD83" i="13"/>
  <c r="AE83" i="13"/>
  <c r="AC84" i="13"/>
  <c r="AD84" i="13"/>
  <c r="AE84" i="13"/>
  <c r="AC85" i="13"/>
  <c r="AD85" i="13"/>
  <c r="AE85" i="13"/>
  <c r="AC86" i="13"/>
  <c r="AD86" i="13"/>
  <c r="AE86" i="13"/>
  <c r="AC87" i="13"/>
  <c r="AD87" i="13"/>
  <c r="AE87" i="13"/>
  <c r="AC88" i="13"/>
  <c r="AD88" i="13"/>
  <c r="AE88" i="13"/>
  <c r="AC89" i="13"/>
  <c r="AD89" i="13"/>
  <c r="AE89" i="13"/>
  <c r="AC90" i="13"/>
  <c r="AD90" i="13"/>
  <c r="AE90" i="13"/>
  <c r="AC91" i="13"/>
  <c r="AD91" i="13"/>
  <c r="AE91" i="13"/>
  <c r="AC92" i="13"/>
  <c r="AD92" i="13"/>
  <c r="AE92" i="13"/>
  <c r="AC93" i="13"/>
  <c r="AD93" i="13"/>
  <c r="AE93" i="13"/>
  <c r="AC94" i="13"/>
  <c r="AD94" i="13"/>
  <c r="AE94" i="13"/>
  <c r="AC95" i="13"/>
  <c r="AD95" i="13"/>
  <c r="AE95" i="13"/>
  <c r="AC96" i="13"/>
  <c r="AD96" i="13"/>
  <c r="AE96" i="13"/>
  <c r="AC97" i="13"/>
  <c r="AD97" i="13"/>
  <c r="AE97" i="13"/>
  <c r="AC98" i="13"/>
  <c r="AD98" i="13"/>
  <c r="AE98" i="13"/>
  <c r="AC99" i="13"/>
  <c r="AD99" i="13"/>
  <c r="AE99" i="13"/>
  <c r="AC100" i="13"/>
  <c r="AD100" i="13"/>
  <c r="AE100" i="13"/>
  <c r="AC101" i="13"/>
  <c r="AD101" i="13"/>
  <c r="AE101" i="13"/>
  <c r="AC102" i="13"/>
  <c r="AD102" i="13"/>
  <c r="AE102" i="13"/>
  <c r="AC103" i="13"/>
  <c r="AD103" i="13"/>
  <c r="AE103" i="13"/>
  <c r="AC104" i="13"/>
  <c r="AD104" i="13"/>
  <c r="AE104" i="13"/>
  <c r="AC105" i="13"/>
  <c r="AD105" i="13"/>
  <c r="AE105" i="13"/>
  <c r="AC106" i="13"/>
  <c r="AD106" i="13"/>
  <c r="AE106" i="13"/>
  <c r="AC107" i="13"/>
  <c r="AD107" i="13"/>
  <c r="AE107" i="13"/>
  <c r="AC108" i="13"/>
  <c r="AD108" i="13"/>
  <c r="AE108" i="13"/>
  <c r="AC109" i="13"/>
  <c r="AD109" i="13"/>
  <c r="AE109" i="13"/>
  <c r="AC110" i="13"/>
  <c r="AD110" i="13"/>
  <c r="AE110" i="13"/>
  <c r="AC111" i="13"/>
  <c r="AD111" i="13"/>
  <c r="AE111" i="13"/>
  <c r="AC112" i="13"/>
  <c r="AD112" i="13"/>
  <c r="AE112" i="13"/>
  <c r="AC113" i="13"/>
  <c r="AD113" i="13"/>
  <c r="AE113" i="13"/>
  <c r="AC114" i="13"/>
  <c r="AD114" i="13"/>
  <c r="AE114" i="13"/>
  <c r="AC115" i="13"/>
  <c r="AD115" i="13"/>
  <c r="AE115" i="13"/>
  <c r="AC116" i="13"/>
  <c r="AD116" i="13"/>
  <c r="AE116" i="13"/>
  <c r="AC117" i="13"/>
  <c r="AD117" i="13"/>
  <c r="AE117" i="13"/>
  <c r="AC118" i="13"/>
  <c r="AD118" i="13"/>
  <c r="AE118" i="13"/>
  <c r="AC119" i="13"/>
  <c r="AD119" i="13"/>
  <c r="AE119" i="13"/>
  <c r="AC120" i="13"/>
  <c r="AD120" i="13"/>
  <c r="AE120" i="13"/>
  <c r="AC121" i="13"/>
  <c r="AD121" i="13"/>
  <c r="AE121" i="13"/>
  <c r="AC122" i="13"/>
  <c r="AD122" i="13"/>
  <c r="AE122" i="13"/>
  <c r="AC123" i="13"/>
  <c r="AD123" i="13"/>
  <c r="AE123" i="13"/>
  <c r="AC124" i="13"/>
  <c r="AD124" i="13"/>
  <c r="AE124" i="13"/>
  <c r="AC125" i="13"/>
  <c r="AD125" i="13"/>
  <c r="AE125" i="13"/>
  <c r="AC126" i="13"/>
  <c r="AD126" i="13"/>
  <c r="AE126" i="13"/>
  <c r="AC127" i="13"/>
  <c r="AD127" i="13"/>
  <c r="AE127" i="13"/>
  <c r="AC128" i="13"/>
  <c r="AD128" i="13"/>
  <c r="AE128" i="13"/>
  <c r="AC129" i="13"/>
  <c r="AD129" i="13"/>
  <c r="AE129" i="13"/>
  <c r="AC130" i="13"/>
  <c r="AD130" i="13"/>
  <c r="AE130" i="13"/>
  <c r="AC131" i="13"/>
  <c r="AD131" i="13"/>
  <c r="AE131" i="13"/>
  <c r="AC132" i="13"/>
  <c r="AD132" i="13"/>
  <c r="AE132" i="13"/>
  <c r="AC133" i="13"/>
  <c r="AD133" i="13"/>
  <c r="AE133" i="13"/>
  <c r="AC134" i="13"/>
  <c r="AD134" i="13"/>
  <c r="AE134" i="13"/>
  <c r="AC135" i="13"/>
  <c r="AD135" i="13"/>
  <c r="AE135" i="13"/>
  <c r="AC136" i="13"/>
  <c r="AD136" i="13"/>
  <c r="AE136" i="13"/>
  <c r="AC137" i="13"/>
  <c r="AD137" i="13"/>
  <c r="AE137" i="13"/>
  <c r="AC138" i="13"/>
  <c r="AD138" i="13"/>
  <c r="AE138" i="13"/>
  <c r="AC139" i="13"/>
  <c r="AD139" i="13"/>
  <c r="AE139" i="13"/>
  <c r="AC140" i="13"/>
  <c r="AD140" i="13"/>
  <c r="AE140" i="13"/>
  <c r="AC141" i="13"/>
  <c r="AD141" i="13"/>
  <c r="AE141" i="13"/>
  <c r="AC142" i="13"/>
  <c r="AD142" i="13"/>
  <c r="AE142" i="13"/>
  <c r="AC143" i="13"/>
  <c r="AD143" i="13"/>
  <c r="AE143" i="13"/>
  <c r="AC144" i="13"/>
  <c r="AD144" i="13"/>
  <c r="AE144" i="13"/>
  <c r="AC145" i="13"/>
  <c r="AD145" i="13"/>
  <c r="AE145" i="13"/>
  <c r="AC146" i="13"/>
  <c r="AD146" i="13"/>
  <c r="AE146" i="13"/>
  <c r="AC147" i="13"/>
  <c r="AD147" i="13"/>
  <c r="AE147" i="13"/>
  <c r="AC148" i="13"/>
  <c r="AD148" i="13"/>
  <c r="AE148" i="13"/>
  <c r="AC149" i="13"/>
  <c r="AD149" i="13"/>
  <c r="AE149" i="13"/>
  <c r="AC150" i="13"/>
  <c r="AD150" i="13"/>
  <c r="AE150" i="13"/>
  <c r="AC151" i="13"/>
  <c r="AD151" i="13"/>
  <c r="AE151" i="13"/>
  <c r="AC152" i="13"/>
  <c r="AD152" i="13"/>
  <c r="AE152" i="13"/>
  <c r="AC153" i="13"/>
  <c r="AD153" i="13"/>
  <c r="AE153" i="13"/>
  <c r="AC154" i="13"/>
  <c r="AD154" i="13"/>
  <c r="AE154" i="13"/>
  <c r="AC155" i="13"/>
  <c r="AD155" i="13"/>
  <c r="AE155" i="13"/>
  <c r="AC156" i="13"/>
  <c r="AD156" i="13"/>
  <c r="AE156" i="13"/>
  <c r="AC157" i="13"/>
  <c r="AD157" i="13"/>
  <c r="AE157" i="13"/>
  <c r="AC158" i="13"/>
  <c r="AD158" i="13"/>
  <c r="AE158" i="13"/>
  <c r="AC159" i="13"/>
  <c r="AD159" i="13"/>
  <c r="AE159" i="13"/>
  <c r="AC160" i="13"/>
  <c r="AD160" i="13"/>
  <c r="AE160" i="13"/>
  <c r="AC161" i="13"/>
  <c r="AD161" i="13"/>
  <c r="AE161" i="13"/>
  <c r="AC162" i="13"/>
  <c r="AD162" i="13"/>
  <c r="AE162" i="13"/>
  <c r="AC163" i="13"/>
  <c r="AD163" i="13"/>
  <c r="AE163" i="13"/>
  <c r="AC164" i="13"/>
  <c r="AD164" i="13"/>
  <c r="AE164" i="13"/>
  <c r="AC165" i="13"/>
  <c r="AD165" i="13"/>
  <c r="AE165" i="13"/>
  <c r="AC166" i="13"/>
  <c r="AD166" i="13"/>
  <c r="AE166" i="13"/>
  <c r="AC167" i="13"/>
  <c r="AD167" i="13"/>
  <c r="AE167" i="13"/>
  <c r="AC168" i="13"/>
  <c r="AD168" i="13"/>
  <c r="AE168" i="13"/>
  <c r="AC169" i="13"/>
  <c r="AD169" i="13"/>
  <c r="AE169" i="13"/>
  <c r="AC170" i="13"/>
  <c r="AD170" i="13"/>
  <c r="AE170" i="13"/>
  <c r="AC171" i="13"/>
  <c r="AD171" i="13"/>
  <c r="AE171" i="13"/>
  <c r="AC172" i="13"/>
  <c r="AD172" i="13"/>
  <c r="AE172" i="13"/>
  <c r="AC173" i="13"/>
  <c r="AD173" i="13"/>
  <c r="AE173" i="13"/>
  <c r="AC174" i="13"/>
  <c r="AD174" i="13"/>
  <c r="AE174" i="13"/>
  <c r="AC175" i="13"/>
  <c r="AD175" i="13"/>
  <c r="AE175" i="13"/>
  <c r="AC176" i="13"/>
  <c r="AD176" i="13"/>
  <c r="AE176" i="13"/>
  <c r="AC177" i="13"/>
  <c r="AD177" i="13"/>
  <c r="AE177" i="13"/>
  <c r="AC178" i="13"/>
  <c r="AD178" i="13"/>
  <c r="AE178" i="13"/>
  <c r="AC179" i="13"/>
  <c r="AD179" i="13"/>
  <c r="AE179" i="13"/>
  <c r="AC180" i="13"/>
  <c r="AD180" i="13"/>
  <c r="AE180" i="13"/>
  <c r="AC181" i="13"/>
  <c r="AD181" i="13"/>
  <c r="AE181" i="13"/>
  <c r="AC182" i="13"/>
  <c r="AD182" i="13"/>
  <c r="AE182" i="13"/>
  <c r="AC183" i="13"/>
  <c r="AD183" i="13"/>
  <c r="AE183" i="13"/>
  <c r="AC184" i="13"/>
  <c r="AD184" i="13"/>
  <c r="AE184" i="13"/>
  <c r="AC185" i="13"/>
  <c r="AD185" i="13"/>
  <c r="AE185" i="13"/>
  <c r="AC186" i="13"/>
  <c r="AD186" i="13"/>
  <c r="AE186" i="13"/>
  <c r="AC187" i="13"/>
  <c r="AD187" i="13"/>
  <c r="AE187" i="13"/>
  <c r="AC188" i="13"/>
  <c r="AD188" i="13"/>
  <c r="AE188" i="13"/>
  <c r="AC189" i="13"/>
  <c r="AD189" i="13"/>
  <c r="AE189" i="13"/>
  <c r="AC190" i="13"/>
  <c r="AD190" i="13"/>
  <c r="AE190" i="13"/>
  <c r="AC191" i="13"/>
  <c r="AD191" i="13"/>
  <c r="AE191" i="13"/>
  <c r="AC192" i="13"/>
  <c r="AD192" i="13"/>
  <c r="AE192" i="13"/>
  <c r="AC193" i="13"/>
  <c r="AD193" i="13"/>
  <c r="AE193" i="13"/>
  <c r="AC194" i="13"/>
  <c r="AD194" i="13"/>
  <c r="AE194" i="13"/>
  <c r="AC195" i="13"/>
  <c r="AD195" i="13"/>
  <c r="AE195" i="13"/>
  <c r="AC196" i="13"/>
  <c r="AD196" i="13"/>
  <c r="AE196" i="13"/>
  <c r="AC197" i="13"/>
  <c r="AD197" i="13"/>
  <c r="AE197" i="13"/>
  <c r="AC198" i="13"/>
  <c r="AD198" i="13"/>
  <c r="AE198" i="13"/>
  <c r="AC199" i="13"/>
  <c r="AD199" i="13"/>
  <c r="AE199" i="13"/>
  <c r="AC200" i="13"/>
  <c r="AD200" i="13"/>
  <c r="AE200" i="13"/>
  <c r="AC201" i="13"/>
  <c r="AD201" i="13"/>
  <c r="AE201" i="13"/>
  <c r="AC202" i="13"/>
  <c r="AD202" i="13"/>
  <c r="AE202" i="13"/>
  <c r="AC203" i="13"/>
  <c r="AD203" i="13"/>
  <c r="AE203" i="13"/>
  <c r="AC204" i="13"/>
  <c r="AD204" i="13"/>
  <c r="AE204" i="13"/>
  <c r="AC205" i="13"/>
  <c r="AD205" i="13"/>
  <c r="AE205" i="13"/>
  <c r="AC206" i="13"/>
  <c r="AD206" i="13"/>
  <c r="AE206" i="13"/>
  <c r="AC207" i="13"/>
  <c r="AD207" i="13"/>
  <c r="AE207" i="13"/>
  <c r="AC208" i="13"/>
  <c r="AD208" i="13"/>
  <c r="AE208" i="13"/>
  <c r="AC209" i="13"/>
  <c r="AD209" i="13"/>
  <c r="AE209" i="13"/>
  <c r="AC210" i="13"/>
  <c r="AD210" i="13"/>
  <c r="AE210" i="13"/>
  <c r="AC211" i="13"/>
  <c r="AD211" i="13"/>
  <c r="AE211" i="13"/>
  <c r="AC212" i="13"/>
  <c r="AD212" i="13"/>
  <c r="AE212" i="13"/>
  <c r="AC213" i="13"/>
  <c r="AD213" i="13"/>
  <c r="AE213" i="13"/>
  <c r="AC214" i="13"/>
  <c r="AD214" i="13"/>
  <c r="AE214" i="13"/>
  <c r="AC215" i="13"/>
  <c r="AD215" i="13"/>
  <c r="AE215" i="13"/>
  <c r="AC216" i="13"/>
  <c r="AD216" i="13"/>
  <c r="AE216" i="13"/>
  <c r="AC217" i="13"/>
  <c r="AD217" i="13"/>
  <c r="AE217" i="13"/>
  <c r="AC218" i="13"/>
  <c r="AD218" i="13"/>
  <c r="AE218" i="13"/>
  <c r="AC219" i="13"/>
  <c r="AD219" i="13"/>
  <c r="AE219" i="13"/>
  <c r="AC220" i="13"/>
  <c r="AD220" i="13"/>
  <c r="AE220" i="13"/>
  <c r="AC221" i="13"/>
  <c r="AD221" i="13"/>
  <c r="AE221" i="13"/>
  <c r="AC222" i="13"/>
  <c r="AD222" i="13"/>
  <c r="AE222" i="13"/>
  <c r="AC223" i="13"/>
  <c r="AD223" i="13"/>
  <c r="AE223" i="13"/>
  <c r="AC224" i="13"/>
  <c r="AD224" i="13"/>
  <c r="AE224" i="13"/>
  <c r="AC225" i="13"/>
  <c r="AD225" i="13"/>
  <c r="AE225" i="13"/>
  <c r="AC226" i="13"/>
  <c r="AD226" i="13"/>
  <c r="AE226" i="13"/>
  <c r="AC227" i="13"/>
  <c r="AD227" i="13"/>
  <c r="AE227" i="13"/>
  <c r="AC228" i="13"/>
  <c r="AD228" i="13"/>
  <c r="AE228" i="13"/>
  <c r="AC229" i="13"/>
  <c r="AD229" i="13"/>
  <c r="AE229" i="13"/>
  <c r="AC230" i="13"/>
  <c r="AD230" i="13"/>
  <c r="AE230" i="13"/>
  <c r="AC231" i="13"/>
  <c r="AD231" i="13"/>
  <c r="AE231" i="13"/>
  <c r="AC232" i="13"/>
  <c r="AD232" i="13"/>
  <c r="AE232" i="13"/>
  <c r="AC233" i="13"/>
  <c r="AD233" i="13"/>
  <c r="AE233" i="13"/>
  <c r="AC234" i="13"/>
  <c r="AD234" i="13"/>
  <c r="AE234" i="13"/>
  <c r="AC235" i="13"/>
  <c r="AD235" i="13"/>
  <c r="AE235" i="13"/>
  <c r="AC236" i="13"/>
  <c r="AD236" i="13"/>
  <c r="AE236" i="13"/>
  <c r="AC237" i="13"/>
  <c r="AD237" i="13"/>
  <c r="AE237" i="13"/>
  <c r="AC238" i="13"/>
  <c r="AD238" i="13"/>
  <c r="AE238" i="13"/>
  <c r="AC239" i="13"/>
  <c r="AD239" i="13"/>
  <c r="AE239" i="13"/>
  <c r="AC240" i="13"/>
  <c r="AD240" i="13"/>
  <c r="AE240" i="13"/>
  <c r="AC241" i="13"/>
  <c r="AD241" i="13"/>
  <c r="AE241" i="13"/>
  <c r="AC242" i="13"/>
  <c r="AD242" i="13"/>
  <c r="AE242" i="13"/>
  <c r="AC243" i="13"/>
  <c r="AD243" i="13"/>
  <c r="AE243" i="13"/>
  <c r="AC244" i="13"/>
  <c r="AD244" i="13"/>
  <c r="AE244" i="13"/>
  <c r="AC245" i="13"/>
  <c r="AD245" i="13"/>
  <c r="AE245" i="13"/>
  <c r="AC246" i="13"/>
  <c r="AD246" i="13"/>
  <c r="AE246" i="13"/>
  <c r="AC247" i="13"/>
  <c r="AD247" i="13"/>
  <c r="AE247" i="13"/>
  <c r="AC248" i="13"/>
  <c r="AD248" i="13"/>
  <c r="AE248" i="13"/>
  <c r="AC249" i="13"/>
  <c r="AD249" i="13"/>
  <c r="AE249" i="13"/>
  <c r="AC250" i="13"/>
  <c r="AD250" i="13"/>
  <c r="AE250" i="13"/>
  <c r="AC251" i="13"/>
  <c r="AD251" i="13"/>
  <c r="AE251" i="13"/>
  <c r="AC252" i="13"/>
  <c r="AD252" i="13"/>
  <c r="AE252" i="13"/>
  <c r="AC253" i="13"/>
  <c r="AD253" i="13"/>
  <c r="AE253" i="13"/>
  <c r="AC254" i="13"/>
  <c r="AD254" i="13"/>
  <c r="AE254" i="13"/>
  <c r="AC255" i="13"/>
  <c r="AD255" i="13"/>
  <c r="AE255" i="13"/>
  <c r="AC256" i="13"/>
  <c r="AD256" i="13"/>
  <c r="AE256" i="13"/>
  <c r="AC257" i="13"/>
  <c r="AD257" i="13"/>
  <c r="AE257" i="13"/>
  <c r="AC258" i="13"/>
  <c r="AD258" i="13"/>
  <c r="AE258" i="13"/>
  <c r="AC259" i="13"/>
  <c r="AD259" i="13"/>
  <c r="AE259" i="13"/>
  <c r="AC260" i="13"/>
  <c r="AD260" i="13"/>
  <c r="AE260" i="13"/>
  <c r="AC261" i="13"/>
  <c r="AD261" i="13"/>
  <c r="AE261" i="13"/>
  <c r="AC262" i="13"/>
  <c r="AD262" i="13"/>
  <c r="AE262" i="13"/>
  <c r="AC263" i="13"/>
  <c r="AD263" i="13"/>
  <c r="AE263" i="13"/>
  <c r="AC264" i="13"/>
  <c r="AD264" i="13"/>
  <c r="AE264" i="13"/>
  <c r="AC265" i="13"/>
  <c r="AD265" i="13"/>
  <c r="AE265" i="13"/>
  <c r="AC266" i="13"/>
  <c r="AD266" i="13"/>
  <c r="AE266" i="13"/>
  <c r="AC267" i="13"/>
  <c r="AD267" i="13"/>
  <c r="AE267" i="13"/>
  <c r="AC268" i="13"/>
  <c r="AD268" i="13"/>
  <c r="AE268" i="13"/>
  <c r="AC269" i="13"/>
  <c r="AD269" i="13"/>
  <c r="AE269" i="13"/>
  <c r="AC270" i="13"/>
  <c r="AD270" i="13"/>
  <c r="AE270" i="13"/>
  <c r="AC271" i="13"/>
  <c r="AD271" i="13"/>
  <c r="AE271" i="13"/>
  <c r="AC272" i="13"/>
  <c r="AD272" i="13"/>
  <c r="AE272" i="13"/>
  <c r="AC273" i="13"/>
  <c r="AD273" i="13"/>
  <c r="AE273" i="13"/>
  <c r="AC274" i="13"/>
  <c r="AD274" i="13"/>
  <c r="AE274" i="13"/>
  <c r="AC275" i="13"/>
  <c r="AD275" i="13"/>
  <c r="AE275" i="13"/>
  <c r="AC276" i="13"/>
  <c r="AD276" i="13"/>
  <c r="AE276" i="13"/>
  <c r="AC277" i="13"/>
  <c r="AD277" i="13"/>
  <c r="AE277" i="13"/>
  <c r="AC278" i="13"/>
  <c r="AD278" i="13"/>
  <c r="AE278" i="13"/>
  <c r="AC279" i="13"/>
  <c r="AD279" i="13"/>
  <c r="AE279" i="13"/>
  <c r="AC280" i="13"/>
  <c r="AD280" i="13"/>
  <c r="AE280" i="13"/>
  <c r="AC281" i="13"/>
  <c r="AD281" i="13"/>
  <c r="AE281" i="13"/>
  <c r="AC282" i="13"/>
  <c r="AD282" i="13"/>
  <c r="AE282" i="13"/>
  <c r="AC283" i="13"/>
  <c r="AD283" i="13"/>
  <c r="AE283" i="13"/>
  <c r="AC284" i="13"/>
  <c r="AD284" i="13"/>
  <c r="AE284" i="13"/>
  <c r="AC285" i="13"/>
  <c r="AD285" i="13"/>
  <c r="AE285" i="13"/>
  <c r="AC286" i="13"/>
  <c r="AD286" i="13"/>
  <c r="AE286" i="13"/>
  <c r="AC287" i="13"/>
  <c r="AD287" i="13"/>
  <c r="AE287" i="13"/>
  <c r="AC288" i="13"/>
  <c r="AD288" i="13"/>
  <c r="AE288" i="13"/>
  <c r="AC289" i="13"/>
  <c r="AD289" i="13"/>
  <c r="AE289" i="13"/>
  <c r="AC290" i="13"/>
  <c r="AD290" i="13"/>
  <c r="AE290" i="13"/>
  <c r="AC291" i="13"/>
  <c r="AD291" i="13"/>
  <c r="AE291" i="13"/>
  <c r="AC292" i="13"/>
  <c r="AD292" i="13"/>
  <c r="AE292" i="13"/>
  <c r="AC293" i="13"/>
  <c r="AD293" i="13"/>
  <c r="AE293" i="13"/>
  <c r="AC294" i="13"/>
  <c r="AD294" i="13"/>
  <c r="AE294" i="13"/>
  <c r="AC295" i="13"/>
  <c r="AD295" i="13"/>
  <c r="AE295" i="13"/>
  <c r="AC296" i="13"/>
  <c r="AD296" i="13"/>
  <c r="AE296" i="13"/>
  <c r="AC297" i="13"/>
  <c r="AD297" i="13"/>
  <c r="AE297" i="13"/>
  <c r="AC298" i="13"/>
  <c r="AD298" i="13"/>
  <c r="AE298" i="13"/>
  <c r="AC299" i="13"/>
  <c r="AD299" i="13"/>
  <c r="AE299" i="13"/>
  <c r="AC300" i="13"/>
  <c r="AD300" i="13"/>
  <c r="AE300" i="13"/>
  <c r="AC301" i="13"/>
  <c r="AD301" i="13"/>
  <c r="AE301" i="13"/>
  <c r="M23" i="146"/>
  <c r="M24" i="146"/>
  <c r="M25" i="146"/>
  <c r="M26" i="146"/>
  <c r="M27" i="146"/>
  <c r="M28" i="146"/>
  <c r="M29" i="146"/>
  <c r="M30" i="146"/>
  <c r="M31" i="146"/>
  <c r="M32" i="146"/>
  <c r="M33" i="146"/>
  <c r="M34" i="146"/>
  <c r="M35" i="146"/>
  <c r="M36" i="146"/>
  <c r="M37" i="146"/>
  <c r="M38" i="146"/>
  <c r="M39" i="146"/>
  <c r="M40" i="146"/>
  <c r="M41" i="146"/>
  <c r="M42" i="146"/>
  <c r="M43" i="146"/>
  <c r="M44" i="146"/>
  <c r="M45" i="146"/>
  <c r="M46" i="146"/>
  <c r="M47" i="146"/>
  <c r="M48" i="146"/>
  <c r="M49" i="146"/>
  <c r="M50" i="146"/>
  <c r="M51" i="146"/>
  <c r="M52" i="146"/>
  <c r="M53" i="146"/>
  <c r="M54" i="146"/>
  <c r="M55" i="146"/>
  <c r="M56" i="146"/>
  <c r="M57" i="146"/>
  <c r="M58" i="146"/>
  <c r="M59" i="146"/>
  <c r="M60" i="146"/>
  <c r="M61" i="146"/>
  <c r="M62" i="146"/>
  <c r="M63" i="146"/>
  <c r="M64" i="146"/>
  <c r="M65" i="146"/>
  <c r="M66" i="146"/>
  <c r="M67" i="146"/>
  <c r="M68" i="146"/>
  <c r="M69" i="146"/>
  <c r="M70" i="146"/>
  <c r="M71" i="146"/>
  <c r="M72" i="146"/>
  <c r="M73" i="146"/>
  <c r="M74" i="146"/>
  <c r="M75" i="146"/>
  <c r="M76" i="146"/>
  <c r="M77" i="146"/>
  <c r="M78" i="146"/>
  <c r="M79" i="146"/>
  <c r="M80" i="146"/>
  <c r="M81" i="146"/>
  <c r="M82" i="146"/>
  <c r="M83" i="146"/>
  <c r="M84" i="146"/>
  <c r="M85" i="146"/>
  <c r="M86" i="146"/>
  <c r="M87" i="146"/>
  <c r="M88" i="146"/>
  <c r="M89" i="146"/>
  <c r="M90" i="146"/>
  <c r="M91" i="146"/>
  <c r="M92" i="146"/>
  <c r="M93" i="146"/>
  <c r="M94" i="146"/>
  <c r="M95" i="146"/>
  <c r="M96" i="146"/>
  <c r="M97" i="146"/>
  <c r="M98" i="146"/>
  <c r="M99" i="146"/>
  <c r="M100" i="146"/>
  <c r="M101" i="146"/>
  <c r="M102" i="146"/>
  <c r="M103" i="146"/>
  <c r="M104" i="146"/>
  <c r="M105" i="146"/>
  <c r="M106" i="146"/>
  <c r="M107" i="146"/>
  <c r="M108" i="146"/>
  <c r="M109" i="146"/>
  <c r="M110" i="146"/>
  <c r="M111" i="146"/>
  <c r="M112" i="146"/>
  <c r="M113" i="146"/>
  <c r="M114" i="146"/>
  <c r="M115" i="146"/>
  <c r="M116" i="146"/>
  <c r="M117" i="146"/>
  <c r="M118" i="146"/>
  <c r="M119" i="146"/>
  <c r="M120" i="146"/>
  <c r="M121" i="146"/>
  <c r="M122" i="146"/>
  <c r="M123" i="146"/>
  <c r="M124" i="146"/>
  <c r="M125" i="146"/>
  <c r="M126" i="146"/>
  <c r="M127" i="146"/>
  <c r="M128" i="146"/>
  <c r="M129" i="146"/>
  <c r="M130" i="146"/>
  <c r="M131" i="146"/>
  <c r="M132" i="146"/>
  <c r="M133" i="146"/>
  <c r="M134" i="146"/>
  <c r="M135" i="146"/>
  <c r="M136" i="146"/>
  <c r="M137" i="146"/>
  <c r="M138" i="146"/>
  <c r="M139" i="146"/>
  <c r="M140" i="146"/>
  <c r="M141" i="146"/>
  <c r="M142" i="146"/>
  <c r="M143" i="146"/>
  <c r="M144" i="146"/>
  <c r="M145" i="146"/>
  <c r="M146" i="146"/>
  <c r="M147" i="146"/>
  <c r="M148" i="146"/>
  <c r="M149" i="146"/>
  <c r="M150" i="146"/>
  <c r="M151" i="146"/>
  <c r="M152" i="146"/>
  <c r="M153" i="146"/>
  <c r="M154" i="146"/>
  <c r="M155" i="146"/>
  <c r="M156" i="146"/>
  <c r="M157" i="146"/>
  <c r="M158" i="146"/>
  <c r="M159" i="146"/>
  <c r="M160" i="146"/>
  <c r="M161" i="146"/>
  <c r="M162" i="146"/>
  <c r="M163" i="146"/>
  <c r="M164" i="146"/>
  <c r="M165" i="146"/>
  <c r="M166" i="146"/>
  <c r="M167" i="146"/>
  <c r="M168" i="146"/>
  <c r="M169" i="146"/>
  <c r="M170" i="146"/>
  <c r="M171" i="146"/>
  <c r="M172" i="146"/>
  <c r="M173" i="146"/>
  <c r="M174" i="146"/>
  <c r="M175" i="146"/>
  <c r="M176" i="146"/>
  <c r="M177" i="146"/>
  <c r="M178" i="146"/>
  <c r="M179" i="146"/>
  <c r="M180" i="146"/>
  <c r="M181" i="146"/>
  <c r="M182" i="146"/>
  <c r="M183" i="146"/>
  <c r="M184" i="146"/>
  <c r="M185" i="146"/>
  <c r="M186" i="146"/>
  <c r="M187" i="146"/>
  <c r="M188" i="146"/>
  <c r="M189" i="146"/>
  <c r="M190" i="146"/>
  <c r="M191" i="146"/>
  <c r="M192" i="146"/>
  <c r="M193" i="146"/>
  <c r="M194" i="146"/>
  <c r="M195" i="146"/>
  <c r="M196" i="146"/>
  <c r="M197" i="146"/>
  <c r="M198" i="146"/>
  <c r="M199" i="146"/>
  <c r="M200" i="146"/>
  <c r="M201" i="146"/>
  <c r="M202" i="146"/>
  <c r="M203" i="146"/>
  <c r="M204" i="146"/>
  <c r="M205" i="146"/>
  <c r="M206" i="146"/>
  <c r="M207" i="146"/>
  <c r="M208" i="146"/>
  <c r="M209" i="146"/>
  <c r="M210" i="146"/>
  <c r="M211" i="146"/>
  <c r="M212" i="146"/>
  <c r="M213" i="146"/>
  <c r="M214" i="146"/>
  <c r="M215" i="146"/>
  <c r="M216" i="146"/>
  <c r="M217" i="146"/>
  <c r="M218" i="146"/>
  <c r="M219" i="146"/>
  <c r="M220" i="146"/>
  <c r="M221" i="146"/>
  <c r="M222" i="146"/>
  <c r="M223" i="146"/>
  <c r="M224" i="146"/>
  <c r="M225" i="146"/>
  <c r="M226" i="146"/>
  <c r="M227" i="146"/>
  <c r="M228" i="146"/>
  <c r="M229" i="146"/>
  <c r="M230" i="146"/>
  <c r="M231" i="146"/>
  <c r="M232" i="146"/>
  <c r="M233" i="146"/>
  <c r="M234" i="146"/>
  <c r="M235" i="146"/>
  <c r="M236" i="146"/>
  <c r="M237" i="146"/>
  <c r="M238" i="146"/>
  <c r="M239" i="146"/>
  <c r="M240" i="146"/>
  <c r="M241" i="146"/>
  <c r="M242" i="146"/>
  <c r="M243" i="146"/>
  <c r="M244" i="146"/>
  <c r="M245" i="146"/>
  <c r="M246" i="146"/>
  <c r="M247" i="146"/>
  <c r="M248" i="146"/>
  <c r="M249" i="146"/>
  <c r="M250" i="146"/>
  <c r="M251" i="146"/>
  <c r="M252" i="146"/>
  <c r="M253" i="146"/>
  <c r="M254" i="146"/>
  <c r="M255" i="146"/>
  <c r="M256" i="146"/>
  <c r="M257" i="146"/>
  <c r="M258" i="146"/>
  <c r="M259" i="146"/>
  <c r="M260" i="146"/>
  <c r="M261" i="146"/>
  <c r="M262" i="146"/>
  <c r="M263" i="146"/>
  <c r="M264" i="146"/>
  <c r="M265" i="146"/>
  <c r="M266" i="146"/>
  <c r="M267" i="146"/>
  <c r="M268" i="146"/>
  <c r="M269" i="146"/>
  <c r="M270" i="146"/>
  <c r="M271" i="146"/>
  <c r="M272" i="146"/>
  <c r="M273" i="146"/>
  <c r="M274" i="146"/>
  <c r="M275" i="146"/>
  <c r="M276" i="146"/>
  <c r="M277" i="146"/>
  <c r="M278" i="146"/>
  <c r="M279" i="146"/>
  <c r="M280" i="146"/>
  <c r="M281" i="146"/>
  <c r="M282" i="146"/>
  <c r="M283" i="146"/>
  <c r="M284" i="146"/>
  <c r="M285" i="146"/>
  <c r="M286" i="146"/>
  <c r="M287" i="146"/>
  <c r="M288" i="146"/>
  <c r="M289" i="146"/>
  <c r="M290" i="146"/>
  <c r="M291" i="146"/>
  <c r="M292" i="146"/>
  <c r="M293" i="146"/>
  <c r="M294" i="146"/>
  <c r="M295" i="146"/>
  <c r="M296" i="146"/>
  <c r="M297" i="146"/>
  <c r="M298" i="146"/>
  <c r="M299" i="146"/>
  <c r="M300" i="146"/>
  <c r="M301" i="146"/>
  <c r="M302" i="146"/>
  <c r="M303" i="146"/>
  <c r="M304" i="146"/>
  <c r="M305" i="146"/>
  <c r="M306" i="146"/>
  <c r="M307" i="146"/>
  <c r="M308" i="146"/>
  <c r="M309" i="146"/>
  <c r="M310" i="146"/>
  <c r="M311" i="146"/>
  <c r="M312" i="146"/>
  <c r="M313" i="146"/>
  <c r="M314" i="146"/>
  <c r="M315" i="146"/>
  <c r="M316" i="146"/>
  <c r="M317" i="146"/>
  <c r="M318" i="146"/>
  <c r="M319" i="146"/>
  <c r="M320" i="146"/>
  <c r="M321" i="146"/>
  <c r="M322" i="146"/>
  <c r="M323" i="146"/>
  <c r="M324" i="146"/>
  <c r="M325" i="146"/>
  <c r="M326" i="146"/>
  <c r="M327" i="146"/>
  <c r="M328" i="146"/>
  <c r="M329" i="146"/>
  <c r="M330" i="146"/>
  <c r="M331" i="146"/>
  <c r="M332" i="146"/>
  <c r="M333" i="146"/>
  <c r="M334" i="146"/>
  <c r="M335" i="146"/>
  <c r="M336" i="146"/>
  <c r="M337" i="146"/>
  <c r="M338" i="146"/>
  <c r="M339" i="146"/>
  <c r="M340" i="146"/>
  <c r="M341" i="146"/>
  <c r="M342" i="146"/>
  <c r="M343" i="146"/>
  <c r="M344" i="146"/>
  <c r="M345" i="146"/>
  <c r="M346" i="146"/>
  <c r="M347" i="146"/>
  <c r="M348" i="146"/>
  <c r="M349" i="146"/>
  <c r="M350" i="146"/>
  <c r="M351" i="146"/>
  <c r="M352" i="146"/>
  <c r="M353" i="146"/>
  <c r="M354" i="146"/>
  <c r="M355" i="146"/>
  <c r="M356" i="146"/>
  <c r="M357" i="146"/>
  <c r="M358" i="146"/>
  <c r="M359" i="146"/>
  <c r="M360" i="146"/>
  <c r="M361" i="146"/>
  <c r="M362" i="146"/>
  <c r="M363" i="146"/>
  <c r="M364" i="146"/>
  <c r="M365" i="146"/>
  <c r="M366" i="146"/>
  <c r="M367" i="146"/>
  <c r="M368" i="146"/>
  <c r="M369" i="146"/>
  <c r="M370" i="146"/>
  <c r="M371" i="146"/>
  <c r="M372" i="146"/>
  <c r="M373" i="146"/>
  <c r="M374" i="146"/>
  <c r="M375" i="146"/>
  <c r="M376" i="146"/>
  <c r="M377" i="146"/>
  <c r="M378" i="146"/>
  <c r="M379" i="146"/>
  <c r="M380" i="146"/>
  <c r="M381" i="146"/>
  <c r="M382" i="146"/>
  <c r="M383" i="146"/>
  <c r="M384" i="146"/>
  <c r="M385" i="146"/>
  <c r="M386" i="146"/>
  <c r="M387" i="146"/>
  <c r="M388" i="146"/>
  <c r="M389" i="146"/>
  <c r="M390" i="146"/>
  <c r="M391" i="146"/>
  <c r="M392" i="146"/>
  <c r="M393" i="146"/>
  <c r="M394" i="146"/>
  <c r="M395" i="146"/>
  <c r="M396" i="146"/>
  <c r="M397" i="146"/>
  <c r="M398" i="146"/>
  <c r="M399" i="146"/>
  <c r="M400" i="146"/>
  <c r="M401" i="146"/>
  <c r="M402" i="146"/>
  <c r="M403" i="146"/>
  <c r="M404" i="146"/>
  <c r="M405" i="146"/>
  <c r="M406" i="146"/>
  <c r="M407" i="146"/>
  <c r="M408" i="146"/>
  <c r="M409" i="146"/>
  <c r="M410" i="146"/>
  <c r="M411" i="146"/>
  <c r="M412" i="146"/>
  <c r="M413" i="146"/>
  <c r="M414" i="146"/>
  <c r="M415" i="146"/>
  <c r="M416" i="146"/>
  <c r="M417" i="146"/>
  <c r="M418" i="146"/>
  <c r="M419" i="146"/>
  <c r="M420" i="146"/>
  <c r="M421" i="146"/>
  <c r="M422" i="146"/>
  <c r="M423" i="146"/>
  <c r="M424" i="146"/>
  <c r="M425" i="146"/>
  <c r="M426" i="146"/>
  <c r="M427" i="146"/>
  <c r="M428" i="146"/>
  <c r="M429" i="146"/>
  <c r="M430" i="146"/>
  <c r="M431" i="146"/>
  <c r="M432" i="146"/>
  <c r="M433" i="146"/>
  <c r="M434" i="146"/>
  <c r="M435" i="146"/>
  <c r="M436" i="146"/>
  <c r="M437" i="146"/>
  <c r="M438" i="146"/>
  <c r="M439" i="146"/>
  <c r="M440" i="146"/>
  <c r="M441" i="146"/>
  <c r="M442" i="146"/>
  <c r="M443" i="146"/>
  <c r="M444" i="146"/>
  <c r="M445" i="146"/>
  <c r="M446" i="146"/>
  <c r="M447" i="146"/>
  <c r="M448" i="146"/>
  <c r="M449" i="146"/>
  <c r="M450" i="146"/>
  <c r="M451" i="146"/>
  <c r="M452" i="146"/>
  <c r="M453" i="146"/>
  <c r="M454" i="146"/>
  <c r="M455" i="146"/>
  <c r="M456" i="146"/>
  <c r="M457" i="146"/>
  <c r="M458" i="146"/>
  <c r="M459" i="146"/>
  <c r="M460" i="146"/>
  <c r="M461" i="146"/>
  <c r="M462" i="146"/>
  <c r="M463" i="146"/>
  <c r="M464" i="146"/>
  <c r="M465" i="146"/>
  <c r="M466" i="146"/>
  <c r="M467" i="146"/>
  <c r="M468" i="146"/>
  <c r="M469" i="146"/>
  <c r="M470" i="146"/>
  <c r="M471" i="146"/>
  <c r="M472" i="146"/>
  <c r="M473" i="146"/>
  <c r="M474" i="146"/>
  <c r="M475" i="146"/>
  <c r="M476" i="146"/>
  <c r="M477" i="146"/>
  <c r="M478" i="146"/>
  <c r="M479" i="146"/>
  <c r="M480" i="146"/>
  <c r="M481" i="146"/>
  <c r="M482" i="146"/>
  <c r="M483" i="146"/>
  <c r="M484" i="146"/>
  <c r="M485" i="146"/>
  <c r="M486" i="146"/>
  <c r="M487" i="146"/>
  <c r="M488" i="146"/>
  <c r="M489" i="146"/>
  <c r="M490" i="146"/>
  <c r="M491" i="146"/>
  <c r="M492" i="146"/>
  <c r="M493" i="146"/>
  <c r="M494" i="146"/>
  <c r="M495" i="146"/>
  <c r="M496" i="146"/>
  <c r="M497" i="146"/>
  <c r="M498" i="146"/>
  <c r="R1" i="163"/>
  <c r="O6" i="163"/>
  <c r="I8" i="163"/>
  <c r="C9" i="163"/>
  <c r="J9" i="163"/>
  <c r="C10" i="163"/>
  <c r="J10" i="163"/>
  <c r="O10" i="163"/>
  <c r="R1" i="162"/>
  <c r="O6" i="162"/>
  <c r="I8" i="162"/>
  <c r="C9" i="162"/>
  <c r="J9" i="162"/>
  <c r="C10" i="162"/>
  <c r="J10" i="162"/>
  <c r="O10" i="162"/>
  <c r="C47" i="162"/>
  <c r="AD1" i="147"/>
  <c r="P2" i="147" s="1"/>
  <c r="Y6" i="147"/>
  <c r="C9" i="147"/>
  <c r="S9" i="147"/>
  <c r="C10" i="147"/>
  <c r="S10" i="147"/>
  <c r="Z10" i="147"/>
  <c r="AA12" i="147"/>
  <c r="AB12" i="147" s="1"/>
  <c r="HB18" i="147"/>
  <c r="HC18" i="147" s="1"/>
  <c r="HD18" i="147" s="1"/>
  <c r="HE18" i="147" s="1"/>
  <c r="HF18" i="147" s="1"/>
  <c r="HG18" i="147" s="1"/>
  <c r="HH18" i="147" s="1"/>
  <c r="HI18" i="147" s="1"/>
  <c r="HJ18" i="147" s="1"/>
  <c r="HK18" i="147" s="1"/>
  <c r="HL18" i="147" s="1"/>
  <c r="HM18" i="147" s="1"/>
  <c r="HN18" i="147" s="1"/>
  <c r="HO18" i="147" s="1"/>
  <c r="HP18" i="147" s="1"/>
  <c r="HQ18" i="147" s="1"/>
  <c r="HR18" i="147" s="1"/>
  <c r="HS18" i="147" s="1"/>
  <c r="HT18" i="147" s="1"/>
  <c r="HU18" i="147" s="1"/>
  <c r="HV18" i="147" s="1"/>
  <c r="HW18" i="147" s="1"/>
  <c r="HX18" i="147" s="1"/>
  <c r="HY18" i="147" s="1"/>
  <c r="HZ18" i="147" s="1"/>
  <c r="IA18" i="147" s="1"/>
  <c r="IB18" i="147" s="1"/>
  <c r="IC18" i="147" s="1"/>
  <c r="ID18" i="147" s="1"/>
  <c r="IE18" i="147" s="1"/>
  <c r="IF18" i="147" s="1"/>
  <c r="BJ1" i="160"/>
  <c r="Q4" i="160" s="1"/>
  <c r="AU4" i="160" s="1"/>
  <c r="FA1" i="160"/>
  <c r="FB1" i="160" s="1"/>
  <c r="FA2" i="160"/>
  <c r="FC2" i="160"/>
  <c r="FE2" i="160"/>
  <c r="FG2" i="160"/>
  <c r="EZ4" i="160"/>
  <c r="FA4" i="160"/>
  <c r="FB4" i="160"/>
  <c r="FC4" i="160"/>
  <c r="FD4" i="160"/>
  <c r="FE4" i="160"/>
  <c r="FF4" i="160"/>
  <c r="X6" i="160"/>
  <c r="BB6" i="160" s="1"/>
  <c r="C9" i="160"/>
  <c r="AE9" i="160" s="1"/>
  <c r="T9" i="160"/>
  <c r="AX9" i="160" s="1"/>
  <c r="C10" i="160"/>
  <c r="AE10" i="160" s="1"/>
  <c r="T10" i="160"/>
  <c r="AX10" i="160" s="1"/>
  <c r="Z10" i="160"/>
  <c r="BE10" i="160" s="1"/>
  <c r="CC54" i="160"/>
  <c r="EF54" i="160" s="1"/>
  <c r="CH54" i="160"/>
  <c r="CI54" i="160"/>
  <c r="CL54" i="160"/>
  <c r="EH54" i="160" s="1"/>
  <c r="CQ54" i="160"/>
  <c r="CR54" i="160"/>
  <c r="EB54" i="160"/>
  <c r="CU54" i="160"/>
  <c r="FO54" i="160"/>
  <c r="AF14" i="160" s="1"/>
  <c r="FP54" i="160"/>
  <c r="FN54" i="160"/>
  <c r="FW54" i="160"/>
  <c r="FV54" i="160" s="1"/>
  <c r="FQ54" i="160"/>
  <c r="FX54" i="160"/>
  <c r="FK54" i="160"/>
  <c r="FK55" i="160" s="1"/>
  <c r="FJ55" i="160" s="1"/>
  <c r="CB54" i="160"/>
  <c r="CB55" i="160"/>
  <c r="CB56" i="160"/>
  <c r="CB57" i="160"/>
  <c r="CB58" i="160"/>
  <c r="CB59" i="160"/>
  <c r="CB60" i="160"/>
  <c r="CB61" i="160"/>
  <c r="CB62" i="160"/>
  <c r="CB63" i="160"/>
  <c r="CB64" i="160"/>
  <c r="CB65" i="160"/>
  <c r="CB66" i="160"/>
  <c r="CB67" i="160"/>
  <c r="CB68" i="160"/>
  <c r="CB69" i="160"/>
  <c r="CB70" i="160"/>
  <c r="CB71" i="160"/>
  <c r="CB72" i="160"/>
  <c r="CB73" i="160"/>
  <c r="CB74" i="160"/>
  <c r="CB75" i="160"/>
  <c r="CB76" i="160"/>
  <c r="CB77" i="160"/>
  <c r="CB78" i="160"/>
  <c r="CB79" i="160"/>
  <c r="CB80" i="160"/>
  <c r="CB81" i="160"/>
  <c r="CB82" i="160"/>
  <c r="CB83" i="160"/>
  <c r="CB84" i="160"/>
  <c r="CB85" i="160"/>
  <c r="GF54" i="160"/>
  <c r="GG54" i="160"/>
  <c r="GH54" i="160"/>
  <c r="GI54" i="160"/>
  <c r="FM54" i="160"/>
  <c r="FU54" i="160"/>
  <c r="FT54" i="160"/>
  <c r="GA54" i="160"/>
  <c r="GB54" i="160"/>
  <c r="CC55" i="160"/>
  <c r="EF55" i="160" s="1"/>
  <c r="CH55" i="160"/>
  <c r="CI55" i="160"/>
  <c r="CL55" i="160"/>
  <c r="EI55" i="160" s="1"/>
  <c r="CQ55" i="160"/>
  <c r="CR55" i="160"/>
  <c r="EB55" i="160"/>
  <c r="CU55" i="160"/>
  <c r="GF55" i="160"/>
  <c r="GG55" i="160"/>
  <c r="GH55" i="160"/>
  <c r="GI55" i="160"/>
  <c r="FM55" i="160"/>
  <c r="CU56" i="160"/>
  <c r="CC56" i="160"/>
  <c r="EF56" i="160" s="1"/>
  <c r="CH56" i="160"/>
  <c r="CI56" i="160"/>
  <c r="CL56" i="160"/>
  <c r="CQ56" i="160"/>
  <c r="CR56" i="160"/>
  <c r="EB56" i="160"/>
  <c r="GF56" i="160"/>
  <c r="GG56" i="160"/>
  <c r="GH56" i="160"/>
  <c r="GI56" i="160"/>
  <c r="FM56" i="160"/>
  <c r="CC57" i="160"/>
  <c r="EF57" i="160" s="1"/>
  <c r="CH57" i="160"/>
  <c r="CI57" i="160"/>
  <c r="CL57" i="160"/>
  <c r="CQ57" i="160"/>
  <c r="CR57" i="160"/>
  <c r="EB57" i="160"/>
  <c r="CU57" i="160"/>
  <c r="GF57" i="160"/>
  <c r="GG57" i="160"/>
  <c r="GH57" i="160"/>
  <c r="GI57" i="160"/>
  <c r="FM57" i="160"/>
  <c r="CC58" i="160"/>
  <c r="CH58" i="160"/>
  <c r="CI58" i="160"/>
  <c r="CL58" i="160"/>
  <c r="EH58" i="160" s="1"/>
  <c r="CQ58" i="160"/>
  <c r="CR58" i="160"/>
  <c r="EB58" i="160"/>
  <c r="CU58" i="160"/>
  <c r="GF58" i="160"/>
  <c r="GG58" i="160"/>
  <c r="GH58" i="160"/>
  <c r="GI58" i="160"/>
  <c r="FM58" i="160"/>
  <c r="CC59" i="160"/>
  <c r="CH59" i="160"/>
  <c r="CI59" i="160"/>
  <c r="CL59" i="160"/>
  <c r="CQ59" i="160"/>
  <c r="CR59" i="160"/>
  <c r="EB59" i="160"/>
  <c r="CU59" i="160"/>
  <c r="GF59" i="160"/>
  <c r="GG59" i="160"/>
  <c r="GH59" i="160"/>
  <c r="GI59" i="160"/>
  <c r="FM59" i="160"/>
  <c r="CC60" i="160"/>
  <c r="CH60" i="160"/>
  <c r="CI60" i="160"/>
  <c r="CL60" i="160"/>
  <c r="EI60" i="160" s="1"/>
  <c r="CQ60" i="160"/>
  <c r="CR60" i="160"/>
  <c r="EB60" i="160"/>
  <c r="CU60" i="160"/>
  <c r="GF60" i="160"/>
  <c r="GG60" i="160"/>
  <c r="GH60" i="160"/>
  <c r="GI60" i="160"/>
  <c r="FM60" i="160"/>
  <c r="CC61" i="160"/>
  <c r="CH61" i="160"/>
  <c r="CI61" i="160"/>
  <c r="CL61" i="160"/>
  <c r="EH61" i="160" s="1"/>
  <c r="CQ61" i="160"/>
  <c r="CR61" i="160"/>
  <c r="EB61" i="160"/>
  <c r="CU61" i="160"/>
  <c r="GF61" i="160"/>
  <c r="GG61" i="160"/>
  <c r="GH61" i="160"/>
  <c r="GI61" i="160"/>
  <c r="FM61" i="160"/>
  <c r="CC62" i="160"/>
  <c r="EF62" i="160" s="1"/>
  <c r="CH62" i="160"/>
  <c r="CI62" i="160"/>
  <c r="CL62" i="160"/>
  <c r="CQ62" i="160"/>
  <c r="CR62" i="160"/>
  <c r="EB62" i="160"/>
  <c r="CU62" i="160"/>
  <c r="GF62" i="160"/>
  <c r="GG62" i="160"/>
  <c r="GH62" i="160"/>
  <c r="GI62" i="160"/>
  <c r="FM62" i="160"/>
  <c r="CC63" i="160"/>
  <c r="EF63" i="160" s="1"/>
  <c r="CH63" i="160"/>
  <c r="CI63" i="160"/>
  <c r="CL63" i="160"/>
  <c r="EI63" i="160" s="1"/>
  <c r="CQ63" i="160"/>
  <c r="CR63" i="160"/>
  <c r="EB63" i="160"/>
  <c r="CU63" i="160"/>
  <c r="GF63" i="160"/>
  <c r="GG63" i="160"/>
  <c r="GH63" i="160"/>
  <c r="GI63" i="160"/>
  <c r="FM63" i="160"/>
  <c r="CC64" i="160"/>
  <c r="CH64" i="160"/>
  <c r="CI64" i="160"/>
  <c r="EB64" i="160"/>
  <c r="CU64" i="160"/>
  <c r="GF64" i="160"/>
  <c r="GH64" i="160"/>
  <c r="GI64" i="160"/>
  <c r="FM64" i="160"/>
  <c r="CC65" i="160"/>
  <c r="CH65" i="160"/>
  <c r="CI65" i="160"/>
  <c r="CL65" i="160"/>
  <c r="EH65" i="160" s="1"/>
  <c r="CQ65" i="160"/>
  <c r="CR65" i="160"/>
  <c r="EB65" i="160"/>
  <c r="CU65" i="160"/>
  <c r="GF65" i="160"/>
  <c r="GG65" i="160"/>
  <c r="GH65" i="160"/>
  <c r="GI65" i="160"/>
  <c r="FM65" i="160"/>
  <c r="CC66" i="160"/>
  <c r="CH66" i="160"/>
  <c r="CI66" i="160"/>
  <c r="CL66" i="160"/>
  <c r="CQ66" i="160"/>
  <c r="CR66" i="160"/>
  <c r="EB66" i="160"/>
  <c r="CU66" i="160"/>
  <c r="GF66" i="160"/>
  <c r="GG66" i="160"/>
  <c r="GH66" i="160"/>
  <c r="GI66" i="160"/>
  <c r="FM66" i="160"/>
  <c r="CC67" i="160"/>
  <c r="CH67" i="160"/>
  <c r="CI67" i="160"/>
  <c r="CL67" i="160"/>
  <c r="EI67" i="160" s="1"/>
  <c r="CQ67" i="160"/>
  <c r="CR67" i="160"/>
  <c r="EB67" i="160"/>
  <c r="CU67" i="160"/>
  <c r="GF67" i="160"/>
  <c r="GG67" i="160"/>
  <c r="GH67" i="160"/>
  <c r="GI67" i="160"/>
  <c r="FM67" i="160"/>
  <c r="CC68" i="160"/>
  <c r="CH68" i="160"/>
  <c r="CI68" i="160"/>
  <c r="CL68" i="160"/>
  <c r="EI68" i="160" s="1"/>
  <c r="CQ68" i="160"/>
  <c r="CR68" i="160"/>
  <c r="EB68" i="160"/>
  <c r="CU68" i="160"/>
  <c r="GF68" i="160"/>
  <c r="GG68" i="160"/>
  <c r="GH68" i="160"/>
  <c r="GI68" i="160"/>
  <c r="FM68" i="160"/>
  <c r="CC69" i="160"/>
  <c r="CH69" i="160"/>
  <c r="CI69" i="160"/>
  <c r="CL69" i="160"/>
  <c r="EH69" i="160" s="1"/>
  <c r="CQ69" i="160"/>
  <c r="CR69" i="160"/>
  <c r="EB69" i="160"/>
  <c r="CU69" i="160"/>
  <c r="GF69" i="160"/>
  <c r="GG69" i="160"/>
  <c r="GH69" i="160"/>
  <c r="GI69" i="160"/>
  <c r="FM69" i="160"/>
  <c r="CC70" i="160"/>
  <c r="CH70" i="160"/>
  <c r="CI70" i="160"/>
  <c r="CL70" i="160"/>
  <c r="CQ70" i="160"/>
  <c r="CR70" i="160"/>
  <c r="EB70" i="160"/>
  <c r="CU70" i="160"/>
  <c r="GF70" i="160"/>
  <c r="GG70" i="160"/>
  <c r="GH70" i="160"/>
  <c r="GI70" i="160"/>
  <c r="FM70" i="160"/>
  <c r="CC71" i="160"/>
  <c r="EF71" i="160" s="1"/>
  <c r="CH71" i="160"/>
  <c r="CI71" i="160"/>
  <c r="CL71" i="160"/>
  <c r="EH71" i="160" s="1"/>
  <c r="CQ71" i="160"/>
  <c r="CR71" i="160"/>
  <c r="EB71" i="160"/>
  <c r="CU71" i="160"/>
  <c r="EP71" i="160"/>
  <c r="GF71" i="160"/>
  <c r="GG71" i="160"/>
  <c r="GH71" i="160"/>
  <c r="GI71" i="160"/>
  <c r="FM71" i="160"/>
  <c r="CC72" i="160"/>
  <c r="CH72" i="160"/>
  <c r="CI72" i="160"/>
  <c r="CL72" i="160"/>
  <c r="CQ72" i="160"/>
  <c r="CR72" i="160"/>
  <c r="EB72" i="160"/>
  <c r="CU72" i="160"/>
  <c r="GF72" i="160"/>
  <c r="GG72" i="160"/>
  <c r="GH72" i="160"/>
  <c r="GI72" i="160"/>
  <c r="FM72" i="160"/>
  <c r="CC73" i="160"/>
  <c r="EF73" i="160" s="1"/>
  <c r="CH73" i="160"/>
  <c r="CI73" i="160"/>
  <c r="CL73" i="160"/>
  <c r="CQ73" i="160"/>
  <c r="CR73" i="160"/>
  <c r="EB73" i="160"/>
  <c r="CU73" i="160"/>
  <c r="GF73" i="160"/>
  <c r="GG73" i="160"/>
  <c r="GH73" i="160"/>
  <c r="GI73" i="160"/>
  <c r="FM73" i="160"/>
  <c r="CC74" i="160"/>
  <c r="CH74" i="160"/>
  <c r="CI74" i="160"/>
  <c r="CL74" i="160"/>
  <c r="CQ74" i="160"/>
  <c r="CR74" i="160"/>
  <c r="EB74" i="160"/>
  <c r="CU74" i="160"/>
  <c r="GF74" i="160"/>
  <c r="GG74" i="160"/>
  <c r="GH74" i="160"/>
  <c r="GI74" i="160"/>
  <c r="FM74" i="160"/>
  <c r="CC75" i="160"/>
  <c r="CH75" i="160"/>
  <c r="CI75" i="160"/>
  <c r="CL75" i="160"/>
  <c r="CQ75" i="160"/>
  <c r="CR75" i="160"/>
  <c r="EB75" i="160"/>
  <c r="CU75" i="160"/>
  <c r="GF75" i="160"/>
  <c r="GG75" i="160"/>
  <c r="GH75" i="160"/>
  <c r="GI75" i="160"/>
  <c r="FM75" i="160"/>
  <c r="CC76" i="160"/>
  <c r="CH76" i="160"/>
  <c r="CI76" i="160"/>
  <c r="CL76" i="160"/>
  <c r="EI76" i="160" s="1"/>
  <c r="CQ76" i="160"/>
  <c r="CR76" i="160"/>
  <c r="EB76" i="160"/>
  <c r="CU76" i="160"/>
  <c r="GF76" i="160"/>
  <c r="GG76" i="160"/>
  <c r="GH76" i="160"/>
  <c r="GI76" i="160"/>
  <c r="FM76" i="160"/>
  <c r="CC77" i="160"/>
  <c r="EF77" i="160" s="1"/>
  <c r="CH77" i="160"/>
  <c r="CI77" i="160"/>
  <c r="CL77" i="160"/>
  <c r="CQ77" i="160"/>
  <c r="CR77" i="160"/>
  <c r="EB77" i="160"/>
  <c r="CU77" i="160"/>
  <c r="GF77" i="160"/>
  <c r="GG77" i="160"/>
  <c r="GH77" i="160"/>
  <c r="GI77" i="160"/>
  <c r="FM77" i="160"/>
  <c r="CC78" i="160"/>
  <c r="CH78" i="160"/>
  <c r="CI78" i="160"/>
  <c r="CL78" i="160"/>
  <c r="EI78" i="160" s="1"/>
  <c r="CQ78" i="160"/>
  <c r="CR78" i="160"/>
  <c r="EB78" i="160"/>
  <c r="CU78" i="160"/>
  <c r="GF78" i="160"/>
  <c r="GG78" i="160"/>
  <c r="GH78" i="160"/>
  <c r="GI78" i="160"/>
  <c r="FM78" i="160"/>
  <c r="CC79" i="160"/>
  <c r="EE79" i="160" s="1"/>
  <c r="CH79" i="160"/>
  <c r="CI79" i="160"/>
  <c r="CL79" i="160"/>
  <c r="EH79" i="160" s="1"/>
  <c r="CQ79" i="160"/>
  <c r="CR79" i="160"/>
  <c r="EB79" i="160"/>
  <c r="CU79" i="160"/>
  <c r="EP79" i="160"/>
  <c r="GF79" i="160"/>
  <c r="GG79" i="160"/>
  <c r="GH79" i="160"/>
  <c r="GI79" i="160"/>
  <c r="FM79" i="160"/>
  <c r="CC80" i="160"/>
  <c r="CH80" i="160"/>
  <c r="CI80" i="160"/>
  <c r="CL80" i="160"/>
  <c r="EH80" i="160" s="1"/>
  <c r="CQ80" i="160"/>
  <c r="CR80" i="160"/>
  <c r="EB80" i="160"/>
  <c r="CU80" i="160"/>
  <c r="GF80" i="160"/>
  <c r="GG80" i="160"/>
  <c r="GH80" i="160"/>
  <c r="GI80" i="160"/>
  <c r="FM80" i="160"/>
  <c r="CC81" i="160"/>
  <c r="CH81" i="160"/>
  <c r="CI81" i="160"/>
  <c r="CL81" i="160"/>
  <c r="CQ81" i="160"/>
  <c r="CR81" i="160"/>
  <c r="EB81" i="160"/>
  <c r="CU81" i="160"/>
  <c r="GF81" i="160"/>
  <c r="GG81" i="160"/>
  <c r="GH81" i="160"/>
  <c r="GI81" i="160"/>
  <c r="FM81" i="160"/>
  <c r="CC82" i="160"/>
  <c r="CH82" i="160"/>
  <c r="CI82" i="160"/>
  <c r="CL82" i="160"/>
  <c r="CQ82" i="160"/>
  <c r="CR82" i="160"/>
  <c r="EB82" i="160"/>
  <c r="CU82" i="160"/>
  <c r="GF82" i="160"/>
  <c r="GG82" i="160"/>
  <c r="GH82" i="160"/>
  <c r="GI82" i="160"/>
  <c r="FM82" i="160"/>
  <c r="CC83" i="160"/>
  <c r="EE83" i="160" s="1"/>
  <c r="CH83" i="160"/>
  <c r="CI83" i="160"/>
  <c r="CL83" i="160"/>
  <c r="EI83" i="160" s="1"/>
  <c r="CQ83" i="160"/>
  <c r="CR83" i="160"/>
  <c r="EB83" i="160"/>
  <c r="CU83" i="160"/>
  <c r="GF83" i="160"/>
  <c r="GG83" i="160"/>
  <c r="GH83" i="160"/>
  <c r="GI83" i="160"/>
  <c r="FM83" i="160"/>
  <c r="CC84" i="160"/>
  <c r="CH84" i="160"/>
  <c r="CI84" i="160"/>
  <c r="CL84" i="160"/>
  <c r="EH84" i="160" s="1"/>
  <c r="CQ84" i="160"/>
  <c r="CR84" i="160"/>
  <c r="EB84" i="160"/>
  <c r="CU84" i="160"/>
  <c r="GF84" i="160"/>
  <c r="GG84" i="160"/>
  <c r="GH84" i="160"/>
  <c r="GI84" i="160"/>
  <c r="FM84" i="160"/>
  <c r="CC85" i="160"/>
  <c r="EE85" i="160" s="1"/>
  <c r="CH85" i="160"/>
  <c r="CI85" i="160"/>
  <c r="CL85" i="160"/>
  <c r="EH85" i="160" s="1"/>
  <c r="CQ85" i="160"/>
  <c r="CR85" i="160"/>
  <c r="EB85" i="160"/>
  <c r="CU85" i="160"/>
  <c r="GF85" i="160"/>
  <c r="GG85" i="160"/>
  <c r="GH85" i="160"/>
  <c r="GI85" i="160"/>
  <c r="FM85" i="160"/>
  <c r="GR48" i="160"/>
  <c r="GS48" i="160"/>
  <c r="GT48" i="160"/>
  <c r="GU48" i="160"/>
  <c r="GV48" i="160"/>
  <c r="GW48" i="160"/>
  <c r="GX48" i="160"/>
  <c r="GY48" i="160"/>
  <c r="GZ48" i="160"/>
  <c r="HA48" i="160"/>
  <c r="HB48" i="160"/>
  <c r="HC48" i="160"/>
  <c r="HD48" i="160"/>
  <c r="HE48" i="160"/>
  <c r="HF48" i="160"/>
  <c r="HG48" i="160"/>
  <c r="HH48" i="160"/>
  <c r="HI48" i="160"/>
  <c r="HJ48" i="160"/>
  <c r="HK48" i="160"/>
  <c r="HL48" i="160"/>
  <c r="HM48" i="160"/>
  <c r="HN48" i="160"/>
  <c r="HO48" i="160"/>
  <c r="IU48" i="160"/>
  <c r="HP48" i="160" s="1"/>
  <c r="HQ48" i="160" s="1"/>
  <c r="ED54" i="160"/>
  <c r="ED55" i="160"/>
  <c r="ED56" i="160"/>
  <c r="ED57" i="160"/>
  <c r="ED58" i="160"/>
  <c r="ED59" i="160"/>
  <c r="ED60" i="160"/>
  <c r="ED61" i="160"/>
  <c r="ED62" i="160"/>
  <c r="ED63" i="160"/>
  <c r="ED64" i="160"/>
  <c r="ED65" i="160"/>
  <c r="ED66" i="160"/>
  <c r="ED67" i="160"/>
  <c r="ED68" i="160"/>
  <c r="ED69" i="160"/>
  <c r="ED70" i="160"/>
  <c r="ED71" i="160"/>
  <c r="ED72" i="160"/>
  <c r="ED73" i="160"/>
  <c r="ED74" i="160"/>
  <c r="ED75" i="160"/>
  <c r="ED76" i="160"/>
  <c r="ED77" i="160"/>
  <c r="ED78" i="160"/>
  <c r="ED79" i="160"/>
  <c r="ED80" i="160"/>
  <c r="ED81" i="160"/>
  <c r="ED82" i="160"/>
  <c r="ED83" i="160"/>
  <c r="ED84" i="160"/>
  <c r="ED85" i="160"/>
  <c r="BJ1" i="84"/>
  <c r="Q4" i="84" s="1"/>
  <c r="AU4" i="84" s="1"/>
  <c r="FA1" i="84"/>
  <c r="FB1" i="84" s="1"/>
  <c r="FC2" i="84"/>
  <c r="FE2" i="84"/>
  <c r="FG2" i="84"/>
  <c r="EZ4" i="84"/>
  <c r="FB4" i="84"/>
  <c r="FC4" i="84"/>
  <c r="CI72" i="84" s="1"/>
  <c r="FF4" i="84"/>
  <c r="X6" i="84"/>
  <c r="BB6" i="84" s="1"/>
  <c r="C9" i="84"/>
  <c r="AE9" i="84" s="1"/>
  <c r="T9" i="84"/>
  <c r="AX9" i="84" s="1"/>
  <c r="C10" i="84"/>
  <c r="AE10" i="84" s="1"/>
  <c r="T10" i="84"/>
  <c r="AX10" i="84" s="1"/>
  <c r="Z10" i="84"/>
  <c r="BE10" i="84" s="1"/>
  <c r="FM59" i="84"/>
  <c r="FM55" i="84"/>
  <c r="FM56" i="84"/>
  <c r="FM57" i="84"/>
  <c r="FM58" i="84"/>
  <c r="FM60" i="84"/>
  <c r="AK21" i="84"/>
  <c r="AM21" i="84"/>
  <c r="AN21" i="84"/>
  <c r="AO21" i="84"/>
  <c r="GF61" i="84"/>
  <c r="GG61" i="84"/>
  <c r="GH61" i="84"/>
  <c r="GI61" i="84"/>
  <c r="BF21" i="84"/>
  <c r="FM61" i="84"/>
  <c r="HB21" i="84"/>
  <c r="HC21" i="84" s="1"/>
  <c r="HD21" i="84" s="1"/>
  <c r="HE21" i="84" s="1"/>
  <c r="HF21" i="84" s="1"/>
  <c r="HG21" i="84" s="1"/>
  <c r="HH21" i="84" s="1"/>
  <c r="HI21" i="84" s="1"/>
  <c r="HJ21" i="84" s="1"/>
  <c r="HK21" i="84" s="1"/>
  <c r="HL21" i="84" s="1"/>
  <c r="HM21" i="84" s="1"/>
  <c r="HN21" i="84" s="1"/>
  <c r="HO21" i="84" s="1"/>
  <c r="HP21" i="84" s="1"/>
  <c r="AK22" i="84"/>
  <c r="AM22" i="84"/>
  <c r="AN22" i="84"/>
  <c r="AO22" i="84"/>
  <c r="GF62" i="84"/>
  <c r="GG62" i="84"/>
  <c r="GH62" i="84"/>
  <c r="GI62" i="84"/>
  <c r="BF22" i="84"/>
  <c r="FM62" i="84"/>
  <c r="AK23" i="84"/>
  <c r="AM23" i="84"/>
  <c r="AN23" i="84"/>
  <c r="AO23" i="84"/>
  <c r="GF63" i="84"/>
  <c r="GG63" i="84"/>
  <c r="GH63" i="84"/>
  <c r="GI63" i="84"/>
  <c r="BF23" i="84"/>
  <c r="FM63" i="84"/>
  <c r="B45" i="84"/>
  <c r="AB24" i="84"/>
  <c r="FQ24" i="84" s="1"/>
  <c r="AK24" i="84"/>
  <c r="AM24" i="84"/>
  <c r="AN24" i="84"/>
  <c r="AO24" i="84"/>
  <c r="GF64" i="84"/>
  <c r="GG64" i="84"/>
  <c r="GH64" i="84"/>
  <c r="GI64" i="84"/>
  <c r="BF24" i="84"/>
  <c r="FM64" i="84"/>
  <c r="AB25" i="84"/>
  <c r="FQ25" i="84" s="1"/>
  <c r="AK25" i="84"/>
  <c r="AM25" i="84"/>
  <c r="AN25" i="84"/>
  <c r="AO25" i="84"/>
  <c r="GF65" i="84"/>
  <c r="GG65" i="84"/>
  <c r="GH65" i="84"/>
  <c r="GI65" i="84"/>
  <c r="BF25" i="84"/>
  <c r="FM65" i="84"/>
  <c r="AB26" i="84"/>
  <c r="FQ26" i="84" s="1"/>
  <c r="AK26" i="84"/>
  <c r="AM26" i="84"/>
  <c r="AN26" i="84"/>
  <c r="AO26" i="84"/>
  <c r="GF66" i="84"/>
  <c r="GG66" i="84"/>
  <c r="GH66" i="84"/>
  <c r="GI66" i="84"/>
  <c r="BF26" i="84"/>
  <c r="FM66" i="84"/>
  <c r="AB27" i="84"/>
  <c r="FQ27" i="84" s="1"/>
  <c r="AK27" i="84"/>
  <c r="AM27" i="84"/>
  <c r="AN27" i="84"/>
  <c r="AO27" i="84"/>
  <c r="GF67" i="84"/>
  <c r="GG67" i="84"/>
  <c r="GH67" i="84"/>
  <c r="GI67" i="84"/>
  <c r="BF27" i="84"/>
  <c r="FM67" i="84"/>
  <c r="AB28" i="84"/>
  <c r="FQ28" i="84" s="1"/>
  <c r="AK28" i="84"/>
  <c r="AM28" i="84"/>
  <c r="AN28" i="84"/>
  <c r="AO28" i="84"/>
  <c r="GF68" i="84"/>
  <c r="GG68" i="84"/>
  <c r="GH68" i="84"/>
  <c r="GI68" i="84"/>
  <c r="BF28" i="84"/>
  <c r="FM68" i="84"/>
  <c r="AB29" i="84"/>
  <c r="FQ29" i="84" s="1"/>
  <c r="AK29" i="84"/>
  <c r="AM29" i="84"/>
  <c r="AN29" i="84"/>
  <c r="AO29" i="84"/>
  <c r="GF69" i="84"/>
  <c r="GG69" i="84"/>
  <c r="GH69" i="84"/>
  <c r="GI69" i="84"/>
  <c r="BF29" i="84"/>
  <c r="FM69" i="84"/>
  <c r="AB30" i="84"/>
  <c r="FQ30" i="84" s="1"/>
  <c r="AK30" i="84"/>
  <c r="AM30" i="84"/>
  <c r="AN30" i="84"/>
  <c r="AO30" i="84"/>
  <c r="GF70" i="84"/>
  <c r="GG70" i="84"/>
  <c r="GH70" i="84"/>
  <c r="GI70" i="84"/>
  <c r="BF30" i="84"/>
  <c r="FM70" i="84"/>
  <c r="AB31" i="84"/>
  <c r="FQ31" i="84" s="1"/>
  <c r="AK31" i="84"/>
  <c r="AM31" i="84"/>
  <c r="AN31" i="84"/>
  <c r="AO31" i="84"/>
  <c r="GF71" i="84"/>
  <c r="GG71" i="84"/>
  <c r="GH71" i="84"/>
  <c r="GI71" i="84"/>
  <c r="BF31" i="84"/>
  <c r="BN31" i="84"/>
  <c r="BO31" i="84" s="1"/>
  <c r="FM71" i="84"/>
  <c r="AB32" i="84"/>
  <c r="FQ32" i="84" s="1"/>
  <c r="AK32" i="84"/>
  <c r="AM32" i="84"/>
  <c r="AN32" i="84"/>
  <c r="AO32" i="84"/>
  <c r="GF72" i="84"/>
  <c r="GG72" i="84"/>
  <c r="GH72" i="84"/>
  <c r="GI72" i="84"/>
  <c r="BF32" i="84"/>
  <c r="FM72" i="84"/>
  <c r="AB33" i="84"/>
  <c r="FQ33" i="84" s="1"/>
  <c r="AK33" i="84"/>
  <c r="AM33" i="84"/>
  <c r="AN33" i="84"/>
  <c r="AO33" i="84"/>
  <c r="GF73" i="84"/>
  <c r="GG73" i="84"/>
  <c r="GH73" i="84"/>
  <c r="GI73" i="84"/>
  <c r="BF33" i="84"/>
  <c r="FM73" i="84"/>
  <c r="CE74" i="84"/>
  <c r="CN74" i="84"/>
  <c r="CC74" i="84"/>
  <c r="EE74" i="84" s="1"/>
  <c r="EG74" i="84" s="1"/>
  <c r="CH74" i="84"/>
  <c r="CI74" i="84"/>
  <c r="CL74" i="84"/>
  <c r="CQ74" i="84"/>
  <c r="CR74" i="84"/>
  <c r="EB74" i="84"/>
  <c r="CU74" i="84"/>
  <c r="AB34" i="84"/>
  <c r="FQ34" i="84" s="1"/>
  <c r="AK34" i="84"/>
  <c r="AM34" i="84"/>
  <c r="AN34" i="84"/>
  <c r="AO34" i="84"/>
  <c r="GF74" i="84"/>
  <c r="GG74" i="84"/>
  <c r="GH74" i="84"/>
  <c r="GI74" i="84"/>
  <c r="BF34" i="84"/>
  <c r="BN34" i="84"/>
  <c r="ET34" i="84"/>
  <c r="EU34" i="84"/>
  <c r="FM74" i="84"/>
  <c r="CE75" i="84"/>
  <c r="CN75" i="84"/>
  <c r="CC75" i="84"/>
  <c r="EE75" i="84" s="1"/>
  <c r="EG75" i="84" s="1"/>
  <c r="CH75" i="84"/>
  <c r="CI75" i="84"/>
  <c r="CL75" i="84"/>
  <c r="CQ75" i="84"/>
  <c r="CR75" i="84"/>
  <c r="EB75" i="84"/>
  <c r="CU75" i="84"/>
  <c r="AB35" i="84"/>
  <c r="FQ35" i="84" s="1"/>
  <c r="AK35" i="84"/>
  <c r="AM35" i="84"/>
  <c r="AN35" i="84"/>
  <c r="AO35" i="84"/>
  <c r="GF75" i="84"/>
  <c r="GG75" i="84"/>
  <c r="GH75" i="84"/>
  <c r="GI75" i="84"/>
  <c r="BF35" i="84"/>
  <c r="ET35" i="84"/>
  <c r="EU35" i="84"/>
  <c r="FM75" i="84"/>
  <c r="CE76" i="84"/>
  <c r="CN76" i="84"/>
  <c r="CC76" i="84"/>
  <c r="CH76" i="84"/>
  <c r="CI76" i="84"/>
  <c r="CL76" i="84"/>
  <c r="EH76" i="84" s="1"/>
  <c r="EJ76" i="84" s="1"/>
  <c r="CQ76" i="84"/>
  <c r="CR76" i="84"/>
  <c r="EB76" i="84"/>
  <c r="CU76" i="84"/>
  <c r="AB36" i="84"/>
  <c r="FQ36" i="84" s="1"/>
  <c r="AK36" i="84"/>
  <c r="AM36" i="84"/>
  <c r="AN36" i="84"/>
  <c r="AO36" i="84"/>
  <c r="GF76" i="84"/>
  <c r="GG76" i="84"/>
  <c r="GH76" i="84"/>
  <c r="GI76" i="84"/>
  <c r="BF36" i="84"/>
  <c r="ET36" i="84"/>
  <c r="EU36" i="84"/>
  <c r="FM76" i="84"/>
  <c r="CE77" i="84"/>
  <c r="CN77" i="84"/>
  <c r="CC77" i="84"/>
  <c r="CH77" i="84"/>
  <c r="CI77" i="84"/>
  <c r="CL77" i="84"/>
  <c r="CQ77" i="84"/>
  <c r="CR77" i="84"/>
  <c r="EB77" i="84"/>
  <c r="CU77" i="84"/>
  <c r="AB37" i="84"/>
  <c r="FQ37" i="84" s="1"/>
  <c r="AK37" i="84"/>
  <c r="AM37" i="84"/>
  <c r="AN37" i="84"/>
  <c r="AO37" i="84"/>
  <c r="GF77" i="84"/>
  <c r="GG77" i="84"/>
  <c r="GH77" i="84"/>
  <c r="GI77" i="84"/>
  <c r="BF37" i="84"/>
  <c r="ET37" i="84"/>
  <c r="EU37" i="84"/>
  <c r="FM77" i="84"/>
  <c r="BM38" i="84"/>
  <c r="CE78" i="84"/>
  <c r="CN78" i="84"/>
  <c r="CC78" i="84"/>
  <c r="CH78" i="84"/>
  <c r="CI78" i="84"/>
  <c r="CL78" i="84"/>
  <c r="CQ78" i="84"/>
  <c r="CR78" i="84"/>
  <c r="EB78" i="84"/>
  <c r="CU78" i="84"/>
  <c r="AB38" i="84"/>
  <c r="FQ38" i="84" s="1"/>
  <c r="AK38" i="84"/>
  <c r="AM38" i="84"/>
  <c r="AN38" i="84"/>
  <c r="AO38" i="84"/>
  <c r="GF78" i="84"/>
  <c r="GG78" i="84"/>
  <c r="GH78" i="84"/>
  <c r="GI78" i="84"/>
  <c r="BF38" i="84"/>
  <c r="ET38" i="84"/>
  <c r="EU38" i="84"/>
  <c r="FM78" i="84"/>
  <c r="BN39" i="84"/>
  <c r="CE79" i="84"/>
  <c r="CN79" i="84"/>
  <c r="CC79" i="84"/>
  <c r="EF79" i="84" s="1"/>
  <c r="CH79" i="84"/>
  <c r="CI79" i="84"/>
  <c r="CL79" i="84"/>
  <c r="EI79" i="84" s="1"/>
  <c r="CQ79" i="84"/>
  <c r="CR79" i="84"/>
  <c r="EB79" i="84"/>
  <c r="CU79" i="84"/>
  <c r="EP79" i="84"/>
  <c r="AB39" i="84"/>
  <c r="FQ39" i="84" s="1"/>
  <c r="AK39" i="84"/>
  <c r="AM39" i="84"/>
  <c r="AN39" i="84"/>
  <c r="AO39" i="84"/>
  <c r="GF79" i="84"/>
  <c r="GG79" i="84"/>
  <c r="GH79" i="84"/>
  <c r="GI79" i="84"/>
  <c r="BF39" i="84"/>
  <c r="ET39" i="84"/>
  <c r="EU39" i="84"/>
  <c r="FM79" i="84"/>
  <c r="CE80" i="84"/>
  <c r="CN80" i="84"/>
  <c r="CC80" i="84"/>
  <c r="CH80" i="84"/>
  <c r="CI80" i="84"/>
  <c r="CL80" i="84"/>
  <c r="EH80" i="84" s="1"/>
  <c r="EJ80" i="84" s="1"/>
  <c r="CQ80" i="84"/>
  <c r="CR80" i="84"/>
  <c r="EB80" i="84"/>
  <c r="CU80" i="84"/>
  <c r="EP80" i="84"/>
  <c r="AB40" i="84"/>
  <c r="FQ40" i="84" s="1"/>
  <c r="AK40" i="84"/>
  <c r="AM40" i="84"/>
  <c r="AN40" i="84"/>
  <c r="AO40" i="84"/>
  <c r="GF80" i="84"/>
  <c r="GG80" i="84"/>
  <c r="GH80" i="84"/>
  <c r="GI80" i="84"/>
  <c r="BF40" i="84"/>
  <c r="ET40" i="84"/>
  <c r="EU40" i="84"/>
  <c r="FM80" i="84"/>
  <c r="CE81" i="84"/>
  <c r="CN81" i="84"/>
  <c r="CC81" i="84"/>
  <c r="EF81" i="84" s="1"/>
  <c r="CH81" i="84"/>
  <c r="CI81" i="84"/>
  <c r="CL81" i="84"/>
  <c r="CQ81" i="84"/>
  <c r="CR81" i="84"/>
  <c r="EB81" i="84"/>
  <c r="CU81" i="84"/>
  <c r="AB41" i="84"/>
  <c r="FQ41" i="84" s="1"/>
  <c r="AK41" i="84"/>
  <c r="AM41" i="84"/>
  <c r="AN41" i="84"/>
  <c r="AO41" i="84"/>
  <c r="GF81" i="84"/>
  <c r="GG81" i="84"/>
  <c r="GH81" i="84"/>
  <c r="GI81" i="84"/>
  <c r="BF41" i="84"/>
  <c r="ET41" i="84"/>
  <c r="EU41" i="84"/>
  <c r="FM81" i="84"/>
  <c r="CE82" i="84"/>
  <c r="CN82" i="84"/>
  <c r="CC82" i="84"/>
  <c r="CH82" i="84"/>
  <c r="CI82" i="84"/>
  <c r="CL82" i="84"/>
  <c r="CQ82" i="84"/>
  <c r="CR82" i="84"/>
  <c r="EB82" i="84"/>
  <c r="CU82" i="84"/>
  <c r="AB42" i="84"/>
  <c r="FQ42" i="84" s="1"/>
  <c r="AK42" i="84"/>
  <c r="AM42" i="84"/>
  <c r="AN42" i="84"/>
  <c r="AO42" i="84"/>
  <c r="GF82" i="84"/>
  <c r="GG82" i="84"/>
  <c r="GH82" i="84"/>
  <c r="GI82" i="84"/>
  <c r="BF42" i="84"/>
  <c r="ET42" i="84"/>
  <c r="EU42" i="84"/>
  <c r="FM82" i="84"/>
  <c r="CE83" i="84"/>
  <c r="CN83" i="84"/>
  <c r="CC83" i="84"/>
  <c r="CH83" i="84"/>
  <c r="CI83" i="84"/>
  <c r="CL83" i="84"/>
  <c r="EH83" i="84" s="1"/>
  <c r="EJ83" i="84" s="1"/>
  <c r="CQ83" i="84"/>
  <c r="CR83" i="84"/>
  <c r="EB83" i="84"/>
  <c r="CU83" i="84"/>
  <c r="AB43" i="84"/>
  <c r="FQ43" i="84" s="1"/>
  <c r="AK43" i="84"/>
  <c r="AM43" i="84"/>
  <c r="AN43" i="84"/>
  <c r="AO43" i="84"/>
  <c r="GF83" i="84"/>
  <c r="GG83" i="84"/>
  <c r="GH83" i="84"/>
  <c r="GI83" i="84"/>
  <c r="BF43" i="84"/>
  <c r="ET43" i="84"/>
  <c r="EU43" i="84"/>
  <c r="FM83" i="84"/>
  <c r="CE84" i="84"/>
  <c r="CN84" i="84"/>
  <c r="CC84" i="84"/>
  <c r="CH84" i="84"/>
  <c r="CI84" i="84"/>
  <c r="CL84" i="84"/>
  <c r="EH84" i="84" s="1"/>
  <c r="EJ84" i="84" s="1"/>
  <c r="CQ84" i="84"/>
  <c r="CR84" i="84"/>
  <c r="EB84" i="84"/>
  <c r="CU84" i="84"/>
  <c r="AB44" i="84"/>
  <c r="FQ44" i="84" s="1"/>
  <c r="AK44" i="84"/>
  <c r="AM44" i="84"/>
  <c r="AN44" i="84"/>
  <c r="AO44" i="84"/>
  <c r="GF84" i="84"/>
  <c r="GG84" i="84"/>
  <c r="GH84" i="84"/>
  <c r="GI84" i="84"/>
  <c r="BF44" i="84"/>
  <c r="BN44" i="84"/>
  <c r="BO44" i="84"/>
  <c r="ET44" i="84"/>
  <c r="EU44" i="84"/>
  <c r="FM84" i="84"/>
  <c r="C45" i="84"/>
  <c r="BN45" i="84" s="1"/>
  <c r="F45" i="84"/>
  <c r="CE85" i="84"/>
  <c r="CN85" i="84"/>
  <c r="CC85" i="84"/>
  <c r="EE85" i="84" s="1"/>
  <c r="EG85" i="84" s="1"/>
  <c r="CH85" i="84"/>
  <c r="CI85" i="84"/>
  <c r="CL85" i="84"/>
  <c r="CQ85" i="84"/>
  <c r="CR85" i="84"/>
  <c r="EB85" i="84"/>
  <c r="CU85" i="84"/>
  <c r="AA45" i="84"/>
  <c r="AB45" i="84"/>
  <c r="FQ45" i="84" s="1"/>
  <c r="AK45" i="84"/>
  <c r="AM45" i="84"/>
  <c r="AN45" i="84"/>
  <c r="AO45" i="84"/>
  <c r="GF85" i="84"/>
  <c r="GG85" i="84"/>
  <c r="GH85" i="84"/>
  <c r="GI85" i="84"/>
  <c r="BF45" i="84"/>
  <c r="ET45" i="84"/>
  <c r="EU45" i="84"/>
  <c r="FM85" i="84"/>
  <c r="GR48" i="84"/>
  <c r="GS48" i="84"/>
  <c r="GT48" i="84"/>
  <c r="GU48" i="84"/>
  <c r="GV48" i="84"/>
  <c r="GW48" i="84"/>
  <c r="GX48" i="84"/>
  <c r="GZ48" i="84"/>
  <c r="HA48" i="84"/>
  <c r="HB48" i="84"/>
  <c r="HC48" i="84"/>
  <c r="HD48" i="84"/>
  <c r="HE48" i="84"/>
  <c r="HF48" i="84"/>
  <c r="HG48" i="84"/>
  <c r="HH48" i="84"/>
  <c r="HI48" i="84"/>
  <c r="HJ48" i="84"/>
  <c r="HK48" i="84"/>
  <c r="HL48" i="84"/>
  <c r="HM48" i="84"/>
  <c r="HN48" i="84"/>
  <c r="HO48" i="84"/>
  <c r="HP48" i="84"/>
  <c r="EB68" i="84"/>
  <c r="ED68" i="84"/>
  <c r="ED69" i="84"/>
  <c r="ED70" i="84"/>
  <c r="ED71" i="84"/>
  <c r="ED73" i="84"/>
  <c r="ED74" i="84"/>
  <c r="ED75" i="84"/>
  <c r="ED76" i="84"/>
  <c r="ED77" i="84"/>
  <c r="ED78" i="84"/>
  <c r="ED79" i="84"/>
  <c r="ED80" i="84"/>
  <c r="ED81" i="84"/>
  <c r="ED82" i="84"/>
  <c r="ED83" i="84"/>
  <c r="ED84" i="84"/>
  <c r="ED85" i="84"/>
  <c r="S1" i="145"/>
  <c r="H2" i="145"/>
  <c r="H4" i="145"/>
  <c r="L6" i="145"/>
  <c r="B9" i="145"/>
  <c r="J9" i="145"/>
  <c r="B10" i="145"/>
  <c r="J10" i="145"/>
  <c r="N10" i="145"/>
  <c r="P14" i="145"/>
  <c r="AG14" i="145"/>
  <c r="P15" i="145"/>
  <c r="AG15" i="145"/>
  <c r="P16" i="145"/>
  <c r="AG16" i="145"/>
  <c r="P17" i="145"/>
  <c r="AG17" i="145"/>
  <c r="P18" i="145"/>
  <c r="AG18" i="145"/>
  <c r="P19" i="145"/>
  <c r="AG19" i="145"/>
  <c r="P20" i="145"/>
  <c r="AG20" i="145"/>
  <c r="P21" i="145"/>
  <c r="AG21" i="145"/>
  <c r="P22" i="145"/>
  <c r="AG22" i="145"/>
  <c r="P23" i="145"/>
  <c r="AG23" i="145"/>
  <c r="P24" i="145"/>
  <c r="AG24" i="145"/>
  <c r="P25" i="145"/>
  <c r="AG25" i="145"/>
  <c r="P26" i="145"/>
  <c r="AG26" i="145"/>
  <c r="P27" i="145"/>
  <c r="AG27" i="145"/>
  <c r="P28" i="145"/>
  <c r="AG28" i="145"/>
  <c r="P29" i="145"/>
  <c r="AG29" i="145"/>
  <c r="P30" i="145"/>
  <c r="AG30" i="145"/>
  <c r="P31" i="145"/>
  <c r="AG31" i="145"/>
  <c r="P32" i="145"/>
  <c r="AG32" i="145"/>
  <c r="P33" i="145"/>
  <c r="AG33" i="145"/>
  <c r="P34" i="145"/>
  <c r="AG34" i="145"/>
  <c r="P35" i="145"/>
  <c r="AG35" i="145"/>
  <c r="P36" i="145"/>
  <c r="AG36" i="145"/>
  <c r="P37" i="145"/>
  <c r="AG37" i="145"/>
  <c r="P38" i="145"/>
  <c r="AG38" i="145"/>
  <c r="P39" i="145"/>
  <c r="AG39" i="145"/>
  <c r="P40" i="145"/>
  <c r="AG40" i="145"/>
  <c r="P41" i="145"/>
  <c r="AG41" i="145"/>
  <c r="P42" i="145"/>
  <c r="AG42" i="145"/>
  <c r="P43" i="145"/>
  <c r="AG43" i="145"/>
  <c r="P44" i="145"/>
  <c r="AG44" i="145"/>
  <c r="P45" i="145"/>
  <c r="AG45" i="145"/>
  <c r="P46" i="145"/>
  <c r="AG46" i="145"/>
  <c r="P47" i="145"/>
  <c r="AG47" i="145"/>
  <c r="P48" i="145"/>
  <c r="AG48" i="145"/>
  <c r="P49" i="145"/>
  <c r="AG49" i="145"/>
  <c r="B50" i="145"/>
  <c r="C50" i="145"/>
  <c r="D50" i="145"/>
  <c r="E50" i="145"/>
  <c r="F50" i="145"/>
  <c r="G50" i="145"/>
  <c r="H50" i="145"/>
  <c r="I50" i="145"/>
  <c r="J50" i="145"/>
  <c r="K50" i="145"/>
  <c r="L50" i="145"/>
  <c r="M50" i="145"/>
  <c r="N50" i="145"/>
  <c r="O50" i="145"/>
  <c r="AG50" i="145"/>
  <c r="P1" i="117"/>
  <c r="H4" i="117" s="1"/>
  <c r="L6" i="117"/>
  <c r="B9" i="117"/>
  <c r="L9" i="117"/>
  <c r="B10" i="117"/>
  <c r="L10" i="117"/>
  <c r="N10" i="117"/>
  <c r="P13" i="117"/>
  <c r="R13" i="117"/>
  <c r="S13" i="117"/>
  <c r="T13" i="117"/>
  <c r="U13" i="117"/>
  <c r="V13" i="117"/>
  <c r="W13" i="117"/>
  <c r="X13" i="117"/>
  <c r="Y13" i="117"/>
  <c r="P14" i="117"/>
  <c r="R14" i="117"/>
  <c r="Z14" i="117" s="1"/>
  <c r="S14" i="117"/>
  <c r="T14" i="117"/>
  <c r="U14" i="117"/>
  <c r="V14" i="117"/>
  <c r="W14" i="117"/>
  <c r="X14" i="117"/>
  <c r="Y14" i="117"/>
  <c r="P15" i="117"/>
  <c r="R15" i="117"/>
  <c r="Z15" i="117" s="1"/>
  <c r="S15" i="117"/>
  <c r="T15" i="117"/>
  <c r="U15" i="117"/>
  <c r="V15" i="117"/>
  <c r="W15" i="117"/>
  <c r="X15" i="117"/>
  <c r="Y15" i="117"/>
  <c r="P16" i="117"/>
  <c r="R16" i="117"/>
  <c r="Z16" i="117" s="1"/>
  <c r="S16" i="117"/>
  <c r="T16" i="117"/>
  <c r="U16" i="117"/>
  <c r="V16" i="117"/>
  <c r="W16" i="117"/>
  <c r="X16" i="117"/>
  <c r="Y16" i="117"/>
  <c r="P17" i="117"/>
  <c r="R17" i="117"/>
  <c r="S17" i="117"/>
  <c r="T17" i="117"/>
  <c r="U17" i="117"/>
  <c r="V17" i="117"/>
  <c r="W17" i="117"/>
  <c r="X17" i="117"/>
  <c r="Y17" i="117"/>
  <c r="P18" i="117"/>
  <c r="R18" i="117"/>
  <c r="Z18" i="117" s="1"/>
  <c r="S18" i="117"/>
  <c r="T18" i="117"/>
  <c r="U18" i="117"/>
  <c r="V18" i="117"/>
  <c r="W18" i="117"/>
  <c r="X18" i="117"/>
  <c r="Y18" i="117"/>
  <c r="P19" i="117"/>
  <c r="R19" i="117"/>
  <c r="Z19" i="117" s="1"/>
  <c r="S19" i="117"/>
  <c r="T19" i="117"/>
  <c r="U19" i="117"/>
  <c r="V19" i="117"/>
  <c r="W19" i="117"/>
  <c r="X19" i="117"/>
  <c r="Y19" i="117"/>
  <c r="P20" i="117"/>
  <c r="R20" i="117"/>
  <c r="S20" i="117"/>
  <c r="T20" i="117"/>
  <c r="U20" i="117"/>
  <c r="V20" i="117"/>
  <c r="W20" i="117"/>
  <c r="X20" i="117"/>
  <c r="Y20" i="117"/>
  <c r="P21" i="117"/>
  <c r="R21" i="117"/>
  <c r="Z21" i="117" s="1"/>
  <c r="S21" i="117"/>
  <c r="T21" i="117"/>
  <c r="U21" i="117"/>
  <c r="V21" i="117"/>
  <c r="W21" i="117"/>
  <c r="X21" i="117"/>
  <c r="Y21" i="117"/>
  <c r="P22" i="117"/>
  <c r="R22" i="117"/>
  <c r="S22" i="117"/>
  <c r="T22" i="117"/>
  <c r="U22" i="117"/>
  <c r="V22" i="117"/>
  <c r="W22" i="117"/>
  <c r="X22" i="117"/>
  <c r="Y22" i="117"/>
  <c r="P23" i="117"/>
  <c r="R23" i="117"/>
  <c r="Z23" i="117" s="1"/>
  <c r="S23" i="117"/>
  <c r="T23" i="117"/>
  <c r="U23" i="117"/>
  <c r="V23" i="117"/>
  <c r="W23" i="117"/>
  <c r="X23" i="117"/>
  <c r="Y23" i="117"/>
  <c r="P24" i="117"/>
  <c r="R24" i="117"/>
  <c r="Z24" i="117" s="1"/>
  <c r="S24" i="117"/>
  <c r="T24" i="117"/>
  <c r="U24" i="117"/>
  <c r="V24" i="117"/>
  <c r="W24" i="117"/>
  <c r="X24" i="117"/>
  <c r="Y24" i="117"/>
  <c r="P25" i="117"/>
  <c r="R25" i="117"/>
  <c r="Z25" i="117" s="1"/>
  <c r="S25" i="117"/>
  <c r="T25" i="117"/>
  <c r="U25" i="117"/>
  <c r="V25" i="117"/>
  <c r="W25" i="117"/>
  <c r="X25" i="117"/>
  <c r="Y25" i="117"/>
  <c r="P26" i="117"/>
  <c r="R26" i="117"/>
  <c r="Z26" i="117" s="1"/>
  <c r="S26" i="117"/>
  <c r="T26" i="117"/>
  <c r="U26" i="117"/>
  <c r="V26" i="117"/>
  <c r="W26" i="117"/>
  <c r="X26" i="117"/>
  <c r="Y26" i="117"/>
  <c r="P27" i="117"/>
  <c r="R27" i="117"/>
  <c r="Z27" i="117" s="1"/>
  <c r="S27" i="117"/>
  <c r="T27" i="117"/>
  <c r="U27" i="117"/>
  <c r="V27" i="117"/>
  <c r="W27" i="117"/>
  <c r="X27" i="117"/>
  <c r="Y27" i="117"/>
  <c r="P28" i="117"/>
  <c r="R28" i="117"/>
  <c r="Z28" i="117" s="1"/>
  <c r="S28" i="117"/>
  <c r="T28" i="117"/>
  <c r="U28" i="117"/>
  <c r="V28" i="117"/>
  <c r="W28" i="117"/>
  <c r="X28" i="117"/>
  <c r="Y28" i="117"/>
  <c r="P29" i="117"/>
  <c r="R29" i="117"/>
  <c r="Z29" i="117" s="1"/>
  <c r="S29" i="117"/>
  <c r="T29" i="117"/>
  <c r="U29" i="117"/>
  <c r="V29" i="117"/>
  <c r="W29" i="117"/>
  <c r="X29" i="117"/>
  <c r="Y29" i="117"/>
  <c r="P30" i="117"/>
  <c r="R30" i="117"/>
  <c r="Z30" i="117" s="1"/>
  <c r="S30" i="117"/>
  <c r="T30" i="117"/>
  <c r="U30" i="117"/>
  <c r="V30" i="117"/>
  <c r="W30" i="117"/>
  <c r="X30" i="117"/>
  <c r="Y30" i="117"/>
  <c r="P31" i="117"/>
  <c r="R31" i="117"/>
  <c r="Z31" i="117" s="1"/>
  <c r="S31" i="117"/>
  <c r="T31" i="117"/>
  <c r="U31" i="117"/>
  <c r="V31" i="117"/>
  <c r="W31" i="117"/>
  <c r="X31" i="117"/>
  <c r="Y31" i="117"/>
  <c r="P32" i="117"/>
  <c r="R32" i="117"/>
  <c r="Z32" i="117" s="1"/>
  <c r="S32" i="117"/>
  <c r="T32" i="117"/>
  <c r="U32" i="117"/>
  <c r="V32" i="117"/>
  <c r="W32" i="117"/>
  <c r="X32" i="117"/>
  <c r="Y32" i="117"/>
  <c r="P33" i="117"/>
  <c r="R33" i="117"/>
  <c r="S33" i="117"/>
  <c r="T33" i="117"/>
  <c r="U33" i="117"/>
  <c r="V33" i="117"/>
  <c r="W33" i="117"/>
  <c r="X33" i="117"/>
  <c r="Y33" i="117"/>
  <c r="P34" i="117"/>
  <c r="R34" i="117"/>
  <c r="Z34" i="117" s="1"/>
  <c r="S34" i="117"/>
  <c r="T34" i="117"/>
  <c r="U34" i="117"/>
  <c r="V34" i="117"/>
  <c r="W34" i="117"/>
  <c r="X34" i="117"/>
  <c r="Y34" i="117"/>
  <c r="P35" i="117"/>
  <c r="R35" i="117"/>
  <c r="Z35" i="117" s="1"/>
  <c r="S35" i="117"/>
  <c r="T35" i="117"/>
  <c r="U35" i="117"/>
  <c r="V35" i="117"/>
  <c r="W35" i="117"/>
  <c r="X35" i="117"/>
  <c r="Y35" i="117"/>
  <c r="P36" i="117"/>
  <c r="R36" i="117"/>
  <c r="S36" i="117"/>
  <c r="T36" i="117"/>
  <c r="U36" i="117"/>
  <c r="V36" i="117"/>
  <c r="W36" i="117"/>
  <c r="X36" i="117"/>
  <c r="Y36" i="117"/>
  <c r="P37" i="117"/>
  <c r="R37" i="117"/>
  <c r="Z37" i="117" s="1"/>
  <c r="S37" i="117"/>
  <c r="T37" i="117"/>
  <c r="U37" i="117"/>
  <c r="V37" i="117"/>
  <c r="W37" i="117"/>
  <c r="X37" i="117"/>
  <c r="Y37" i="117"/>
  <c r="P38" i="117"/>
  <c r="R38" i="117"/>
  <c r="S38" i="117"/>
  <c r="T38" i="117"/>
  <c r="U38" i="117"/>
  <c r="V38" i="117"/>
  <c r="W38" i="117"/>
  <c r="X38" i="117"/>
  <c r="Y38" i="117"/>
  <c r="P39" i="117"/>
  <c r="R39" i="117"/>
  <c r="Z39" i="117" s="1"/>
  <c r="S39" i="117"/>
  <c r="T39" i="117"/>
  <c r="U39" i="117"/>
  <c r="V39" i="117"/>
  <c r="W39" i="117"/>
  <c r="X39" i="117"/>
  <c r="Y39" i="117"/>
  <c r="P40" i="117"/>
  <c r="R40" i="117"/>
  <c r="Z40" i="117" s="1"/>
  <c r="S40" i="117"/>
  <c r="T40" i="117"/>
  <c r="U40" i="117"/>
  <c r="V40" i="117"/>
  <c r="W40" i="117"/>
  <c r="X40" i="117"/>
  <c r="Y40" i="117"/>
  <c r="P41" i="117"/>
  <c r="R41" i="117"/>
  <c r="Z41" i="117" s="1"/>
  <c r="S41" i="117"/>
  <c r="T41" i="117"/>
  <c r="U41" i="117"/>
  <c r="V41" i="117"/>
  <c r="W41" i="117"/>
  <c r="X41" i="117"/>
  <c r="Y41" i="117"/>
  <c r="P42" i="117"/>
  <c r="R42" i="117"/>
  <c r="Z42" i="117" s="1"/>
  <c r="S42" i="117"/>
  <c r="T42" i="117"/>
  <c r="U42" i="117"/>
  <c r="V42" i="117"/>
  <c r="W42" i="117"/>
  <c r="X42" i="117"/>
  <c r="Y42" i="117"/>
  <c r="P43" i="117"/>
  <c r="R43" i="117"/>
  <c r="Z43" i="117" s="1"/>
  <c r="S43" i="117"/>
  <c r="T43" i="117"/>
  <c r="U43" i="117"/>
  <c r="V43" i="117"/>
  <c r="W43" i="117"/>
  <c r="X43" i="117"/>
  <c r="Y43" i="117"/>
  <c r="P44" i="117"/>
  <c r="R44" i="117"/>
  <c r="Z44" i="117" s="1"/>
  <c r="S44" i="117"/>
  <c r="T44" i="117"/>
  <c r="U44" i="117"/>
  <c r="V44" i="117"/>
  <c r="W44" i="117"/>
  <c r="X44" i="117"/>
  <c r="Y44" i="117"/>
  <c r="P45" i="117"/>
  <c r="R45" i="117"/>
  <c r="S45" i="117"/>
  <c r="T45" i="117"/>
  <c r="U45" i="117"/>
  <c r="V45" i="117"/>
  <c r="W45" i="117"/>
  <c r="X45" i="117"/>
  <c r="Y45" i="117"/>
  <c r="P46" i="117"/>
  <c r="R46" i="117"/>
  <c r="Z46" i="117" s="1"/>
  <c r="S46" i="117"/>
  <c r="T46" i="117"/>
  <c r="U46" i="117"/>
  <c r="V46" i="117"/>
  <c r="W46" i="117"/>
  <c r="X46" i="117"/>
  <c r="Y46" i="117"/>
  <c r="P47" i="117"/>
  <c r="R47" i="117"/>
  <c r="Z47" i="117" s="1"/>
  <c r="S47" i="117"/>
  <c r="T47" i="117"/>
  <c r="U47" i="117"/>
  <c r="V47" i="117"/>
  <c r="W47" i="117"/>
  <c r="X47" i="117"/>
  <c r="Y47" i="117"/>
  <c r="P48" i="117"/>
  <c r="R48" i="117"/>
  <c r="Z48" i="117" s="1"/>
  <c r="S48" i="117"/>
  <c r="T48" i="117"/>
  <c r="U48" i="117"/>
  <c r="V48" i="117"/>
  <c r="W48" i="117"/>
  <c r="X48" i="117"/>
  <c r="Y48" i="117"/>
  <c r="L1" i="80"/>
  <c r="D4" i="80" s="1"/>
  <c r="M1" i="80"/>
  <c r="N52" i="80" s="1"/>
  <c r="H6" i="80"/>
  <c r="B9" i="80"/>
  <c r="G9" i="80"/>
  <c r="B10" i="80"/>
  <c r="G10" i="80"/>
  <c r="J10" i="80"/>
  <c r="I1" i="114"/>
  <c r="N6" i="114"/>
  <c r="B9" i="114"/>
  <c r="K9" i="114"/>
  <c r="B10" i="114"/>
  <c r="K10" i="114"/>
  <c r="R15" i="114"/>
  <c r="R16" i="114"/>
  <c r="R17" i="114"/>
  <c r="R18" i="114"/>
  <c r="R19" i="114"/>
  <c r="R20" i="114"/>
  <c r="R21" i="114"/>
  <c r="R22" i="114"/>
  <c r="R23" i="114"/>
  <c r="R24" i="114"/>
  <c r="R25" i="114"/>
  <c r="R26" i="114"/>
  <c r="R27" i="114"/>
  <c r="R28" i="114"/>
  <c r="R29" i="114"/>
  <c r="R30" i="114"/>
  <c r="BF30" i="114"/>
  <c r="BG30" i="114"/>
  <c r="BH30" i="114"/>
  <c r="BI30" i="114"/>
  <c r="BJ30" i="114"/>
  <c r="BK30" i="114"/>
  <c r="BL30" i="114"/>
  <c r="BM30" i="114"/>
  <c r="BN30" i="114"/>
  <c r="BQ30" i="114"/>
  <c r="BR30" i="114"/>
  <c r="BS30" i="114"/>
  <c r="BW30" i="114"/>
  <c r="BX30" i="114"/>
  <c r="BZ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F1" i="2"/>
  <c r="B4" i="2"/>
  <c r="E4" i="2"/>
  <c r="B5" i="2"/>
  <c r="E5" i="2"/>
  <c r="H5" i="2"/>
  <c r="AL1" i="116"/>
  <c r="N1" i="116" s="1"/>
  <c r="Y117" i="116"/>
  <c r="D9" i="116"/>
  <c r="D63" i="116" s="1"/>
  <c r="S9" i="116"/>
  <c r="S63" i="116" s="1"/>
  <c r="D10" i="116"/>
  <c r="D64" i="116" s="1"/>
  <c r="S10" i="116"/>
  <c r="S122" i="116" s="1"/>
  <c r="X10" i="116"/>
  <c r="X122" i="116" s="1"/>
  <c r="G14" i="116"/>
  <c r="G15" i="116"/>
  <c r="C18" i="116"/>
  <c r="D23" i="116"/>
  <c r="H23" i="116"/>
  <c r="L23" i="116"/>
  <c r="P23" i="116"/>
  <c r="T23" i="116"/>
  <c r="X23" i="116"/>
  <c r="D25" i="116"/>
  <c r="F25" i="116"/>
  <c r="H25" i="116"/>
  <c r="J25" i="116"/>
  <c r="L25" i="116"/>
  <c r="N25" i="116"/>
  <c r="P25" i="116"/>
  <c r="R25" i="116"/>
  <c r="T25" i="116"/>
  <c r="V25" i="116"/>
  <c r="X25" i="116"/>
  <c r="Z25" i="116"/>
  <c r="D26" i="116"/>
  <c r="F26" i="116"/>
  <c r="H26" i="116"/>
  <c r="J26" i="116"/>
  <c r="L26" i="116"/>
  <c r="N26" i="116"/>
  <c r="P26" i="116"/>
  <c r="R26" i="116"/>
  <c r="T26" i="116"/>
  <c r="V26" i="116"/>
  <c r="X26" i="116"/>
  <c r="Z26" i="116"/>
  <c r="D27" i="116"/>
  <c r="F27" i="116"/>
  <c r="H27" i="116"/>
  <c r="J27" i="116"/>
  <c r="L27" i="116"/>
  <c r="N27" i="116"/>
  <c r="P27" i="116"/>
  <c r="R27" i="116"/>
  <c r="T27" i="116"/>
  <c r="V27" i="116"/>
  <c r="X27" i="116"/>
  <c r="Z27" i="116"/>
  <c r="D28" i="116"/>
  <c r="F28" i="116"/>
  <c r="H28" i="116"/>
  <c r="J28" i="116"/>
  <c r="L28" i="116"/>
  <c r="N28" i="116"/>
  <c r="P28" i="116"/>
  <c r="R28" i="116"/>
  <c r="T28" i="116"/>
  <c r="V28" i="116"/>
  <c r="X28" i="116"/>
  <c r="Z28" i="116"/>
  <c r="D29" i="116"/>
  <c r="F29" i="116"/>
  <c r="H29" i="116"/>
  <c r="J29" i="116"/>
  <c r="L29" i="116"/>
  <c r="N29" i="116"/>
  <c r="P29" i="116"/>
  <c r="R29" i="116"/>
  <c r="T29" i="116"/>
  <c r="V29" i="116"/>
  <c r="X29" i="116"/>
  <c r="Z29" i="116"/>
  <c r="D31" i="116"/>
  <c r="H31" i="116"/>
  <c r="L31" i="116"/>
  <c r="P31" i="116"/>
  <c r="T31" i="116"/>
  <c r="X31" i="116"/>
  <c r="D33" i="116"/>
  <c r="F33" i="116"/>
  <c r="H33" i="116"/>
  <c r="J33" i="116"/>
  <c r="L33" i="116"/>
  <c r="N33" i="116"/>
  <c r="P33" i="116"/>
  <c r="R33" i="116"/>
  <c r="T33" i="116"/>
  <c r="V33" i="116"/>
  <c r="X33" i="116"/>
  <c r="Z33" i="116"/>
  <c r="D34" i="116"/>
  <c r="F34" i="116"/>
  <c r="H34" i="116"/>
  <c r="J34" i="116"/>
  <c r="L34" i="116"/>
  <c r="N34" i="116"/>
  <c r="P34" i="116"/>
  <c r="R34" i="116"/>
  <c r="T34" i="116"/>
  <c r="V34" i="116"/>
  <c r="X34" i="116"/>
  <c r="Z34" i="116"/>
  <c r="D35" i="116"/>
  <c r="F35" i="116"/>
  <c r="H35" i="116"/>
  <c r="J35" i="116"/>
  <c r="L35" i="116"/>
  <c r="N35" i="116"/>
  <c r="P35" i="116"/>
  <c r="R35" i="116"/>
  <c r="T35" i="116"/>
  <c r="V35" i="116"/>
  <c r="X35" i="116"/>
  <c r="Z35" i="116"/>
  <c r="D36" i="116"/>
  <c r="F36" i="116"/>
  <c r="H36" i="116"/>
  <c r="J36" i="116"/>
  <c r="L36" i="116"/>
  <c r="N36" i="116"/>
  <c r="P36" i="116"/>
  <c r="R36" i="116"/>
  <c r="T36" i="116"/>
  <c r="V36" i="116"/>
  <c r="X36" i="116"/>
  <c r="Z36" i="116"/>
  <c r="D37" i="116"/>
  <c r="F37" i="116"/>
  <c r="H37" i="116"/>
  <c r="J37" i="116"/>
  <c r="L37" i="116"/>
  <c r="N37" i="116"/>
  <c r="P37" i="116"/>
  <c r="R37" i="116"/>
  <c r="T37" i="116"/>
  <c r="V37" i="116"/>
  <c r="X37" i="116"/>
  <c r="Z37" i="116"/>
  <c r="D39" i="116"/>
  <c r="H39" i="116"/>
  <c r="L39" i="116"/>
  <c r="P39" i="116"/>
  <c r="T39" i="116"/>
  <c r="X39" i="116"/>
  <c r="D41" i="116"/>
  <c r="F41" i="116"/>
  <c r="H41" i="116"/>
  <c r="J41" i="116"/>
  <c r="L41" i="116"/>
  <c r="N41" i="116"/>
  <c r="P41" i="116"/>
  <c r="R41" i="116"/>
  <c r="T41" i="116"/>
  <c r="V41" i="116"/>
  <c r="X41" i="116"/>
  <c r="Z41" i="116"/>
  <c r="D42" i="116"/>
  <c r="F42" i="116"/>
  <c r="H42" i="116"/>
  <c r="J42" i="116"/>
  <c r="L42" i="116"/>
  <c r="N42" i="116"/>
  <c r="P42" i="116"/>
  <c r="R42" i="116"/>
  <c r="T42" i="116"/>
  <c r="V42" i="116"/>
  <c r="X42" i="116"/>
  <c r="Z42" i="116"/>
  <c r="D43" i="116"/>
  <c r="F43" i="116"/>
  <c r="H43" i="116"/>
  <c r="J43" i="116"/>
  <c r="L43" i="116"/>
  <c r="N43" i="116"/>
  <c r="P43" i="116"/>
  <c r="R43" i="116"/>
  <c r="T43" i="116"/>
  <c r="V43" i="116"/>
  <c r="X43" i="116"/>
  <c r="Z43" i="116"/>
  <c r="D44" i="116"/>
  <c r="F44" i="116"/>
  <c r="H44" i="116"/>
  <c r="J44" i="116"/>
  <c r="L44" i="116"/>
  <c r="N44" i="116"/>
  <c r="P44" i="116"/>
  <c r="R44" i="116"/>
  <c r="T44" i="116"/>
  <c r="V44" i="116"/>
  <c r="X44" i="116"/>
  <c r="Z44" i="116"/>
  <c r="D45" i="116"/>
  <c r="F45" i="116"/>
  <c r="H45" i="116"/>
  <c r="J45" i="116"/>
  <c r="L45" i="116"/>
  <c r="N45" i="116"/>
  <c r="P45" i="116"/>
  <c r="R45" i="116"/>
  <c r="T45" i="116"/>
  <c r="V45" i="116"/>
  <c r="X45" i="116"/>
  <c r="Z45" i="116"/>
  <c r="D47" i="116"/>
  <c r="H47" i="116"/>
  <c r="L47" i="116"/>
  <c r="P47" i="116"/>
  <c r="T47" i="116"/>
  <c r="X47" i="116"/>
  <c r="D49" i="116"/>
  <c r="F49" i="116"/>
  <c r="H49" i="116"/>
  <c r="J49" i="116"/>
  <c r="L49" i="116"/>
  <c r="N49" i="116"/>
  <c r="P49" i="116"/>
  <c r="R49" i="116"/>
  <c r="T49" i="116"/>
  <c r="V49" i="116"/>
  <c r="X49" i="116"/>
  <c r="Z49" i="116"/>
  <c r="D50" i="116"/>
  <c r="F50" i="116"/>
  <c r="H50" i="116"/>
  <c r="J50" i="116"/>
  <c r="L50" i="116"/>
  <c r="N50" i="116"/>
  <c r="P50" i="116"/>
  <c r="R50" i="116"/>
  <c r="T50" i="116"/>
  <c r="V50" i="116"/>
  <c r="X50" i="116"/>
  <c r="Z50" i="116"/>
  <c r="D51" i="116"/>
  <c r="F51" i="116"/>
  <c r="H51" i="116"/>
  <c r="J51" i="116"/>
  <c r="L51" i="116"/>
  <c r="N51" i="116"/>
  <c r="P51" i="116"/>
  <c r="R51" i="116"/>
  <c r="T51" i="116"/>
  <c r="V51" i="116"/>
  <c r="X51" i="116"/>
  <c r="Z51" i="116"/>
  <c r="D52" i="116"/>
  <c r="F52" i="116"/>
  <c r="H52" i="116"/>
  <c r="J52" i="116"/>
  <c r="L52" i="116"/>
  <c r="N52" i="116"/>
  <c r="P52" i="116"/>
  <c r="R52" i="116"/>
  <c r="T52" i="116"/>
  <c r="V52" i="116"/>
  <c r="X52" i="116"/>
  <c r="Z52" i="116"/>
  <c r="D53" i="116"/>
  <c r="F53" i="116"/>
  <c r="H53" i="116"/>
  <c r="J53" i="116"/>
  <c r="L53" i="116"/>
  <c r="N53" i="116"/>
  <c r="P53" i="116"/>
  <c r="R53" i="116"/>
  <c r="T53" i="116"/>
  <c r="V53" i="116"/>
  <c r="X53" i="116"/>
  <c r="Z53" i="116"/>
  <c r="D66" i="116"/>
  <c r="H66" i="116"/>
  <c r="L66" i="116"/>
  <c r="P66" i="116"/>
  <c r="T66" i="116"/>
  <c r="X66" i="116"/>
  <c r="D68" i="116"/>
  <c r="F68" i="116"/>
  <c r="H68" i="116"/>
  <c r="J68" i="116"/>
  <c r="L68" i="116"/>
  <c r="N68" i="116"/>
  <c r="P68" i="116"/>
  <c r="R68" i="116"/>
  <c r="T68" i="116"/>
  <c r="V68" i="116"/>
  <c r="X68" i="116"/>
  <c r="Z68" i="116"/>
  <c r="D69" i="116"/>
  <c r="F69" i="116"/>
  <c r="H69" i="116"/>
  <c r="J69" i="116"/>
  <c r="L69" i="116"/>
  <c r="N69" i="116"/>
  <c r="P69" i="116"/>
  <c r="R69" i="116"/>
  <c r="T69" i="116"/>
  <c r="V69" i="116"/>
  <c r="X69" i="116"/>
  <c r="Z69" i="116"/>
  <c r="D70" i="116"/>
  <c r="F70" i="116"/>
  <c r="H70" i="116"/>
  <c r="J70" i="116"/>
  <c r="L70" i="116"/>
  <c r="N70" i="116"/>
  <c r="P70" i="116"/>
  <c r="R70" i="116"/>
  <c r="T70" i="116"/>
  <c r="V70" i="116"/>
  <c r="X70" i="116"/>
  <c r="Z70" i="116"/>
  <c r="D71" i="116"/>
  <c r="F71" i="116"/>
  <c r="H71" i="116"/>
  <c r="J71" i="116"/>
  <c r="L71" i="116"/>
  <c r="N71" i="116"/>
  <c r="P71" i="116"/>
  <c r="R71" i="116"/>
  <c r="T71" i="116"/>
  <c r="V71" i="116"/>
  <c r="X71" i="116"/>
  <c r="Z71" i="116"/>
  <c r="D72" i="116"/>
  <c r="F72" i="116"/>
  <c r="H72" i="116"/>
  <c r="J72" i="116"/>
  <c r="L72" i="116"/>
  <c r="N72" i="116"/>
  <c r="P72" i="116"/>
  <c r="R72" i="116"/>
  <c r="T72" i="116"/>
  <c r="V72" i="116"/>
  <c r="X72" i="116"/>
  <c r="Z72" i="116"/>
  <c r="D74" i="116"/>
  <c r="H74" i="116"/>
  <c r="L74" i="116"/>
  <c r="P74" i="116"/>
  <c r="T74" i="116"/>
  <c r="X74" i="116"/>
  <c r="D76" i="116"/>
  <c r="F76" i="116"/>
  <c r="H76" i="116"/>
  <c r="J76" i="116"/>
  <c r="L76" i="116"/>
  <c r="N76" i="116"/>
  <c r="P76" i="116"/>
  <c r="R76" i="116"/>
  <c r="T76" i="116"/>
  <c r="V76" i="116"/>
  <c r="X76" i="116"/>
  <c r="Z76" i="116"/>
  <c r="D77" i="116"/>
  <c r="F77" i="116"/>
  <c r="H77" i="116"/>
  <c r="J77" i="116"/>
  <c r="L77" i="116"/>
  <c r="N77" i="116"/>
  <c r="P77" i="116"/>
  <c r="R77" i="116"/>
  <c r="T77" i="116"/>
  <c r="V77" i="116"/>
  <c r="X77" i="116"/>
  <c r="Z77" i="116"/>
  <c r="D78" i="116"/>
  <c r="F78" i="116"/>
  <c r="H78" i="116"/>
  <c r="J78" i="116"/>
  <c r="L78" i="116"/>
  <c r="N78" i="116"/>
  <c r="P78" i="116"/>
  <c r="R78" i="116"/>
  <c r="T78" i="116"/>
  <c r="V78" i="116"/>
  <c r="X78" i="116"/>
  <c r="Z78" i="116"/>
  <c r="D79" i="116"/>
  <c r="F79" i="116"/>
  <c r="H79" i="116"/>
  <c r="J79" i="116"/>
  <c r="L79" i="116"/>
  <c r="N79" i="116"/>
  <c r="P79" i="116"/>
  <c r="R79" i="116"/>
  <c r="T79" i="116"/>
  <c r="V79" i="116"/>
  <c r="X79" i="116"/>
  <c r="Z79" i="116"/>
  <c r="D80" i="116"/>
  <c r="F80" i="116"/>
  <c r="H80" i="116"/>
  <c r="J80" i="116"/>
  <c r="L80" i="116"/>
  <c r="N80" i="116"/>
  <c r="P80" i="116"/>
  <c r="R80" i="116"/>
  <c r="T80" i="116"/>
  <c r="V80" i="116"/>
  <c r="X80" i="116"/>
  <c r="Z80" i="116"/>
  <c r="D82" i="116"/>
  <c r="H82" i="116"/>
  <c r="L82" i="116"/>
  <c r="P82" i="116"/>
  <c r="T82" i="116"/>
  <c r="X82" i="116"/>
  <c r="D84" i="116"/>
  <c r="F84" i="116"/>
  <c r="H84" i="116"/>
  <c r="J84" i="116"/>
  <c r="L84" i="116"/>
  <c r="N84" i="116"/>
  <c r="P84" i="116"/>
  <c r="R84" i="116"/>
  <c r="T84" i="116"/>
  <c r="V84" i="116"/>
  <c r="X84" i="116"/>
  <c r="Z84" i="116"/>
  <c r="D85" i="116"/>
  <c r="F85" i="116"/>
  <c r="H85" i="116"/>
  <c r="J85" i="116"/>
  <c r="L85" i="116"/>
  <c r="N85" i="116"/>
  <c r="P85" i="116"/>
  <c r="R85" i="116"/>
  <c r="T85" i="116"/>
  <c r="V85" i="116"/>
  <c r="X85" i="116"/>
  <c r="Z85" i="116"/>
  <c r="D86" i="116"/>
  <c r="F86" i="116"/>
  <c r="H86" i="116"/>
  <c r="J86" i="116"/>
  <c r="L86" i="116"/>
  <c r="N86" i="116"/>
  <c r="P86" i="116"/>
  <c r="R86" i="116"/>
  <c r="T86" i="116"/>
  <c r="V86" i="116"/>
  <c r="X86" i="116"/>
  <c r="Z86" i="116"/>
  <c r="D87" i="116"/>
  <c r="F87" i="116"/>
  <c r="H87" i="116"/>
  <c r="J87" i="116"/>
  <c r="L87" i="116"/>
  <c r="N87" i="116"/>
  <c r="P87" i="116"/>
  <c r="R87" i="116"/>
  <c r="T87" i="116"/>
  <c r="V87" i="116"/>
  <c r="X87" i="116"/>
  <c r="Z87" i="116"/>
  <c r="D88" i="116"/>
  <c r="F88" i="116"/>
  <c r="H88" i="116"/>
  <c r="J88" i="116"/>
  <c r="L88" i="116"/>
  <c r="N88" i="116"/>
  <c r="P88" i="116"/>
  <c r="R88" i="116"/>
  <c r="T88" i="116"/>
  <c r="V88" i="116"/>
  <c r="X88" i="116"/>
  <c r="Z88" i="116"/>
  <c r="D90" i="116"/>
  <c r="H90" i="116"/>
  <c r="L90" i="116"/>
  <c r="P90" i="116"/>
  <c r="T90" i="116"/>
  <c r="X90" i="116"/>
  <c r="D92" i="116"/>
  <c r="F92" i="116"/>
  <c r="H92" i="116"/>
  <c r="J92" i="116"/>
  <c r="L92" i="116"/>
  <c r="N92" i="116"/>
  <c r="P92" i="116"/>
  <c r="R92" i="116"/>
  <c r="T92" i="116"/>
  <c r="V92" i="116"/>
  <c r="X92" i="116"/>
  <c r="Z92" i="116"/>
  <c r="D93" i="116"/>
  <c r="F93" i="116"/>
  <c r="H93" i="116"/>
  <c r="J93" i="116"/>
  <c r="L93" i="116"/>
  <c r="N93" i="116"/>
  <c r="P93" i="116"/>
  <c r="R93" i="116"/>
  <c r="T93" i="116"/>
  <c r="V93" i="116"/>
  <c r="X93" i="116"/>
  <c r="Z93" i="116"/>
  <c r="D94" i="116"/>
  <c r="F94" i="116"/>
  <c r="H94" i="116"/>
  <c r="J94" i="116"/>
  <c r="L94" i="116"/>
  <c r="N94" i="116"/>
  <c r="P94" i="116"/>
  <c r="R94" i="116"/>
  <c r="T94" i="116"/>
  <c r="V94" i="116"/>
  <c r="X94" i="116"/>
  <c r="Z94" i="116"/>
  <c r="D95" i="116"/>
  <c r="F95" i="116"/>
  <c r="H95" i="116"/>
  <c r="J95" i="116"/>
  <c r="L95" i="116"/>
  <c r="N95" i="116"/>
  <c r="P95" i="116"/>
  <c r="R95" i="116"/>
  <c r="T95" i="116"/>
  <c r="V95" i="116"/>
  <c r="X95" i="116"/>
  <c r="Z95" i="116"/>
  <c r="D96" i="116"/>
  <c r="F96" i="116"/>
  <c r="H96" i="116"/>
  <c r="J96" i="116"/>
  <c r="L96" i="116"/>
  <c r="N96" i="116"/>
  <c r="P96" i="116"/>
  <c r="R96" i="116"/>
  <c r="T96" i="116"/>
  <c r="V96" i="116"/>
  <c r="X96" i="116"/>
  <c r="Z96" i="116"/>
  <c r="D98" i="116"/>
  <c r="H98" i="116"/>
  <c r="L98" i="116"/>
  <c r="P98" i="116"/>
  <c r="T98" i="116"/>
  <c r="X98" i="116"/>
  <c r="D100" i="116"/>
  <c r="F100" i="116"/>
  <c r="H100" i="116"/>
  <c r="J100" i="116"/>
  <c r="L100" i="116"/>
  <c r="N100" i="116"/>
  <c r="P100" i="116"/>
  <c r="R100" i="116"/>
  <c r="T100" i="116"/>
  <c r="V100" i="116"/>
  <c r="X100" i="116"/>
  <c r="Z100" i="116"/>
  <c r="D101" i="116"/>
  <c r="F101" i="116"/>
  <c r="H101" i="116"/>
  <c r="J101" i="116"/>
  <c r="L101" i="116"/>
  <c r="N101" i="116"/>
  <c r="P101" i="116"/>
  <c r="R101" i="116"/>
  <c r="T101" i="116"/>
  <c r="V101" i="116"/>
  <c r="X101" i="116"/>
  <c r="Z101" i="116"/>
  <c r="D102" i="116"/>
  <c r="F102" i="116"/>
  <c r="H102" i="116"/>
  <c r="J102" i="116"/>
  <c r="L102" i="116"/>
  <c r="N102" i="116"/>
  <c r="P102" i="116"/>
  <c r="R102" i="116"/>
  <c r="T102" i="116"/>
  <c r="V102" i="116"/>
  <c r="X102" i="116"/>
  <c r="Z102" i="116"/>
  <c r="D103" i="116"/>
  <c r="F103" i="116"/>
  <c r="H103" i="116"/>
  <c r="J103" i="116"/>
  <c r="L103" i="116"/>
  <c r="N103" i="116"/>
  <c r="P103" i="116"/>
  <c r="R103" i="116"/>
  <c r="T103" i="116"/>
  <c r="V103" i="116"/>
  <c r="X103" i="116"/>
  <c r="Z103" i="116"/>
  <c r="D104" i="116"/>
  <c r="F104" i="116"/>
  <c r="H104" i="116"/>
  <c r="J104" i="116"/>
  <c r="L104" i="116"/>
  <c r="N104" i="116"/>
  <c r="P104" i="116"/>
  <c r="R104" i="116"/>
  <c r="T104" i="116"/>
  <c r="V104" i="116"/>
  <c r="X104" i="116"/>
  <c r="Z104" i="116"/>
  <c r="D106" i="116"/>
  <c r="H106" i="116"/>
  <c r="L106" i="116"/>
  <c r="P106" i="116"/>
  <c r="T106" i="116"/>
  <c r="X106" i="116"/>
  <c r="D108" i="116"/>
  <c r="F108" i="116"/>
  <c r="H108" i="116"/>
  <c r="J108" i="116"/>
  <c r="L108" i="116"/>
  <c r="N108" i="116"/>
  <c r="P108" i="116"/>
  <c r="R108" i="116"/>
  <c r="T108" i="116"/>
  <c r="V108" i="116"/>
  <c r="X108" i="116"/>
  <c r="Z108" i="116"/>
  <c r="D109" i="116"/>
  <c r="F109" i="116"/>
  <c r="H109" i="116"/>
  <c r="J109" i="116"/>
  <c r="L109" i="116"/>
  <c r="N109" i="116"/>
  <c r="P109" i="116"/>
  <c r="R109" i="116"/>
  <c r="T109" i="116"/>
  <c r="V109" i="116"/>
  <c r="X109" i="116"/>
  <c r="Z109" i="116"/>
  <c r="D110" i="116"/>
  <c r="F110" i="116"/>
  <c r="H110" i="116"/>
  <c r="J110" i="116"/>
  <c r="L110" i="116"/>
  <c r="N110" i="116"/>
  <c r="P110" i="116"/>
  <c r="R110" i="116"/>
  <c r="T110" i="116"/>
  <c r="V110" i="116"/>
  <c r="X110" i="116"/>
  <c r="Z110" i="116"/>
  <c r="D111" i="116"/>
  <c r="F111" i="116"/>
  <c r="H111" i="116"/>
  <c r="J111" i="116"/>
  <c r="L111" i="116"/>
  <c r="N111" i="116"/>
  <c r="P111" i="116"/>
  <c r="R111" i="116"/>
  <c r="T111" i="116"/>
  <c r="V111" i="116"/>
  <c r="X111" i="116"/>
  <c r="Z111" i="116"/>
  <c r="D112" i="116"/>
  <c r="F112" i="116"/>
  <c r="H112" i="116"/>
  <c r="J112" i="116"/>
  <c r="L112" i="116"/>
  <c r="N112" i="116"/>
  <c r="P112" i="116"/>
  <c r="R112" i="116"/>
  <c r="T112" i="116"/>
  <c r="V112" i="116"/>
  <c r="X112" i="116"/>
  <c r="Z112" i="116"/>
  <c r="D124" i="116"/>
  <c r="H124" i="116"/>
  <c r="L124" i="116"/>
  <c r="P124" i="116"/>
  <c r="T124" i="116"/>
  <c r="X124" i="116"/>
  <c r="D126" i="116"/>
  <c r="F126" i="116"/>
  <c r="H126" i="116"/>
  <c r="J126" i="116"/>
  <c r="L126" i="116"/>
  <c r="N126" i="116"/>
  <c r="P126" i="116"/>
  <c r="R126" i="116"/>
  <c r="T126" i="116"/>
  <c r="V126" i="116"/>
  <c r="X126" i="116"/>
  <c r="Z126" i="116"/>
  <c r="D127" i="116"/>
  <c r="F127" i="116"/>
  <c r="H127" i="116"/>
  <c r="J127" i="116"/>
  <c r="L127" i="116"/>
  <c r="N127" i="116"/>
  <c r="P127" i="116"/>
  <c r="R127" i="116"/>
  <c r="T127" i="116"/>
  <c r="V127" i="116"/>
  <c r="X127" i="116"/>
  <c r="Z127" i="116"/>
  <c r="D128" i="116"/>
  <c r="F128" i="116"/>
  <c r="H128" i="116"/>
  <c r="J128" i="116"/>
  <c r="L128" i="116"/>
  <c r="N128" i="116"/>
  <c r="P128" i="116"/>
  <c r="R128" i="116"/>
  <c r="T128" i="116"/>
  <c r="V128" i="116"/>
  <c r="X128" i="116"/>
  <c r="Z128" i="116"/>
  <c r="D129" i="116"/>
  <c r="F129" i="116"/>
  <c r="H129" i="116"/>
  <c r="J129" i="116"/>
  <c r="L129" i="116"/>
  <c r="N129" i="116"/>
  <c r="P129" i="116"/>
  <c r="R129" i="116"/>
  <c r="T129" i="116"/>
  <c r="V129" i="116"/>
  <c r="X129" i="116"/>
  <c r="Z129" i="116"/>
  <c r="D130" i="116"/>
  <c r="F130" i="116"/>
  <c r="H130" i="116"/>
  <c r="J130" i="116"/>
  <c r="L130" i="116"/>
  <c r="N130" i="116"/>
  <c r="P130" i="116"/>
  <c r="R130" i="116"/>
  <c r="T130" i="116"/>
  <c r="V130" i="116"/>
  <c r="X130" i="116"/>
  <c r="Z130" i="116"/>
  <c r="D132" i="116"/>
  <c r="H132" i="116"/>
  <c r="L132" i="116"/>
  <c r="P132" i="116"/>
  <c r="T132" i="116"/>
  <c r="X132" i="116"/>
  <c r="D134" i="116"/>
  <c r="F134" i="116"/>
  <c r="H134" i="116"/>
  <c r="J134" i="116"/>
  <c r="L134" i="116"/>
  <c r="N134" i="116"/>
  <c r="P134" i="116"/>
  <c r="R134" i="116"/>
  <c r="T134" i="116"/>
  <c r="V134" i="116"/>
  <c r="X134" i="116"/>
  <c r="Z134" i="116"/>
  <c r="D135" i="116"/>
  <c r="F135" i="116"/>
  <c r="H135" i="116"/>
  <c r="J135" i="116"/>
  <c r="L135" i="116"/>
  <c r="N135" i="116"/>
  <c r="P135" i="116"/>
  <c r="R135" i="116"/>
  <c r="T135" i="116"/>
  <c r="V135" i="116"/>
  <c r="X135" i="116"/>
  <c r="Z135" i="116"/>
  <c r="D136" i="116"/>
  <c r="F136" i="116"/>
  <c r="H136" i="116"/>
  <c r="J136" i="116"/>
  <c r="L136" i="116"/>
  <c r="N136" i="116"/>
  <c r="P136" i="116"/>
  <c r="R136" i="116"/>
  <c r="T136" i="116"/>
  <c r="V136" i="116"/>
  <c r="X136" i="116"/>
  <c r="Z136" i="116"/>
  <c r="D137" i="116"/>
  <c r="F137" i="116"/>
  <c r="H137" i="116"/>
  <c r="J137" i="116"/>
  <c r="L137" i="116"/>
  <c r="N137" i="116"/>
  <c r="P137" i="116"/>
  <c r="R137" i="116"/>
  <c r="T137" i="116"/>
  <c r="V137" i="116"/>
  <c r="X137" i="116"/>
  <c r="Z137" i="116"/>
  <c r="D138" i="116"/>
  <c r="F138" i="116"/>
  <c r="H138" i="116"/>
  <c r="J138" i="116"/>
  <c r="L138" i="116"/>
  <c r="N138" i="116"/>
  <c r="P138" i="116"/>
  <c r="R138" i="116"/>
  <c r="T138" i="116"/>
  <c r="V138" i="116"/>
  <c r="X138" i="116"/>
  <c r="Z138" i="116"/>
  <c r="D140" i="116"/>
  <c r="H140" i="116"/>
  <c r="L140" i="116"/>
  <c r="P140" i="116"/>
  <c r="T140" i="116"/>
  <c r="X140" i="116"/>
  <c r="D142" i="116"/>
  <c r="F142" i="116"/>
  <c r="H142" i="116"/>
  <c r="J142" i="116"/>
  <c r="L142" i="116"/>
  <c r="N142" i="116"/>
  <c r="P142" i="116"/>
  <c r="R142" i="116"/>
  <c r="T142" i="116"/>
  <c r="V142" i="116"/>
  <c r="X142" i="116"/>
  <c r="Z142" i="116"/>
  <c r="D143" i="116"/>
  <c r="F143" i="116"/>
  <c r="H143" i="116"/>
  <c r="J143" i="116"/>
  <c r="L143" i="116"/>
  <c r="N143" i="116"/>
  <c r="P143" i="116"/>
  <c r="R143" i="116"/>
  <c r="T143" i="116"/>
  <c r="V143" i="116"/>
  <c r="X143" i="116"/>
  <c r="Z143" i="116"/>
  <c r="D144" i="116"/>
  <c r="F144" i="116"/>
  <c r="H144" i="116"/>
  <c r="J144" i="116"/>
  <c r="L144" i="116"/>
  <c r="N144" i="116"/>
  <c r="P144" i="116"/>
  <c r="R144" i="116"/>
  <c r="T144" i="116"/>
  <c r="V144" i="116"/>
  <c r="X144" i="116"/>
  <c r="Z144" i="116"/>
  <c r="D145" i="116"/>
  <c r="F145" i="116"/>
  <c r="H145" i="116"/>
  <c r="J145" i="116"/>
  <c r="L145" i="116"/>
  <c r="N145" i="116"/>
  <c r="P145" i="116"/>
  <c r="R145" i="116"/>
  <c r="T145" i="116"/>
  <c r="V145" i="116"/>
  <c r="X145" i="116"/>
  <c r="Z145" i="116"/>
  <c r="D146" i="116"/>
  <c r="F146" i="116"/>
  <c r="H146" i="116"/>
  <c r="J146" i="116"/>
  <c r="L146" i="116"/>
  <c r="N146" i="116"/>
  <c r="P146" i="116"/>
  <c r="R146" i="116"/>
  <c r="T146" i="116"/>
  <c r="V146" i="116"/>
  <c r="X146" i="116"/>
  <c r="Z146" i="116"/>
  <c r="D148" i="116"/>
  <c r="H148" i="116"/>
  <c r="L148" i="116"/>
  <c r="P148" i="116"/>
  <c r="T148" i="116"/>
  <c r="X148" i="116"/>
  <c r="D150" i="116"/>
  <c r="F150" i="116"/>
  <c r="H150" i="116"/>
  <c r="J150" i="116"/>
  <c r="L150" i="116"/>
  <c r="N150" i="116"/>
  <c r="P150" i="116"/>
  <c r="R150" i="116"/>
  <c r="T150" i="116"/>
  <c r="V150" i="116"/>
  <c r="X150" i="116"/>
  <c r="Z150" i="116"/>
  <c r="D151" i="116"/>
  <c r="F151" i="116"/>
  <c r="H151" i="116"/>
  <c r="J151" i="116"/>
  <c r="L151" i="116"/>
  <c r="N151" i="116"/>
  <c r="P151" i="116"/>
  <c r="R151" i="116"/>
  <c r="T151" i="116"/>
  <c r="V151" i="116"/>
  <c r="X151" i="116"/>
  <c r="Z151" i="116"/>
  <c r="D152" i="116"/>
  <c r="F152" i="116"/>
  <c r="H152" i="116"/>
  <c r="J152" i="116"/>
  <c r="L152" i="116"/>
  <c r="N152" i="116"/>
  <c r="P152" i="116"/>
  <c r="R152" i="116"/>
  <c r="T152" i="116"/>
  <c r="V152" i="116"/>
  <c r="X152" i="116"/>
  <c r="Z152" i="116"/>
  <c r="D153" i="116"/>
  <c r="F153" i="116"/>
  <c r="H153" i="116"/>
  <c r="J153" i="116"/>
  <c r="L153" i="116"/>
  <c r="N153" i="116"/>
  <c r="P153" i="116"/>
  <c r="R153" i="116"/>
  <c r="T153" i="116"/>
  <c r="V153" i="116"/>
  <c r="X153" i="116"/>
  <c r="Z153" i="116"/>
  <c r="D154" i="116"/>
  <c r="F154" i="116"/>
  <c r="H154" i="116"/>
  <c r="J154" i="116"/>
  <c r="L154" i="116"/>
  <c r="N154" i="116"/>
  <c r="P154" i="116"/>
  <c r="R154" i="116"/>
  <c r="T154" i="116"/>
  <c r="V154" i="116"/>
  <c r="X154" i="116"/>
  <c r="Z154" i="116"/>
  <c r="D156" i="116"/>
  <c r="H156" i="116"/>
  <c r="L156" i="116"/>
  <c r="P156" i="116"/>
  <c r="T156" i="116"/>
  <c r="X156" i="116"/>
  <c r="D158" i="116"/>
  <c r="F158" i="116"/>
  <c r="H158" i="116"/>
  <c r="J158" i="116"/>
  <c r="L158" i="116"/>
  <c r="N158" i="116"/>
  <c r="P158" i="116"/>
  <c r="R158" i="116"/>
  <c r="T158" i="116"/>
  <c r="V158" i="116"/>
  <c r="X158" i="116"/>
  <c r="Z158" i="116"/>
  <c r="D159" i="116"/>
  <c r="F159" i="116"/>
  <c r="H159" i="116"/>
  <c r="J159" i="116"/>
  <c r="L159" i="116"/>
  <c r="N159" i="116"/>
  <c r="P159" i="116"/>
  <c r="R159" i="116"/>
  <c r="T159" i="116"/>
  <c r="V159" i="116"/>
  <c r="X159" i="116"/>
  <c r="Z159" i="116"/>
  <c r="D160" i="116"/>
  <c r="F160" i="116"/>
  <c r="H160" i="116"/>
  <c r="J160" i="116"/>
  <c r="L160" i="116"/>
  <c r="N160" i="116"/>
  <c r="P160" i="116"/>
  <c r="R160" i="116"/>
  <c r="T160" i="116"/>
  <c r="V160" i="116"/>
  <c r="X160" i="116"/>
  <c r="Z160" i="116"/>
  <c r="D161" i="116"/>
  <c r="F161" i="116"/>
  <c r="H161" i="116"/>
  <c r="J161" i="116"/>
  <c r="L161" i="116"/>
  <c r="N161" i="116"/>
  <c r="P161" i="116"/>
  <c r="R161" i="116"/>
  <c r="T161" i="116"/>
  <c r="V161" i="116"/>
  <c r="X161" i="116"/>
  <c r="Z161" i="116"/>
  <c r="D162" i="116"/>
  <c r="F162" i="116"/>
  <c r="H162" i="116"/>
  <c r="J162" i="116"/>
  <c r="L162" i="116"/>
  <c r="N162" i="116"/>
  <c r="P162" i="116"/>
  <c r="R162" i="116"/>
  <c r="T162" i="116"/>
  <c r="V162" i="116"/>
  <c r="X162" i="116"/>
  <c r="Z162" i="116"/>
  <c r="D164" i="116"/>
  <c r="H164" i="116"/>
  <c r="L164" i="116"/>
  <c r="P164" i="116"/>
  <c r="T164" i="116"/>
  <c r="X164" i="116"/>
  <c r="D166" i="116"/>
  <c r="F166" i="116"/>
  <c r="H166" i="116"/>
  <c r="J166" i="116"/>
  <c r="L166" i="116"/>
  <c r="N166" i="116"/>
  <c r="P166" i="116"/>
  <c r="R166" i="116"/>
  <c r="T166" i="116"/>
  <c r="V166" i="116"/>
  <c r="X166" i="116"/>
  <c r="Z166" i="116"/>
  <c r="D167" i="116"/>
  <c r="F167" i="116"/>
  <c r="H167" i="116"/>
  <c r="J167" i="116"/>
  <c r="L167" i="116"/>
  <c r="N167" i="116"/>
  <c r="P167" i="116"/>
  <c r="R167" i="116"/>
  <c r="T167" i="116"/>
  <c r="V167" i="116"/>
  <c r="X167" i="116"/>
  <c r="Z167" i="116"/>
  <c r="D168" i="116"/>
  <c r="F168" i="116"/>
  <c r="H168" i="116"/>
  <c r="J168" i="116"/>
  <c r="L168" i="116"/>
  <c r="N168" i="116"/>
  <c r="P168" i="116"/>
  <c r="R168" i="116"/>
  <c r="T168" i="116"/>
  <c r="V168" i="116"/>
  <c r="X168" i="116"/>
  <c r="Z168" i="116"/>
  <c r="D169" i="116"/>
  <c r="F169" i="116"/>
  <c r="H169" i="116"/>
  <c r="J169" i="116"/>
  <c r="L169" i="116"/>
  <c r="N169" i="116"/>
  <c r="P169" i="116"/>
  <c r="R169" i="116"/>
  <c r="T169" i="116"/>
  <c r="V169" i="116"/>
  <c r="X169" i="116"/>
  <c r="Z169" i="116"/>
  <c r="D170" i="116"/>
  <c r="F170" i="116"/>
  <c r="H170" i="116"/>
  <c r="J170" i="116"/>
  <c r="L170" i="116"/>
  <c r="N170" i="116"/>
  <c r="P170" i="116"/>
  <c r="R170" i="116"/>
  <c r="T170" i="116"/>
  <c r="V170" i="116"/>
  <c r="X170" i="116"/>
  <c r="Z170" i="116"/>
  <c r="GF45" i="84" l="1"/>
  <c r="FO45" i="84"/>
  <c r="BQ17" i="165"/>
  <c r="CL17" i="165" s="1"/>
  <c r="BQ21" i="165"/>
  <c r="CL21" i="165" s="1"/>
  <c r="BQ25" i="165"/>
  <c r="CL25" i="165" s="1"/>
  <c r="BQ29" i="165"/>
  <c r="CL29" i="165" s="1"/>
  <c r="BQ34" i="165"/>
  <c r="CL34" i="165" s="1"/>
  <c r="BQ38" i="165"/>
  <c r="CL38" i="165" s="1"/>
  <c r="BQ42" i="165"/>
  <c r="CL42" i="165" s="1"/>
  <c r="CC17" i="165"/>
  <c r="CM17" i="165" s="1"/>
  <c r="CC21" i="165"/>
  <c r="CM21" i="165" s="1"/>
  <c r="CC25" i="165"/>
  <c r="CM25" i="165" s="1"/>
  <c r="BQ30" i="165"/>
  <c r="CL30" i="165" s="1"/>
  <c r="CC34" i="165"/>
  <c r="CM34" i="165" s="1"/>
  <c r="CC38" i="165"/>
  <c r="CM38" i="165" s="1"/>
  <c r="CC42" i="165"/>
  <c r="CM42" i="165" s="1"/>
  <c r="BQ16" i="165"/>
  <c r="CL16" i="165" s="1"/>
  <c r="BQ22" i="165"/>
  <c r="CL22" i="165" s="1"/>
  <c r="BQ26" i="165"/>
  <c r="CL26" i="165" s="1"/>
  <c r="BQ31" i="165"/>
  <c r="CL31" i="165" s="1"/>
  <c r="BQ35" i="165"/>
  <c r="CL35" i="165" s="1"/>
  <c r="BQ39" i="165"/>
  <c r="CL39" i="165" s="1"/>
  <c r="BQ43" i="165"/>
  <c r="CL43" i="165" s="1"/>
  <c r="CC16" i="165"/>
  <c r="CM16" i="165" s="1"/>
  <c r="CC22" i="165"/>
  <c r="CM22" i="165" s="1"/>
  <c r="CC26" i="165"/>
  <c r="CM26" i="165" s="1"/>
  <c r="CC31" i="165"/>
  <c r="CM31" i="165" s="1"/>
  <c r="CC35" i="165"/>
  <c r="CM35" i="165" s="1"/>
  <c r="CC39" i="165"/>
  <c r="CM39" i="165" s="1"/>
  <c r="CC43" i="165"/>
  <c r="CM43" i="165" s="1"/>
  <c r="BQ18" i="165"/>
  <c r="CL18" i="165" s="1"/>
  <c r="BQ23" i="165"/>
  <c r="CL23" i="165" s="1"/>
  <c r="BQ27" i="165"/>
  <c r="CL27" i="165" s="1"/>
  <c r="BQ32" i="165"/>
  <c r="CL32" i="165" s="1"/>
  <c r="BQ36" i="165"/>
  <c r="CL36" i="165" s="1"/>
  <c r="BQ40" i="165"/>
  <c r="CL40" i="165" s="1"/>
  <c r="BQ44" i="165"/>
  <c r="CL44" i="165" s="1"/>
  <c r="CC18" i="165"/>
  <c r="CM18" i="165" s="1"/>
  <c r="CC23" i="165"/>
  <c r="CM23" i="165" s="1"/>
  <c r="CC27" i="165"/>
  <c r="CM27" i="165" s="1"/>
  <c r="CC32" i="165"/>
  <c r="CM32" i="165" s="1"/>
  <c r="CC36" i="165"/>
  <c r="CM36" i="165" s="1"/>
  <c r="CC40" i="165"/>
  <c r="CM40" i="165" s="1"/>
  <c r="CC44" i="165"/>
  <c r="CM44" i="165" s="1"/>
  <c r="BQ19" i="165"/>
  <c r="CL19" i="165" s="1"/>
  <c r="BQ24" i="165"/>
  <c r="CL24" i="165" s="1"/>
  <c r="BQ28" i="165"/>
  <c r="CL28" i="165" s="1"/>
  <c r="BQ33" i="165"/>
  <c r="CL33" i="165" s="1"/>
  <c r="BQ37" i="165"/>
  <c r="CL37" i="165" s="1"/>
  <c r="BQ41" i="165"/>
  <c r="CL41" i="165" s="1"/>
  <c r="BQ45" i="165"/>
  <c r="CL45" i="165" s="1"/>
  <c r="CC19" i="165"/>
  <c r="CM19" i="165" s="1"/>
  <c r="CC24" i="165"/>
  <c r="CM24" i="165" s="1"/>
  <c r="CC28" i="165"/>
  <c r="CM28" i="165" s="1"/>
  <c r="CC33" i="165"/>
  <c r="CM33" i="165" s="1"/>
  <c r="CC37" i="165"/>
  <c r="CM37" i="165" s="1"/>
  <c r="CC41" i="165"/>
  <c r="CM41" i="165" s="1"/>
  <c r="CC45" i="165"/>
  <c r="CM45" i="165" s="1"/>
  <c r="BO21" i="165"/>
  <c r="BO34" i="165"/>
  <c r="DZ22" i="165"/>
  <c r="FQ25" i="147"/>
  <c r="BO25" i="147"/>
  <c r="CA23" i="147"/>
  <c r="CC23" i="147"/>
  <c r="CM23" i="147" s="1"/>
  <c r="CA17" i="165"/>
  <c r="CA21" i="165"/>
  <c r="CA25" i="165"/>
  <c r="BO30" i="165"/>
  <c r="CA34" i="165"/>
  <c r="CA38" i="165"/>
  <c r="CA42" i="165"/>
  <c r="BO17" i="165"/>
  <c r="BO29" i="165"/>
  <c r="BO42" i="165"/>
  <c r="BO16" i="165"/>
  <c r="BO22" i="165"/>
  <c r="BO26" i="165"/>
  <c r="BO31" i="165"/>
  <c r="BO35" i="165"/>
  <c r="BO39" i="165"/>
  <c r="BO43" i="165"/>
  <c r="BO25" i="165"/>
  <c r="BO38" i="165"/>
  <c r="CA16" i="165"/>
  <c r="CA22" i="165"/>
  <c r="CA26" i="165"/>
  <c r="CA31" i="165"/>
  <c r="CA35" i="165"/>
  <c r="CA39" i="165"/>
  <c r="CA43" i="165"/>
  <c r="BO18" i="165"/>
  <c r="BO23" i="165"/>
  <c r="BO27" i="165"/>
  <c r="BO32" i="165"/>
  <c r="BO36" i="165"/>
  <c r="BO40" i="165"/>
  <c r="BO44" i="165"/>
  <c r="CA18" i="165"/>
  <c r="FR23" i="165"/>
  <c r="CA23" i="165"/>
  <c r="CA27" i="165"/>
  <c r="CA32" i="165"/>
  <c r="CA36" i="165"/>
  <c r="CA40" i="165"/>
  <c r="CA44" i="165"/>
  <c r="BO19" i="165"/>
  <c r="BO24" i="165"/>
  <c r="BO28" i="165"/>
  <c r="BO33" i="165"/>
  <c r="BO37" i="165"/>
  <c r="BO41" i="165"/>
  <c r="BO45" i="165"/>
  <c r="CA19" i="165"/>
  <c r="CA24" i="165"/>
  <c r="CA28" i="165"/>
  <c r="CA33" i="165"/>
  <c r="CA37" i="165"/>
  <c r="CA41" i="165"/>
  <c r="CA45" i="165"/>
  <c r="AS34" i="84"/>
  <c r="AR34" i="84"/>
  <c r="FF74" i="84" s="1"/>
  <c r="BE26" i="84"/>
  <c r="BD26" i="84"/>
  <c r="FI66" i="84" s="1"/>
  <c r="AS39" i="160"/>
  <c r="AR39" i="160"/>
  <c r="FF79" i="160" s="1"/>
  <c r="BA34" i="160"/>
  <c r="AZ34" i="160"/>
  <c r="FH74" i="160" s="1"/>
  <c r="AW31" i="160"/>
  <c r="AV31" i="160"/>
  <c r="FG71" i="160" s="1"/>
  <c r="AW28" i="160"/>
  <c r="AV28" i="160"/>
  <c r="FG68" i="160" s="1"/>
  <c r="BE22" i="160"/>
  <c r="BD22" i="160"/>
  <c r="FI62" i="160" s="1"/>
  <c r="AS21" i="160"/>
  <c r="AR21" i="160"/>
  <c r="FF61" i="160" s="1"/>
  <c r="BA19" i="160"/>
  <c r="AZ19" i="160"/>
  <c r="FH59" i="160" s="1"/>
  <c r="AW16" i="160"/>
  <c r="AV16" i="160"/>
  <c r="FG56" i="160" s="1"/>
  <c r="AS16" i="84"/>
  <c r="AR16" i="84"/>
  <c r="BA20" i="84"/>
  <c r="AZ20" i="84"/>
  <c r="AS43" i="84"/>
  <c r="AR43" i="84"/>
  <c r="FF83" i="84" s="1"/>
  <c r="BA42" i="84"/>
  <c r="AZ42" i="84"/>
  <c r="FH82" i="84" s="1"/>
  <c r="AW39" i="84"/>
  <c r="AV39" i="84"/>
  <c r="FG79" i="84" s="1"/>
  <c r="AS37" i="84"/>
  <c r="AR37" i="84"/>
  <c r="FF77" i="84" s="1"/>
  <c r="BA36" i="84"/>
  <c r="AZ36" i="84"/>
  <c r="FH76" i="84" s="1"/>
  <c r="AZ30" i="84"/>
  <c r="FH70" i="84" s="1"/>
  <c r="BA30" i="84"/>
  <c r="AS29" i="84"/>
  <c r="AR29" i="84"/>
  <c r="FF69" i="84" s="1"/>
  <c r="BA26" i="84"/>
  <c r="AZ26" i="84"/>
  <c r="FH66" i="84" s="1"/>
  <c r="AS25" i="84"/>
  <c r="AR25" i="84"/>
  <c r="FF65" i="84" s="1"/>
  <c r="AZ22" i="84"/>
  <c r="FH62" i="84" s="1"/>
  <c r="BA22" i="84"/>
  <c r="AS21" i="84"/>
  <c r="AR21" i="84"/>
  <c r="FF61" i="84" s="1"/>
  <c r="AW45" i="160"/>
  <c r="AV45" i="160"/>
  <c r="FG85" i="160" s="1"/>
  <c r="BD43" i="160"/>
  <c r="FI83" i="160" s="1"/>
  <c r="BE43" i="160"/>
  <c r="AS42" i="160"/>
  <c r="AR42" i="160"/>
  <c r="FF82" i="160" s="1"/>
  <c r="BA40" i="160"/>
  <c r="AZ40" i="160"/>
  <c r="FH80" i="160" s="1"/>
  <c r="BA37" i="160"/>
  <c r="AZ37" i="160"/>
  <c r="FH77" i="160" s="1"/>
  <c r="AW34" i="160"/>
  <c r="AV34" i="160"/>
  <c r="FG74" i="160" s="1"/>
  <c r="BE32" i="160"/>
  <c r="BD32" i="160"/>
  <c r="FI72" i="160" s="1"/>
  <c r="AS31" i="160"/>
  <c r="AR31" i="160"/>
  <c r="FF71" i="160" s="1"/>
  <c r="BE29" i="160"/>
  <c r="BD29" i="160"/>
  <c r="FI69" i="160" s="1"/>
  <c r="AS28" i="160"/>
  <c r="AR28" i="160"/>
  <c r="FF68" i="160" s="1"/>
  <c r="BA26" i="160"/>
  <c r="AZ26" i="160"/>
  <c r="FH66" i="160" s="1"/>
  <c r="BA22" i="160"/>
  <c r="AZ22" i="160"/>
  <c r="FH62" i="160" s="1"/>
  <c r="AW19" i="160"/>
  <c r="AV19" i="160"/>
  <c r="FG59" i="160" s="1"/>
  <c r="BE17" i="160"/>
  <c r="BD17" i="160"/>
  <c r="FI57" i="160" s="1"/>
  <c r="AS16" i="160"/>
  <c r="AR16" i="160"/>
  <c r="AW42" i="84"/>
  <c r="AV42" i="84"/>
  <c r="FG82" i="84" s="1"/>
  <c r="BE41" i="84"/>
  <c r="BD41" i="84"/>
  <c r="FI81" i="84" s="1"/>
  <c r="AS39" i="84"/>
  <c r="AR39" i="84"/>
  <c r="FF79" i="84" s="1"/>
  <c r="AV36" i="84"/>
  <c r="FG76" i="84" s="1"/>
  <c r="AW36" i="84"/>
  <c r="BE35" i="84"/>
  <c r="BD35" i="84"/>
  <c r="FI75" i="84" s="1"/>
  <c r="BE31" i="84"/>
  <c r="BD31" i="84"/>
  <c r="FI71" i="84" s="1"/>
  <c r="AW30" i="84"/>
  <c r="AV30" i="84"/>
  <c r="FG70" i="84" s="1"/>
  <c r="BE27" i="84"/>
  <c r="BD27" i="84"/>
  <c r="FI67" i="84" s="1"/>
  <c r="AW26" i="84"/>
  <c r="AV26" i="84"/>
  <c r="FG66" i="84" s="1"/>
  <c r="AW22" i="84"/>
  <c r="AV22" i="84"/>
  <c r="FG62" i="84" s="1"/>
  <c r="AR45" i="160"/>
  <c r="FF85" i="160" s="1"/>
  <c r="AS45" i="160"/>
  <c r="BA43" i="160"/>
  <c r="AZ43" i="160"/>
  <c r="FH83" i="160" s="1"/>
  <c r="AW40" i="160"/>
  <c r="AV40" i="160"/>
  <c r="FG80" i="160" s="1"/>
  <c r="AW37" i="160"/>
  <c r="AV37" i="160"/>
  <c r="FG77" i="160" s="1"/>
  <c r="BE35" i="160"/>
  <c r="BD35" i="160"/>
  <c r="FI75" i="160" s="1"/>
  <c r="AS34" i="160"/>
  <c r="AR34" i="160"/>
  <c r="FF74" i="160" s="1"/>
  <c r="BA32" i="160"/>
  <c r="AZ32" i="160"/>
  <c r="FH72" i="160" s="1"/>
  <c r="BA29" i="160"/>
  <c r="AZ29" i="160"/>
  <c r="FH69" i="160" s="1"/>
  <c r="AW26" i="160"/>
  <c r="AV26" i="160"/>
  <c r="FG66" i="160" s="1"/>
  <c r="BE24" i="160"/>
  <c r="BD24" i="160"/>
  <c r="FI64" i="160" s="1"/>
  <c r="AW22" i="160"/>
  <c r="AV22" i="160"/>
  <c r="FG62" i="160" s="1"/>
  <c r="BD20" i="160"/>
  <c r="FI60" i="160" s="1"/>
  <c r="BE20" i="160"/>
  <c r="AS19" i="160"/>
  <c r="AR19" i="160"/>
  <c r="FF59" i="160" s="1"/>
  <c r="BA17" i="160"/>
  <c r="AZ17" i="160"/>
  <c r="FH57" i="160" s="1"/>
  <c r="AS17" i="84"/>
  <c r="AR17" i="84"/>
  <c r="FF57" i="84" s="1"/>
  <c r="BD20" i="84"/>
  <c r="FI60" i="84" s="1"/>
  <c r="BE20" i="84"/>
  <c r="AW37" i="84"/>
  <c r="AV37" i="84"/>
  <c r="FG77" i="84" s="1"/>
  <c r="AW21" i="84"/>
  <c r="AV21" i="84"/>
  <c r="FG61" i="84" s="1"/>
  <c r="AS36" i="160"/>
  <c r="AR36" i="160"/>
  <c r="FF76" i="160" s="1"/>
  <c r="AS42" i="84"/>
  <c r="AR42" i="84"/>
  <c r="FF82" i="84" s="1"/>
  <c r="BA41" i="84"/>
  <c r="AZ41" i="84"/>
  <c r="FH81" i="84" s="1"/>
  <c r="BE38" i="84"/>
  <c r="BD38" i="84"/>
  <c r="FI78" i="84" s="1"/>
  <c r="AS36" i="84"/>
  <c r="AR36" i="84"/>
  <c r="FF76" i="84" s="1"/>
  <c r="BA35" i="84"/>
  <c r="AZ35" i="84"/>
  <c r="FH75" i="84" s="1"/>
  <c r="BE32" i="84"/>
  <c r="BD32" i="84"/>
  <c r="FI72" i="84" s="1"/>
  <c r="BA31" i="84"/>
  <c r="AZ31" i="84"/>
  <c r="FH71" i="84" s="1"/>
  <c r="AR30" i="84"/>
  <c r="FF70" i="84" s="1"/>
  <c r="AS30" i="84"/>
  <c r="BA27" i="84"/>
  <c r="AZ27" i="84"/>
  <c r="FH67" i="84" s="1"/>
  <c r="AS26" i="84"/>
  <c r="AR26" i="84"/>
  <c r="FF66" i="84" s="1"/>
  <c r="BE23" i="84"/>
  <c r="BD23" i="84"/>
  <c r="FI63" i="84" s="1"/>
  <c r="AR22" i="84"/>
  <c r="FF62" i="84" s="1"/>
  <c r="AS22" i="84"/>
  <c r="AV43" i="160"/>
  <c r="FG83" i="160" s="1"/>
  <c r="AW43" i="160"/>
  <c r="BE41" i="160"/>
  <c r="BD41" i="160"/>
  <c r="FI81" i="160" s="1"/>
  <c r="AS40" i="160"/>
  <c r="AR40" i="160"/>
  <c r="FF80" i="160" s="1"/>
  <c r="BE38" i="160"/>
  <c r="BD38" i="160"/>
  <c r="FI78" i="160" s="1"/>
  <c r="AR37" i="160"/>
  <c r="FF77" i="160" s="1"/>
  <c r="AS37" i="160"/>
  <c r="BA35" i="160"/>
  <c r="AZ35" i="160"/>
  <c r="FH75" i="160" s="1"/>
  <c r="AW32" i="160"/>
  <c r="AV32" i="160"/>
  <c r="FG72" i="160" s="1"/>
  <c r="AW29" i="160"/>
  <c r="AV29" i="160"/>
  <c r="FG69" i="160" s="1"/>
  <c r="BE27" i="160"/>
  <c r="BD27" i="160"/>
  <c r="FI67" i="160" s="1"/>
  <c r="AS26" i="160"/>
  <c r="AR26" i="160"/>
  <c r="FF66" i="160" s="1"/>
  <c r="BA24" i="160"/>
  <c r="AZ24" i="160"/>
  <c r="FH64" i="160" s="1"/>
  <c r="BE23" i="160"/>
  <c r="BD23" i="160"/>
  <c r="FI63" i="160" s="1"/>
  <c r="AS22" i="160"/>
  <c r="AR22" i="160"/>
  <c r="FF62" i="160" s="1"/>
  <c r="BA20" i="160"/>
  <c r="AZ20" i="160"/>
  <c r="FH60" i="160" s="1"/>
  <c r="AW17" i="160"/>
  <c r="AV17" i="160"/>
  <c r="FG57" i="160" s="1"/>
  <c r="BE15" i="160"/>
  <c r="BD15" i="160"/>
  <c r="FI55" i="160" s="1"/>
  <c r="BE42" i="84"/>
  <c r="BD42" i="84"/>
  <c r="FI82" i="84" s="1"/>
  <c r="BE30" i="84"/>
  <c r="BD30" i="84"/>
  <c r="FI70" i="84" s="1"/>
  <c r="AW42" i="160"/>
  <c r="AV42" i="160"/>
  <c r="FG82" i="160" s="1"/>
  <c r="BE26" i="160"/>
  <c r="BD26" i="160"/>
  <c r="FI66" i="160" s="1"/>
  <c r="BD44" i="84"/>
  <c r="FI84" i="84" s="1"/>
  <c r="BE44" i="84"/>
  <c r="AW41" i="84"/>
  <c r="AV41" i="84"/>
  <c r="FG81" i="84" s="1"/>
  <c r="BE40" i="84"/>
  <c r="BD40" i="84"/>
  <c r="FI80" i="84" s="1"/>
  <c r="AZ38" i="84"/>
  <c r="FH78" i="84" s="1"/>
  <c r="BA38" i="84"/>
  <c r="AW35" i="84"/>
  <c r="AV35" i="84"/>
  <c r="FG75" i="84" s="1"/>
  <c r="BA32" i="84"/>
  <c r="AZ32" i="84"/>
  <c r="FH72" i="84" s="1"/>
  <c r="AW31" i="84"/>
  <c r="AV31" i="84"/>
  <c r="FG71" i="84" s="1"/>
  <c r="BD28" i="84"/>
  <c r="FI68" i="84" s="1"/>
  <c r="BE28" i="84"/>
  <c r="AW27" i="84"/>
  <c r="AV27" i="84"/>
  <c r="FG67" i="84" s="1"/>
  <c r="BE24" i="84"/>
  <c r="BD24" i="84"/>
  <c r="FI64" i="84" s="1"/>
  <c r="BA23" i="84"/>
  <c r="AZ23" i="84"/>
  <c r="FH63" i="84" s="1"/>
  <c r="BE44" i="160"/>
  <c r="BD44" i="160"/>
  <c r="FI84" i="160" s="1"/>
  <c r="AS43" i="160"/>
  <c r="AR43" i="160"/>
  <c r="FF83" i="160" s="1"/>
  <c r="AZ41" i="160"/>
  <c r="FH81" i="160" s="1"/>
  <c r="BA41" i="160"/>
  <c r="BA38" i="160"/>
  <c r="AZ38" i="160"/>
  <c r="FH78" i="160" s="1"/>
  <c r="AW35" i="160"/>
  <c r="AV35" i="160"/>
  <c r="FG75" i="160" s="1"/>
  <c r="BE33" i="160"/>
  <c r="BD33" i="160"/>
  <c r="FI73" i="160" s="1"/>
  <c r="AS32" i="160"/>
  <c r="AR32" i="160"/>
  <c r="FF72" i="160" s="1"/>
  <c r="BE30" i="160"/>
  <c r="BD30" i="160"/>
  <c r="FI70" i="160" s="1"/>
  <c r="AS29" i="160"/>
  <c r="AR29" i="160"/>
  <c r="FF69" i="160" s="1"/>
  <c r="BA27" i="160"/>
  <c r="AZ27" i="160"/>
  <c r="FH67" i="160" s="1"/>
  <c r="AS24" i="160"/>
  <c r="AR24" i="160"/>
  <c r="FF64" i="160" s="1"/>
  <c r="BA23" i="160"/>
  <c r="AZ23" i="160"/>
  <c r="FH63" i="160" s="1"/>
  <c r="AV20" i="160"/>
  <c r="FG60" i="160" s="1"/>
  <c r="AW20" i="160"/>
  <c r="BE18" i="160"/>
  <c r="BD18" i="160"/>
  <c r="FI58" i="160" s="1"/>
  <c r="AS17" i="160"/>
  <c r="AR17" i="160"/>
  <c r="FF57" i="160" s="1"/>
  <c r="BA15" i="160"/>
  <c r="AZ15" i="160"/>
  <c r="FH55" i="160" s="1"/>
  <c r="BE14" i="160"/>
  <c r="BD14" i="160"/>
  <c r="AS19" i="84"/>
  <c r="AR19" i="84"/>
  <c r="FF59" i="84" s="1"/>
  <c r="AS45" i="84"/>
  <c r="AR45" i="84"/>
  <c r="FF85" i="84" s="1"/>
  <c r="BD36" i="84"/>
  <c r="FI76" i="84" s="1"/>
  <c r="BE36" i="84"/>
  <c r="AS33" i="84"/>
  <c r="AR33" i="84"/>
  <c r="FF73" i="84" s="1"/>
  <c r="AW25" i="84"/>
  <c r="AV25" i="84"/>
  <c r="FG65" i="84" s="1"/>
  <c r="BE37" i="160"/>
  <c r="BD37" i="160"/>
  <c r="FI77" i="160" s="1"/>
  <c r="BE45" i="84"/>
  <c r="BD45" i="84"/>
  <c r="FI85" i="84" s="1"/>
  <c r="BA44" i="84"/>
  <c r="AZ44" i="84"/>
  <c r="FH84" i="84" s="1"/>
  <c r="AS41" i="84"/>
  <c r="AR41" i="84"/>
  <c r="FF81" i="84" s="1"/>
  <c r="BA40" i="84"/>
  <c r="AZ40" i="84"/>
  <c r="FH80" i="84" s="1"/>
  <c r="AW38" i="84"/>
  <c r="AV38" i="84"/>
  <c r="FG78" i="84" s="1"/>
  <c r="AS35" i="84"/>
  <c r="AR35" i="84"/>
  <c r="FF75" i="84" s="1"/>
  <c r="BE34" i="84"/>
  <c r="BD34" i="84"/>
  <c r="FI74" i="84" s="1"/>
  <c r="BE33" i="84"/>
  <c r="BD33" i="84"/>
  <c r="FI73" i="84" s="1"/>
  <c r="AW32" i="84"/>
  <c r="AV32" i="84"/>
  <c r="FG72" i="84" s="1"/>
  <c r="AS31" i="84"/>
  <c r="AR31" i="84"/>
  <c r="FF71" i="84" s="1"/>
  <c r="BA28" i="84"/>
  <c r="AZ28" i="84"/>
  <c r="FH68" i="84" s="1"/>
  <c r="AS27" i="84"/>
  <c r="AR27" i="84"/>
  <c r="FF67" i="84" s="1"/>
  <c r="BA24" i="84"/>
  <c r="AZ24" i="84"/>
  <c r="FH64" i="84" s="1"/>
  <c r="AW23" i="84"/>
  <c r="AV23" i="84"/>
  <c r="FG63" i="84" s="1"/>
  <c r="BA44" i="160"/>
  <c r="AZ44" i="160"/>
  <c r="FH84" i="160" s="1"/>
  <c r="AW41" i="160"/>
  <c r="AV41" i="160"/>
  <c r="FG81" i="160" s="1"/>
  <c r="BD39" i="160"/>
  <c r="FI79" i="160" s="1"/>
  <c r="BE39" i="160"/>
  <c r="AW38" i="160"/>
  <c r="AV38" i="160"/>
  <c r="FG78" i="160" s="1"/>
  <c r="BE36" i="160"/>
  <c r="BD36" i="160"/>
  <c r="FI76" i="160" s="1"/>
  <c r="AS35" i="160"/>
  <c r="AR35" i="160"/>
  <c r="FF75" i="160" s="1"/>
  <c r="BA33" i="160"/>
  <c r="AZ33" i="160"/>
  <c r="FH73" i="160" s="1"/>
  <c r="BA30" i="160"/>
  <c r="AZ30" i="160"/>
  <c r="FH70" i="160" s="1"/>
  <c r="AW27" i="160"/>
  <c r="AV27" i="160"/>
  <c r="FG67" i="160" s="1"/>
  <c r="BE25" i="160"/>
  <c r="BD25" i="160"/>
  <c r="FI65" i="160" s="1"/>
  <c r="AW23" i="160"/>
  <c r="AV23" i="160"/>
  <c r="FG63" i="160" s="1"/>
  <c r="BE21" i="160"/>
  <c r="BD21" i="160"/>
  <c r="FI61" i="160" s="1"/>
  <c r="AS20" i="160"/>
  <c r="AR20" i="160"/>
  <c r="FF60" i="160" s="1"/>
  <c r="BA18" i="160"/>
  <c r="AZ18" i="160"/>
  <c r="FH58" i="160" s="1"/>
  <c r="AW15" i="160"/>
  <c r="AV15" i="160"/>
  <c r="FG55" i="160" s="1"/>
  <c r="AZ14" i="160"/>
  <c r="BA14" i="160"/>
  <c r="BA39" i="84"/>
  <c r="AZ39" i="84"/>
  <c r="FH79" i="84" s="1"/>
  <c r="AW29" i="84"/>
  <c r="AV29" i="84"/>
  <c r="FG69" i="84" s="1"/>
  <c r="BA45" i="160"/>
  <c r="AZ45" i="160"/>
  <c r="FH85" i="160" s="1"/>
  <c r="BA45" i="84"/>
  <c r="AZ45" i="84"/>
  <c r="FH85" i="84" s="1"/>
  <c r="AV44" i="84"/>
  <c r="FG84" i="84" s="1"/>
  <c r="AW44" i="84"/>
  <c r="BE43" i="84"/>
  <c r="BD43" i="84"/>
  <c r="FI83" i="84" s="1"/>
  <c r="AW40" i="84"/>
  <c r="AV40" i="84"/>
  <c r="FG80" i="84" s="1"/>
  <c r="AR38" i="84"/>
  <c r="FF78" i="84" s="1"/>
  <c r="AS38" i="84"/>
  <c r="BE37" i="84"/>
  <c r="BD37" i="84"/>
  <c r="FI77" i="84" s="1"/>
  <c r="BA34" i="84"/>
  <c r="AZ34" i="84"/>
  <c r="FH74" i="84" s="1"/>
  <c r="BA33" i="84"/>
  <c r="AZ33" i="84"/>
  <c r="FH73" i="84" s="1"/>
  <c r="AS32" i="84"/>
  <c r="AR32" i="84"/>
  <c r="FF72" i="84" s="1"/>
  <c r="BE29" i="84"/>
  <c r="BD29" i="84"/>
  <c r="FI69" i="84" s="1"/>
  <c r="AW28" i="84"/>
  <c r="AV28" i="84"/>
  <c r="FG68" i="84" s="1"/>
  <c r="BE25" i="84"/>
  <c r="BD25" i="84"/>
  <c r="FI65" i="84" s="1"/>
  <c r="AW24" i="84"/>
  <c r="AV24" i="84"/>
  <c r="FG64" i="84" s="1"/>
  <c r="AS23" i="84"/>
  <c r="AR23" i="84"/>
  <c r="BE21" i="84"/>
  <c r="BD21" i="84"/>
  <c r="FI61" i="84" s="1"/>
  <c r="AW44" i="160"/>
  <c r="AV44" i="160"/>
  <c r="FG84" i="160" s="1"/>
  <c r="BE42" i="160"/>
  <c r="BD42" i="160"/>
  <c r="FI82" i="160" s="1"/>
  <c r="AR41" i="160"/>
  <c r="FF81" i="160" s="1"/>
  <c r="AS41" i="160"/>
  <c r="BA39" i="160"/>
  <c r="AZ39" i="160"/>
  <c r="FH79" i="160" s="1"/>
  <c r="AS38" i="160"/>
  <c r="AR38" i="160"/>
  <c r="FF78" i="160" s="1"/>
  <c r="BA36" i="160"/>
  <c r="AZ36" i="160"/>
  <c r="FH76" i="160" s="1"/>
  <c r="AW33" i="160"/>
  <c r="AV33" i="160"/>
  <c r="FG73" i="160" s="1"/>
  <c r="BE31" i="160"/>
  <c r="BD31" i="160"/>
  <c r="FI71" i="160" s="1"/>
  <c r="AW30" i="160"/>
  <c r="AV30" i="160"/>
  <c r="FG70" i="160" s="1"/>
  <c r="BE28" i="160"/>
  <c r="BD28" i="160"/>
  <c r="FI68" i="160" s="1"/>
  <c r="AS27" i="160"/>
  <c r="AR27" i="160"/>
  <c r="FF67" i="160" s="1"/>
  <c r="BA25" i="160"/>
  <c r="AZ25" i="160"/>
  <c r="FH65" i="160" s="1"/>
  <c r="AS23" i="160"/>
  <c r="AR23" i="160"/>
  <c r="FF63" i="160" s="1"/>
  <c r="BA21" i="160"/>
  <c r="AZ21" i="160"/>
  <c r="FH61" i="160" s="1"/>
  <c r="AW18" i="160"/>
  <c r="AV18" i="160"/>
  <c r="FG58" i="160" s="1"/>
  <c r="BE16" i="160"/>
  <c r="BD16" i="160"/>
  <c r="FI56" i="160" s="1"/>
  <c r="AS15" i="160"/>
  <c r="AR15" i="160"/>
  <c r="FF55" i="160" s="1"/>
  <c r="AW14" i="160"/>
  <c r="AV14" i="160"/>
  <c r="FG54" i="160" s="1"/>
  <c r="AS15" i="84"/>
  <c r="AR15" i="84"/>
  <c r="FF55" i="84" s="1"/>
  <c r="AS20" i="84"/>
  <c r="AR20" i="84"/>
  <c r="AW43" i="84"/>
  <c r="AV43" i="84"/>
  <c r="FG83" i="84" s="1"/>
  <c r="BE22" i="84"/>
  <c r="BD22" i="84"/>
  <c r="FI62" i="84" s="1"/>
  <c r="BE40" i="160"/>
  <c r="BD40" i="160"/>
  <c r="FI80" i="160" s="1"/>
  <c r="AS25" i="160"/>
  <c r="AR25" i="160"/>
  <c r="FF65" i="160" s="1"/>
  <c r="AW45" i="84"/>
  <c r="AV45" i="84"/>
  <c r="FG85" i="84" s="1"/>
  <c r="AS44" i="84"/>
  <c r="AR44" i="84"/>
  <c r="FF84" i="84" s="1"/>
  <c r="BA43" i="84"/>
  <c r="AZ43" i="84"/>
  <c r="FH83" i="84" s="1"/>
  <c r="AS40" i="84"/>
  <c r="AR40" i="84"/>
  <c r="FF80" i="84" s="1"/>
  <c r="BE39" i="84"/>
  <c r="BD39" i="84"/>
  <c r="FI79" i="84" s="1"/>
  <c r="BA37" i="84"/>
  <c r="AZ37" i="84"/>
  <c r="FH77" i="84" s="1"/>
  <c r="AW34" i="84"/>
  <c r="AV34" i="84"/>
  <c r="FG74" i="84" s="1"/>
  <c r="AW33" i="84"/>
  <c r="AV33" i="84"/>
  <c r="FG73" i="84" s="1"/>
  <c r="BA29" i="84"/>
  <c r="AZ29" i="84"/>
  <c r="FH69" i="84" s="1"/>
  <c r="AS28" i="84"/>
  <c r="AR28" i="84"/>
  <c r="FF68" i="84" s="1"/>
  <c r="BA25" i="84"/>
  <c r="AZ25" i="84"/>
  <c r="FH65" i="84" s="1"/>
  <c r="AS24" i="84"/>
  <c r="AR24" i="84"/>
  <c r="FF64" i="84" s="1"/>
  <c r="BA21" i="84"/>
  <c r="AZ21" i="84"/>
  <c r="FH61" i="84" s="1"/>
  <c r="BE45" i="160"/>
  <c r="BD45" i="160"/>
  <c r="FI85" i="160" s="1"/>
  <c r="AS44" i="160"/>
  <c r="AR44" i="160"/>
  <c r="FF84" i="160" s="1"/>
  <c r="BA42" i="160"/>
  <c r="AZ42" i="160"/>
  <c r="FH82" i="160" s="1"/>
  <c r="AV39" i="160"/>
  <c r="FG79" i="160" s="1"/>
  <c r="AW39" i="160"/>
  <c r="AW36" i="160"/>
  <c r="AV36" i="160"/>
  <c r="FG76" i="160" s="1"/>
  <c r="BE34" i="160"/>
  <c r="BD34" i="160"/>
  <c r="FI74" i="160" s="1"/>
  <c r="AS33" i="160"/>
  <c r="AR33" i="160"/>
  <c r="FF73" i="160" s="1"/>
  <c r="BA31" i="160"/>
  <c r="AZ31" i="160"/>
  <c r="FH71" i="160" s="1"/>
  <c r="AS30" i="160"/>
  <c r="AR30" i="160"/>
  <c r="FF70" i="160" s="1"/>
  <c r="BA28" i="160"/>
  <c r="AZ28" i="160"/>
  <c r="FH68" i="160" s="1"/>
  <c r="AW25" i="160"/>
  <c r="AV25" i="160"/>
  <c r="FG65" i="160" s="1"/>
  <c r="AW21" i="160"/>
  <c r="AV21" i="160"/>
  <c r="FG61" i="160" s="1"/>
  <c r="BE19" i="160"/>
  <c r="BD19" i="160"/>
  <c r="FI59" i="160" s="1"/>
  <c r="AS18" i="160"/>
  <c r="AR18" i="160"/>
  <c r="BA16" i="160"/>
  <c r="AZ16" i="160"/>
  <c r="FH56" i="160" s="1"/>
  <c r="AR14" i="160"/>
  <c r="FF54" i="160" s="1"/>
  <c r="AS14" i="160"/>
  <c r="AV20" i="84"/>
  <c r="AW20" i="84"/>
  <c r="FQ16" i="84"/>
  <c r="FO29" i="84"/>
  <c r="DZ25" i="165"/>
  <c r="DZ33" i="165"/>
  <c r="DZ41" i="165"/>
  <c r="DZ19" i="165"/>
  <c r="DZ28" i="165"/>
  <c r="DZ16" i="165"/>
  <c r="DZ36" i="165"/>
  <c r="DZ44" i="165"/>
  <c r="DZ24" i="165"/>
  <c r="EM28" i="165"/>
  <c r="EN28" i="165"/>
  <c r="FQ21" i="165"/>
  <c r="DX36" i="165"/>
  <c r="DW36" i="165"/>
  <c r="EM25" i="165"/>
  <c r="EN25" i="165"/>
  <c r="FR17" i="165"/>
  <c r="DW23" i="165"/>
  <c r="FO23" i="165" s="1"/>
  <c r="GC23" i="165"/>
  <c r="EN27" i="165"/>
  <c r="EM27" i="165"/>
  <c r="DX19" i="165"/>
  <c r="DW19" i="165"/>
  <c r="FO19" i="165" s="1"/>
  <c r="FQ16" i="165"/>
  <c r="CY22" i="165"/>
  <c r="FQ26" i="165"/>
  <c r="FQ31" i="165"/>
  <c r="FQ35" i="165"/>
  <c r="FQ39" i="165"/>
  <c r="FQ43" i="165"/>
  <c r="ED16" i="165"/>
  <c r="EC16" i="165"/>
  <c r="FP16" i="165" s="1"/>
  <c r="EB16" i="165"/>
  <c r="EA16" i="165"/>
  <c r="DZ23" i="165"/>
  <c r="DX26" i="165"/>
  <c r="DW26" i="165"/>
  <c r="FO26" i="165" s="1"/>
  <c r="ED28" i="165"/>
  <c r="EC28" i="165"/>
  <c r="EB28" i="165"/>
  <c r="EA28" i="165"/>
  <c r="DZ31" i="165"/>
  <c r="DX34" i="165"/>
  <c r="DW34" i="165"/>
  <c r="FO34" i="165" s="1"/>
  <c r="EC36" i="165"/>
  <c r="FP36" i="165" s="1"/>
  <c r="EB36" i="165"/>
  <c r="EA36" i="165"/>
  <c r="ED36" i="165"/>
  <c r="DZ39" i="165"/>
  <c r="DX42" i="165"/>
  <c r="DW42" i="165"/>
  <c r="ED44" i="165"/>
  <c r="EC44" i="165"/>
  <c r="EB44" i="165"/>
  <c r="EA44" i="165"/>
  <c r="FQ25" i="165"/>
  <c r="DW44" i="165"/>
  <c r="DX44" i="165"/>
  <c r="EN16" i="165"/>
  <c r="EM16" i="165"/>
  <c r="DI23" i="147"/>
  <c r="FR23" i="147"/>
  <c r="DZ23" i="147"/>
  <c r="FR21" i="165"/>
  <c r="FQ30" i="165"/>
  <c r="FR38" i="165"/>
  <c r="ED25" i="165"/>
  <c r="EC25" i="165"/>
  <c r="EB25" i="165"/>
  <c r="EA25" i="165"/>
  <c r="ED41" i="165"/>
  <c r="EC41" i="165"/>
  <c r="EB41" i="165"/>
  <c r="EA41" i="165"/>
  <c r="FR16" i="165"/>
  <c r="FR26" i="165"/>
  <c r="FR31" i="165"/>
  <c r="FR35" i="165"/>
  <c r="FR39" i="165"/>
  <c r="FR43" i="165"/>
  <c r="DX17" i="165"/>
  <c r="DW17" i="165"/>
  <c r="FO17" i="165" s="1"/>
  <c r="EC23" i="165"/>
  <c r="EA23" i="165"/>
  <c r="GD23" i="165"/>
  <c r="DZ26" i="165"/>
  <c r="DX29" i="165"/>
  <c r="DW29" i="165"/>
  <c r="EC31" i="165"/>
  <c r="FP31" i="165" s="1"/>
  <c r="EB31" i="165"/>
  <c r="EA31" i="165"/>
  <c r="ED31" i="165"/>
  <c r="DZ34" i="165"/>
  <c r="DX37" i="165"/>
  <c r="DW37" i="165"/>
  <c r="EA39" i="165"/>
  <c r="ED39" i="165"/>
  <c r="EC39" i="165"/>
  <c r="EB39" i="165"/>
  <c r="DZ42" i="165"/>
  <c r="DW45" i="165"/>
  <c r="DX45" i="165"/>
  <c r="EN19" i="165"/>
  <c r="EM19" i="165"/>
  <c r="EN29" i="165"/>
  <c r="EM29" i="165"/>
  <c r="EC19" i="165"/>
  <c r="FP19" i="165" s="1"/>
  <c r="EB19" i="165"/>
  <c r="EA19" i="165"/>
  <c r="ED19" i="165"/>
  <c r="FQ34" i="165"/>
  <c r="FR25" i="165"/>
  <c r="FR34" i="165"/>
  <c r="FR42" i="165"/>
  <c r="DX31" i="165"/>
  <c r="DW31" i="165"/>
  <c r="ED33" i="165"/>
  <c r="EC33" i="165"/>
  <c r="EB33" i="165"/>
  <c r="EA33" i="165"/>
  <c r="DX39" i="165"/>
  <c r="DW39" i="165"/>
  <c r="EN24" i="165"/>
  <c r="EM24" i="165"/>
  <c r="FQ18" i="165"/>
  <c r="CY23" i="165"/>
  <c r="FQ23" i="165"/>
  <c r="FQ27" i="165"/>
  <c r="FQ32" i="165"/>
  <c r="FQ36" i="165"/>
  <c r="FQ40" i="165"/>
  <c r="FQ44" i="165"/>
  <c r="DZ17" i="165"/>
  <c r="DW24" i="165"/>
  <c r="FO24" i="165" s="1"/>
  <c r="DX24" i="165"/>
  <c r="GC24" i="165"/>
  <c r="EB26" i="165"/>
  <c r="EA26" i="165"/>
  <c r="ED26" i="165"/>
  <c r="EC26" i="165"/>
  <c r="FP26" i="165" s="1"/>
  <c r="DX32" i="165"/>
  <c r="DW32" i="165"/>
  <c r="ED34" i="165"/>
  <c r="EC34" i="165"/>
  <c r="FP34" i="165" s="1"/>
  <c r="EB34" i="165"/>
  <c r="EA34" i="165"/>
  <c r="DZ37" i="165"/>
  <c r="DX40" i="165"/>
  <c r="DW40" i="165"/>
  <c r="FO40" i="165" s="1"/>
  <c r="ED42" i="165"/>
  <c r="EC42" i="165"/>
  <c r="EB42" i="165"/>
  <c r="EA42" i="165"/>
  <c r="DZ45" i="165"/>
  <c r="ED30" i="165"/>
  <c r="EC30" i="165"/>
  <c r="EB30" i="165"/>
  <c r="EA30" i="165"/>
  <c r="EN21" i="165"/>
  <c r="EM21" i="165"/>
  <c r="EN26" i="165"/>
  <c r="EM26" i="165"/>
  <c r="FR18" i="165"/>
  <c r="FR27" i="165"/>
  <c r="FR32" i="165"/>
  <c r="FR36" i="165"/>
  <c r="FR40" i="165"/>
  <c r="FR44" i="165"/>
  <c r="ED17" i="165"/>
  <c r="EC17" i="165"/>
  <c r="EB17" i="165"/>
  <c r="EA17" i="165"/>
  <c r="DX21" i="165"/>
  <c r="DW21" i="165"/>
  <c r="DX27" i="165"/>
  <c r="DW27" i="165"/>
  <c r="FO27" i="165" s="1"/>
  <c r="ED29" i="165"/>
  <c r="EC29" i="165"/>
  <c r="FP29" i="165" s="1"/>
  <c r="EB29" i="165"/>
  <c r="EA29" i="165"/>
  <c r="DZ32" i="165"/>
  <c r="DW35" i="165"/>
  <c r="DX35" i="165"/>
  <c r="EB37" i="165"/>
  <c r="EA37" i="165"/>
  <c r="ED37" i="165"/>
  <c r="EC37" i="165"/>
  <c r="DZ40" i="165"/>
  <c r="DX43" i="165"/>
  <c r="DW43" i="165"/>
  <c r="FO43" i="165" s="1"/>
  <c r="ED45" i="165"/>
  <c r="EC45" i="165"/>
  <c r="EB45" i="165"/>
  <c r="EA45" i="165"/>
  <c r="FQ19" i="165"/>
  <c r="FQ24" i="165"/>
  <c r="FQ28" i="165"/>
  <c r="FQ33" i="165"/>
  <c r="FQ37" i="165"/>
  <c r="FQ41" i="165"/>
  <c r="FQ45" i="165"/>
  <c r="GC18" i="165"/>
  <c r="DX18" i="165"/>
  <c r="DW18" i="165"/>
  <c r="FO18" i="165" s="1"/>
  <c r="DZ21" i="165"/>
  <c r="ED24" i="165"/>
  <c r="EC24" i="165"/>
  <c r="EB24" i="165"/>
  <c r="EA24" i="165"/>
  <c r="GD24" i="165"/>
  <c r="DZ27" i="165"/>
  <c r="DX30" i="165"/>
  <c r="DW30" i="165"/>
  <c r="EA32" i="165"/>
  <c r="ED32" i="165"/>
  <c r="EC32" i="165"/>
  <c r="EB32" i="165"/>
  <c r="DZ35" i="165"/>
  <c r="DX38" i="165"/>
  <c r="DW38" i="165"/>
  <c r="FO38" i="165" s="1"/>
  <c r="ED40" i="165"/>
  <c r="EC40" i="165"/>
  <c r="EB40" i="165"/>
  <c r="EA40" i="165"/>
  <c r="DZ43" i="165"/>
  <c r="FQ17" i="165"/>
  <c r="FQ29" i="165"/>
  <c r="FQ38" i="165"/>
  <c r="FQ42" i="165"/>
  <c r="DX16" i="165"/>
  <c r="DW16" i="165"/>
  <c r="GD18" i="165"/>
  <c r="ED18" i="165"/>
  <c r="EC18" i="165"/>
  <c r="FP18" i="165" s="1"/>
  <c r="EB18" i="165"/>
  <c r="EA18" i="165"/>
  <c r="DX28" i="165"/>
  <c r="DW28" i="165"/>
  <c r="EA38" i="165"/>
  <c r="ED38" i="165"/>
  <c r="EC38" i="165"/>
  <c r="FP38" i="165" s="1"/>
  <c r="EB38" i="165"/>
  <c r="EM17" i="165"/>
  <c r="EN17" i="165"/>
  <c r="FR19" i="165"/>
  <c r="FR24" i="165"/>
  <c r="FR28" i="165"/>
  <c r="FR33" i="165"/>
  <c r="FR37" i="165"/>
  <c r="FR41" i="165"/>
  <c r="FR45" i="165"/>
  <c r="DZ18" i="165"/>
  <c r="ED21" i="165"/>
  <c r="EC21" i="165"/>
  <c r="EB21" i="165"/>
  <c r="EA21" i="165"/>
  <c r="DX25" i="165"/>
  <c r="DW25" i="165"/>
  <c r="EA27" i="165"/>
  <c r="ED27" i="165"/>
  <c r="EC27" i="165"/>
  <c r="FP27" i="165" s="1"/>
  <c r="EB27" i="165"/>
  <c r="DX33" i="165"/>
  <c r="DW33" i="165"/>
  <c r="ED35" i="165"/>
  <c r="EC35" i="165"/>
  <c r="EB35" i="165"/>
  <c r="EA35" i="165"/>
  <c r="DZ38" i="165"/>
  <c r="DX41" i="165"/>
  <c r="DW41" i="165"/>
  <c r="ED43" i="165"/>
  <c r="EC43" i="165"/>
  <c r="EB43" i="165"/>
  <c r="EA43" i="165"/>
  <c r="DI22" i="165"/>
  <c r="DI23" i="165"/>
  <c r="DU25" i="147"/>
  <c r="CY25" i="147"/>
  <c r="FB25" i="165"/>
  <c r="FA22" i="165"/>
  <c r="FB26" i="165"/>
  <c r="FB27" i="165"/>
  <c r="FB19" i="165"/>
  <c r="FB24" i="165"/>
  <c r="FA23" i="147"/>
  <c r="FB23" i="147"/>
  <c r="FC23" i="147" s="1"/>
  <c r="EL23" i="147" s="1"/>
  <c r="AD14" i="160"/>
  <c r="AE14" i="160"/>
  <c r="AG14" i="160"/>
  <c r="AH14" i="160"/>
  <c r="AJ14" i="160"/>
  <c r="AI14" i="160"/>
  <c r="EY25" i="147"/>
  <c r="DT25" i="147"/>
  <c r="EX25" i="147"/>
  <c r="AD40" i="165"/>
  <c r="AD25" i="165"/>
  <c r="G13" i="116"/>
  <c r="CL70" i="84"/>
  <c r="EI70" i="84" s="1"/>
  <c r="HQ21" i="84"/>
  <c r="HR21" i="84" s="1"/>
  <c r="EX44" i="165"/>
  <c r="EY43" i="165"/>
  <c r="EY39" i="165"/>
  <c r="EY37" i="165"/>
  <c r="EX35" i="165"/>
  <c r="EY34" i="165"/>
  <c r="EX32" i="165"/>
  <c r="EY30" i="165"/>
  <c r="FB41" i="165"/>
  <c r="FA40" i="165"/>
  <c r="FB34" i="165"/>
  <c r="EY29" i="165"/>
  <c r="EX27" i="165"/>
  <c r="EY22" i="165"/>
  <c r="EY21" i="165"/>
  <c r="EX19" i="165"/>
  <c r="AD20" i="165"/>
  <c r="AD28" i="165"/>
  <c r="AD27" i="165"/>
  <c r="AD32" i="165"/>
  <c r="AD26" i="165"/>
  <c r="AD31" i="165"/>
  <c r="AD43" i="165"/>
  <c r="AD24" i="165"/>
  <c r="AD23" i="165"/>
  <c r="FE22" i="165"/>
  <c r="FF22" i="165" s="1"/>
  <c r="FG22" i="165" s="1"/>
  <c r="Y22" i="165" s="1"/>
  <c r="AD29" i="165"/>
  <c r="AD22" i="165"/>
  <c r="AD17" i="165"/>
  <c r="CU26" i="147"/>
  <c r="DE30" i="165"/>
  <c r="CC30" i="165" s="1"/>
  <c r="CM30" i="165" s="1"/>
  <c r="DE24" i="147"/>
  <c r="EA24" i="147" s="1"/>
  <c r="CU24" i="147"/>
  <c r="BQ24" i="147" s="1"/>
  <c r="CU20" i="165"/>
  <c r="DE20" i="165"/>
  <c r="EQ81" i="84"/>
  <c r="ER81" i="84" s="1"/>
  <c r="ES81" i="84" s="1"/>
  <c r="Y41" i="84" s="1"/>
  <c r="FE38" i="165"/>
  <c r="FF38" i="165" s="1"/>
  <c r="FG38" i="165" s="1"/>
  <c r="Y38" i="165" s="1"/>
  <c r="AX40" i="147"/>
  <c r="BJ45" i="84"/>
  <c r="FE24" i="165"/>
  <c r="FF24" i="165" s="1"/>
  <c r="FG24" i="165" s="1"/>
  <c r="Y24" i="165" s="1"/>
  <c r="GE24" i="165" s="1"/>
  <c r="EQ70" i="84"/>
  <c r="ER70" i="84" s="1"/>
  <c r="ES70" i="84" s="1"/>
  <c r="Y30" i="84" s="1"/>
  <c r="AD18" i="165"/>
  <c r="EZ40" i="84"/>
  <c r="EY40" i="84"/>
  <c r="EZ45" i="84"/>
  <c r="EY45" i="84"/>
  <c r="EZ28" i="84"/>
  <c r="EY28" i="84"/>
  <c r="EZ38" i="84"/>
  <c r="EY38" i="84"/>
  <c r="BM45" i="84"/>
  <c r="EZ35" i="84"/>
  <c r="EY35" i="84"/>
  <c r="EZ29" i="84"/>
  <c r="EY29" i="84"/>
  <c r="FJ36" i="165"/>
  <c r="FK36" i="165" s="1"/>
  <c r="FL36" i="165" s="1"/>
  <c r="Z36" i="165" s="1"/>
  <c r="EL70" i="84"/>
  <c r="EM70" i="84" s="1"/>
  <c r="EN70" i="84" s="1"/>
  <c r="X30" i="84" s="1"/>
  <c r="EZ26" i="84"/>
  <c r="EY26" i="84"/>
  <c r="EZ44" i="84"/>
  <c r="EY44" i="84"/>
  <c r="EZ42" i="84"/>
  <c r="EY42" i="84"/>
  <c r="EZ41" i="84"/>
  <c r="EY41" i="84"/>
  <c r="EZ34" i="84"/>
  <c r="EY34" i="84"/>
  <c r="EZ39" i="84"/>
  <c r="EY39" i="84"/>
  <c r="FJ31" i="165"/>
  <c r="FK31" i="165" s="1"/>
  <c r="FL31" i="165" s="1"/>
  <c r="Z31" i="165" s="1"/>
  <c r="FE17" i="165"/>
  <c r="FF17" i="165" s="1"/>
  <c r="FG17" i="165" s="1"/>
  <c r="Y17" i="165" s="1"/>
  <c r="FE33" i="165"/>
  <c r="FF33" i="165" s="1"/>
  <c r="FG33" i="165" s="1"/>
  <c r="Y33" i="165" s="1"/>
  <c r="EZ43" i="84"/>
  <c r="EY43" i="84"/>
  <c r="EQ75" i="84"/>
  <c r="ER75" i="84" s="1"/>
  <c r="ES75" i="84" s="1"/>
  <c r="Y35" i="84" s="1"/>
  <c r="FJ18" i="165"/>
  <c r="FK18" i="165" s="1"/>
  <c r="FL18" i="165" s="1"/>
  <c r="Z18" i="165" s="1"/>
  <c r="EZ32" i="84"/>
  <c r="EY32" i="84"/>
  <c r="EZ30" i="84"/>
  <c r="EY30" i="84"/>
  <c r="BO45" i="84"/>
  <c r="EZ37" i="84"/>
  <c r="EY37" i="84"/>
  <c r="EZ36" i="84"/>
  <c r="EY36" i="84"/>
  <c r="EZ33" i="84"/>
  <c r="EY33" i="84"/>
  <c r="EX14" i="84"/>
  <c r="FB14" i="84"/>
  <c r="FJ44" i="165"/>
  <c r="FK44" i="165" s="1"/>
  <c r="FL44" i="165" s="1"/>
  <c r="Z44" i="165" s="1"/>
  <c r="EL81" i="84"/>
  <c r="EM81" i="84" s="1"/>
  <c r="EN81" i="84" s="1"/>
  <c r="X41" i="84" s="1"/>
  <c r="FJ40" i="165"/>
  <c r="FK40" i="165" s="1"/>
  <c r="FL40" i="165" s="1"/>
  <c r="Z40" i="165" s="1"/>
  <c r="EZ25" i="84"/>
  <c r="EY25" i="84"/>
  <c r="EZ23" i="84"/>
  <c r="EY23" i="84"/>
  <c r="EZ24" i="84"/>
  <c r="EY24" i="84"/>
  <c r="DE29" i="165"/>
  <c r="CC29" i="165" s="1"/>
  <c r="CM29" i="165" s="1"/>
  <c r="AJ41" i="165"/>
  <c r="AJ32" i="165"/>
  <c r="P38" i="84"/>
  <c r="O38" i="84"/>
  <c r="P34" i="84"/>
  <c r="O34" i="84"/>
  <c r="P44" i="84"/>
  <c r="O44" i="84"/>
  <c r="EZ17" i="84"/>
  <c r="EY17" i="84"/>
  <c r="EZ22" i="84"/>
  <c r="EY22" i="84"/>
  <c r="EZ15" i="84"/>
  <c r="EY15" i="84"/>
  <c r="EX24" i="165"/>
  <c r="DG58" i="160"/>
  <c r="DF22" i="165"/>
  <c r="FR22" i="165" s="1"/>
  <c r="CV22" i="165"/>
  <c r="FQ22" i="165" s="1"/>
  <c r="FJ22" i="165"/>
  <c r="FK22" i="165" s="1"/>
  <c r="FL22" i="165" s="1"/>
  <c r="Z22" i="165" s="1"/>
  <c r="FJ38" i="165"/>
  <c r="FK38" i="165" s="1"/>
  <c r="FL38" i="165" s="1"/>
  <c r="Z38" i="165" s="1"/>
  <c r="FJ19" i="165"/>
  <c r="FK19" i="165" s="1"/>
  <c r="FL19" i="165" s="1"/>
  <c r="Z19" i="165" s="1"/>
  <c r="FJ43" i="165"/>
  <c r="FK43" i="165" s="1"/>
  <c r="FL43" i="165" s="1"/>
  <c r="Z43" i="165" s="1"/>
  <c r="FE45" i="165"/>
  <c r="FF45" i="165" s="1"/>
  <c r="FG45" i="165" s="1"/>
  <c r="Y45" i="165" s="1"/>
  <c r="FJ32" i="165"/>
  <c r="FK32" i="165" s="1"/>
  <c r="FL32" i="165" s="1"/>
  <c r="Z32" i="165" s="1"/>
  <c r="EO80" i="84"/>
  <c r="FD80" i="84"/>
  <c r="EO81" i="84"/>
  <c r="FD81" i="84"/>
  <c r="ET71" i="160"/>
  <c r="FE71" i="160"/>
  <c r="EO79" i="84"/>
  <c r="FD79" i="84"/>
  <c r="CX84" i="84"/>
  <c r="N44" i="84" s="1"/>
  <c r="FE84" i="84"/>
  <c r="ET85" i="84"/>
  <c r="FE85" i="84"/>
  <c r="EO57" i="160"/>
  <c r="FD57" i="160"/>
  <c r="EO78" i="84"/>
  <c r="FD78" i="84"/>
  <c r="CX83" i="84"/>
  <c r="N43" i="84" s="1"/>
  <c r="FE83" i="84"/>
  <c r="ET69" i="160"/>
  <c r="FE69" i="160"/>
  <c r="ET59" i="160"/>
  <c r="EO80" i="160"/>
  <c r="FD80" i="160"/>
  <c r="CX81" i="84"/>
  <c r="N41" i="84" s="1"/>
  <c r="FE81" i="84"/>
  <c r="ET79" i="84"/>
  <c r="FE79" i="84"/>
  <c r="EO84" i="84"/>
  <c r="FD84" i="84"/>
  <c r="EO70" i="160"/>
  <c r="FD70" i="160"/>
  <c r="CX82" i="84"/>
  <c r="N42" i="84" s="1"/>
  <c r="FE82" i="84"/>
  <c r="CX80" i="84"/>
  <c r="N40" i="84" s="1"/>
  <c r="FE80" i="84"/>
  <c r="CW74" i="84"/>
  <c r="M34" i="84" s="1"/>
  <c r="FD74" i="84"/>
  <c r="CX78" i="84"/>
  <c r="N38" i="84" s="1"/>
  <c r="FE78" i="84"/>
  <c r="EO83" i="84"/>
  <c r="FD83" i="84"/>
  <c r="ET56" i="160"/>
  <c r="CW77" i="84"/>
  <c r="M37" i="84" s="1"/>
  <c r="FD77" i="84"/>
  <c r="EO72" i="160"/>
  <c r="FD72" i="160"/>
  <c r="CW76" i="84"/>
  <c r="M36" i="84" s="1"/>
  <c r="FD76" i="84"/>
  <c r="ET77" i="84"/>
  <c r="FE77" i="84"/>
  <c r="EO82" i="84"/>
  <c r="FD82" i="84"/>
  <c r="ET54" i="160"/>
  <c r="FE54" i="160"/>
  <c r="ET69" i="84"/>
  <c r="FE69" i="84"/>
  <c r="EO58" i="160"/>
  <c r="DU26" i="165"/>
  <c r="FN26" i="165"/>
  <c r="DP26" i="165" s="1"/>
  <c r="FN20" i="165"/>
  <c r="FN28" i="165"/>
  <c r="FN36" i="165"/>
  <c r="FN44" i="165"/>
  <c r="DU17" i="165"/>
  <c r="FN17" i="165"/>
  <c r="FN23" i="165"/>
  <c r="ED23" i="165" s="1"/>
  <c r="DU31" i="165"/>
  <c r="FN31" i="165"/>
  <c r="FN39" i="165"/>
  <c r="FN21" i="165"/>
  <c r="DU24" i="165"/>
  <c r="FN24" i="165"/>
  <c r="DU32" i="165"/>
  <c r="FN32" i="165"/>
  <c r="DU16" i="165"/>
  <c r="FN16" i="165"/>
  <c r="FN27" i="165"/>
  <c r="DU35" i="165"/>
  <c r="FN35" i="165"/>
  <c r="DU43" i="165"/>
  <c r="FN43" i="165"/>
  <c r="FN34" i="165"/>
  <c r="DU29" i="165"/>
  <c r="FN29" i="165"/>
  <c r="DP29" i="165" s="1"/>
  <c r="DU37" i="165"/>
  <c r="FN37" i="165"/>
  <c r="FN45" i="165"/>
  <c r="DU40" i="165"/>
  <c r="FN40" i="165"/>
  <c r="FN30" i="165"/>
  <c r="DU38" i="165"/>
  <c r="FN38" i="165"/>
  <c r="DU42" i="165"/>
  <c r="FN42" i="165"/>
  <c r="DU18" i="165"/>
  <c r="FN18" i="165"/>
  <c r="DP18" i="165" s="1"/>
  <c r="DU19" i="165"/>
  <c r="FN19" i="165"/>
  <c r="FN25" i="165"/>
  <c r="DU33" i="165"/>
  <c r="FN33" i="165"/>
  <c r="DU41" i="165"/>
  <c r="FN41" i="165"/>
  <c r="AE40" i="147"/>
  <c r="AW40" i="147"/>
  <c r="P34" i="160"/>
  <c r="O34" i="160"/>
  <c r="P27" i="160"/>
  <c r="O27" i="160"/>
  <c r="P30" i="160"/>
  <c r="O30" i="160"/>
  <c r="O25" i="160"/>
  <c r="P25" i="160"/>
  <c r="FJ25" i="165"/>
  <c r="FK25" i="165" s="1"/>
  <c r="FL25" i="165" s="1"/>
  <c r="Z25" i="165" s="1"/>
  <c r="AN17" i="165"/>
  <c r="AJ17" i="165"/>
  <c r="FJ34" i="165"/>
  <c r="FK34" i="165" s="1"/>
  <c r="FL34" i="165" s="1"/>
  <c r="Z34" i="165" s="1"/>
  <c r="FJ26" i="165"/>
  <c r="FK26" i="165" s="1"/>
  <c r="FL26" i="165" s="1"/>
  <c r="Z26" i="165" s="1"/>
  <c r="EQ60" i="160"/>
  <c r="ER60" i="160" s="1"/>
  <c r="ES60" i="160" s="1"/>
  <c r="Y20" i="160" s="1"/>
  <c r="EQ70" i="160"/>
  <c r="ER70" i="160" s="1"/>
  <c r="ES70" i="160" s="1"/>
  <c r="Y30" i="160" s="1"/>
  <c r="DG85" i="160"/>
  <c r="EO75" i="160"/>
  <c r="ET79" i="160"/>
  <c r="DG81" i="160"/>
  <c r="EJ54" i="160"/>
  <c r="DS54" i="160" s="1"/>
  <c r="EO56" i="160"/>
  <c r="ET60" i="160"/>
  <c r="ET70" i="160"/>
  <c r="DG71" i="160"/>
  <c r="DA76" i="160"/>
  <c r="ET78" i="160"/>
  <c r="DG79" i="160"/>
  <c r="EO84" i="160"/>
  <c r="CX55" i="160"/>
  <c r="N15" i="160" s="1"/>
  <c r="EO60" i="160"/>
  <c r="DA62" i="160"/>
  <c r="FD62" i="160" s="1"/>
  <c r="ET66" i="160"/>
  <c r="DA80" i="160"/>
  <c r="DA81" i="160"/>
  <c r="DA82" i="160"/>
  <c r="EO81" i="160"/>
  <c r="DA64" i="160"/>
  <c r="DG76" i="160"/>
  <c r="EJ69" i="160"/>
  <c r="DS69" i="160" s="1"/>
  <c r="EO59" i="160"/>
  <c r="DA61" i="160"/>
  <c r="FD61" i="160" s="1"/>
  <c r="ET64" i="160"/>
  <c r="ET73" i="160"/>
  <c r="DG74" i="160"/>
  <c r="DA79" i="160"/>
  <c r="ET77" i="160"/>
  <c r="DA84" i="160"/>
  <c r="DA54" i="160"/>
  <c r="DA73" i="160"/>
  <c r="EJ79" i="160"/>
  <c r="DS79" i="160" s="1"/>
  <c r="DG54" i="160"/>
  <c r="DA60" i="160"/>
  <c r="DG63" i="160"/>
  <c r="EO68" i="160"/>
  <c r="ET72" i="160"/>
  <c r="DA78" i="160"/>
  <c r="EQ83" i="160"/>
  <c r="ER83" i="160" s="1"/>
  <c r="ES83" i="160" s="1"/>
  <c r="Y43" i="160" s="1"/>
  <c r="EL60" i="160"/>
  <c r="EM60" i="160" s="1"/>
  <c r="EN60" i="160" s="1"/>
  <c r="X20" i="160" s="1"/>
  <c r="CC70" i="84"/>
  <c r="EL57" i="160"/>
  <c r="EM57" i="160" s="1"/>
  <c r="EN57" i="160" s="1"/>
  <c r="X17" i="160" s="1"/>
  <c r="EL76" i="160"/>
  <c r="EM76" i="160" s="1"/>
  <c r="EN76" i="160" s="1"/>
  <c r="X36" i="160" s="1"/>
  <c r="AD38" i="147"/>
  <c r="G16" i="116"/>
  <c r="FK56" i="160"/>
  <c r="FK56" i="84"/>
  <c r="FJ56" i="84" s="1"/>
  <c r="ET70" i="84"/>
  <c r="DA71" i="84"/>
  <c r="DG71" i="84"/>
  <c r="BQ16" i="160"/>
  <c r="BN16" i="160"/>
  <c r="BO16" i="160" s="1"/>
  <c r="EQ55" i="160"/>
  <c r="ER55" i="160" s="1"/>
  <c r="ES55" i="160" s="1"/>
  <c r="Y15" i="160" s="1"/>
  <c r="EL55" i="160"/>
  <c r="EM55" i="160" s="1"/>
  <c r="EN55" i="160" s="1"/>
  <c r="X15" i="160" s="1"/>
  <c r="DU25" i="165"/>
  <c r="DG55" i="160"/>
  <c r="BM32" i="84"/>
  <c r="BR32" i="84" s="1"/>
  <c r="BQ15" i="160"/>
  <c r="BN15" i="160"/>
  <c r="BO15" i="160" s="1"/>
  <c r="AO17" i="165"/>
  <c r="AK33" i="165"/>
  <c r="AL33" i="165" s="1"/>
  <c r="AK38" i="165"/>
  <c r="AL38" i="165" s="1"/>
  <c r="AK24" i="165"/>
  <c r="AL24" i="165" s="1"/>
  <c r="ET72" i="84"/>
  <c r="DU30" i="165"/>
  <c r="AG28" i="147"/>
  <c r="DG65" i="160"/>
  <c r="BQ25" i="160"/>
  <c r="BN25" i="160"/>
  <c r="BO25" i="160" s="1"/>
  <c r="FH54" i="84"/>
  <c r="FI54" i="84"/>
  <c r="EU81" i="160"/>
  <c r="AM54" i="165"/>
  <c r="AK49" i="165"/>
  <c r="AN53" i="165"/>
  <c r="AM53" i="165"/>
  <c r="EU69" i="160"/>
  <c r="AK52" i="165"/>
  <c r="EU76" i="160"/>
  <c r="CR68" i="84"/>
  <c r="AL49" i="165"/>
  <c r="EU55" i="160"/>
  <c r="CV55" i="160" s="1"/>
  <c r="EU64" i="160"/>
  <c r="EU78" i="160"/>
  <c r="AK54" i="165"/>
  <c r="FO54" i="84"/>
  <c r="AF14" i="84" s="1"/>
  <c r="ET68" i="84"/>
  <c r="BN28" i="84"/>
  <c r="BM28" i="84" s="1"/>
  <c r="FC68" i="84" s="1"/>
  <c r="EA68" i="84" s="1"/>
  <c r="BN43" i="84"/>
  <c r="BQ43" i="84"/>
  <c r="BN41" i="84"/>
  <c r="BQ41" i="84"/>
  <c r="BQ34" i="84"/>
  <c r="BN37" i="84"/>
  <c r="BQ37" i="84"/>
  <c r="BN33" i="84"/>
  <c r="BM33" i="84" s="1"/>
  <c r="BQ33" i="84"/>
  <c r="BO38" i="84"/>
  <c r="BM39" i="84"/>
  <c r="BQ39" i="84"/>
  <c r="BM44" i="84"/>
  <c r="BQ44" i="84"/>
  <c r="BM42" i="84"/>
  <c r="BQ42" i="84"/>
  <c r="BQ45" i="84"/>
  <c r="BQ28" i="84"/>
  <c r="EL80" i="84"/>
  <c r="EM80" i="84" s="1"/>
  <c r="EN80" i="84" s="1"/>
  <c r="X40" i="84" s="1"/>
  <c r="BQ35" i="84"/>
  <c r="BQ40" i="84"/>
  <c r="BQ38" i="84"/>
  <c r="BO36" i="84"/>
  <c r="BQ36" i="84"/>
  <c r="HW48" i="84"/>
  <c r="Q1" i="84"/>
  <c r="AU1" i="84" s="1"/>
  <c r="Q2" i="160"/>
  <c r="AU2" i="160" s="1"/>
  <c r="AN49" i="165"/>
  <c r="EB72" i="84"/>
  <c r="ED72" i="84"/>
  <c r="AL54" i="165"/>
  <c r="P4" i="165"/>
  <c r="Q1" i="160"/>
  <c r="AU1" i="160" s="1"/>
  <c r="EN68" i="84"/>
  <c r="X28" i="84" s="1"/>
  <c r="EU77" i="84"/>
  <c r="AL53" i="165"/>
  <c r="EU84" i="84"/>
  <c r="CL72" i="84"/>
  <c r="DG72" i="84" s="1"/>
  <c r="CC72" i="84"/>
  <c r="EE72" i="84" s="1"/>
  <c r="EG72" i="84" s="1"/>
  <c r="DL72" i="84" s="1"/>
  <c r="DT17" i="165"/>
  <c r="DT19" i="165"/>
  <c r="DT27" i="165"/>
  <c r="DT35" i="165"/>
  <c r="DT43" i="165"/>
  <c r="DT32" i="165"/>
  <c r="DT40" i="165"/>
  <c r="DT24" i="165"/>
  <c r="AE24" i="147"/>
  <c r="AD24" i="147" s="1"/>
  <c r="AH24" i="147"/>
  <c r="AF34" i="147"/>
  <c r="AD34" i="147" s="1"/>
  <c r="AH35" i="147"/>
  <c r="AH34" i="147"/>
  <c r="AG35" i="147"/>
  <c r="AG23" i="147"/>
  <c r="AH23" i="147"/>
  <c r="AF23" i="147"/>
  <c r="AE23" i="147"/>
  <c r="AF35" i="147"/>
  <c r="AD35" i="147" s="1"/>
  <c r="AG36" i="147"/>
  <c r="AK37" i="147"/>
  <c r="AL37" i="147" s="1"/>
  <c r="AG40" i="147"/>
  <c r="AD40" i="147" s="1"/>
  <c r="AF36" i="147"/>
  <c r="AD36" i="147" s="1"/>
  <c r="AG31" i="147"/>
  <c r="AK39" i="147"/>
  <c r="AL39" i="147" s="1"/>
  <c r="AH36" i="147"/>
  <c r="AK28" i="147"/>
  <c r="AL28" i="147" s="1"/>
  <c r="DT22" i="165"/>
  <c r="DT30" i="165"/>
  <c r="DT38" i="165"/>
  <c r="DF73" i="84"/>
  <c r="DF57" i="160"/>
  <c r="DF73" i="160"/>
  <c r="CZ69" i="84"/>
  <c r="DF74" i="160"/>
  <c r="DF59" i="160"/>
  <c r="ET57" i="160"/>
  <c r="CZ71" i="84"/>
  <c r="DF74" i="84"/>
  <c r="DF75" i="84"/>
  <c r="DF76" i="84"/>
  <c r="DF77" i="84"/>
  <c r="DF78" i="84"/>
  <c r="CZ54" i="160"/>
  <c r="DG57" i="160"/>
  <c r="DF61" i="160"/>
  <c r="CZ71" i="160"/>
  <c r="DF75" i="160"/>
  <c r="CZ80" i="160"/>
  <c r="CZ81" i="160"/>
  <c r="CZ82" i="160"/>
  <c r="CZ83" i="160"/>
  <c r="CZ84" i="160"/>
  <c r="CZ85" i="160"/>
  <c r="DF58" i="160"/>
  <c r="DF60" i="160"/>
  <c r="DI60" i="160" s="1"/>
  <c r="CZ79" i="160"/>
  <c r="CZ85" i="84"/>
  <c r="DF56" i="160"/>
  <c r="CZ82" i="84"/>
  <c r="CZ84" i="84"/>
  <c r="CZ69" i="160"/>
  <c r="DF71" i="84"/>
  <c r="CZ80" i="84"/>
  <c r="CZ63" i="160"/>
  <c r="CZ65" i="160"/>
  <c r="CZ67" i="160"/>
  <c r="DF71" i="160"/>
  <c r="CZ77" i="160"/>
  <c r="DF81" i="160"/>
  <c r="DF83" i="160"/>
  <c r="DA70" i="160"/>
  <c r="CZ83" i="84"/>
  <c r="DG83" i="160"/>
  <c r="DF82" i="160"/>
  <c r="DF69" i="84"/>
  <c r="DD78" i="84"/>
  <c r="DA78" i="84"/>
  <c r="CZ79" i="84"/>
  <c r="DF85" i="160"/>
  <c r="CZ62" i="160"/>
  <c r="DG69" i="160"/>
  <c r="DF70" i="160"/>
  <c r="CZ76" i="160"/>
  <c r="DF79" i="160"/>
  <c r="DA68" i="84"/>
  <c r="DG73" i="160"/>
  <c r="EV82" i="84"/>
  <c r="DA82" i="84"/>
  <c r="CZ68" i="84"/>
  <c r="DF55" i="160"/>
  <c r="DA65" i="160"/>
  <c r="DF72" i="160"/>
  <c r="DG84" i="160"/>
  <c r="CZ81" i="84"/>
  <c r="DF54" i="160"/>
  <c r="DG68" i="84"/>
  <c r="DF68" i="84"/>
  <c r="CZ74" i="84"/>
  <c r="CZ75" i="84"/>
  <c r="CZ76" i="84"/>
  <c r="CZ77" i="84"/>
  <c r="CZ78" i="84"/>
  <c r="DF82" i="84"/>
  <c r="DF83" i="84"/>
  <c r="DF84" i="84"/>
  <c r="DF85" i="84"/>
  <c r="DA57" i="160"/>
  <c r="DA59" i="160"/>
  <c r="CZ61" i="160"/>
  <c r="DG64" i="160"/>
  <c r="DG66" i="160"/>
  <c r="DG67" i="160"/>
  <c r="DG68" i="160"/>
  <c r="DF69" i="160"/>
  <c r="DA74" i="160"/>
  <c r="CZ75" i="160"/>
  <c r="DG77" i="160"/>
  <c r="DF78" i="160"/>
  <c r="CZ70" i="160"/>
  <c r="DA63" i="160"/>
  <c r="DA66" i="160"/>
  <c r="CZ78" i="160"/>
  <c r="CZ64" i="160"/>
  <c r="CZ68" i="160"/>
  <c r="DF80" i="160"/>
  <c r="DF84" i="160"/>
  <c r="CZ73" i="84"/>
  <c r="DF80" i="84"/>
  <c r="DF81" i="84"/>
  <c r="DA55" i="160"/>
  <c r="DA56" i="160"/>
  <c r="DB56" i="160" s="1"/>
  <c r="CZ57" i="160"/>
  <c r="CZ58" i="160"/>
  <c r="CZ59" i="160"/>
  <c r="CZ60" i="160"/>
  <c r="DG62" i="160"/>
  <c r="FE62" i="160" s="1"/>
  <c r="DF63" i="160"/>
  <c r="DF64" i="160"/>
  <c r="DF65" i="160"/>
  <c r="DF66" i="160"/>
  <c r="DF67" i="160"/>
  <c r="DF68" i="160"/>
  <c r="DA72" i="160"/>
  <c r="CZ73" i="160"/>
  <c r="CZ74" i="160"/>
  <c r="DF77" i="160"/>
  <c r="DA85" i="160"/>
  <c r="DG56" i="160"/>
  <c r="DH56" i="160" s="1"/>
  <c r="DA69" i="160"/>
  <c r="DG72" i="160"/>
  <c r="DA68" i="160"/>
  <c r="CZ66" i="160"/>
  <c r="EW77" i="84"/>
  <c r="DG77" i="84"/>
  <c r="DJ78" i="84"/>
  <c r="DG78" i="84"/>
  <c r="DF79" i="84"/>
  <c r="CZ55" i="160"/>
  <c r="CZ56" i="160"/>
  <c r="DG61" i="160"/>
  <c r="DF62" i="160"/>
  <c r="DA71" i="160"/>
  <c r="CZ72" i="160"/>
  <c r="DG75" i="160"/>
  <c r="DF76" i="160"/>
  <c r="DA83" i="160"/>
  <c r="DT31" i="165"/>
  <c r="DT39" i="165"/>
  <c r="DT23" i="165"/>
  <c r="DT18" i="165"/>
  <c r="DT26" i="165"/>
  <c r="DT34" i="165"/>
  <c r="DT42" i="165"/>
  <c r="DT16" i="165"/>
  <c r="DT25" i="165"/>
  <c r="DT33" i="165"/>
  <c r="DT41" i="165"/>
  <c r="DU28" i="165"/>
  <c r="DU34" i="165"/>
  <c r="DU36" i="165"/>
  <c r="DU44" i="165"/>
  <c r="DT44" i="165"/>
  <c r="DT21" i="165"/>
  <c r="DT29" i="165"/>
  <c r="DT37" i="165"/>
  <c r="DT45" i="165"/>
  <c r="DU21" i="165"/>
  <c r="DU23" i="165"/>
  <c r="DU27" i="165"/>
  <c r="DU39" i="165"/>
  <c r="DU45" i="165"/>
  <c r="DT28" i="165"/>
  <c r="DT36" i="165"/>
  <c r="EA81" i="84"/>
  <c r="FC81" i="84"/>
  <c r="EA68" i="160"/>
  <c r="FC68" i="160"/>
  <c r="EA60" i="160"/>
  <c r="FC60" i="160"/>
  <c r="EA84" i="160"/>
  <c r="FC84" i="160"/>
  <c r="EA75" i="84"/>
  <c r="FC75" i="84"/>
  <c r="EA83" i="84"/>
  <c r="FC83" i="84"/>
  <c r="EA54" i="160"/>
  <c r="FC54" i="160"/>
  <c r="EA62" i="160"/>
  <c r="FC62" i="160"/>
  <c r="EA70" i="160"/>
  <c r="FC70" i="160"/>
  <c r="EA78" i="160"/>
  <c r="FC78" i="160"/>
  <c r="EA69" i="84"/>
  <c r="FC69" i="84"/>
  <c r="FC72" i="84"/>
  <c r="EA72" i="84" s="1"/>
  <c r="FC71" i="84"/>
  <c r="EA71" i="84" s="1"/>
  <c r="EA77" i="84"/>
  <c r="FC77" i="84"/>
  <c r="EA72" i="160"/>
  <c r="FC72" i="160"/>
  <c r="EA80" i="160"/>
  <c r="FC80" i="160"/>
  <c r="EA79" i="84"/>
  <c r="FC79" i="84"/>
  <c r="EA58" i="160"/>
  <c r="FC58" i="160"/>
  <c r="EA66" i="160"/>
  <c r="FC66" i="160"/>
  <c r="EA74" i="160"/>
  <c r="FC74" i="160"/>
  <c r="EA82" i="160"/>
  <c r="FC82" i="160"/>
  <c r="EA76" i="84"/>
  <c r="FC76" i="84"/>
  <c r="EA80" i="84"/>
  <c r="FC80" i="84"/>
  <c r="EA84" i="84"/>
  <c r="FC84" i="84"/>
  <c r="EA55" i="160"/>
  <c r="FC55" i="160"/>
  <c r="EA59" i="160"/>
  <c r="FC59" i="160"/>
  <c r="EA63" i="160"/>
  <c r="FC63" i="160"/>
  <c r="EA67" i="160"/>
  <c r="FC67" i="160"/>
  <c r="EA71" i="160"/>
  <c r="FC71" i="160"/>
  <c r="EA75" i="160"/>
  <c r="FC75" i="160"/>
  <c r="EA79" i="160"/>
  <c r="FC79" i="160"/>
  <c r="EA83" i="160"/>
  <c r="FC83" i="160"/>
  <c r="EA85" i="84"/>
  <c r="Q45" i="84" s="1"/>
  <c r="FC85" i="84"/>
  <c r="EA64" i="160"/>
  <c r="FC64" i="160"/>
  <c r="EA76" i="160"/>
  <c r="FC76" i="160"/>
  <c r="EA73" i="84"/>
  <c r="FC73" i="84"/>
  <c r="EA74" i="84"/>
  <c r="FC74" i="84"/>
  <c r="EA78" i="84"/>
  <c r="FC78" i="84"/>
  <c r="EA82" i="84"/>
  <c r="FC82" i="84"/>
  <c r="EA85" i="160"/>
  <c r="FC85" i="160"/>
  <c r="FC61" i="160"/>
  <c r="EA61" i="160" s="1"/>
  <c r="EA65" i="160"/>
  <c r="FC65" i="160"/>
  <c r="EA69" i="160"/>
  <c r="FC69" i="160"/>
  <c r="EA73" i="160"/>
  <c r="FC73" i="160"/>
  <c r="EA77" i="160"/>
  <c r="FC77" i="160"/>
  <c r="EA81" i="160"/>
  <c r="FC81" i="160"/>
  <c r="EA57" i="160"/>
  <c r="BQ30" i="84"/>
  <c r="DP32" i="165"/>
  <c r="A5" i="165"/>
  <c r="AA4" i="147"/>
  <c r="P1" i="163"/>
  <c r="BD3" i="160"/>
  <c r="N2" i="145"/>
  <c r="AH25" i="147"/>
  <c r="AF25" i="147"/>
  <c r="AE25" i="147"/>
  <c r="AK25" i="147"/>
  <c r="AL25" i="147" s="1"/>
  <c r="AG29" i="147"/>
  <c r="AE29" i="147"/>
  <c r="AH31" i="147"/>
  <c r="AE31" i="147"/>
  <c r="AF28" i="147"/>
  <c r="AF31" i="147"/>
  <c r="EL67" i="160"/>
  <c r="EM67" i="160" s="1"/>
  <c r="EN67" i="160" s="1"/>
  <c r="X27" i="160" s="1"/>
  <c r="HX48" i="84"/>
  <c r="GE55" i="84"/>
  <c r="AQ15" i="84" s="1"/>
  <c r="GD56" i="84"/>
  <c r="AP16" i="84" s="1"/>
  <c r="GD55" i="84"/>
  <c r="AP15" i="84" s="1"/>
  <c r="GE56" i="84"/>
  <c r="AQ16" i="84" s="1"/>
  <c r="BO29" i="84"/>
  <c r="BQ29" i="84"/>
  <c r="AG19" i="165"/>
  <c r="AH19" i="165"/>
  <c r="AE19" i="165"/>
  <c r="AF19" i="165"/>
  <c r="BM31" i="84"/>
  <c r="BQ31" i="84"/>
  <c r="EQ75" i="160"/>
  <c r="ER75" i="160" s="1"/>
  <c r="ES75" i="160" s="1"/>
  <c r="Y35" i="160" s="1"/>
  <c r="EL63" i="160"/>
  <c r="EM63" i="160" s="1"/>
  <c r="EN63" i="160" s="1"/>
  <c r="X23" i="160" s="1"/>
  <c r="EL54" i="160"/>
  <c r="EM54" i="160" s="1"/>
  <c r="EN54" i="160" s="1"/>
  <c r="X14" i="160" s="1"/>
  <c r="IQ48" i="160"/>
  <c r="EL80" i="160"/>
  <c r="EM80" i="160" s="1"/>
  <c r="EN80" i="160" s="1"/>
  <c r="X40" i="160" s="1"/>
  <c r="EL56" i="160"/>
  <c r="EM56" i="160" s="1"/>
  <c r="EN56" i="160" s="1"/>
  <c r="X16" i="160" s="1"/>
  <c r="CX70" i="160"/>
  <c r="N30" i="160" s="1"/>
  <c r="ET85" i="160"/>
  <c r="EL69" i="84"/>
  <c r="EM69" i="84" s="1"/>
  <c r="EN69" i="84" s="1"/>
  <c r="X29" i="84" s="1"/>
  <c r="EL85" i="84"/>
  <c r="EM85" i="84" s="1"/>
  <c r="EN85" i="84" s="1"/>
  <c r="X45" i="84" s="1"/>
  <c r="EI70" i="160"/>
  <c r="FT27" i="165"/>
  <c r="FT31" i="165"/>
  <c r="ET84" i="84"/>
  <c r="FB71" i="84"/>
  <c r="DZ71" i="84" s="1"/>
  <c r="FT39" i="165"/>
  <c r="DJ82" i="84"/>
  <c r="EI79" i="160"/>
  <c r="AF26" i="147"/>
  <c r="AE26" i="147"/>
  <c r="AH26" i="147"/>
  <c r="CX69" i="84"/>
  <c r="N29" i="84" s="1"/>
  <c r="FT19" i="165"/>
  <c r="FT43" i="165"/>
  <c r="CV73" i="160"/>
  <c r="FB70" i="160"/>
  <c r="FB67" i="160"/>
  <c r="DD82" i="84"/>
  <c r="EI54" i="160"/>
  <c r="CX68" i="84"/>
  <c r="N28" i="84" s="1"/>
  <c r="EI80" i="84"/>
  <c r="CW82" i="84"/>
  <c r="M42" i="84" s="1"/>
  <c r="CW79" i="84"/>
  <c r="M39" i="84" s="1"/>
  <c r="DZ54" i="160"/>
  <c r="EX30" i="165"/>
  <c r="EX37" i="165"/>
  <c r="CX70" i="84"/>
  <c r="N30" i="84" s="1"/>
  <c r="EO61" i="160"/>
  <c r="FB61" i="160"/>
  <c r="DZ61" i="160" s="1"/>
  <c r="CX60" i="160"/>
  <c r="N20" i="160" s="1"/>
  <c r="CX79" i="160"/>
  <c r="N39" i="160" s="1"/>
  <c r="FS37" i="165"/>
  <c r="FB74" i="160"/>
  <c r="EI81" i="84"/>
  <c r="FB78" i="84"/>
  <c r="EI71" i="160"/>
  <c r="EJ71" i="160" s="1"/>
  <c r="DS71" i="160" s="1"/>
  <c r="EI83" i="84"/>
  <c r="EQ45" i="84"/>
  <c r="EI69" i="160"/>
  <c r="CX59" i="160"/>
  <c r="N19" i="160" s="1"/>
  <c r="FS33" i="165"/>
  <c r="FM21" i="165"/>
  <c r="FB22" i="165"/>
  <c r="EF74" i="84"/>
  <c r="FB65" i="160"/>
  <c r="FB57" i="160"/>
  <c r="DZ57" i="160" s="1"/>
  <c r="CW80" i="160"/>
  <c r="M40" i="160" s="1"/>
  <c r="EI76" i="84"/>
  <c r="CW78" i="84"/>
  <c r="M38" i="84" s="1"/>
  <c r="EX29" i="165"/>
  <c r="FB74" i="84"/>
  <c r="CX85" i="84"/>
  <c r="N45" i="84" s="1"/>
  <c r="DL75" i="84"/>
  <c r="DJ81" i="84"/>
  <c r="EY27" i="165"/>
  <c r="EZ27" i="165" s="1"/>
  <c r="EE27" i="165" s="1"/>
  <c r="EH63" i="160"/>
  <c r="EJ63" i="160" s="1"/>
  <c r="DS63" i="160" s="1"/>
  <c r="DZ77" i="84"/>
  <c r="FB77" i="84"/>
  <c r="DZ81" i="84"/>
  <c r="FB81" i="84"/>
  <c r="DZ85" i="84"/>
  <c r="FB85" i="84"/>
  <c r="DZ79" i="160"/>
  <c r="FS32" i="165"/>
  <c r="FS40" i="165"/>
  <c r="EO70" i="84"/>
  <c r="CW70" i="84"/>
  <c r="M30" i="84" s="1"/>
  <c r="EO72" i="84"/>
  <c r="DD75" i="84"/>
  <c r="EH66" i="160"/>
  <c r="EH68" i="84"/>
  <c r="EJ68" i="84" s="1"/>
  <c r="DS68" i="84" s="1"/>
  <c r="EI68" i="84"/>
  <c r="FT42" i="165"/>
  <c r="EO66" i="160"/>
  <c r="EO67" i="160"/>
  <c r="EI66" i="160"/>
  <c r="FH59" i="84"/>
  <c r="EH71" i="84"/>
  <c r="EI71" i="84"/>
  <c r="EO82" i="160"/>
  <c r="EO83" i="160"/>
  <c r="EI72" i="160"/>
  <c r="EH75" i="160"/>
  <c r="EI75" i="160"/>
  <c r="DZ79" i="84"/>
  <c r="FB79" i="84"/>
  <c r="EO78" i="160"/>
  <c r="EI84" i="160"/>
  <c r="EJ84" i="160" s="1"/>
  <c r="DS84" i="160" s="1"/>
  <c r="EE68" i="84"/>
  <c r="EG68" i="84" s="1"/>
  <c r="DL68" i="84" s="1"/>
  <c r="EF68" i="84"/>
  <c r="DD83" i="84"/>
  <c r="EO85" i="84"/>
  <c r="CW85" i="84"/>
  <c r="M45" i="84" s="1"/>
  <c r="CV71" i="160"/>
  <c r="FA23" i="165"/>
  <c r="FB23" i="165"/>
  <c r="DP36" i="165"/>
  <c r="EF69" i="160"/>
  <c r="DZ76" i="84"/>
  <c r="DZ80" i="84"/>
  <c r="FB80" i="84"/>
  <c r="DZ78" i="160"/>
  <c r="FB78" i="160"/>
  <c r="DZ82" i="160"/>
  <c r="FB82" i="160"/>
  <c r="FM28" i="165"/>
  <c r="FM40" i="165"/>
  <c r="FM44" i="165"/>
  <c r="EV80" i="84"/>
  <c r="DD80" i="84"/>
  <c r="ET68" i="160"/>
  <c r="EY17" i="165"/>
  <c r="EZ17" i="165" s="1"/>
  <c r="EE17" i="165" s="1"/>
  <c r="EX17" i="165"/>
  <c r="FB84" i="84"/>
  <c r="FB76" i="84"/>
  <c r="DZ72" i="84"/>
  <c r="FH29" i="165"/>
  <c r="FH37" i="165"/>
  <c r="EO73" i="84"/>
  <c r="CX79" i="84"/>
  <c r="N39" i="84" s="1"/>
  <c r="CW83" i="84"/>
  <c r="M43" i="84" s="1"/>
  <c r="EQ42" i="84"/>
  <c r="CW57" i="160"/>
  <c r="M17" i="160" s="1"/>
  <c r="CW81" i="84"/>
  <c r="M41" i="84" s="1"/>
  <c r="CW80" i="84"/>
  <c r="M40" i="84" s="1"/>
  <c r="DP44" i="165"/>
  <c r="FA27" i="165"/>
  <c r="FA41" i="165"/>
  <c r="EY44" i="165"/>
  <c r="EZ44" i="165" s="1"/>
  <c r="EE44" i="165" s="1"/>
  <c r="FH20" i="165"/>
  <c r="FH31" i="165"/>
  <c r="FH39" i="165"/>
  <c r="EO75" i="84"/>
  <c r="CW75" i="84"/>
  <c r="M35" i="84" s="1"/>
  <c r="EO76" i="84"/>
  <c r="EO77" i="84"/>
  <c r="ET62" i="160"/>
  <c r="ET63" i="160"/>
  <c r="EO74" i="160"/>
  <c r="CW74" i="160"/>
  <c r="M34" i="160" s="1"/>
  <c r="EO76" i="160"/>
  <c r="CW76" i="160"/>
  <c r="M36" i="160" s="1"/>
  <c r="EO77" i="160"/>
  <c r="CW77" i="160"/>
  <c r="M37" i="160" s="1"/>
  <c r="FB33" i="165"/>
  <c r="DL85" i="84"/>
  <c r="EF79" i="160"/>
  <c r="EG79" i="160" s="1"/>
  <c r="DL79" i="160" s="1"/>
  <c r="EE70" i="160"/>
  <c r="EF70" i="160"/>
  <c r="EO71" i="84"/>
  <c r="ET67" i="160"/>
  <c r="EX34" i="165"/>
  <c r="EE76" i="160"/>
  <c r="EF76" i="160"/>
  <c r="EO55" i="160"/>
  <c r="EE80" i="160"/>
  <c r="EE72" i="160"/>
  <c r="DZ81" i="160"/>
  <c r="FS28" i="165"/>
  <c r="FM17" i="165"/>
  <c r="FH25" i="165"/>
  <c r="CV66" i="160"/>
  <c r="CV81" i="84"/>
  <c r="DD81" i="84"/>
  <c r="EO85" i="160"/>
  <c r="EO54" i="160"/>
  <c r="EO62" i="160"/>
  <c r="ET82" i="160"/>
  <c r="ET83" i="160"/>
  <c r="CX83" i="160"/>
  <c r="N43" i="160" s="1"/>
  <c r="CW84" i="84"/>
  <c r="M44" i="84" s="1"/>
  <c r="EE65" i="160"/>
  <c r="CW60" i="160"/>
  <c r="M20" i="160" s="1"/>
  <c r="DZ58" i="160"/>
  <c r="FB58" i="160"/>
  <c r="DZ62" i="160"/>
  <c r="DZ66" i="160"/>
  <c r="FB66" i="160"/>
  <c r="FT18" i="165"/>
  <c r="FT26" i="165"/>
  <c r="FT38" i="165"/>
  <c r="EO63" i="160"/>
  <c r="EO64" i="160"/>
  <c r="CW64" i="160"/>
  <c r="M24" i="160" s="1"/>
  <c r="FB17" i="165"/>
  <c r="EY19" i="165"/>
  <c r="DP24" i="165"/>
  <c r="DP37" i="165"/>
  <c r="EE61" i="160"/>
  <c r="EF61" i="160"/>
  <c r="EE73" i="84"/>
  <c r="EG73" i="84" s="1"/>
  <c r="DL73" i="84" s="1"/>
  <c r="ET81" i="84"/>
  <c r="ET76" i="160"/>
  <c r="DZ55" i="160"/>
  <c r="FB55" i="160"/>
  <c r="DP34" i="165"/>
  <c r="ET71" i="84"/>
  <c r="DJ77" i="84"/>
  <c r="DJ80" i="84"/>
  <c r="ET82" i="84"/>
  <c r="ET83" i="84"/>
  <c r="ET55" i="160"/>
  <c r="EO79" i="160"/>
  <c r="DP30" i="165"/>
  <c r="DZ69" i="160"/>
  <c r="FB69" i="160"/>
  <c r="FT33" i="165"/>
  <c r="FM24" i="165"/>
  <c r="EO68" i="84"/>
  <c r="CW68" i="84"/>
  <c r="M28" i="84" s="1"/>
  <c r="EF75" i="84"/>
  <c r="FB81" i="160"/>
  <c r="ET73" i="84"/>
  <c r="CX73" i="84"/>
  <c r="N33" i="84" s="1"/>
  <c r="FB39" i="165"/>
  <c r="EF72" i="160"/>
  <c r="EE84" i="160"/>
  <c r="EF84" i="160"/>
  <c r="EE75" i="160"/>
  <c r="EF75" i="160"/>
  <c r="FS20" i="165"/>
  <c r="FM42" i="165"/>
  <c r="FA19" i="165"/>
  <c r="EX22" i="165"/>
  <c r="EE55" i="160"/>
  <c r="EG55" i="160" s="1"/>
  <c r="DL55" i="160" s="1"/>
  <c r="EY24" i="165"/>
  <c r="EZ24" i="165" s="1"/>
  <c r="EE24" i="165" s="1"/>
  <c r="CV80" i="84"/>
  <c r="ET74" i="84"/>
  <c r="CX74" i="84"/>
  <c r="N34" i="84" s="1"/>
  <c r="ET75" i="84"/>
  <c r="CX75" i="84"/>
  <c r="N35" i="84" s="1"/>
  <c r="FE60" i="160"/>
  <c r="CV67" i="160"/>
  <c r="EO69" i="160"/>
  <c r="CW69" i="160"/>
  <c r="M29" i="160" s="1"/>
  <c r="DP31" i="165"/>
  <c r="EE84" i="84"/>
  <c r="EG84" i="84" s="1"/>
  <c r="DL84" i="84" s="1"/>
  <c r="EF84" i="84"/>
  <c r="EH75" i="84"/>
  <c r="EJ75" i="84" s="1"/>
  <c r="DS75" i="84" s="1"/>
  <c r="EE76" i="84"/>
  <c r="EG76" i="84" s="1"/>
  <c r="DL76" i="84" s="1"/>
  <c r="EF76" i="84"/>
  <c r="EE60" i="160"/>
  <c r="DZ82" i="84"/>
  <c r="FB82" i="84"/>
  <c r="DZ85" i="160"/>
  <c r="FB85" i="160"/>
  <c r="EE80" i="84"/>
  <c r="EG80" i="84" s="1"/>
  <c r="DL80" i="84" s="1"/>
  <c r="EH74" i="160"/>
  <c r="EI74" i="160"/>
  <c r="EH59" i="160"/>
  <c r="EI59" i="160"/>
  <c r="FM22" i="165"/>
  <c r="EI80" i="160"/>
  <c r="EJ80" i="160" s="1"/>
  <c r="DS80" i="160" s="1"/>
  <c r="EF80" i="84"/>
  <c r="DZ75" i="84"/>
  <c r="DZ64" i="160"/>
  <c r="FB64" i="160"/>
  <c r="EH64" i="160"/>
  <c r="EJ64" i="160" s="1"/>
  <c r="DS64" i="160" s="1"/>
  <c r="EE69" i="84"/>
  <c r="EG69" i="84" s="1"/>
  <c r="DL69" i="84" s="1"/>
  <c r="EF69" i="84"/>
  <c r="FM33" i="165"/>
  <c r="FH30" i="165"/>
  <c r="EH74" i="84"/>
  <c r="EJ74" i="84" s="1"/>
  <c r="DS74" i="84" s="1"/>
  <c r="EI74" i="84"/>
  <c r="ET61" i="160"/>
  <c r="ET74" i="160"/>
  <c r="CX74" i="160"/>
  <c r="N34" i="160" s="1"/>
  <c r="CV79" i="160"/>
  <c r="ET80" i="160"/>
  <c r="CX80" i="160"/>
  <c r="N40" i="160" s="1"/>
  <c r="EE66" i="160"/>
  <c r="EH56" i="160"/>
  <c r="EJ56" i="160" s="1"/>
  <c r="DS56" i="160" s="1"/>
  <c r="DJ74" i="84"/>
  <c r="EW74" i="84"/>
  <c r="ET78" i="84"/>
  <c r="CV63" i="160"/>
  <c r="ET65" i="160"/>
  <c r="EO73" i="160"/>
  <c r="FB35" i="165"/>
  <c r="FC35" i="165" s="1"/>
  <c r="EL35" i="165" s="1"/>
  <c r="FA35" i="165"/>
  <c r="EI84" i="84"/>
  <c r="EF71" i="84"/>
  <c r="EG71" i="84" s="1"/>
  <c r="DL71" i="84" s="1"/>
  <c r="EH79" i="84"/>
  <c r="EJ79" i="84" s="1"/>
  <c r="DS79" i="84" s="1"/>
  <c r="EQ35" i="84"/>
  <c r="EQ34" i="84"/>
  <c r="EF68" i="160"/>
  <c r="EI56" i="160"/>
  <c r="EE63" i="160"/>
  <c r="EG63" i="160" s="1"/>
  <c r="DL63" i="160" s="1"/>
  <c r="EE59" i="160"/>
  <c r="FB80" i="160"/>
  <c r="DZ80" i="160"/>
  <c r="FS16" i="165"/>
  <c r="FH16" i="165"/>
  <c r="DP17" i="165"/>
  <c r="DP19" i="165"/>
  <c r="DP28" i="165"/>
  <c r="FH45" i="165"/>
  <c r="FB45" i="165"/>
  <c r="FM35" i="165"/>
  <c r="FM45" i="165"/>
  <c r="CW69" i="84"/>
  <c r="M29" i="84" s="1"/>
  <c r="EO69" i="84"/>
  <c r="EX28" i="165"/>
  <c r="EY28" i="165"/>
  <c r="EZ28" i="165" s="1"/>
  <c r="EE28" i="165" s="1"/>
  <c r="FH35" i="165"/>
  <c r="EY16" i="165"/>
  <c r="EX39" i="165"/>
  <c r="DP39" i="165"/>
  <c r="DP41" i="165"/>
  <c r="CX77" i="84"/>
  <c r="N37" i="84" s="1"/>
  <c r="EF59" i="160"/>
  <c r="EE78" i="160"/>
  <c r="FT21" i="165"/>
  <c r="DJ85" i="84"/>
  <c r="ET58" i="160"/>
  <c r="CV82" i="160"/>
  <c r="DP38" i="165"/>
  <c r="DP40" i="165"/>
  <c r="DP42" i="165"/>
  <c r="FM30" i="165"/>
  <c r="EV78" i="84"/>
  <c r="CV78" i="84"/>
  <c r="DD79" i="84"/>
  <c r="FA17" i="165"/>
  <c r="EX18" i="165"/>
  <c r="EY18" i="165"/>
  <c r="EZ18" i="165" s="1"/>
  <c r="EE18" i="165" s="1"/>
  <c r="FA34" i="165"/>
  <c r="DP25" i="165"/>
  <c r="FM39" i="165"/>
  <c r="CV70" i="160"/>
  <c r="CV83" i="160"/>
  <c r="EY42" i="165"/>
  <c r="EZ42" i="165" s="1"/>
  <c r="EE42" i="165" s="1"/>
  <c r="EX42" i="165"/>
  <c r="DP33" i="165"/>
  <c r="DP35" i="165"/>
  <c r="FH33" i="165"/>
  <c r="FB18" i="165"/>
  <c r="EW80" i="84"/>
  <c r="FM43" i="165"/>
  <c r="A5" i="84"/>
  <c r="BO33" i="84"/>
  <c r="AA27" i="117"/>
  <c r="FH57" i="84"/>
  <c r="FI56" i="84"/>
  <c r="FI55" i="84"/>
  <c r="FI57" i="84"/>
  <c r="EU82" i="84"/>
  <c r="EU80" i="84"/>
  <c r="EQ80" i="84"/>
  <c r="ER80" i="84" s="1"/>
  <c r="ES80" i="84" s="1"/>
  <c r="Y40" i="84" s="1"/>
  <c r="EE81" i="160"/>
  <c r="EG81" i="160" s="1"/>
  <c r="DL81" i="160" s="1"/>
  <c r="EL81" i="160"/>
  <c r="EM81" i="160" s="1"/>
  <c r="EN81" i="160" s="1"/>
  <c r="X41" i="160" s="1"/>
  <c r="EQ78" i="160"/>
  <c r="ER78" i="160" s="1"/>
  <c r="ES78" i="160" s="1"/>
  <c r="Y38" i="160" s="1"/>
  <c r="EU73" i="160"/>
  <c r="EQ73" i="160"/>
  <c r="ER73" i="160" s="1"/>
  <c r="ES73" i="160" s="1"/>
  <c r="Y33" i="160" s="1"/>
  <c r="J1" i="162"/>
  <c r="J4" i="162"/>
  <c r="Q33" i="13"/>
  <c r="FH55" i="84"/>
  <c r="DZ73" i="84"/>
  <c r="FB73" i="84"/>
  <c r="EW75" i="84"/>
  <c r="DJ75" i="84"/>
  <c r="CV76" i="84"/>
  <c r="CV54" i="160"/>
  <c r="EO65" i="160"/>
  <c r="CV77" i="160"/>
  <c r="CV78" i="160"/>
  <c r="EI75" i="84"/>
  <c r="EE81" i="84"/>
  <c r="EG81" i="84" s="1"/>
  <c r="DL81" i="84" s="1"/>
  <c r="EQ38" i="84"/>
  <c r="EQ78" i="84"/>
  <c r="ER78" i="84" s="1"/>
  <c r="ES78" i="84" s="1"/>
  <c r="Y38" i="84" s="1"/>
  <c r="EQ36" i="84"/>
  <c r="EF81" i="160"/>
  <c r="EF66" i="160"/>
  <c r="EF60" i="160"/>
  <c r="EF74" i="160"/>
  <c r="EE74" i="160"/>
  <c r="EQ57" i="160"/>
  <c r="ER57" i="160" s="1"/>
  <c r="ES57" i="160" s="1"/>
  <c r="Y17" i="160" s="1"/>
  <c r="EH55" i="160"/>
  <c r="EJ55" i="160" s="1"/>
  <c r="DS55" i="160" s="1"/>
  <c r="DZ83" i="160"/>
  <c r="ES68" i="84"/>
  <c r="Y28" i="84" s="1"/>
  <c r="FH21" i="165"/>
  <c r="FM23" i="165"/>
  <c r="FM37" i="165"/>
  <c r="EO74" i="84"/>
  <c r="DP43" i="165"/>
  <c r="EL77" i="84"/>
  <c r="EM77" i="84" s="1"/>
  <c r="EN77" i="84" s="1"/>
  <c r="X37" i="84" s="1"/>
  <c r="DZ77" i="160"/>
  <c r="FB77" i="160"/>
  <c r="FI59" i="84"/>
  <c r="B48" i="84"/>
  <c r="X24" i="84" s="1"/>
  <c r="S1" i="163"/>
  <c r="BK1" i="84"/>
  <c r="BK1" i="160"/>
  <c r="Q1" i="117"/>
  <c r="AH30" i="165"/>
  <c r="AF30" i="165"/>
  <c r="AE30" i="165"/>
  <c r="AG30" i="165"/>
  <c r="X64" i="116"/>
  <c r="BM36" i="84"/>
  <c r="FS18" i="165"/>
  <c r="D122" i="116"/>
  <c r="S64" i="116"/>
  <c r="EI73" i="84"/>
  <c r="BO37" i="84"/>
  <c r="BN36" i="84"/>
  <c r="BO34" i="84"/>
  <c r="BM34" i="84"/>
  <c r="Q2" i="84"/>
  <c r="AU2" i="84" s="1"/>
  <c r="EI85" i="160"/>
  <c r="EJ85" i="160" s="1"/>
  <c r="DS85" i="160" s="1"/>
  <c r="II48" i="160"/>
  <c r="EQ81" i="160"/>
  <c r="ER81" i="160" s="1"/>
  <c r="ES81" i="160" s="1"/>
  <c r="Y41" i="160" s="1"/>
  <c r="EE77" i="160"/>
  <c r="EG77" i="160" s="1"/>
  <c r="DL77" i="160" s="1"/>
  <c r="EQ76" i="160"/>
  <c r="ER76" i="160" s="1"/>
  <c r="ES76" i="160" s="1"/>
  <c r="Y36" i="160" s="1"/>
  <c r="EH70" i="160"/>
  <c r="EJ70" i="160" s="1"/>
  <c r="DS70" i="160" s="1"/>
  <c r="EI65" i="160"/>
  <c r="EJ65" i="160" s="1"/>
  <c r="DS65" i="160" s="1"/>
  <c r="CW54" i="160"/>
  <c r="M14" i="160" s="1"/>
  <c r="FI58" i="84"/>
  <c r="AE1" i="147"/>
  <c r="EH69" i="84"/>
  <c r="EJ69" i="84" s="1"/>
  <c r="DS69" i="84" s="1"/>
  <c r="EI69" i="84"/>
  <c r="AY16" i="165"/>
  <c r="AY17" i="165" s="1"/>
  <c r="AY18" i="165" s="1"/>
  <c r="AY19" i="165" s="1"/>
  <c r="AY20" i="165" s="1"/>
  <c r="AY21" i="165" s="1"/>
  <c r="AY22" i="165" s="1"/>
  <c r="AY23" i="165" s="1"/>
  <c r="AY24" i="165" s="1"/>
  <c r="AY25" i="165" s="1"/>
  <c r="AY26" i="165" s="1"/>
  <c r="AY27" i="165" s="1"/>
  <c r="AY28" i="165" s="1"/>
  <c r="AY29" i="165" s="1"/>
  <c r="AY30" i="165" s="1"/>
  <c r="AY31" i="165" s="1"/>
  <c r="AY32" i="165" s="1"/>
  <c r="AY33" i="165" s="1"/>
  <c r="AY34" i="165" s="1"/>
  <c r="AY35" i="165" s="1"/>
  <c r="AY36" i="165" s="1"/>
  <c r="AY37" i="165" s="1"/>
  <c r="AY38" i="165" s="1"/>
  <c r="AY39" i="165" s="1"/>
  <c r="AY40" i="165" s="1"/>
  <c r="AY41" i="165" s="1"/>
  <c r="AY42" i="165" s="1"/>
  <c r="AY43" i="165" s="1"/>
  <c r="AY44" i="165" s="1"/>
  <c r="AY45" i="165" s="1"/>
  <c r="FH32" i="165"/>
  <c r="AK36" i="165"/>
  <c r="AL36" i="165" s="1"/>
  <c r="AE36" i="165"/>
  <c r="AG36" i="165"/>
  <c r="AH36" i="165"/>
  <c r="AF36" i="165"/>
  <c r="EE77" i="84"/>
  <c r="EG77" i="84" s="1"/>
  <c r="DL77" i="84" s="1"/>
  <c r="EF77" i="84"/>
  <c r="DZ73" i="160"/>
  <c r="FB73" i="160"/>
  <c r="EQ44" i="84"/>
  <c r="S121" i="116"/>
  <c r="AM1" i="116"/>
  <c r="EQ82" i="84"/>
  <c r="ER82" i="84" s="1"/>
  <c r="ES82" i="84" s="1"/>
  <c r="Y42" i="84" s="1"/>
  <c r="EH77" i="84"/>
  <c r="EJ77" i="84" s="1"/>
  <c r="DS77" i="84" s="1"/>
  <c r="EF83" i="160"/>
  <c r="EG83" i="160" s="1"/>
  <c r="DL83" i="160" s="1"/>
  <c r="EF80" i="160"/>
  <c r="EH83" i="160"/>
  <c r="EJ83" i="160" s="1"/>
  <c r="DS83" i="160" s="1"/>
  <c r="EH78" i="160"/>
  <c r="EJ78" i="160" s="1"/>
  <c r="DS78" i="160" s="1"/>
  <c r="EU77" i="160"/>
  <c r="EL77" i="160"/>
  <c r="EM77" i="160" s="1"/>
  <c r="EN77" i="160" s="1"/>
  <c r="X37" i="160" s="1"/>
  <c r="EH72" i="160"/>
  <c r="EJ72" i="160" s="1"/>
  <c r="DS72" i="160" s="1"/>
  <c r="J2" i="162"/>
  <c r="DZ83" i="84"/>
  <c r="FB83" i="84"/>
  <c r="EL71" i="84"/>
  <c r="EM71" i="84" s="1"/>
  <c r="EN71" i="84" s="1"/>
  <c r="X31" i="84" s="1"/>
  <c r="EQ71" i="84"/>
  <c r="ER71" i="84" s="1"/>
  <c r="ES71" i="84" s="1"/>
  <c r="Y31" i="84" s="1"/>
  <c r="AE27" i="147"/>
  <c r="AF27" i="147"/>
  <c r="AG27" i="147"/>
  <c r="AH27" i="147"/>
  <c r="AH30" i="147"/>
  <c r="AF30" i="147"/>
  <c r="AG30" i="147"/>
  <c r="EF83" i="84"/>
  <c r="EE83" i="84"/>
  <c r="EG83" i="84" s="1"/>
  <c r="DL83" i="84" s="1"/>
  <c r="FM32" i="165"/>
  <c r="DS80" i="84"/>
  <c r="EU79" i="160"/>
  <c r="EQ79" i="160"/>
  <c r="ER79" i="160" s="1"/>
  <c r="ES79" i="160" s="1"/>
  <c r="Y39" i="160" s="1"/>
  <c r="D121" i="116"/>
  <c r="BM43" i="84"/>
  <c r="EE82" i="84"/>
  <c r="EG82" i="84" s="1"/>
  <c r="DL82" i="84" s="1"/>
  <c r="EF82" i="84"/>
  <c r="EU79" i="84"/>
  <c r="EQ79" i="84"/>
  <c r="ER79" i="84" s="1"/>
  <c r="ES79" i="84" s="1"/>
  <c r="Y39" i="84" s="1"/>
  <c r="HU48" i="160"/>
  <c r="HV48" i="160"/>
  <c r="HY48" i="160"/>
  <c r="IO48" i="160"/>
  <c r="EL73" i="160"/>
  <c r="EM73" i="160" s="1"/>
  <c r="EN73" i="160" s="1"/>
  <c r="X33" i="160" s="1"/>
  <c r="EE62" i="160"/>
  <c r="EG62" i="160" s="1"/>
  <c r="DL62" i="160" s="1"/>
  <c r="EH73" i="84"/>
  <c r="EJ73" i="84" s="1"/>
  <c r="DS73" i="84" s="1"/>
  <c r="FJ41" i="165"/>
  <c r="FK41" i="165" s="1"/>
  <c r="FL41" i="165" s="1"/>
  <c r="Z41" i="165" s="1"/>
  <c r="FE41" i="165"/>
  <c r="FF41" i="165" s="1"/>
  <c r="FG41" i="165" s="1"/>
  <c r="Y41" i="165" s="1"/>
  <c r="ET76" i="84"/>
  <c r="CX76" i="84"/>
  <c r="N36" i="84" s="1"/>
  <c r="ET75" i="160"/>
  <c r="CX75" i="160"/>
  <c r="N35" i="160" s="1"/>
  <c r="CV80" i="160"/>
  <c r="ET81" i="160"/>
  <c r="ET84" i="160"/>
  <c r="CX84" i="160"/>
  <c r="N44" i="160" s="1"/>
  <c r="EQ54" i="160"/>
  <c r="ER54" i="160" s="1"/>
  <c r="ES54" i="160" s="1"/>
  <c r="Y14" i="160" s="1"/>
  <c r="EQ40" i="84"/>
  <c r="EU70" i="160"/>
  <c r="EQ64" i="160"/>
  <c r="ER64" i="160" s="1"/>
  <c r="ES64" i="160" s="1"/>
  <c r="Y24" i="160" s="1"/>
  <c r="ET80" i="84"/>
  <c r="EQ67" i="160"/>
  <c r="ER67" i="160" s="1"/>
  <c r="ES67" i="160" s="1"/>
  <c r="Y27" i="160" s="1"/>
  <c r="EF65" i="160"/>
  <c r="DZ69" i="84"/>
  <c r="P1" i="165"/>
  <c r="FE21" i="165"/>
  <c r="FF21" i="165" s="1"/>
  <c r="FG21" i="165" s="1"/>
  <c r="Y21" i="165" s="1"/>
  <c r="FJ27" i="165"/>
  <c r="FK27" i="165" s="1"/>
  <c r="FL27" i="165" s="1"/>
  <c r="Z27" i="165" s="1"/>
  <c r="FE27" i="165"/>
  <c r="FF27" i="165" s="1"/>
  <c r="FG27" i="165" s="1"/>
  <c r="Y27" i="165" s="1"/>
  <c r="EX31" i="165"/>
  <c r="EY31" i="165"/>
  <c r="DP20" i="165"/>
  <c r="EU81" i="84"/>
  <c r="EQ37" i="84"/>
  <c r="EI61" i="160"/>
  <c r="EJ61" i="160" s="1"/>
  <c r="DS61" i="160" s="1"/>
  <c r="EQ59" i="160"/>
  <c r="ER59" i="160" s="1"/>
  <c r="ES59" i="160" s="1"/>
  <c r="Y19" i="160" s="1"/>
  <c r="AN52" i="165"/>
  <c r="AN54" i="165"/>
  <c r="FD60" i="160"/>
  <c r="CV60" i="160"/>
  <c r="FB16" i="165"/>
  <c r="FA16" i="165"/>
  <c r="FG56" i="84"/>
  <c r="EV85" i="84"/>
  <c r="CV85" i="84"/>
  <c r="DD85" i="84"/>
  <c r="FJ30" i="165"/>
  <c r="FK30" i="165" s="1"/>
  <c r="FL30" i="165" s="1"/>
  <c r="Z30" i="165" s="1"/>
  <c r="FE39" i="165"/>
  <c r="FF39" i="165" s="1"/>
  <c r="FG39" i="165" s="1"/>
  <c r="Y39" i="165" s="1"/>
  <c r="FJ45" i="165"/>
  <c r="FK45" i="165" s="1"/>
  <c r="FL45" i="165" s="1"/>
  <c r="Z45" i="165" s="1"/>
  <c r="AK16" i="165"/>
  <c r="AL16" i="165" s="1"/>
  <c r="CV77" i="84"/>
  <c r="EV77" i="84"/>
  <c r="DD77" i="84"/>
  <c r="AH40" i="147"/>
  <c r="AF40" i="147"/>
  <c r="FE28" i="165"/>
  <c r="FF28" i="165" s="1"/>
  <c r="FG28" i="165" s="1"/>
  <c r="Y28" i="165" s="1"/>
  <c r="FH41" i="165"/>
  <c r="EW83" i="84"/>
  <c r="CV83" i="84"/>
  <c r="DJ83" i="84"/>
  <c r="CV64" i="160"/>
  <c r="FS41" i="165"/>
  <c r="FM41" i="165"/>
  <c r="CV72" i="160"/>
  <c r="AH32" i="147"/>
  <c r="AF32" i="147"/>
  <c r="AD32" i="147" s="1"/>
  <c r="FM25" i="165"/>
  <c r="FH28" i="165"/>
  <c r="AM17" i="165"/>
  <c r="CV69" i="84"/>
  <c r="EW79" i="84"/>
  <c r="DJ79" i="84"/>
  <c r="EW63" i="160"/>
  <c r="EU23" i="160" s="1"/>
  <c r="EX36" i="165"/>
  <c r="EY36" i="165"/>
  <c r="EZ36" i="165" s="1"/>
  <c r="EE36" i="165" s="1"/>
  <c r="FA44" i="165"/>
  <c r="FB44" i="165"/>
  <c r="EW78" i="84"/>
  <c r="EW82" i="84"/>
  <c r="EX26" i="165"/>
  <c r="EY26" i="165"/>
  <c r="EZ26" i="165" s="1"/>
  <c r="EE26" i="165" s="1"/>
  <c r="DP21" i="165"/>
  <c r="FE31" i="165"/>
  <c r="FF31" i="165" s="1"/>
  <c r="FG31" i="165" s="1"/>
  <c r="Y31" i="165" s="1"/>
  <c r="FE40" i="165"/>
  <c r="FF40" i="165" s="1"/>
  <c r="FG40" i="165" s="1"/>
  <c r="Y40" i="165" s="1"/>
  <c r="AK29" i="165"/>
  <c r="AL29" i="165" s="1"/>
  <c r="AK44" i="165"/>
  <c r="AL44" i="165" s="1"/>
  <c r="CV82" i="84"/>
  <c r="FA32" i="165"/>
  <c r="FB32" i="165"/>
  <c r="FB42" i="165"/>
  <c r="FA42" i="165"/>
  <c r="CV79" i="84"/>
  <c r="EV79" i="84"/>
  <c r="EW85" i="84"/>
  <c r="CV57" i="160"/>
  <c r="EV68" i="160"/>
  <c r="ET28" i="160" s="1"/>
  <c r="CV74" i="160"/>
  <c r="DP27" i="165"/>
  <c r="AK22" i="165"/>
  <c r="AL22" i="165" s="1"/>
  <c r="EV75" i="84"/>
  <c r="CV75" i="84"/>
  <c r="EV83" i="84"/>
  <c r="CV61" i="160"/>
  <c r="CV76" i="160"/>
  <c r="AK39" i="165"/>
  <c r="AL39" i="165" s="1"/>
  <c r="EV81" i="84"/>
  <c r="EW81" i="84"/>
  <c r="EV54" i="160"/>
  <c r="ET14" i="160" s="1"/>
  <c r="EQ14" i="160" s="1"/>
  <c r="EY33" i="165"/>
  <c r="EZ33" i="165" s="1"/>
  <c r="EE33" i="165" s="1"/>
  <c r="EX33" i="165"/>
  <c r="FB38" i="165"/>
  <c r="FC38" i="165" s="1"/>
  <c r="EL38" i="165" s="1"/>
  <c r="FA38" i="165"/>
  <c r="AK19" i="165"/>
  <c r="AL19" i="165" s="1"/>
  <c r="AK28" i="165"/>
  <c r="AL28" i="165" s="1"/>
  <c r="EW67" i="160"/>
  <c r="EU27" i="160" s="1"/>
  <c r="EV73" i="160"/>
  <c r="ET33" i="160" s="1"/>
  <c r="FE30" i="165"/>
  <c r="FF30" i="165" s="1"/>
  <c r="FG30" i="165" s="1"/>
  <c r="Y30" i="165" s="1"/>
  <c r="AK23" i="147"/>
  <c r="AL23" i="147" s="1"/>
  <c r="EX21" i="165"/>
  <c r="FA26" i="165"/>
  <c r="FA31" i="165"/>
  <c r="FB31" i="165"/>
  <c r="FC31" i="165" s="1"/>
  <c r="EL31" i="165" s="1"/>
  <c r="FA39" i="165"/>
  <c r="AK45" i="165"/>
  <c r="FB37" i="165"/>
  <c r="FC37" i="165" s="1"/>
  <c r="EL37" i="165" s="1"/>
  <c r="FA37" i="165"/>
  <c r="EW64" i="160"/>
  <c r="EU24" i="160" s="1"/>
  <c r="AK36" i="147"/>
  <c r="AL36" i="147" s="1"/>
  <c r="EY38" i="165"/>
  <c r="EZ38" i="165" s="1"/>
  <c r="EE38" i="165" s="1"/>
  <c r="EX38" i="165"/>
  <c r="FB21" i="165"/>
  <c r="FA21" i="165"/>
  <c r="EY25" i="165"/>
  <c r="EZ25" i="165" s="1"/>
  <c r="EE25" i="165" s="1"/>
  <c r="EX25" i="165"/>
  <c r="FA36" i="165"/>
  <c r="FB36" i="165"/>
  <c r="FC36" i="165" s="1"/>
  <c r="EL36" i="165" s="1"/>
  <c r="EX40" i="165"/>
  <c r="EY40" i="165"/>
  <c r="EZ40" i="165" s="1"/>
  <c r="EE40" i="165" s="1"/>
  <c r="FB43" i="165"/>
  <c r="FA43" i="165"/>
  <c r="FA18" i="165"/>
  <c r="EX20" i="165"/>
  <c r="FA25" i="165"/>
  <c r="FE25" i="165"/>
  <c r="FF25" i="165" s="1"/>
  <c r="FG25" i="165" s="1"/>
  <c r="Y25" i="165" s="1"/>
  <c r="EY41" i="165"/>
  <c r="EX41" i="165"/>
  <c r="EY32" i="165"/>
  <c r="EZ32" i="165" s="1"/>
  <c r="EE32" i="165" s="1"/>
  <c r="FA33" i="165"/>
  <c r="M2" i="117"/>
  <c r="AA41" i="117"/>
  <c r="AA43" i="117"/>
  <c r="AB5" i="160"/>
  <c r="A5" i="163"/>
  <c r="A5" i="160"/>
  <c r="A5" i="117"/>
  <c r="A5" i="80"/>
  <c r="A5" i="145"/>
  <c r="AB5" i="84"/>
  <c r="Z3" i="160"/>
  <c r="A5" i="116"/>
  <c r="A117" i="116" s="1"/>
  <c r="A5" i="162"/>
  <c r="A5" i="114"/>
  <c r="A5" i="147"/>
  <c r="P3" i="162"/>
  <c r="AA2" i="165"/>
  <c r="P2" i="163"/>
  <c r="P2" i="162"/>
  <c r="X2" i="116"/>
  <c r="X114" i="116" s="1"/>
  <c r="AB32" i="117"/>
  <c r="Z2" i="84"/>
  <c r="BD2" i="160"/>
  <c r="I2" i="80"/>
  <c r="AA39" i="117"/>
  <c r="AA32" i="117"/>
  <c r="AA44" i="117"/>
  <c r="AA36" i="117"/>
  <c r="AA40" i="117"/>
  <c r="AA13" i="117"/>
  <c r="FU55" i="160"/>
  <c r="FT55" i="160" s="1"/>
  <c r="AA24" i="117"/>
  <c r="BD2" i="84"/>
  <c r="Z2" i="160"/>
  <c r="AA2" i="147"/>
  <c r="Z13" i="117"/>
  <c r="AA37" i="117"/>
  <c r="AA17" i="117"/>
  <c r="N2" i="114"/>
  <c r="AA25" i="117"/>
  <c r="X1" i="116"/>
  <c r="X55" i="116" s="1"/>
  <c r="AB48" i="117"/>
  <c r="AA16" i="117"/>
  <c r="M3" i="117"/>
  <c r="BD1" i="84"/>
  <c r="Y59" i="116"/>
  <c r="X3" i="116"/>
  <c r="X115" i="116" s="1"/>
  <c r="AA38" i="117"/>
  <c r="AA29" i="117"/>
  <c r="AA20" i="117"/>
  <c r="AA28" i="117"/>
  <c r="AA47" i="117"/>
  <c r="AB31" i="117"/>
  <c r="Z17" i="117"/>
  <c r="AB46" i="117"/>
  <c r="AA1" i="147"/>
  <c r="AA46" i="117"/>
  <c r="AA33" i="117"/>
  <c r="AB29" i="117"/>
  <c r="AF26" i="117"/>
  <c r="AA22" i="117"/>
  <c r="AA19" i="117"/>
  <c r="AB16" i="117"/>
  <c r="M4" i="117"/>
  <c r="N1" i="145"/>
  <c r="AA4" i="165"/>
  <c r="AA45" i="117"/>
  <c r="AF23" i="117"/>
  <c r="AA21" i="117"/>
  <c r="AA48" i="117"/>
  <c r="AF39" i="117"/>
  <c r="AB37" i="117"/>
  <c r="AF32" i="117"/>
  <c r="Z20" i="117"/>
  <c r="AA15" i="117"/>
  <c r="AF47" i="117"/>
  <c r="AB20" i="117"/>
  <c r="AB17" i="117"/>
  <c r="AB13" i="117"/>
  <c r="AA3" i="147"/>
  <c r="AF48" i="117"/>
  <c r="AB44" i="117"/>
  <c r="AB40" i="117"/>
  <c r="AF31" i="117"/>
  <c r="AB24" i="117"/>
  <c r="P3" i="163"/>
  <c r="Z38" i="117"/>
  <c r="AA31" i="117"/>
  <c r="Z22" i="117"/>
  <c r="N1" i="114"/>
  <c r="I1" i="80"/>
  <c r="AB47" i="117"/>
  <c r="AB28" i="117"/>
  <c r="AB21" i="117"/>
  <c r="AF20" i="117"/>
  <c r="AB19" i="117"/>
  <c r="AF17" i="117"/>
  <c r="AF16" i="117"/>
  <c r="BD1" i="160"/>
  <c r="P4" i="162"/>
  <c r="AB41" i="117"/>
  <c r="AF36" i="117"/>
  <c r="AA35" i="117"/>
  <c r="AB35" i="117"/>
  <c r="AF33" i="117"/>
  <c r="AB30" i="117"/>
  <c r="AB25" i="117"/>
  <c r="AB14" i="117"/>
  <c r="AA14" i="117"/>
  <c r="AA3" i="165"/>
  <c r="Z45" i="117"/>
  <c r="Z36" i="117"/>
  <c r="I4" i="80"/>
  <c r="N4" i="114"/>
  <c r="AF28" i="117"/>
  <c r="AB27" i="117"/>
  <c r="N4" i="145"/>
  <c r="Z4" i="84"/>
  <c r="Z4" i="160"/>
  <c r="AA1" i="165"/>
  <c r="Z33" i="117"/>
  <c r="AA26" i="117"/>
  <c r="AF30" i="117"/>
  <c r="AF46" i="117"/>
  <c r="AB23" i="117"/>
  <c r="N3" i="114"/>
  <c r="I3" i="80"/>
  <c r="AB45" i="117"/>
  <c r="AF44" i="117"/>
  <c r="AB43" i="117"/>
  <c r="AF41" i="117"/>
  <c r="AF40" i="117"/>
  <c r="AB38" i="117"/>
  <c r="AB36" i="117"/>
  <c r="AB33" i="117"/>
  <c r="AF25" i="117"/>
  <c r="AF24" i="117"/>
  <c r="AB22" i="117"/>
  <c r="AF15" i="117"/>
  <c r="BD3" i="84"/>
  <c r="AA30" i="117"/>
  <c r="BD4" i="84"/>
  <c r="BD4" i="160"/>
  <c r="P4" i="163"/>
  <c r="AB39" i="117"/>
  <c r="AA23" i="117"/>
  <c r="M1" i="117"/>
  <c r="X4" i="116"/>
  <c r="X58" i="116" s="1"/>
  <c r="AF38" i="117"/>
  <c r="AF22" i="117"/>
  <c r="AB15" i="117"/>
  <c r="N3" i="145"/>
  <c r="Z3" i="84"/>
  <c r="P1" i="162"/>
  <c r="AC42" i="117"/>
  <c r="AD42" i="117"/>
  <c r="AE42" i="117"/>
  <c r="AC18" i="117"/>
  <c r="AD18" i="117"/>
  <c r="AE18" i="117"/>
  <c r="BO40" i="84"/>
  <c r="BN40" i="84"/>
  <c r="N2" i="116"/>
  <c r="N4" i="116"/>
  <c r="AC45" i="117"/>
  <c r="AD45" i="117"/>
  <c r="AE45" i="117"/>
  <c r="AF43" i="117"/>
  <c r="AC37" i="117"/>
  <c r="AD37" i="117"/>
  <c r="AE37" i="117"/>
  <c r="AF35" i="117"/>
  <c r="AC29" i="117"/>
  <c r="AD29" i="117"/>
  <c r="AE29" i="117"/>
  <c r="AF27" i="117"/>
  <c r="AC21" i="117"/>
  <c r="AD21" i="117"/>
  <c r="AE21" i="117"/>
  <c r="AF19" i="117"/>
  <c r="AC13" i="117"/>
  <c r="AD13" i="117"/>
  <c r="AE13" i="117"/>
  <c r="DS76" i="84"/>
  <c r="DL74" i="84"/>
  <c r="EH81" i="160"/>
  <c r="EJ81" i="160" s="1"/>
  <c r="DS81" i="160" s="1"/>
  <c r="EI81" i="160"/>
  <c r="FG57" i="84"/>
  <c r="AC48" i="117"/>
  <c r="AD48" i="117"/>
  <c r="AE48" i="117"/>
  <c r="AC40" i="117"/>
  <c r="AD40" i="117"/>
  <c r="AE40" i="117"/>
  <c r="AC32" i="117"/>
  <c r="AD32" i="117"/>
  <c r="AE32" i="117"/>
  <c r="AC24" i="117"/>
  <c r="AD24" i="117"/>
  <c r="AE24" i="117"/>
  <c r="AC16" i="117"/>
  <c r="AD16" i="117"/>
  <c r="AE16" i="117"/>
  <c r="AF14" i="117"/>
  <c r="H1" i="117"/>
  <c r="IC48" i="84"/>
  <c r="HY48" i="84"/>
  <c r="HZ48" i="84"/>
  <c r="IA48" i="84"/>
  <c r="HV48" i="84"/>
  <c r="EQ41" i="84"/>
  <c r="BM40" i="84"/>
  <c r="EU83" i="160"/>
  <c r="EL83" i="160"/>
  <c r="EM83" i="160" s="1"/>
  <c r="EN83" i="160" s="1"/>
  <c r="X43" i="160" s="1"/>
  <c r="EU71" i="160"/>
  <c r="EL71" i="160"/>
  <c r="EM71" i="160" s="1"/>
  <c r="EN71" i="160" s="1"/>
  <c r="X31" i="160" s="1"/>
  <c r="EQ71" i="160"/>
  <c r="ER71" i="160" s="1"/>
  <c r="ES71" i="160" s="1"/>
  <c r="Y31" i="160" s="1"/>
  <c r="DZ59" i="160"/>
  <c r="FB59" i="160"/>
  <c r="DZ68" i="160"/>
  <c r="FB68" i="160"/>
  <c r="AC34" i="117"/>
  <c r="AD34" i="117"/>
  <c r="AE34" i="117"/>
  <c r="EU83" i="84"/>
  <c r="EQ83" i="84"/>
  <c r="ER83" i="84" s="1"/>
  <c r="ES83" i="84" s="1"/>
  <c r="Y43" i="84" s="1"/>
  <c r="EL83" i="84"/>
  <c r="EM83" i="84" s="1"/>
  <c r="EN83" i="84" s="1"/>
  <c r="X43" i="84" s="1"/>
  <c r="BM37" i="84"/>
  <c r="AC43" i="117"/>
  <c r="AD43" i="117"/>
  <c r="AE43" i="117"/>
  <c r="EH73" i="160"/>
  <c r="EI73" i="160"/>
  <c r="FA28" i="165"/>
  <c r="FB28" i="165"/>
  <c r="AC46" i="117"/>
  <c r="AD46" i="117"/>
  <c r="AE46" i="117"/>
  <c r="AC30" i="117"/>
  <c r="AD30" i="117"/>
  <c r="AE30" i="117"/>
  <c r="EH85" i="84"/>
  <c r="EJ85" i="84" s="1"/>
  <c r="DS85" i="84" s="1"/>
  <c r="EI82" i="84"/>
  <c r="EH82" i="84"/>
  <c r="EJ82" i="84" s="1"/>
  <c r="DS82" i="84" s="1"/>
  <c r="EU76" i="84"/>
  <c r="EQ76" i="84"/>
  <c r="ER76" i="84" s="1"/>
  <c r="ES76" i="84" s="1"/>
  <c r="Y36" i="84" s="1"/>
  <c r="EU74" i="160"/>
  <c r="EQ74" i="160"/>
  <c r="ER74" i="160" s="1"/>
  <c r="ES74" i="160" s="1"/>
  <c r="Y34" i="160" s="1"/>
  <c r="EL74" i="160"/>
  <c r="EM74" i="160" s="1"/>
  <c r="EN74" i="160" s="1"/>
  <c r="X34" i="160" s="1"/>
  <c r="AC33" i="117"/>
  <c r="AD33" i="117"/>
  <c r="AE33" i="117"/>
  <c r="DS84" i="84"/>
  <c r="EL76" i="84"/>
  <c r="EM76" i="84" s="1"/>
  <c r="EN76" i="84" s="1"/>
  <c r="X36" i="84" s="1"/>
  <c r="EI77" i="160"/>
  <c r="EH77" i="160"/>
  <c r="EU72" i="160"/>
  <c r="EQ72" i="160"/>
  <c r="ER72" i="160" s="1"/>
  <c r="ES72" i="160" s="1"/>
  <c r="Y32" i="160" s="1"/>
  <c r="EU66" i="160"/>
  <c r="EQ66" i="160"/>
  <c r="ER66" i="160" s="1"/>
  <c r="ES66" i="160" s="1"/>
  <c r="Y26" i="160" s="1"/>
  <c r="EL66" i="160"/>
  <c r="EM66" i="160" s="1"/>
  <c r="EN66" i="160" s="1"/>
  <c r="X26" i="160" s="1"/>
  <c r="GC54" i="160"/>
  <c r="GC55" i="160" s="1"/>
  <c r="GC56" i="160" s="1"/>
  <c r="GC57" i="160" s="1"/>
  <c r="FL54" i="160"/>
  <c r="FL55" i="160" s="1"/>
  <c r="J2" i="163"/>
  <c r="J1" i="163"/>
  <c r="J4" i="163"/>
  <c r="FB60" i="160"/>
  <c r="DZ60" i="160" s="1"/>
  <c r="AA42" i="117"/>
  <c r="AA18" i="117"/>
  <c r="AC27" i="117"/>
  <c r="AD27" i="117"/>
  <c r="AE27" i="117"/>
  <c r="AC22" i="117"/>
  <c r="AD22" i="117"/>
  <c r="AE22" i="117"/>
  <c r="AC14" i="117"/>
  <c r="AD14" i="117"/>
  <c r="AE14" i="117"/>
  <c r="FB72" i="160"/>
  <c r="DZ72" i="160"/>
  <c r="DZ75" i="160"/>
  <c r="FB75" i="160"/>
  <c r="AC41" i="117"/>
  <c r="AD41" i="117"/>
  <c r="AE41" i="117"/>
  <c r="AC25" i="117"/>
  <c r="AD25" i="117"/>
  <c r="AE25" i="117"/>
  <c r="AC17" i="117"/>
  <c r="AD17" i="117"/>
  <c r="AE17" i="117"/>
  <c r="AC44" i="117"/>
  <c r="AD44" i="117"/>
  <c r="AE44" i="117"/>
  <c r="AF42" i="117"/>
  <c r="AC36" i="117"/>
  <c r="AD36" i="117"/>
  <c r="AE36" i="117"/>
  <c r="AF34" i="117"/>
  <c r="AC28" i="117"/>
  <c r="AD28" i="117"/>
  <c r="AE28" i="117"/>
  <c r="AC20" i="117"/>
  <c r="AD20" i="117"/>
  <c r="AE20" i="117"/>
  <c r="AF18" i="117"/>
  <c r="ID48" i="84"/>
  <c r="EQ43" i="84"/>
  <c r="DS83" i="84"/>
  <c r="EE79" i="84"/>
  <c r="EG79" i="84" s="1"/>
  <c r="DL79" i="84" s="1"/>
  <c r="EU75" i="84"/>
  <c r="EL75" i="84"/>
  <c r="EM75" i="84" s="1"/>
  <c r="EN75" i="84" s="1"/>
  <c r="X35" i="84" s="1"/>
  <c r="EF85" i="160"/>
  <c r="EG85" i="160" s="1"/>
  <c r="DL85" i="160" s="1"/>
  <c r="EI82" i="160"/>
  <c r="EH82" i="160"/>
  <c r="AA34" i="117"/>
  <c r="AC26" i="117"/>
  <c r="AD26" i="117"/>
  <c r="AE26" i="117"/>
  <c r="AC35" i="117"/>
  <c r="AD35" i="117"/>
  <c r="AE35" i="117"/>
  <c r="AC19" i="117"/>
  <c r="AD19" i="117"/>
  <c r="AE19" i="117"/>
  <c r="BN42" i="84"/>
  <c r="BO42" i="84"/>
  <c r="BM41" i="84"/>
  <c r="BO41" i="84"/>
  <c r="EF78" i="84"/>
  <c r="EE78" i="84"/>
  <c r="EG78" i="84" s="1"/>
  <c r="DL78" i="84" s="1"/>
  <c r="AC38" i="117"/>
  <c r="AD38" i="117"/>
  <c r="AE38" i="117"/>
  <c r="I2" i="114"/>
  <c r="I4" i="114"/>
  <c r="D2" i="80"/>
  <c r="D1" i="80"/>
  <c r="AC47" i="117"/>
  <c r="AD47" i="117"/>
  <c r="AE47" i="117"/>
  <c r="AF45" i="117"/>
  <c r="AB42" i="117"/>
  <c r="AC39" i="117"/>
  <c r="AD39" i="117"/>
  <c r="AE39" i="117"/>
  <c r="AF37" i="117"/>
  <c r="AB34" i="117"/>
  <c r="AC31" i="117"/>
  <c r="AD31" i="117"/>
  <c r="AE31" i="117"/>
  <c r="AF29" i="117"/>
  <c r="AB26" i="117"/>
  <c r="AC23" i="117"/>
  <c r="AD23" i="117"/>
  <c r="AE23" i="117"/>
  <c r="AF21" i="117"/>
  <c r="AB18" i="117"/>
  <c r="AC15" i="117"/>
  <c r="AD15" i="117"/>
  <c r="AE15" i="117"/>
  <c r="AF13" i="117"/>
  <c r="H2" i="117"/>
  <c r="EI85" i="84"/>
  <c r="IB48" i="84"/>
  <c r="EI78" i="84"/>
  <c r="EH78" i="84"/>
  <c r="EJ78" i="84" s="1"/>
  <c r="DS78" i="84" s="1"/>
  <c r="EL72" i="160"/>
  <c r="EM72" i="160" s="1"/>
  <c r="EN72" i="160" s="1"/>
  <c r="X32" i="160" s="1"/>
  <c r="EE67" i="160"/>
  <c r="EG67" i="160" s="1"/>
  <c r="DL67" i="160" s="1"/>
  <c r="EF67" i="160"/>
  <c r="BN30" i="84"/>
  <c r="BM30" i="84" s="1"/>
  <c r="FC70" i="84" s="1"/>
  <c r="EA70" i="84" s="1"/>
  <c r="EU73" i="84"/>
  <c r="EL73" i="84"/>
  <c r="EM73" i="84" s="1"/>
  <c r="EN73" i="84" s="1"/>
  <c r="X33" i="84" s="1"/>
  <c r="EQ73" i="84"/>
  <c r="ER73" i="84" s="1"/>
  <c r="ES73" i="84" s="1"/>
  <c r="Y33" i="84" s="1"/>
  <c r="EO71" i="160"/>
  <c r="CW71" i="160"/>
  <c r="M31" i="160" s="1"/>
  <c r="CV75" i="160"/>
  <c r="EF85" i="84"/>
  <c r="EQ84" i="84"/>
  <c r="ER84" i="84" s="1"/>
  <c r="ES84" i="84" s="1"/>
  <c r="Y44" i="84" s="1"/>
  <c r="EL79" i="84"/>
  <c r="EM79" i="84" s="1"/>
  <c r="EN79" i="84" s="1"/>
  <c r="X39" i="84" s="1"/>
  <c r="EU74" i="84"/>
  <c r="EL74" i="84"/>
  <c r="EM74" i="84" s="1"/>
  <c r="EN74" i="84" s="1"/>
  <c r="X34" i="84" s="1"/>
  <c r="EQ74" i="84"/>
  <c r="ER74" i="84" s="1"/>
  <c r="ES74" i="84" s="1"/>
  <c r="Y34" i="84" s="1"/>
  <c r="IM48" i="160"/>
  <c r="EH57" i="160"/>
  <c r="EI57" i="160"/>
  <c r="FS19" i="165"/>
  <c r="FS27" i="165"/>
  <c r="FS31" i="165"/>
  <c r="FS35" i="165"/>
  <c r="FS39" i="165"/>
  <c r="FS43" i="165"/>
  <c r="HX48" i="160"/>
  <c r="IF48" i="160"/>
  <c r="IN48" i="160"/>
  <c r="HR48" i="160"/>
  <c r="IA48" i="160"/>
  <c r="IJ48" i="160"/>
  <c r="IS48" i="160"/>
  <c r="HS48" i="160"/>
  <c r="IB48" i="160"/>
  <c r="IK48" i="160"/>
  <c r="IT48" i="160"/>
  <c r="HT48" i="160"/>
  <c r="IC48" i="160"/>
  <c r="IL48" i="160"/>
  <c r="HW48" i="160"/>
  <c r="IG48" i="160"/>
  <c r="IP48" i="160"/>
  <c r="EX43" i="165"/>
  <c r="EL84" i="84"/>
  <c r="EM84" i="84" s="1"/>
  <c r="EN84" i="84" s="1"/>
  <c r="X44" i="84" s="1"/>
  <c r="IE48" i="160"/>
  <c r="EU68" i="160"/>
  <c r="EL68" i="160"/>
  <c r="EM68" i="160" s="1"/>
  <c r="EN68" i="160" s="1"/>
  <c r="X28" i="160" s="1"/>
  <c r="EQ68" i="160"/>
  <c r="ER68" i="160" s="1"/>
  <c r="ES68" i="160" s="1"/>
  <c r="Y28" i="160" s="1"/>
  <c r="EE56" i="160"/>
  <c r="EG56" i="160" s="1"/>
  <c r="DL56" i="160" s="1"/>
  <c r="FE20" i="165"/>
  <c r="FF20" i="165" s="1"/>
  <c r="FG20" i="165" s="1"/>
  <c r="Y20" i="165" s="1"/>
  <c r="FJ20" i="165"/>
  <c r="FK20" i="165" s="1"/>
  <c r="FL20" i="165" s="1"/>
  <c r="Z20" i="165" s="1"/>
  <c r="EX23" i="165"/>
  <c r="EY23" i="165"/>
  <c r="EI77" i="84"/>
  <c r="BO43" i="84"/>
  <c r="EL82" i="84"/>
  <c r="EM82" i="84" s="1"/>
  <c r="EN82" i="84" s="1"/>
  <c r="X42" i="84" s="1"/>
  <c r="EH81" i="84"/>
  <c r="EJ81" i="84" s="1"/>
  <c r="DS81" i="84" s="1"/>
  <c r="EU78" i="84"/>
  <c r="EL78" i="84"/>
  <c r="EM78" i="84" s="1"/>
  <c r="EN78" i="84" s="1"/>
  <c r="X38" i="84" s="1"/>
  <c r="BN38" i="84"/>
  <c r="BN35" i="84"/>
  <c r="BO35" i="84" s="1"/>
  <c r="BM35" i="84"/>
  <c r="ID48" i="160"/>
  <c r="EU84" i="160"/>
  <c r="EL84" i="160"/>
  <c r="EM84" i="160" s="1"/>
  <c r="EN84" i="160" s="1"/>
  <c r="X44" i="160" s="1"/>
  <c r="EQ84" i="160"/>
  <c r="ER84" i="160" s="1"/>
  <c r="ES84" i="160" s="1"/>
  <c r="Y44" i="160" s="1"/>
  <c r="EF82" i="160"/>
  <c r="EE82" i="160"/>
  <c r="EU80" i="160"/>
  <c r="EQ80" i="160"/>
  <c r="ER80" i="160" s="1"/>
  <c r="ES80" i="160" s="1"/>
  <c r="Y40" i="160" s="1"/>
  <c r="EL79" i="160"/>
  <c r="EM79" i="160" s="1"/>
  <c r="EN79" i="160" s="1"/>
  <c r="X39" i="160" s="1"/>
  <c r="EE73" i="160"/>
  <c r="EG73" i="160" s="1"/>
  <c r="DL73" i="160" s="1"/>
  <c r="EH62" i="160"/>
  <c r="EJ62" i="160" s="1"/>
  <c r="DS62" i="160" s="1"/>
  <c r="EI62" i="160"/>
  <c r="EU58" i="160"/>
  <c r="EQ58" i="160"/>
  <c r="ER58" i="160" s="1"/>
  <c r="ES58" i="160" s="1"/>
  <c r="Y18" i="160" s="1"/>
  <c r="EL58" i="160"/>
  <c r="EM58" i="160" s="1"/>
  <c r="EN58" i="160" s="1"/>
  <c r="X18" i="160" s="1"/>
  <c r="EQ39" i="84"/>
  <c r="IH48" i="160"/>
  <c r="EH68" i="160"/>
  <c r="EJ68" i="160" s="1"/>
  <c r="DS68" i="160" s="1"/>
  <c r="EE64" i="160"/>
  <c r="EG64" i="160" s="1"/>
  <c r="DL64" i="160" s="1"/>
  <c r="EF64" i="160"/>
  <c r="EI58" i="160"/>
  <c r="EJ58" i="160" s="1"/>
  <c r="DS58" i="160" s="1"/>
  <c r="EU85" i="84"/>
  <c r="EQ85" i="84"/>
  <c r="ER85" i="84" s="1"/>
  <c r="ES85" i="84" s="1"/>
  <c r="Y45" i="84" s="1"/>
  <c r="BO39" i="84"/>
  <c r="IR48" i="160"/>
  <c r="HZ48" i="160"/>
  <c r="EU65" i="160"/>
  <c r="CV65" i="160" s="1"/>
  <c r="EQ65" i="160"/>
  <c r="ER65" i="160" s="1"/>
  <c r="ES65" i="160" s="1"/>
  <c r="Y25" i="160" s="1"/>
  <c r="EL65" i="160"/>
  <c r="EM65" i="160" s="1"/>
  <c r="EN65" i="160" s="1"/>
  <c r="X25" i="160" s="1"/>
  <c r="EU62" i="160"/>
  <c r="CV62" i="160" s="1"/>
  <c r="EL62" i="160"/>
  <c r="EM62" i="160" s="1"/>
  <c r="EN62" i="160" s="1"/>
  <c r="X22" i="160" s="1"/>
  <c r="EQ62" i="160"/>
  <c r="ER62" i="160" s="1"/>
  <c r="ES62" i="160" s="1"/>
  <c r="Y22" i="160" s="1"/>
  <c r="EE58" i="160"/>
  <c r="EF58" i="160"/>
  <c r="DZ71" i="160"/>
  <c r="FB71" i="160"/>
  <c r="EQ77" i="84"/>
  <c r="ER77" i="84" s="1"/>
  <c r="ES77" i="84" s="1"/>
  <c r="Y37" i="84" s="1"/>
  <c r="EU68" i="84"/>
  <c r="CV68" i="84" s="1"/>
  <c r="EU70" i="84"/>
  <c r="EF78" i="160"/>
  <c r="EU82" i="160"/>
  <c r="EQ82" i="160"/>
  <c r="ER82" i="160" s="1"/>
  <c r="ES82" i="160" s="1"/>
  <c r="Y42" i="160" s="1"/>
  <c r="EL82" i="160"/>
  <c r="EM82" i="160" s="1"/>
  <c r="EN82" i="160" s="1"/>
  <c r="X42" i="160" s="1"/>
  <c r="EH67" i="160"/>
  <c r="EJ67" i="160" s="1"/>
  <c r="DS67" i="160" s="1"/>
  <c r="DZ63" i="160"/>
  <c r="EU85" i="160"/>
  <c r="EQ85" i="160"/>
  <c r="ER85" i="160" s="1"/>
  <c r="ES85" i="160" s="1"/>
  <c r="Y45" i="160" s="1"/>
  <c r="EL85" i="160"/>
  <c r="EM85" i="160" s="1"/>
  <c r="EN85" i="160" s="1"/>
  <c r="X45" i="160" s="1"/>
  <c r="EH76" i="160"/>
  <c r="EJ76" i="160" s="1"/>
  <c r="DS76" i="160" s="1"/>
  <c r="EU75" i="160"/>
  <c r="EL75" i="160"/>
  <c r="EM75" i="160" s="1"/>
  <c r="EN75" i="160" s="1"/>
  <c r="X35" i="160" s="1"/>
  <c r="EE57" i="160"/>
  <c r="EG57" i="160" s="1"/>
  <c r="DL57" i="160" s="1"/>
  <c r="DZ84" i="160"/>
  <c r="FB84" i="160"/>
  <c r="EE71" i="160"/>
  <c r="EG71" i="160" s="1"/>
  <c r="DL71" i="160" s="1"/>
  <c r="EE68" i="160"/>
  <c r="EG68" i="160" s="1"/>
  <c r="DL68" i="160" s="1"/>
  <c r="EU61" i="160"/>
  <c r="EQ61" i="160"/>
  <c r="ER61" i="160" s="1"/>
  <c r="ES61" i="160" s="1"/>
  <c r="Y21" i="160" s="1"/>
  <c r="EL61" i="160"/>
  <c r="EM61" i="160" s="1"/>
  <c r="EN61" i="160" s="1"/>
  <c r="X21" i="160" s="1"/>
  <c r="GC54" i="84"/>
  <c r="DZ76" i="160"/>
  <c r="FB76" i="160"/>
  <c r="EU72" i="84"/>
  <c r="CV72" i="84" s="1"/>
  <c r="EL72" i="84"/>
  <c r="EM72" i="84" s="1"/>
  <c r="EQ72" i="84"/>
  <c r="ER72" i="84" s="1"/>
  <c r="ES72" i="84" s="1"/>
  <c r="Y32" i="84" s="1"/>
  <c r="EL78" i="160"/>
  <c r="EM78" i="160" s="1"/>
  <c r="EN78" i="160" s="1"/>
  <c r="X38" i="160" s="1"/>
  <c r="EQ77" i="160"/>
  <c r="ER77" i="160" s="1"/>
  <c r="ES77" i="160" s="1"/>
  <c r="Y37" i="160" s="1"/>
  <c r="EL70" i="160"/>
  <c r="EM70" i="160" s="1"/>
  <c r="EN70" i="160" s="1"/>
  <c r="X30" i="160" s="1"/>
  <c r="EQ69" i="160"/>
  <c r="ER69" i="160" s="1"/>
  <c r="ES69" i="160" s="1"/>
  <c r="Y29" i="160" s="1"/>
  <c r="EL64" i="160"/>
  <c r="EM64" i="160" s="1"/>
  <c r="EN64" i="160" s="1"/>
  <c r="X24" i="160" s="1"/>
  <c r="EU56" i="160"/>
  <c r="CV56" i="160" s="1"/>
  <c r="EQ56" i="160"/>
  <c r="ER56" i="160" s="1"/>
  <c r="ES56" i="160" s="1"/>
  <c r="Y16" i="160" s="1"/>
  <c r="FE37" i="165"/>
  <c r="FF37" i="165" s="1"/>
  <c r="FG37" i="165" s="1"/>
  <c r="Y37" i="165" s="1"/>
  <c r="FJ37" i="165"/>
  <c r="FK37" i="165" s="1"/>
  <c r="FL37" i="165" s="1"/>
  <c r="Z37" i="165" s="1"/>
  <c r="FT16" i="165"/>
  <c r="FT20" i="165"/>
  <c r="FT24" i="165"/>
  <c r="FT28" i="165"/>
  <c r="FT32" i="165"/>
  <c r="FT36" i="165"/>
  <c r="FT40" i="165"/>
  <c r="FT44" i="165"/>
  <c r="CB69" i="147"/>
  <c r="CC69" i="147"/>
  <c r="EE69" i="160"/>
  <c r="EG69" i="160" s="1"/>
  <c r="DL69" i="160" s="1"/>
  <c r="EE54" i="160"/>
  <c r="EG54" i="160" s="1"/>
  <c r="DL54" i="160" s="1"/>
  <c r="FG55" i="84"/>
  <c r="EU69" i="84"/>
  <c r="EQ69" i="84"/>
  <c r="ER69" i="84" s="1"/>
  <c r="ES69" i="84" s="1"/>
  <c r="Y29" i="84" s="1"/>
  <c r="EU63" i="160"/>
  <c r="EQ63" i="160"/>
  <c r="ER63" i="160" s="1"/>
  <c r="ES63" i="160" s="1"/>
  <c r="Y23" i="160" s="1"/>
  <c r="EU59" i="160"/>
  <c r="EL59" i="160"/>
  <c r="EM59" i="160" s="1"/>
  <c r="EN59" i="160" s="1"/>
  <c r="X19" i="160" s="1"/>
  <c r="P4" i="147"/>
  <c r="P1" i="147"/>
  <c r="EL69" i="160"/>
  <c r="EM69" i="160" s="1"/>
  <c r="EN69" i="160" s="1"/>
  <c r="X29" i="160" s="1"/>
  <c r="EH60" i="160"/>
  <c r="EJ60" i="160" s="1"/>
  <c r="DS60" i="160" s="1"/>
  <c r="FR55" i="160"/>
  <c r="FS56" i="160" s="1"/>
  <c r="FQ55" i="160"/>
  <c r="FY55" i="160" s="1"/>
  <c r="FZ55" i="160" s="1"/>
  <c r="FP55" i="160"/>
  <c r="GA55" i="160" s="1"/>
  <c r="FN55" i="160"/>
  <c r="FW55" i="160" s="1"/>
  <c r="FV55" i="160" s="1"/>
  <c r="DP16" i="165"/>
  <c r="FJ16" i="165"/>
  <c r="FK16" i="165" s="1"/>
  <c r="FL16" i="165" s="1"/>
  <c r="Z16" i="165" s="1"/>
  <c r="FE16" i="165"/>
  <c r="FF16" i="165" s="1"/>
  <c r="FG16" i="165" s="1"/>
  <c r="Y16" i="165" s="1"/>
  <c r="EU67" i="160"/>
  <c r="EU57" i="160"/>
  <c r="FB69" i="84"/>
  <c r="DD84" i="84"/>
  <c r="EV84" i="84"/>
  <c r="CV84" i="84"/>
  <c r="EU60" i="160"/>
  <c r="B48" i="160"/>
  <c r="FE19" i="165"/>
  <c r="FF19" i="165" s="1"/>
  <c r="FG19" i="165" s="1"/>
  <c r="Y19" i="165" s="1"/>
  <c r="FE23" i="165"/>
  <c r="FF23" i="165" s="1"/>
  <c r="FG23" i="165" s="1"/>
  <c r="Y23" i="165" s="1"/>
  <c r="FJ23" i="165"/>
  <c r="FK23" i="165" s="1"/>
  <c r="FL23" i="165" s="1"/>
  <c r="Z23" i="165" s="1"/>
  <c r="FJ29" i="165"/>
  <c r="FK29" i="165" s="1"/>
  <c r="FL29" i="165" s="1"/>
  <c r="Z29" i="165" s="1"/>
  <c r="FE29" i="165"/>
  <c r="FF29" i="165" s="1"/>
  <c r="FG29" i="165" s="1"/>
  <c r="Y29" i="165" s="1"/>
  <c r="EU54" i="160"/>
  <c r="EU71" i="84"/>
  <c r="CV71" i="84" s="1"/>
  <c r="FJ17" i="165"/>
  <c r="FK17" i="165" s="1"/>
  <c r="FL17" i="165" s="1"/>
  <c r="Z17" i="165" s="1"/>
  <c r="FE18" i="165"/>
  <c r="FF18" i="165" s="1"/>
  <c r="FG18" i="165" s="1"/>
  <c r="Y18" i="165" s="1"/>
  <c r="FE35" i="165"/>
  <c r="FF35" i="165" s="1"/>
  <c r="FG35" i="165" s="1"/>
  <c r="Y35" i="165" s="1"/>
  <c r="FJ35" i="165"/>
  <c r="FK35" i="165" s="1"/>
  <c r="FL35" i="165" s="1"/>
  <c r="Z35" i="165" s="1"/>
  <c r="FE42" i="165"/>
  <c r="FF42" i="165" s="1"/>
  <c r="FG42" i="165" s="1"/>
  <c r="Y42" i="165" s="1"/>
  <c r="FJ42" i="165"/>
  <c r="FK42" i="165" s="1"/>
  <c r="FL42" i="165" s="1"/>
  <c r="Z42" i="165" s="1"/>
  <c r="FE32" i="165"/>
  <c r="FF32" i="165" s="1"/>
  <c r="FG32" i="165" s="1"/>
  <c r="Y32" i="165" s="1"/>
  <c r="FE36" i="165"/>
  <c r="FF36" i="165" s="1"/>
  <c r="FG36" i="165" s="1"/>
  <c r="Y36" i="165" s="1"/>
  <c r="FE44" i="165"/>
  <c r="FF44" i="165" s="1"/>
  <c r="FG44" i="165" s="1"/>
  <c r="Y44" i="165" s="1"/>
  <c r="AE35" i="165"/>
  <c r="AD35" i="165" s="1"/>
  <c r="AF35" i="165"/>
  <c r="FS26" i="165"/>
  <c r="FS34" i="165"/>
  <c r="FS38" i="165"/>
  <c r="FS42" i="165"/>
  <c r="FJ21" i="165"/>
  <c r="FK21" i="165" s="1"/>
  <c r="FL21" i="165" s="1"/>
  <c r="Z21" i="165" s="1"/>
  <c r="AN41" i="165"/>
  <c r="AO41" i="165"/>
  <c r="AM41" i="165"/>
  <c r="EW76" i="84"/>
  <c r="DJ76" i="84"/>
  <c r="EW59" i="160"/>
  <c r="EU19" i="160" s="1"/>
  <c r="CV59" i="160"/>
  <c r="FE59" i="160"/>
  <c r="CV84" i="160"/>
  <c r="FE26" i="165"/>
  <c r="FF26" i="165" s="1"/>
  <c r="FG26" i="165" s="1"/>
  <c r="Y26" i="165" s="1"/>
  <c r="AK21" i="165"/>
  <c r="AL21" i="165" s="1"/>
  <c r="AF21" i="165"/>
  <c r="AD21" i="165" s="1"/>
  <c r="AK37" i="165"/>
  <c r="AL37" i="165" s="1"/>
  <c r="AE37" i="165"/>
  <c r="AF37" i="165"/>
  <c r="CV81" i="160"/>
  <c r="FJ33" i="165"/>
  <c r="FK33" i="165" s="1"/>
  <c r="FL33" i="165" s="1"/>
  <c r="Z33" i="165" s="1"/>
  <c r="FE34" i="165"/>
  <c r="FF34" i="165" s="1"/>
  <c r="FG34" i="165" s="1"/>
  <c r="Y34" i="165" s="1"/>
  <c r="FE43" i="165"/>
  <c r="FF43" i="165" s="1"/>
  <c r="FG43" i="165" s="1"/>
  <c r="Y43" i="165" s="1"/>
  <c r="FH36" i="165"/>
  <c r="FH42" i="165"/>
  <c r="FH44" i="165"/>
  <c r="AO32" i="165"/>
  <c r="AM32" i="165"/>
  <c r="AN32" i="165"/>
  <c r="AH42" i="165"/>
  <c r="EV74" i="84"/>
  <c r="CV74" i="84"/>
  <c r="DD74" i="84"/>
  <c r="EW84" i="84"/>
  <c r="DJ84" i="84"/>
  <c r="CV69" i="160"/>
  <c r="AK20" i="165"/>
  <c r="AL20" i="165" s="1"/>
  <c r="AK23" i="165"/>
  <c r="AL23" i="165" s="1"/>
  <c r="DP45" i="165"/>
  <c r="AK26" i="165"/>
  <c r="AL26" i="165" s="1"/>
  <c r="CV85" i="160"/>
  <c r="EV85" i="160"/>
  <c r="ET45" i="160" s="1"/>
  <c r="EV76" i="84"/>
  <c r="DD76" i="84"/>
  <c r="CV68" i="160"/>
  <c r="FJ39" i="165"/>
  <c r="FK39" i="165" s="1"/>
  <c r="FL39" i="165" s="1"/>
  <c r="Z39" i="165" s="1"/>
  <c r="Y25" i="147"/>
  <c r="Z25" i="147"/>
  <c r="FA24" i="165"/>
  <c r="AK33" i="147"/>
  <c r="AL33" i="147" s="1"/>
  <c r="EV59" i="160"/>
  <c r="ET19" i="160" s="1"/>
  <c r="AK35" i="147"/>
  <c r="AL35" i="147" s="1"/>
  <c r="AK31" i="147"/>
  <c r="AL31" i="147" s="1"/>
  <c r="AK34" i="147"/>
  <c r="AL34" i="147" s="1"/>
  <c r="EX16" i="165"/>
  <c r="EY35" i="165"/>
  <c r="EZ35" i="165" s="1"/>
  <c r="EE35" i="165" s="1"/>
  <c r="FB40" i="165"/>
  <c r="FC40" i="165" s="1"/>
  <c r="EL40" i="165" s="1"/>
  <c r="EY45" i="165"/>
  <c r="EZ45" i="165" s="1"/>
  <c r="EE45" i="165" s="1"/>
  <c r="EX45" i="165"/>
  <c r="FA45" i="165"/>
  <c r="GK54" i="160" l="1"/>
  <c r="GE45" i="84"/>
  <c r="GB45" i="84"/>
  <c r="GD45" i="84"/>
  <c r="GA45" i="84"/>
  <c r="GC45" i="84"/>
  <c r="DH71" i="84"/>
  <c r="FE71" i="84" s="1"/>
  <c r="DB71" i="84"/>
  <c r="FD71" i="84" s="1"/>
  <c r="DF70" i="84"/>
  <c r="EA20" i="165"/>
  <c r="CC20" i="165"/>
  <c r="CM20" i="165" s="1"/>
  <c r="EY20" i="165"/>
  <c r="EZ20" i="165" s="1"/>
  <c r="EE20" i="165" s="1"/>
  <c r="EF20" i="165" s="1"/>
  <c r="BQ20" i="165"/>
  <c r="CL20" i="165" s="1"/>
  <c r="DU20" i="165"/>
  <c r="FO33" i="165"/>
  <c r="GE20" i="165"/>
  <c r="FP21" i="165"/>
  <c r="FO16" i="165"/>
  <c r="FO39" i="165"/>
  <c r="FO44" i="165"/>
  <c r="FO28" i="165"/>
  <c r="FP32" i="165"/>
  <c r="FO30" i="165"/>
  <c r="FO31" i="165"/>
  <c r="FO35" i="165"/>
  <c r="FO21" i="165"/>
  <c r="FO45" i="165"/>
  <c r="FP24" i="165"/>
  <c r="FP23" i="165"/>
  <c r="FP35" i="165"/>
  <c r="FO25" i="165"/>
  <c r="FP40" i="165"/>
  <c r="FP37" i="165"/>
  <c r="FP42" i="165"/>
  <c r="FP39" i="165"/>
  <c r="FP28" i="165"/>
  <c r="FP43" i="165"/>
  <c r="FP17" i="165"/>
  <c r="FO32" i="165"/>
  <c r="FP30" i="165"/>
  <c r="FP33" i="165"/>
  <c r="FO29" i="165"/>
  <c r="FP25" i="165"/>
  <c r="FP44" i="165"/>
  <c r="FO36" i="165"/>
  <c r="FP41" i="165"/>
  <c r="FO41" i="165"/>
  <c r="FP45" i="165"/>
  <c r="FO37" i="165"/>
  <c r="FO42" i="165"/>
  <c r="CA30" i="165"/>
  <c r="BO26" i="147"/>
  <c r="BQ26" i="147"/>
  <c r="CL26" i="147" s="1"/>
  <c r="CA24" i="147"/>
  <c r="CC24" i="147"/>
  <c r="DZ29" i="165"/>
  <c r="CA29" i="165"/>
  <c r="FA20" i="165"/>
  <c r="CA20" i="165"/>
  <c r="BO20" i="165"/>
  <c r="BO24" i="147"/>
  <c r="DP23" i="165"/>
  <c r="D23" i="165" s="1"/>
  <c r="E23" i="165" s="1"/>
  <c r="GE23" i="165"/>
  <c r="GL23" i="165" s="1"/>
  <c r="DX23" i="165"/>
  <c r="EG36" i="165"/>
  <c r="EF36" i="165"/>
  <c r="EN40" i="165"/>
  <c r="EM40" i="165"/>
  <c r="EG40" i="165"/>
  <c r="EF40" i="165"/>
  <c r="EM31" i="165"/>
  <c r="EN31" i="165"/>
  <c r="FR30" i="165"/>
  <c r="EG38" i="165"/>
  <c r="EF38" i="165"/>
  <c r="EG26" i="165"/>
  <c r="EF26" i="165"/>
  <c r="EG42" i="165"/>
  <c r="EF42" i="165"/>
  <c r="CY26" i="147"/>
  <c r="FQ26" i="147"/>
  <c r="EG18" i="165"/>
  <c r="EF18" i="165"/>
  <c r="FR24" i="147"/>
  <c r="DZ24" i="147"/>
  <c r="EF35" i="165"/>
  <c r="EG35" i="165"/>
  <c r="EM36" i="165"/>
  <c r="EN36" i="165"/>
  <c r="EN35" i="165"/>
  <c r="EM35" i="165"/>
  <c r="EB23" i="165"/>
  <c r="EF45" i="165"/>
  <c r="EG45" i="165"/>
  <c r="EN38" i="165"/>
  <c r="EM38" i="165"/>
  <c r="EG44" i="165"/>
  <c r="EF44" i="165"/>
  <c r="EF27" i="165"/>
  <c r="EG27" i="165"/>
  <c r="FR29" i="165"/>
  <c r="FR20" i="165"/>
  <c r="EG32" i="165"/>
  <c r="EF32" i="165"/>
  <c r="EF25" i="165"/>
  <c r="EG25" i="165"/>
  <c r="EN37" i="165"/>
  <c r="EM37" i="165"/>
  <c r="EF33" i="165"/>
  <c r="EG33" i="165"/>
  <c r="EF17" i="165"/>
  <c r="EG17" i="165"/>
  <c r="FQ20" i="165"/>
  <c r="EN23" i="147"/>
  <c r="EM23" i="147"/>
  <c r="DZ20" i="165"/>
  <c r="EG28" i="165"/>
  <c r="EF28" i="165"/>
  <c r="EG24" i="165"/>
  <c r="EF24" i="165"/>
  <c r="FQ24" i="147"/>
  <c r="DZ30" i="165"/>
  <c r="EA22" i="165"/>
  <c r="EB22" i="165" s="1"/>
  <c r="GD22" i="165"/>
  <c r="GC22" i="165"/>
  <c r="GE22" i="165"/>
  <c r="GE25" i="147"/>
  <c r="FC18" i="165"/>
  <c r="EL18" i="165" s="1"/>
  <c r="FB29" i="165"/>
  <c r="DT20" i="165"/>
  <c r="FB20" i="165"/>
  <c r="FC20" i="165" s="1"/>
  <c r="EL20" i="165" s="1"/>
  <c r="DC56" i="160"/>
  <c r="ER16" i="160" s="1"/>
  <c r="DI56" i="160"/>
  <c r="ES16" i="160" s="1"/>
  <c r="DH68" i="84"/>
  <c r="DI68" i="84" s="1"/>
  <c r="EW68" i="84" s="1"/>
  <c r="EU28" i="84" s="1"/>
  <c r="DB68" i="84"/>
  <c r="FD68" i="84" s="1"/>
  <c r="DC68" i="84"/>
  <c r="EV68" i="84" s="1"/>
  <c r="ET28" i="84" s="1"/>
  <c r="BZ87" i="84"/>
  <c r="BK87" i="84"/>
  <c r="AJ15" i="160"/>
  <c r="AI15" i="160"/>
  <c r="AE15" i="160"/>
  <c r="AD15" i="160"/>
  <c r="GL31" i="84"/>
  <c r="EH70" i="84"/>
  <c r="EJ70" i="84" s="1"/>
  <c r="DS70" i="84" s="1"/>
  <c r="DU70" i="84" s="1"/>
  <c r="AD36" i="165"/>
  <c r="HS21" i="84"/>
  <c r="HT21" i="84" s="1"/>
  <c r="HU21" i="84" s="1"/>
  <c r="HV21" i="84" s="1"/>
  <c r="HW21" i="84" s="1"/>
  <c r="HX21" i="84" s="1"/>
  <c r="HY21" i="84" s="1"/>
  <c r="HZ21" i="84" s="1"/>
  <c r="IA21" i="84" s="1"/>
  <c r="IB21" i="84" s="1"/>
  <c r="IC21" i="84" s="1"/>
  <c r="ID21" i="84" s="1"/>
  <c r="IF9" i="84" s="1"/>
  <c r="IG9" i="84" s="1"/>
  <c r="IH9" i="84" s="1"/>
  <c r="II9" i="84" s="1"/>
  <c r="IJ9" i="84" s="1"/>
  <c r="IK9" i="84" s="1"/>
  <c r="IL9" i="84" s="1"/>
  <c r="IM9" i="84" s="1"/>
  <c r="IN9" i="84" s="1"/>
  <c r="IO9" i="84" s="1"/>
  <c r="IP9" i="84" s="1"/>
  <c r="IQ9" i="84" s="1"/>
  <c r="IR9" i="84" s="1"/>
  <c r="IS9" i="84" s="1"/>
  <c r="IT9" i="84" s="1"/>
  <c r="IU9" i="84" s="1"/>
  <c r="IV9" i="84" s="1"/>
  <c r="IW9" i="84" s="1"/>
  <c r="IX9" i="84" s="1"/>
  <c r="IY9" i="84" s="1"/>
  <c r="IZ9" i="84" s="1"/>
  <c r="JA9" i="84" s="1"/>
  <c r="JB9" i="84" s="1"/>
  <c r="JC9" i="84" s="1"/>
  <c r="JD9" i="84" s="1"/>
  <c r="JE9" i="84" s="1"/>
  <c r="JF9" i="84" s="1"/>
  <c r="JG9" i="84" s="1"/>
  <c r="JH9" i="84" s="1"/>
  <c r="DH72" i="84"/>
  <c r="FE72" i="84" s="1"/>
  <c r="EZ43" i="165"/>
  <c r="EE43" i="165" s="1"/>
  <c r="EZ41" i="165"/>
  <c r="EE41" i="165" s="1"/>
  <c r="EZ39" i="165"/>
  <c r="EE39" i="165" s="1"/>
  <c r="EZ37" i="165"/>
  <c r="EE37" i="165" s="1"/>
  <c r="EZ34" i="165"/>
  <c r="EE34" i="165" s="1"/>
  <c r="EZ31" i="165"/>
  <c r="EE31" i="165" s="1"/>
  <c r="EZ30" i="165"/>
  <c r="EE30" i="165" s="1"/>
  <c r="FC45" i="165"/>
  <c r="EL45" i="165" s="1"/>
  <c r="FC44" i="165"/>
  <c r="EL44" i="165" s="1"/>
  <c r="FC43" i="165"/>
  <c r="EL43" i="165" s="1"/>
  <c r="FC42" i="165"/>
  <c r="EL42" i="165" s="1"/>
  <c r="FC41" i="165"/>
  <c r="EL41" i="165" s="1"/>
  <c r="FC39" i="165"/>
  <c r="EL39" i="165" s="1"/>
  <c r="FC34" i="165"/>
  <c r="EL34" i="165" s="1"/>
  <c r="FC33" i="165"/>
  <c r="EL33" i="165" s="1"/>
  <c r="FC32" i="165"/>
  <c r="EL32" i="165" s="1"/>
  <c r="EZ29" i="165"/>
  <c r="EE29" i="165" s="1"/>
  <c r="EZ21" i="165"/>
  <c r="EE21" i="165" s="1"/>
  <c r="EZ19" i="165"/>
  <c r="EE19" i="165" s="1"/>
  <c r="EZ16" i="165"/>
  <c r="EE16" i="165" s="1"/>
  <c r="FB30" i="165"/>
  <c r="FC30" i="165" s="1"/>
  <c r="EL30" i="165" s="1"/>
  <c r="AD37" i="165"/>
  <c r="FV16" i="165"/>
  <c r="DV16" i="165"/>
  <c r="AU17" i="165"/>
  <c r="FV17" i="165" s="1"/>
  <c r="AU32" i="165"/>
  <c r="EJ91" i="165" s="1"/>
  <c r="AU41" i="165"/>
  <c r="EJ100" i="165" s="1"/>
  <c r="AJ45" i="165"/>
  <c r="AL45" i="165"/>
  <c r="DT26" i="147"/>
  <c r="EX24" i="147"/>
  <c r="DU26" i="147"/>
  <c r="EX26" i="147"/>
  <c r="EY26" i="147"/>
  <c r="FA30" i="165"/>
  <c r="EY24" i="147"/>
  <c r="DT24" i="147"/>
  <c r="DU24" i="147"/>
  <c r="FA24" i="147"/>
  <c r="FB24" i="147"/>
  <c r="BZ14" i="84"/>
  <c r="BZ14" i="160"/>
  <c r="DV17" i="165"/>
  <c r="FU17" i="165" s="1"/>
  <c r="DB17" i="165"/>
  <c r="DL17" i="165"/>
  <c r="FA79" i="84"/>
  <c r="EZ79" i="84"/>
  <c r="FA83" i="84"/>
  <c r="EZ83" i="84"/>
  <c r="FA73" i="84"/>
  <c r="EZ73" i="84"/>
  <c r="EZ78" i="84"/>
  <c r="FA78" i="84"/>
  <c r="FA82" i="84"/>
  <c r="EZ82" i="84"/>
  <c r="FA80" i="84"/>
  <c r="EZ80" i="84"/>
  <c r="EZ77" i="84"/>
  <c r="FA77" i="84"/>
  <c r="FA69" i="84"/>
  <c r="EZ69" i="84"/>
  <c r="EX69" i="84" s="1"/>
  <c r="FA76" i="84"/>
  <c r="EZ76" i="84"/>
  <c r="FA75" i="84"/>
  <c r="EZ75" i="84"/>
  <c r="EX75" i="84" s="1"/>
  <c r="FA81" i="84"/>
  <c r="EZ81" i="84"/>
  <c r="BR44" i="84"/>
  <c r="FA85" i="84"/>
  <c r="EZ85" i="84"/>
  <c r="BR45" i="84"/>
  <c r="FA84" i="84"/>
  <c r="EZ84" i="84"/>
  <c r="EZ74" i="84"/>
  <c r="FA74" i="84"/>
  <c r="FA29" i="165"/>
  <c r="AD29" i="147"/>
  <c r="GL29" i="147"/>
  <c r="S42" i="163"/>
  <c r="S34" i="163"/>
  <c r="S26" i="163"/>
  <c r="S18" i="163"/>
  <c r="S32" i="163"/>
  <c r="S16" i="163"/>
  <c r="S31" i="163"/>
  <c r="S38" i="163"/>
  <c r="S14" i="163"/>
  <c r="S21" i="163"/>
  <c r="S41" i="163"/>
  <c r="S33" i="163"/>
  <c r="S25" i="163"/>
  <c r="S17" i="163"/>
  <c r="S24" i="163"/>
  <c r="S39" i="163"/>
  <c r="S23" i="163"/>
  <c r="S15" i="163"/>
  <c r="S22" i="163"/>
  <c r="S29" i="163"/>
  <c r="S28" i="163"/>
  <c r="S40" i="163"/>
  <c r="S36" i="163"/>
  <c r="S35" i="163"/>
  <c r="S27" i="163"/>
  <c r="S19" i="163"/>
  <c r="S30" i="163"/>
  <c r="S37" i="163"/>
  <c r="S20" i="163"/>
  <c r="EZ72" i="84"/>
  <c r="FA72" i="84"/>
  <c r="FF58" i="160"/>
  <c r="DC60" i="160"/>
  <c r="FF63" i="84"/>
  <c r="DI71" i="84"/>
  <c r="O31" i="84"/>
  <c r="P31" i="84" s="1"/>
  <c r="EZ71" i="84"/>
  <c r="FA71" i="84"/>
  <c r="FD14" i="160"/>
  <c r="FC14" i="160"/>
  <c r="FE14" i="160"/>
  <c r="J43" i="84"/>
  <c r="K43" i="84"/>
  <c r="L43" i="84"/>
  <c r="BU43" i="84" s="1"/>
  <c r="E38" i="84"/>
  <c r="D38" i="84"/>
  <c r="GK38" i="84" s="1"/>
  <c r="I35" i="84"/>
  <c r="BS35" i="84" s="1"/>
  <c r="H35" i="84"/>
  <c r="G35" i="84"/>
  <c r="D35" i="165"/>
  <c r="G40" i="84"/>
  <c r="H40" i="84"/>
  <c r="I40" i="84"/>
  <c r="BS40" i="84" s="1"/>
  <c r="I38" i="84"/>
  <c r="BS38" i="84" s="1"/>
  <c r="H38" i="84"/>
  <c r="G38" i="84"/>
  <c r="D31" i="84"/>
  <c r="E31" i="84" s="1"/>
  <c r="D32" i="84"/>
  <c r="E32" i="84" s="1"/>
  <c r="E35" i="84"/>
  <c r="D35" i="84"/>
  <c r="GK35" i="84" s="1"/>
  <c r="D20" i="165"/>
  <c r="E20" i="165" s="1"/>
  <c r="D36" i="84"/>
  <c r="GK36" i="84" s="1"/>
  <c r="E36" i="84"/>
  <c r="G39" i="84"/>
  <c r="I39" i="84"/>
  <c r="BS39" i="84" s="1"/>
  <c r="H39" i="84"/>
  <c r="D38" i="165"/>
  <c r="E38" i="165" s="1"/>
  <c r="D39" i="165"/>
  <c r="E39" i="165" s="1"/>
  <c r="D19" i="165"/>
  <c r="E19" i="165" s="1"/>
  <c r="D30" i="165"/>
  <c r="E30" i="165" s="1"/>
  <c r="J35" i="84"/>
  <c r="K35" i="84"/>
  <c r="L35" i="84"/>
  <c r="BU35" i="84" s="1"/>
  <c r="K36" i="84"/>
  <c r="J36" i="84"/>
  <c r="L36" i="84"/>
  <c r="BU36" i="84" s="1"/>
  <c r="K44" i="84"/>
  <c r="J44" i="84"/>
  <c r="L44" i="84"/>
  <c r="BU44" i="84" s="1"/>
  <c r="D37" i="165"/>
  <c r="D32" i="165"/>
  <c r="D44" i="84"/>
  <c r="GK44" i="84" s="1"/>
  <c r="E44" i="84"/>
  <c r="I37" i="84"/>
  <c r="BS37" i="84" s="1"/>
  <c r="H37" i="84"/>
  <c r="G37" i="84"/>
  <c r="D29" i="165"/>
  <c r="E29" i="165" s="1"/>
  <c r="D31" i="165"/>
  <c r="E31" i="165" s="1"/>
  <c r="D24" i="165"/>
  <c r="D41" i="84"/>
  <c r="GK41" i="84" s="1"/>
  <c r="E41" i="84"/>
  <c r="D36" i="165"/>
  <c r="E36" i="165" s="1"/>
  <c r="I43" i="84"/>
  <c r="BS43" i="84" s="1"/>
  <c r="H43" i="84"/>
  <c r="G43" i="84"/>
  <c r="E28" i="84"/>
  <c r="D28" i="84"/>
  <c r="D43" i="84"/>
  <c r="GK43" i="84" s="1"/>
  <c r="E43" i="84"/>
  <c r="D27" i="165"/>
  <c r="E27" i="165" s="1"/>
  <c r="L41" i="84"/>
  <c r="BU41" i="84" s="1"/>
  <c r="K41" i="84"/>
  <c r="J41" i="84"/>
  <c r="I34" i="84"/>
  <c r="BS34" i="84" s="1"/>
  <c r="H34" i="84"/>
  <c r="G34" i="84"/>
  <c r="D16" i="165"/>
  <c r="E16" i="165" s="1"/>
  <c r="D21" i="165"/>
  <c r="E21" i="165" s="1"/>
  <c r="D43" i="165"/>
  <c r="E43" i="165" s="1"/>
  <c r="D42" i="165"/>
  <c r="E42" i="165" s="1"/>
  <c r="D41" i="165"/>
  <c r="E41" i="165" s="1"/>
  <c r="J34" i="84"/>
  <c r="K34" i="84"/>
  <c r="L34" i="84"/>
  <c r="BU34" i="84" s="1"/>
  <c r="L40" i="84"/>
  <c r="BU40" i="84" s="1"/>
  <c r="K40" i="84"/>
  <c r="J40" i="84"/>
  <c r="D44" i="165"/>
  <c r="D17" i="165"/>
  <c r="E17" i="165" s="1"/>
  <c r="D34" i="165"/>
  <c r="L38" i="84"/>
  <c r="BU38" i="84" s="1"/>
  <c r="K38" i="84"/>
  <c r="J38" i="84"/>
  <c r="D29" i="84"/>
  <c r="E29" i="84"/>
  <c r="E39" i="84"/>
  <c r="D39" i="84"/>
  <c r="GK39" i="84" s="1"/>
  <c r="D33" i="165"/>
  <c r="E33" i="165" s="1"/>
  <c r="H41" i="84"/>
  <c r="G41" i="84"/>
  <c r="I41" i="84"/>
  <c r="BS41" i="84" s="1"/>
  <c r="D26" i="165"/>
  <c r="E26" i="165" s="1"/>
  <c r="I36" i="84"/>
  <c r="BS36" i="84" s="1"/>
  <c r="G36" i="84"/>
  <c r="H36" i="84"/>
  <c r="I42" i="84"/>
  <c r="BS42" i="84" s="1"/>
  <c r="H42" i="84"/>
  <c r="G42" i="84"/>
  <c r="E34" i="84"/>
  <c r="D34" i="84"/>
  <c r="GK34" i="84" s="1"/>
  <c r="I44" i="84"/>
  <c r="BS44" i="84" s="1"/>
  <c r="H44" i="84"/>
  <c r="G44" i="84"/>
  <c r="E42" i="84"/>
  <c r="D42" i="84"/>
  <c r="GK42" i="84" s="1"/>
  <c r="L39" i="84"/>
  <c r="BU39" i="84" s="1"/>
  <c r="K39" i="84"/>
  <c r="J39" i="84"/>
  <c r="D37" i="84"/>
  <c r="GK37" i="84" s="1"/>
  <c r="E37" i="84"/>
  <c r="D25" i="165"/>
  <c r="E25" i="165" s="1"/>
  <c r="D40" i="165"/>
  <c r="D28" i="165"/>
  <c r="E40" i="84"/>
  <c r="D40" i="84"/>
  <c r="GK40" i="84" s="1"/>
  <c r="L37" i="84"/>
  <c r="BU37" i="84" s="1"/>
  <c r="K37" i="84"/>
  <c r="J37" i="84"/>
  <c r="J42" i="84"/>
  <c r="L42" i="84"/>
  <c r="BU42" i="84" s="1"/>
  <c r="K42" i="84"/>
  <c r="D18" i="165"/>
  <c r="E18" i="165" s="1"/>
  <c r="AJ21" i="165"/>
  <c r="AJ23" i="165"/>
  <c r="AJ37" i="165"/>
  <c r="AJ36" i="165"/>
  <c r="AJ20" i="165"/>
  <c r="AJ29" i="165"/>
  <c r="AJ28" i="165"/>
  <c r="AJ38" i="165"/>
  <c r="AJ44" i="165"/>
  <c r="AJ16" i="165"/>
  <c r="AJ24" i="165"/>
  <c r="AN33" i="165"/>
  <c r="AJ26" i="165"/>
  <c r="AJ31" i="147"/>
  <c r="AJ39" i="147"/>
  <c r="AJ33" i="147"/>
  <c r="AJ34" i="147"/>
  <c r="AJ35" i="147"/>
  <c r="AJ25" i="147"/>
  <c r="AJ37" i="147"/>
  <c r="AJ23" i="147"/>
  <c r="P43" i="84"/>
  <c r="O43" i="84"/>
  <c r="O40" i="84"/>
  <c r="P40" i="84"/>
  <c r="P37" i="84"/>
  <c r="O37" i="84"/>
  <c r="Q28" i="84"/>
  <c r="R28" i="84" s="1"/>
  <c r="P29" i="84"/>
  <c r="O29" i="84"/>
  <c r="O36" i="84"/>
  <c r="P36" i="84"/>
  <c r="R38" i="84"/>
  <c r="Q38" i="84"/>
  <c r="R36" i="84"/>
  <c r="Q36" i="84"/>
  <c r="Q43" i="84"/>
  <c r="R43" i="84"/>
  <c r="Q41" i="84"/>
  <c r="R41" i="84"/>
  <c r="O39" i="84"/>
  <c r="P39" i="84"/>
  <c r="Q33" i="84"/>
  <c r="R33" i="84"/>
  <c r="R44" i="84"/>
  <c r="Q44" i="84"/>
  <c r="R32" i="84"/>
  <c r="Q32" i="84"/>
  <c r="R37" i="84"/>
  <c r="Q37" i="84"/>
  <c r="R34" i="84"/>
  <c r="Q34" i="84"/>
  <c r="P35" i="84"/>
  <c r="O35" i="84"/>
  <c r="P41" i="84"/>
  <c r="O41" i="84"/>
  <c r="Q30" i="84"/>
  <c r="R30" i="84" s="1"/>
  <c r="P32" i="84"/>
  <c r="O32" i="84"/>
  <c r="R39" i="84"/>
  <c r="Q39" i="84"/>
  <c r="Q35" i="84"/>
  <c r="R35" i="84"/>
  <c r="P42" i="84"/>
  <c r="O42" i="84"/>
  <c r="Q31" i="84"/>
  <c r="R31" i="84" s="1"/>
  <c r="P33" i="84"/>
  <c r="O33" i="84"/>
  <c r="Q42" i="84"/>
  <c r="R42" i="84"/>
  <c r="R40" i="84"/>
  <c r="Q40" i="84"/>
  <c r="R29" i="84"/>
  <c r="Q29" i="84"/>
  <c r="EJ71" i="84"/>
  <c r="DS71" i="84" s="1"/>
  <c r="DU71" i="84" s="1"/>
  <c r="DW71" i="84" s="1"/>
  <c r="FD56" i="160"/>
  <c r="FE56" i="160"/>
  <c r="AD19" i="165"/>
  <c r="FB68" i="84"/>
  <c r="DZ68" i="84" s="1"/>
  <c r="CX58" i="160"/>
  <c r="N18" i="160" s="1"/>
  <c r="EV62" i="160"/>
  <c r="ET22" i="160" s="1"/>
  <c r="FB70" i="84"/>
  <c r="DZ70" i="84" s="1"/>
  <c r="DJ61" i="160"/>
  <c r="FE61" i="160"/>
  <c r="O21" i="160"/>
  <c r="P21" i="160" s="1"/>
  <c r="DB26" i="165"/>
  <c r="DL26" i="165"/>
  <c r="FI54" i="160"/>
  <c r="FH54" i="160"/>
  <c r="FG60" i="84"/>
  <c r="FF56" i="160"/>
  <c r="FF60" i="84"/>
  <c r="DJ59" i="160"/>
  <c r="L19" i="160" s="1"/>
  <c r="BU19" i="160" s="1"/>
  <c r="CZ70" i="84"/>
  <c r="DU22" i="165"/>
  <c r="GC58" i="160"/>
  <c r="GC59" i="160" s="1"/>
  <c r="GC60" i="160" s="1"/>
  <c r="GC61" i="160" s="1"/>
  <c r="GC62" i="160" s="1"/>
  <c r="GC63" i="160" s="1"/>
  <c r="GC64" i="160" s="1"/>
  <c r="GC65" i="160" s="1"/>
  <c r="GC66" i="160" s="1"/>
  <c r="GC67" i="160" s="1"/>
  <c r="GC68" i="160" s="1"/>
  <c r="GC69" i="160" s="1"/>
  <c r="GC70" i="160" s="1"/>
  <c r="GC71" i="160" s="1"/>
  <c r="GC72" i="160" s="1"/>
  <c r="GC73" i="160" s="1"/>
  <c r="GC74" i="160" s="1"/>
  <c r="GC75" i="160" s="1"/>
  <c r="GC76" i="160" s="1"/>
  <c r="GC77" i="160" s="1"/>
  <c r="GC78" i="160" s="1"/>
  <c r="GC79" i="160" s="1"/>
  <c r="GC80" i="160" s="1"/>
  <c r="GC81" i="160" s="1"/>
  <c r="GC82" i="160" s="1"/>
  <c r="GC83" i="160" s="1"/>
  <c r="GC84" i="160" s="1"/>
  <c r="GC85" i="160" s="1"/>
  <c r="DA58" i="160"/>
  <c r="FD58" i="160" s="1"/>
  <c r="CV73" i="84"/>
  <c r="DA73" i="84"/>
  <c r="FD73" i="84" s="1"/>
  <c r="DG73" i="84"/>
  <c r="FE73" i="84" s="1"/>
  <c r="CW73" i="84"/>
  <c r="M33" i="84" s="1"/>
  <c r="FN22" i="165"/>
  <c r="CV58" i="160"/>
  <c r="D18" i="160" s="1"/>
  <c r="E18" i="160" s="1"/>
  <c r="AK40" i="147"/>
  <c r="AD28" i="147"/>
  <c r="FE58" i="160"/>
  <c r="EW58" i="160"/>
  <c r="EU18" i="160" s="1"/>
  <c r="EQ19" i="160"/>
  <c r="DB45" i="165"/>
  <c r="DL45" i="165"/>
  <c r="DL16" i="165"/>
  <c r="DB16" i="165"/>
  <c r="FH60" i="84"/>
  <c r="FF56" i="84"/>
  <c r="AO28" i="147"/>
  <c r="AJ28" i="147"/>
  <c r="AJ36" i="147"/>
  <c r="EF70" i="84"/>
  <c r="D45" i="165"/>
  <c r="E45" i="165" s="1"/>
  <c r="EE70" i="84"/>
  <c r="EG70" i="84" s="1"/>
  <c r="DL70" i="84" s="1"/>
  <c r="DN70" i="84" s="1"/>
  <c r="E44" i="160"/>
  <c r="D44" i="160"/>
  <c r="GK44" i="160" s="1"/>
  <c r="D22" i="160"/>
  <c r="E22" i="160" s="1"/>
  <c r="E23" i="160"/>
  <c r="D23" i="160"/>
  <c r="GK23" i="160" s="1"/>
  <c r="E21" i="160"/>
  <c r="D21" i="160"/>
  <c r="GK21" i="160" s="1"/>
  <c r="D32" i="160"/>
  <c r="GK32" i="160" s="1"/>
  <c r="E32" i="160"/>
  <c r="E20" i="160"/>
  <c r="D20" i="160"/>
  <c r="D16" i="160"/>
  <c r="E42" i="160"/>
  <c r="D42" i="160"/>
  <c r="GK42" i="160" s="1"/>
  <c r="D43" i="160"/>
  <c r="GK43" i="160" s="1"/>
  <c r="E43" i="160"/>
  <c r="E28" i="160"/>
  <c r="D28" i="160"/>
  <c r="GK28" i="160" s="1"/>
  <c r="D24" i="160"/>
  <c r="GK24" i="160" s="1"/>
  <c r="E24" i="160"/>
  <c r="D27" i="160"/>
  <c r="GK27" i="160" s="1"/>
  <c r="E27" i="160"/>
  <c r="E31" i="160"/>
  <c r="D31" i="160"/>
  <c r="GK31" i="160" s="1"/>
  <c r="E45" i="160"/>
  <c r="D45" i="160"/>
  <c r="GK45" i="160" s="1"/>
  <c r="D14" i="160"/>
  <c r="GK14" i="160" s="1"/>
  <c r="E14" i="160"/>
  <c r="E41" i="160"/>
  <c r="D41" i="160"/>
  <c r="GK41" i="160" s="1"/>
  <c r="D19" i="160"/>
  <c r="GK19" i="160" s="1"/>
  <c r="E19" i="160"/>
  <c r="D30" i="160"/>
  <c r="GK30" i="160" s="1"/>
  <c r="E30" i="160"/>
  <c r="E39" i="160"/>
  <c r="D39" i="160"/>
  <c r="GK39" i="160" s="1"/>
  <c r="D35" i="160"/>
  <c r="GK35" i="160" s="1"/>
  <c r="E35" i="160"/>
  <c r="E17" i="160"/>
  <c r="D17" i="160"/>
  <c r="E33" i="160"/>
  <c r="D33" i="160"/>
  <c r="GK33" i="160" s="1"/>
  <c r="E25" i="160"/>
  <c r="D25" i="160"/>
  <c r="E29" i="160"/>
  <c r="D29" i="160"/>
  <c r="GK29" i="160" s="1"/>
  <c r="E15" i="160"/>
  <c r="D15" i="160"/>
  <c r="D34" i="160"/>
  <c r="GK34" i="160" s="1"/>
  <c r="E34" i="160"/>
  <c r="D40" i="160"/>
  <c r="GK40" i="160" s="1"/>
  <c r="E40" i="160"/>
  <c r="D38" i="160"/>
  <c r="GK38" i="160" s="1"/>
  <c r="E38" i="160"/>
  <c r="E26" i="160"/>
  <c r="D26" i="160"/>
  <c r="GK26" i="160" s="1"/>
  <c r="E36" i="160"/>
  <c r="D36" i="160"/>
  <c r="GK36" i="160" s="1"/>
  <c r="E37" i="160"/>
  <c r="D37" i="160"/>
  <c r="GK37" i="160" s="1"/>
  <c r="Q14" i="160"/>
  <c r="R14" i="160"/>
  <c r="P37" i="160"/>
  <c r="O37" i="160"/>
  <c r="R41" i="160"/>
  <c r="Q41" i="160"/>
  <c r="R18" i="160"/>
  <c r="Q18" i="160"/>
  <c r="P36" i="160"/>
  <c r="O36" i="160"/>
  <c r="O26" i="160"/>
  <c r="P26" i="160"/>
  <c r="P32" i="160"/>
  <c r="O32" i="160"/>
  <c r="P20" i="160"/>
  <c r="O20" i="160"/>
  <c r="R31" i="160"/>
  <c r="Q31" i="160"/>
  <c r="P40" i="160"/>
  <c r="O40" i="160"/>
  <c r="R30" i="160"/>
  <c r="Q30" i="160"/>
  <c r="R28" i="160"/>
  <c r="Q28" i="160"/>
  <c r="P31" i="160"/>
  <c r="O31" i="160"/>
  <c r="P43" i="160"/>
  <c r="O43" i="160"/>
  <c r="P23" i="160"/>
  <c r="O23" i="160"/>
  <c r="Q35" i="160"/>
  <c r="R35" i="160"/>
  <c r="R38" i="160"/>
  <c r="Q38" i="160"/>
  <c r="P22" i="160"/>
  <c r="O22" i="160"/>
  <c r="R15" i="160"/>
  <c r="Q15" i="160"/>
  <c r="P24" i="160"/>
  <c r="O24" i="160"/>
  <c r="O18" i="160"/>
  <c r="P18" i="160"/>
  <c r="P38" i="160"/>
  <c r="O38" i="160"/>
  <c r="O17" i="160"/>
  <c r="P17" i="160"/>
  <c r="R33" i="160"/>
  <c r="Q33" i="160"/>
  <c r="R45" i="160"/>
  <c r="Q45" i="160"/>
  <c r="Q43" i="160"/>
  <c r="R43" i="160"/>
  <c r="Q27" i="160"/>
  <c r="R27" i="160"/>
  <c r="R34" i="160"/>
  <c r="Q34" i="160"/>
  <c r="R40" i="160"/>
  <c r="Q40" i="160"/>
  <c r="P28" i="160"/>
  <c r="O28" i="160"/>
  <c r="R20" i="160"/>
  <c r="Q20" i="160"/>
  <c r="P39" i="160"/>
  <c r="O39" i="160"/>
  <c r="R24" i="160"/>
  <c r="Q24" i="160"/>
  <c r="P19" i="160"/>
  <c r="O19" i="160"/>
  <c r="P45" i="160"/>
  <c r="O45" i="160"/>
  <c r="P42" i="160"/>
  <c r="O42" i="160"/>
  <c r="R37" i="160"/>
  <c r="Q37" i="160"/>
  <c r="R42" i="160"/>
  <c r="Q42" i="160"/>
  <c r="P44" i="160"/>
  <c r="O44" i="160"/>
  <c r="O41" i="160"/>
  <c r="P41" i="160"/>
  <c r="R22" i="160"/>
  <c r="Q22" i="160"/>
  <c r="R44" i="160"/>
  <c r="Q44" i="160"/>
  <c r="R25" i="160"/>
  <c r="Q25" i="160"/>
  <c r="Q19" i="160"/>
  <c r="R19" i="160"/>
  <c r="P35" i="160"/>
  <c r="O35" i="160"/>
  <c r="P15" i="160"/>
  <c r="O15" i="160"/>
  <c r="P14" i="160"/>
  <c r="O14" i="160"/>
  <c r="P29" i="160"/>
  <c r="O29" i="160"/>
  <c r="Q21" i="160"/>
  <c r="R21" i="160" s="1"/>
  <c r="O33" i="160"/>
  <c r="P33" i="160"/>
  <c r="R17" i="160"/>
  <c r="Q17" i="160"/>
  <c r="R29" i="160"/>
  <c r="Q29" i="160"/>
  <c r="R36" i="160"/>
  <c r="Q36" i="160"/>
  <c r="R39" i="160"/>
  <c r="Q39" i="160"/>
  <c r="R23" i="160"/>
  <c r="Q23" i="160"/>
  <c r="R26" i="160"/>
  <c r="Q26" i="160"/>
  <c r="R32" i="160"/>
  <c r="Q32" i="160"/>
  <c r="AO38" i="165"/>
  <c r="AN38" i="165"/>
  <c r="AM38" i="165"/>
  <c r="AJ33" i="165"/>
  <c r="AM33" i="165"/>
  <c r="AN19" i="165"/>
  <c r="AJ19" i="165"/>
  <c r="AJ22" i="165"/>
  <c r="AO22" i="165"/>
  <c r="AM39" i="165"/>
  <c r="AJ39" i="165"/>
  <c r="AO33" i="165"/>
  <c r="EW80" i="160"/>
  <c r="EU40" i="160" s="1"/>
  <c r="DJ80" i="160"/>
  <c r="EV75" i="160"/>
  <c r="ET35" i="160" s="1"/>
  <c r="DD75" i="160"/>
  <c r="EV82" i="160"/>
  <c r="ET42" i="160" s="1"/>
  <c r="DD82" i="160"/>
  <c r="EV64" i="160"/>
  <c r="ET24" i="160" s="1"/>
  <c r="EQ24" i="160" s="1"/>
  <c r="DD64" i="160"/>
  <c r="EW79" i="160"/>
  <c r="EU39" i="160" s="1"/>
  <c r="DJ79" i="160"/>
  <c r="EV77" i="160"/>
  <c r="ET37" i="160" s="1"/>
  <c r="DD77" i="160"/>
  <c r="EV81" i="160"/>
  <c r="ET41" i="160" s="1"/>
  <c r="DD81" i="160"/>
  <c r="EW85" i="160"/>
  <c r="EU45" i="160" s="1"/>
  <c r="EQ45" i="160" s="1"/>
  <c r="DJ85" i="160"/>
  <c r="EW77" i="160"/>
  <c r="EU37" i="160" s="1"/>
  <c r="DJ77" i="160"/>
  <c r="EW54" i="160"/>
  <c r="DJ54" i="160"/>
  <c r="EW82" i="160"/>
  <c r="EU42" i="160" s="1"/>
  <c r="DJ82" i="160"/>
  <c r="EW74" i="160"/>
  <c r="EU34" i="160" s="1"/>
  <c r="DJ74" i="160"/>
  <c r="EW81" i="160"/>
  <c r="EU41" i="160" s="1"/>
  <c r="DJ81" i="160"/>
  <c r="EV70" i="160"/>
  <c r="ET30" i="160" s="1"/>
  <c r="DD70" i="160"/>
  <c r="EV63" i="160"/>
  <c r="ET23" i="160" s="1"/>
  <c r="EQ23" i="160" s="1"/>
  <c r="DD63" i="160"/>
  <c r="EV80" i="160"/>
  <c r="ET40" i="160" s="1"/>
  <c r="DD80" i="160"/>
  <c r="EW76" i="160"/>
  <c r="EU36" i="160" s="1"/>
  <c r="DJ76" i="160"/>
  <c r="EV72" i="160"/>
  <c r="ET32" i="160" s="1"/>
  <c r="DD72" i="160"/>
  <c r="EV67" i="160"/>
  <c r="ET27" i="160" s="1"/>
  <c r="EQ27" i="160" s="1"/>
  <c r="DD67" i="160"/>
  <c r="EW83" i="160"/>
  <c r="EU43" i="160" s="1"/>
  <c r="DJ83" i="160"/>
  <c r="DJ63" i="160"/>
  <c r="CW81" i="160"/>
  <c r="M41" i="160" s="1"/>
  <c r="CW68" i="160"/>
  <c r="M28" i="160" s="1"/>
  <c r="EJ66" i="160"/>
  <c r="DS66" i="160" s="1"/>
  <c r="DT66" i="160" s="1"/>
  <c r="DV66" i="160" s="1"/>
  <c r="CX85" i="160"/>
  <c r="N45" i="160" s="1"/>
  <c r="CW58" i="160"/>
  <c r="M18" i="160" s="1"/>
  <c r="DD59" i="160"/>
  <c r="CW83" i="160"/>
  <c r="M43" i="160" s="1"/>
  <c r="EG58" i="160"/>
  <c r="DL58" i="160" s="1"/>
  <c r="DN58" i="160" s="1"/>
  <c r="DP58" i="160" s="1"/>
  <c r="EJ57" i="160"/>
  <c r="DS57" i="160" s="1"/>
  <c r="DU57" i="160" s="1"/>
  <c r="DW57" i="160" s="1"/>
  <c r="EJ73" i="160"/>
  <c r="DS73" i="160" s="1"/>
  <c r="DU73" i="160" s="1"/>
  <c r="DW73" i="160" s="1"/>
  <c r="EG74" i="160"/>
  <c r="DL74" i="160" s="1"/>
  <c r="DM74" i="160" s="1"/>
  <c r="DO74" i="160" s="1"/>
  <c r="EG59" i="160"/>
  <c r="DL59" i="160" s="1"/>
  <c r="DN59" i="160" s="1"/>
  <c r="DP59" i="160" s="1"/>
  <c r="EG66" i="160"/>
  <c r="DL66" i="160" s="1"/>
  <c r="DN66" i="160" s="1"/>
  <c r="DP66" i="160" s="1"/>
  <c r="EG61" i="160"/>
  <c r="DL61" i="160" s="1"/>
  <c r="DN61" i="160" s="1"/>
  <c r="DP61" i="160" s="1"/>
  <c r="CW62" i="160"/>
  <c r="M22" i="160" s="1"/>
  <c r="EG70" i="160"/>
  <c r="DL70" i="160" s="1"/>
  <c r="DM70" i="160" s="1"/>
  <c r="DO70" i="160" s="1"/>
  <c r="CW82" i="160"/>
  <c r="M42" i="160" s="1"/>
  <c r="CX78" i="160"/>
  <c r="N38" i="160" s="1"/>
  <c r="DJ67" i="160"/>
  <c r="CX81" i="160"/>
  <c r="N41" i="160" s="1"/>
  <c r="CX76" i="160"/>
  <c r="N36" i="160" s="1"/>
  <c r="CW73" i="160"/>
  <c r="M33" i="160" s="1"/>
  <c r="CX56" i="160"/>
  <c r="N16" i="160" s="1"/>
  <c r="DD54" i="160"/>
  <c r="DD73" i="160"/>
  <c r="EJ59" i="160"/>
  <c r="DS59" i="160" s="1"/>
  <c r="DU59" i="160" s="1"/>
  <c r="DW59" i="160" s="1"/>
  <c r="CW79" i="160"/>
  <c r="M39" i="160" s="1"/>
  <c r="CW59" i="160"/>
  <c r="M19" i="160" s="1"/>
  <c r="CW55" i="160"/>
  <c r="M15" i="160" s="1"/>
  <c r="CW70" i="160"/>
  <c r="M30" i="160" s="1"/>
  <c r="CX77" i="160"/>
  <c r="N37" i="160" s="1"/>
  <c r="CX68" i="160"/>
  <c r="N28" i="160" s="1"/>
  <c r="CW78" i="160"/>
  <c r="M38" i="160" s="1"/>
  <c r="EJ75" i="160"/>
  <c r="DS75" i="160" s="1"/>
  <c r="DT75" i="160" s="1"/>
  <c r="DV75" i="160" s="1"/>
  <c r="CX54" i="160"/>
  <c r="N14" i="160" s="1"/>
  <c r="CX72" i="160"/>
  <c r="N32" i="160" s="1"/>
  <c r="CW63" i="160"/>
  <c r="M23" i="160" s="1"/>
  <c r="CW67" i="160"/>
  <c r="M27" i="160" s="1"/>
  <c r="CW84" i="160"/>
  <c r="M44" i="160" s="1"/>
  <c r="CW56" i="160"/>
  <c r="M16" i="160" s="1"/>
  <c r="CX71" i="160"/>
  <c r="N31" i="160" s="1"/>
  <c r="EJ82" i="160"/>
  <c r="DS82" i="160" s="1"/>
  <c r="DU82" i="160" s="1"/>
  <c r="DW82" i="160" s="1"/>
  <c r="EJ77" i="160"/>
  <c r="DS77" i="160" s="1"/>
  <c r="DT77" i="160" s="1"/>
  <c r="DV77" i="160" s="1"/>
  <c r="EG78" i="160"/>
  <c r="DL78" i="160" s="1"/>
  <c r="DM78" i="160" s="1"/>
  <c r="DO78" i="160" s="1"/>
  <c r="CW72" i="160"/>
  <c r="M32" i="160" s="1"/>
  <c r="CX61" i="160"/>
  <c r="N21" i="160" s="1"/>
  <c r="EG75" i="160"/>
  <c r="DL75" i="160" s="1"/>
  <c r="DN75" i="160" s="1"/>
  <c r="DP75" i="160" s="1"/>
  <c r="CW61" i="160"/>
  <c r="M21" i="160" s="1"/>
  <c r="EG72" i="160"/>
  <c r="DL72" i="160" s="1"/>
  <c r="DM72" i="160" s="1"/>
  <c r="DO72" i="160" s="1"/>
  <c r="CW75" i="160"/>
  <c r="M35" i="160" s="1"/>
  <c r="CX63" i="160"/>
  <c r="N23" i="160" s="1"/>
  <c r="CX73" i="160"/>
  <c r="N33" i="160" s="1"/>
  <c r="CX64" i="160"/>
  <c r="N24" i="160" s="1"/>
  <c r="CX66" i="160"/>
  <c r="N26" i="160" s="1"/>
  <c r="DD68" i="160"/>
  <c r="DD85" i="160"/>
  <c r="DJ64" i="160"/>
  <c r="CX67" i="160"/>
  <c r="N27" i="160" s="1"/>
  <c r="EG65" i="160"/>
  <c r="DL65" i="160" s="1"/>
  <c r="DM65" i="160" s="1"/>
  <c r="DO65" i="160" s="1"/>
  <c r="CX82" i="160"/>
  <c r="N42" i="160" s="1"/>
  <c r="CW66" i="160"/>
  <c r="M26" i="160" s="1"/>
  <c r="EG82" i="160"/>
  <c r="DL82" i="160" s="1"/>
  <c r="DN82" i="160" s="1"/>
  <c r="DP82" i="160" s="1"/>
  <c r="EJ74" i="160"/>
  <c r="DS74" i="160" s="1"/>
  <c r="DT74" i="160" s="1"/>
  <c r="DV74" i="160" s="1"/>
  <c r="EG60" i="160"/>
  <c r="DL60" i="160" s="1"/>
  <c r="DN60" i="160" s="1"/>
  <c r="DP60" i="160" s="1"/>
  <c r="EG84" i="160"/>
  <c r="DL84" i="160" s="1"/>
  <c r="DM84" i="160" s="1"/>
  <c r="DO84" i="160" s="1"/>
  <c r="CW85" i="160"/>
  <c r="M45" i="160" s="1"/>
  <c r="EG80" i="160"/>
  <c r="DL80" i="160" s="1"/>
  <c r="DN80" i="160" s="1"/>
  <c r="DP80" i="160" s="1"/>
  <c r="EG76" i="160"/>
  <c r="DL76" i="160" s="1"/>
  <c r="DN76" i="160" s="1"/>
  <c r="DP76" i="160" s="1"/>
  <c r="CX69" i="160"/>
  <c r="N29" i="160" s="1"/>
  <c r="CX62" i="160"/>
  <c r="N22" i="160" s="1"/>
  <c r="AP41" i="165"/>
  <c r="DK70" i="160"/>
  <c r="DK79" i="160"/>
  <c r="EY79" i="160" s="1"/>
  <c r="DK63" i="160"/>
  <c r="DK71" i="160"/>
  <c r="BM15" i="160"/>
  <c r="BR15" i="160" s="1"/>
  <c r="BM16" i="160"/>
  <c r="BM25" i="160"/>
  <c r="BR25" i="160" s="1"/>
  <c r="AP32" i="165"/>
  <c r="AP17" i="165"/>
  <c r="AD23" i="147"/>
  <c r="FK57" i="160"/>
  <c r="FJ56" i="160"/>
  <c r="CV70" i="84"/>
  <c r="DG70" i="84"/>
  <c r="DA70" i="84"/>
  <c r="FK57" i="84"/>
  <c r="FJ57" i="84" s="1"/>
  <c r="FG59" i="84"/>
  <c r="EW55" i="160"/>
  <c r="EU15" i="160" s="1"/>
  <c r="DK81" i="84"/>
  <c r="DK80" i="84"/>
  <c r="DK78" i="84"/>
  <c r="BR38" i="84"/>
  <c r="BR36" i="84"/>
  <c r="AK38" i="147"/>
  <c r="AL38" i="147" s="1"/>
  <c r="AH46" i="165"/>
  <c r="AO24" i="165"/>
  <c r="AK34" i="165"/>
  <c r="AL34" i="165" s="1"/>
  <c r="AK25" i="165"/>
  <c r="AL25" i="165" s="1"/>
  <c r="AK30" i="165"/>
  <c r="AK27" i="165"/>
  <c r="AL27" i="165" s="1"/>
  <c r="AG46" i="165"/>
  <c r="AM24" i="165"/>
  <c r="AN24" i="165"/>
  <c r="AD30" i="165"/>
  <c r="ES32" i="165"/>
  <c r="CW65" i="160"/>
  <c r="M25" i="160" s="1"/>
  <c r="DJ65" i="160"/>
  <c r="CX65" i="160"/>
  <c r="N25" i="160" s="1"/>
  <c r="BK28" i="84"/>
  <c r="BK29" i="84" s="1"/>
  <c r="BK30" i="84" s="1"/>
  <c r="BO28" i="84"/>
  <c r="EZ68" i="84" s="1"/>
  <c r="EX68" i="84" s="1"/>
  <c r="GC55" i="84"/>
  <c r="GC56" i="84" s="1"/>
  <c r="GC57" i="84" s="1"/>
  <c r="GC58" i="84" s="1"/>
  <c r="GF54" i="84"/>
  <c r="BY14" i="84"/>
  <c r="BR42" i="84"/>
  <c r="BR34" i="84"/>
  <c r="DF72" i="84"/>
  <c r="DI72" i="84" s="1"/>
  <c r="EI72" i="84"/>
  <c r="EH72" i="84"/>
  <c r="EJ72" i="84" s="1"/>
  <c r="DS72" i="84" s="1"/>
  <c r="DT72" i="84" s="1"/>
  <c r="DV72" i="84" s="1"/>
  <c r="BK14" i="160"/>
  <c r="BK15" i="160" s="1"/>
  <c r="BK16" i="160" s="1"/>
  <c r="BK17" i="160" s="1"/>
  <c r="BK18" i="160" s="1"/>
  <c r="BK19" i="160" s="1"/>
  <c r="BK20" i="160" s="1"/>
  <c r="BK21" i="160" s="1"/>
  <c r="BK22" i="160" s="1"/>
  <c r="BK23" i="160" s="1"/>
  <c r="CZ72" i="84"/>
  <c r="EF72" i="84"/>
  <c r="DA72" i="84"/>
  <c r="EN72" i="84"/>
  <c r="X32" i="84" s="1"/>
  <c r="CW72" i="84"/>
  <c r="M32" i="84" s="1"/>
  <c r="CX72" i="84"/>
  <c r="N32" i="84" s="1"/>
  <c r="AN28" i="147"/>
  <c r="AM28" i="147"/>
  <c r="AO37" i="147"/>
  <c r="AM37" i="147"/>
  <c r="AN37" i="147"/>
  <c r="AM39" i="147"/>
  <c r="AN39" i="147"/>
  <c r="AO39" i="147"/>
  <c r="AD31" i="147"/>
  <c r="AD27" i="147"/>
  <c r="AG41" i="147"/>
  <c r="AA18" i="147" s="1"/>
  <c r="DU76" i="160"/>
  <c r="DW76" i="160" s="1"/>
  <c r="DT76" i="160"/>
  <c r="DV76" i="160" s="1"/>
  <c r="DU71" i="160"/>
  <c r="DW71" i="160" s="1"/>
  <c r="DT71" i="160"/>
  <c r="DV71" i="160" s="1"/>
  <c r="DN68" i="160"/>
  <c r="DP68" i="160" s="1"/>
  <c r="DM68" i="160"/>
  <c r="DO68" i="160" s="1"/>
  <c r="DU70" i="160"/>
  <c r="DW70" i="160" s="1"/>
  <c r="DT70" i="160"/>
  <c r="DV70" i="160" s="1"/>
  <c r="DT55" i="160"/>
  <c r="DV55" i="160" s="1"/>
  <c r="DU55" i="160"/>
  <c r="DW55" i="160" s="1"/>
  <c r="DN81" i="160"/>
  <c r="DP81" i="160" s="1"/>
  <c r="DM81" i="160"/>
  <c r="DO81" i="160" s="1"/>
  <c r="DM63" i="160"/>
  <c r="DO63" i="160" s="1"/>
  <c r="DN63" i="160"/>
  <c r="DP63" i="160" s="1"/>
  <c r="DU80" i="160"/>
  <c r="DW80" i="160" s="1"/>
  <c r="DT80" i="160"/>
  <c r="DV80" i="160" s="1"/>
  <c r="DU60" i="160"/>
  <c r="DW60" i="160" s="1"/>
  <c r="DT60" i="160"/>
  <c r="DV60" i="160" s="1"/>
  <c r="DU68" i="160"/>
  <c r="DW68" i="160" s="1"/>
  <c r="DT68" i="160"/>
  <c r="DV68" i="160" s="1"/>
  <c r="DN67" i="160"/>
  <c r="DP67" i="160" s="1"/>
  <c r="DM67" i="160"/>
  <c r="DO67" i="160" s="1"/>
  <c r="DU81" i="160"/>
  <c r="DW81" i="160" s="1"/>
  <c r="DT81" i="160"/>
  <c r="DV81" i="160" s="1"/>
  <c r="DU64" i="160"/>
  <c r="DW64" i="160" s="1"/>
  <c r="DT64" i="160"/>
  <c r="DV64" i="160" s="1"/>
  <c r="DM55" i="160"/>
  <c r="DO55" i="160" s="1"/>
  <c r="DN55" i="160"/>
  <c r="DP55" i="160" s="1"/>
  <c r="CX57" i="160"/>
  <c r="N17" i="160" s="1"/>
  <c r="DU84" i="160"/>
  <c r="DW84" i="160" s="1"/>
  <c r="DT84" i="160"/>
  <c r="DV84" i="160" s="1"/>
  <c r="DN56" i="160"/>
  <c r="DP56" i="160" s="1"/>
  <c r="DM56" i="160"/>
  <c r="DO56" i="160" s="1"/>
  <c r="DN62" i="160"/>
  <c r="DP62" i="160" s="1"/>
  <c r="DM62" i="160"/>
  <c r="DO62" i="160" s="1"/>
  <c r="DU61" i="160"/>
  <c r="DW61" i="160" s="1"/>
  <c r="DT61" i="160"/>
  <c r="DV61" i="160" s="1"/>
  <c r="DU83" i="160"/>
  <c r="DW83" i="160" s="1"/>
  <c r="DT83" i="160"/>
  <c r="DV83" i="160" s="1"/>
  <c r="DN77" i="160"/>
  <c r="DP77" i="160" s="1"/>
  <c r="DM77" i="160"/>
  <c r="DO77" i="160" s="1"/>
  <c r="DN79" i="160"/>
  <c r="DP79" i="160" s="1"/>
  <c r="DM79" i="160"/>
  <c r="DO79" i="160" s="1"/>
  <c r="DN83" i="160"/>
  <c r="DP83" i="160" s="1"/>
  <c r="DM83" i="160"/>
  <c r="DO83" i="160" s="1"/>
  <c r="DT58" i="160"/>
  <c r="DV58" i="160" s="1"/>
  <c r="DU58" i="160"/>
  <c r="DW58" i="160" s="1"/>
  <c r="DU54" i="160"/>
  <c r="DW54" i="160" s="1"/>
  <c r="DT54" i="160"/>
  <c r="DV54" i="160" s="1"/>
  <c r="DN69" i="160"/>
  <c r="DP69" i="160" s="1"/>
  <c r="DM69" i="160"/>
  <c r="DO69" i="160" s="1"/>
  <c r="DN57" i="160"/>
  <c r="DP57" i="160" s="1"/>
  <c r="DM57" i="160"/>
  <c r="DO57" i="160" s="1"/>
  <c r="DU62" i="160"/>
  <c r="DW62" i="160" s="1"/>
  <c r="DT62" i="160"/>
  <c r="DV62" i="160" s="1"/>
  <c r="DU69" i="160"/>
  <c r="DW69" i="160" s="1"/>
  <c r="DT69" i="160"/>
  <c r="DV69" i="160" s="1"/>
  <c r="DM71" i="160"/>
  <c r="DO71" i="160" s="1"/>
  <c r="DN71" i="160"/>
  <c r="DP71" i="160" s="1"/>
  <c r="DU72" i="160"/>
  <c r="DW72" i="160" s="1"/>
  <c r="DT72" i="160"/>
  <c r="DV72" i="160" s="1"/>
  <c r="DN54" i="160"/>
  <c r="DP54" i="160" s="1"/>
  <c r="DM54" i="160"/>
  <c r="DO54" i="160" s="1"/>
  <c r="DN73" i="160"/>
  <c r="DP73" i="160" s="1"/>
  <c r="DM73" i="160"/>
  <c r="DO73" i="160" s="1"/>
  <c r="DN85" i="160"/>
  <c r="DP85" i="160" s="1"/>
  <c r="DM85" i="160"/>
  <c r="DO85" i="160" s="1"/>
  <c r="DU56" i="160"/>
  <c r="DW56" i="160" s="1"/>
  <c r="DT56" i="160"/>
  <c r="DV56" i="160" s="1"/>
  <c r="DU65" i="160"/>
  <c r="DW65" i="160" s="1"/>
  <c r="DT65" i="160"/>
  <c r="DV65" i="160" s="1"/>
  <c r="DU85" i="160"/>
  <c r="DW85" i="160" s="1"/>
  <c r="DT85" i="160"/>
  <c r="DV85" i="160" s="1"/>
  <c r="DU78" i="160"/>
  <c r="DW78" i="160" s="1"/>
  <c r="DT78" i="160"/>
  <c r="DV78" i="160" s="1"/>
  <c r="DU79" i="160"/>
  <c r="DW79" i="160" s="1"/>
  <c r="DT79" i="160"/>
  <c r="DV79" i="160" s="1"/>
  <c r="DU63" i="160"/>
  <c r="DW63" i="160" s="1"/>
  <c r="DT63" i="160"/>
  <c r="DV63" i="160" s="1"/>
  <c r="DU67" i="160"/>
  <c r="DW67" i="160" s="1"/>
  <c r="DT67" i="160"/>
  <c r="DV67" i="160" s="1"/>
  <c r="DN64" i="160"/>
  <c r="DP64" i="160" s="1"/>
  <c r="DM64" i="160"/>
  <c r="DO64" i="160" s="1"/>
  <c r="DN84" i="84"/>
  <c r="DP84" i="84" s="1"/>
  <c r="DM84" i="84"/>
  <c r="DO84" i="84" s="1"/>
  <c r="DN68" i="84"/>
  <c r="DP68" i="84" s="1"/>
  <c r="DM68" i="84"/>
  <c r="DO68" i="84" s="1"/>
  <c r="DU78" i="84"/>
  <c r="DW78" i="84" s="1"/>
  <c r="DT78" i="84"/>
  <c r="DV78" i="84" s="1"/>
  <c r="DT84" i="84"/>
  <c r="DV84" i="84" s="1"/>
  <c r="DU84" i="84"/>
  <c r="DW84" i="84" s="1"/>
  <c r="DT76" i="84"/>
  <c r="DV76" i="84" s="1"/>
  <c r="DU76" i="84"/>
  <c r="DW76" i="84" s="1"/>
  <c r="DM77" i="84"/>
  <c r="DO77" i="84" s="1"/>
  <c r="DN77" i="84"/>
  <c r="DP77" i="84" s="1"/>
  <c r="DN81" i="84"/>
  <c r="DP81" i="84" s="1"/>
  <c r="DM81" i="84"/>
  <c r="DO81" i="84" s="1"/>
  <c r="DN69" i="84"/>
  <c r="DP69" i="84" s="1"/>
  <c r="DM69" i="84"/>
  <c r="DO69" i="84" s="1"/>
  <c r="DN78" i="84"/>
  <c r="DP78" i="84" s="1"/>
  <c r="DM78" i="84"/>
  <c r="DO78" i="84" s="1"/>
  <c r="DU82" i="84"/>
  <c r="DW82" i="84" s="1"/>
  <c r="DT82" i="84"/>
  <c r="DV82" i="84" s="1"/>
  <c r="DU73" i="84"/>
  <c r="DW73" i="84" s="1"/>
  <c r="DT73" i="84"/>
  <c r="DV73" i="84" s="1"/>
  <c r="DU74" i="84"/>
  <c r="DW74" i="84" s="1"/>
  <c r="DT74" i="84"/>
  <c r="DV74" i="84" s="1"/>
  <c r="DU68" i="84"/>
  <c r="DW68" i="84" s="1"/>
  <c r="DT68" i="84"/>
  <c r="DV68" i="84" s="1"/>
  <c r="DU69" i="84"/>
  <c r="DW69" i="84" s="1"/>
  <c r="DT69" i="84"/>
  <c r="DV69" i="84" s="1"/>
  <c r="DU79" i="84"/>
  <c r="DW79" i="84" s="1"/>
  <c r="DT79" i="84"/>
  <c r="DV79" i="84" s="1"/>
  <c r="DN72" i="84"/>
  <c r="DP72" i="84" s="1"/>
  <c r="DM72" i="84"/>
  <c r="DO72" i="84" s="1"/>
  <c r="DN75" i="84"/>
  <c r="DP75" i="84" s="1"/>
  <c r="DM75" i="84"/>
  <c r="DO75" i="84" s="1"/>
  <c r="DM73" i="84"/>
  <c r="DO73" i="84" s="1"/>
  <c r="DN73" i="84"/>
  <c r="DP73" i="84" s="1"/>
  <c r="DN71" i="84"/>
  <c r="DM71" i="84"/>
  <c r="DU85" i="84"/>
  <c r="DW85" i="84" s="1"/>
  <c r="DT85" i="84"/>
  <c r="DV85" i="84" s="1"/>
  <c r="DN82" i="84"/>
  <c r="DP82" i="84" s="1"/>
  <c r="DM82" i="84"/>
  <c r="DO82" i="84" s="1"/>
  <c r="DU77" i="84"/>
  <c r="DW77" i="84" s="1"/>
  <c r="DT77" i="84"/>
  <c r="DV77" i="84" s="1"/>
  <c r="DN85" i="84"/>
  <c r="DP85" i="84" s="1"/>
  <c r="DM85" i="84"/>
  <c r="DO85" i="84" s="1"/>
  <c r="DN83" i="84"/>
  <c r="DP83" i="84" s="1"/>
  <c r="DM83" i="84"/>
  <c r="DO83" i="84" s="1"/>
  <c r="DN74" i="84"/>
  <c r="DP74" i="84" s="1"/>
  <c r="DM74" i="84"/>
  <c r="DO74" i="84" s="1"/>
  <c r="DU80" i="84"/>
  <c r="DW80" i="84" s="1"/>
  <c r="DT80" i="84"/>
  <c r="DV80" i="84" s="1"/>
  <c r="DU75" i="84"/>
  <c r="DW75" i="84" s="1"/>
  <c r="DT75" i="84"/>
  <c r="DV75" i="84" s="1"/>
  <c r="DU83" i="84"/>
  <c r="DW83" i="84" s="1"/>
  <c r="DT83" i="84"/>
  <c r="DV83" i="84" s="1"/>
  <c r="DN76" i="84"/>
  <c r="DP76" i="84" s="1"/>
  <c r="DM76" i="84"/>
  <c r="DO76" i="84" s="1"/>
  <c r="DU81" i="84"/>
  <c r="DW81" i="84" s="1"/>
  <c r="DT81" i="84"/>
  <c r="DV81" i="84" s="1"/>
  <c r="DN79" i="84"/>
  <c r="DP79" i="84" s="1"/>
  <c r="DM79" i="84"/>
  <c r="DO79" i="84" s="1"/>
  <c r="DN80" i="84"/>
  <c r="DP80" i="84" s="1"/>
  <c r="DM80" i="84"/>
  <c r="DO80" i="84" s="1"/>
  <c r="AD26" i="147"/>
  <c r="AD25" i="147"/>
  <c r="R45" i="84"/>
  <c r="EW57" i="160"/>
  <c r="EU17" i="160" s="1"/>
  <c r="BO30" i="84"/>
  <c r="BR30" i="84" s="1"/>
  <c r="GL32" i="84"/>
  <c r="AK29" i="147"/>
  <c r="AL29" i="147" s="1"/>
  <c r="AE41" i="147"/>
  <c r="AA16" i="147" s="1"/>
  <c r="AF41" i="147"/>
  <c r="AA17" i="147" s="1"/>
  <c r="AH41" i="147"/>
  <c r="AA19" i="147" s="1"/>
  <c r="BR29" i="84"/>
  <c r="EV69" i="84"/>
  <c r="ET29" i="84" s="1"/>
  <c r="DD69" i="84"/>
  <c r="AD30" i="147"/>
  <c r="BR31" i="84"/>
  <c r="CX71" i="84"/>
  <c r="N31" i="84" s="1"/>
  <c r="CW71" i="84"/>
  <c r="M31" i="84" s="1"/>
  <c r="DK73" i="160"/>
  <c r="EY73" i="160" s="1"/>
  <c r="DK80" i="160"/>
  <c r="O45" i="84"/>
  <c r="P45" i="84"/>
  <c r="DK66" i="160"/>
  <c r="GL27" i="147"/>
  <c r="GL45" i="160"/>
  <c r="GL28" i="84"/>
  <c r="DK67" i="160"/>
  <c r="DK83" i="160"/>
  <c r="GL23" i="147"/>
  <c r="GL26" i="160"/>
  <c r="GL30" i="84"/>
  <c r="J45" i="84"/>
  <c r="K45" i="84"/>
  <c r="L45" i="84"/>
  <c r="BU45" i="84" s="1"/>
  <c r="DK82" i="160"/>
  <c r="EY82" i="160" s="1"/>
  <c r="BR33" i="84"/>
  <c r="AO28" i="165"/>
  <c r="AM28" i="165"/>
  <c r="AN28" i="165"/>
  <c r="AY23" i="147"/>
  <c r="AY24" i="147" s="1"/>
  <c r="AO19" i="165"/>
  <c r="AM19" i="165"/>
  <c r="DK75" i="84"/>
  <c r="GL29" i="84"/>
  <c r="DK82" i="84"/>
  <c r="AK31" i="165"/>
  <c r="AL31" i="165" s="1"/>
  <c r="DK72" i="160"/>
  <c r="EY72" i="160" s="1"/>
  <c r="DK77" i="160"/>
  <c r="EY77" i="160" s="1"/>
  <c r="DK54" i="160"/>
  <c r="EY54" i="160" s="1"/>
  <c r="AM16" i="165"/>
  <c r="AK42" i="165"/>
  <c r="AL42" i="165" s="1"/>
  <c r="AK18" i="165"/>
  <c r="AL18" i="165" s="1"/>
  <c r="AK35" i="165"/>
  <c r="AL35" i="165" s="1"/>
  <c r="AN22" i="165"/>
  <c r="DK79" i="84"/>
  <c r="EY79" i="84" s="1"/>
  <c r="AK40" i="165"/>
  <c r="AL40" i="165" s="1"/>
  <c r="AM29" i="165"/>
  <c r="AN29" i="165"/>
  <c r="AO29" i="165"/>
  <c r="AK30" i="147"/>
  <c r="AL30" i="147" s="1"/>
  <c r="AK27" i="147"/>
  <c r="GL28" i="147"/>
  <c r="AO16" i="165"/>
  <c r="GL23" i="160"/>
  <c r="AN36" i="147"/>
  <c r="AM22" i="165"/>
  <c r="GL19" i="165"/>
  <c r="AO39" i="165"/>
  <c r="GL14" i="160"/>
  <c r="AK24" i="147"/>
  <c r="AL24" i="147" s="1"/>
  <c r="DK77" i="84"/>
  <c r="DK78" i="160"/>
  <c r="EY78" i="160" s="1"/>
  <c r="D45" i="84"/>
  <c r="GK45" i="84" s="1"/>
  <c r="E45" i="84"/>
  <c r="DK85" i="84"/>
  <c r="AK43" i="165"/>
  <c r="AL43" i="165" s="1"/>
  <c r="AN16" i="165"/>
  <c r="AO36" i="147"/>
  <c r="GL44" i="84"/>
  <c r="DK83" i="84"/>
  <c r="GL33" i="84"/>
  <c r="AM36" i="147"/>
  <c r="GL38" i="165"/>
  <c r="AN39" i="165"/>
  <c r="GL16" i="165"/>
  <c r="AN23" i="147"/>
  <c r="AM23" i="147"/>
  <c r="AO23" i="147"/>
  <c r="DK74" i="160"/>
  <c r="GL34" i="84"/>
  <c r="DK64" i="160"/>
  <c r="DK76" i="84"/>
  <c r="GL33" i="160"/>
  <c r="AM45" i="165"/>
  <c r="AN45" i="165"/>
  <c r="AO45" i="165"/>
  <c r="AK32" i="147"/>
  <c r="AL32" i="147" s="1"/>
  <c r="DK61" i="160"/>
  <c r="EY61" i="160" s="1"/>
  <c r="GL36" i="165"/>
  <c r="GL40" i="160"/>
  <c r="DK76" i="160"/>
  <c r="EY76" i="160" s="1"/>
  <c r="G45" i="84"/>
  <c r="H45" i="84"/>
  <c r="I45" i="84"/>
  <c r="BS45" i="84" s="1"/>
  <c r="A59" i="116"/>
  <c r="X56" i="116"/>
  <c r="X113" i="116"/>
  <c r="X57" i="116"/>
  <c r="X116" i="116"/>
  <c r="AO33" i="147"/>
  <c r="AM33" i="147"/>
  <c r="AN33" i="147"/>
  <c r="AN31" i="147"/>
  <c r="AO31" i="147"/>
  <c r="AM31" i="147"/>
  <c r="DK69" i="160"/>
  <c r="GL21" i="165"/>
  <c r="AM25" i="147"/>
  <c r="AO25" i="147"/>
  <c r="AN25" i="147"/>
  <c r="GL40" i="165"/>
  <c r="GL35" i="160"/>
  <c r="GL40" i="84"/>
  <c r="GL30" i="147"/>
  <c r="BR39" i="84"/>
  <c r="AM37" i="165"/>
  <c r="AN37" i="165"/>
  <c r="AO37" i="165"/>
  <c r="GL30" i="160"/>
  <c r="AM21" i="165"/>
  <c r="AN21" i="165"/>
  <c r="AO21" i="165"/>
  <c r="DK59" i="160"/>
  <c r="GL43" i="165"/>
  <c r="GL36" i="147"/>
  <c r="GL37" i="147"/>
  <c r="FU56" i="160"/>
  <c r="FO56" i="160"/>
  <c r="AF16" i="160" s="1"/>
  <c r="FX55" i="160"/>
  <c r="DK74" i="84"/>
  <c r="AM34" i="147"/>
  <c r="AN34" i="147"/>
  <c r="AO34" i="147"/>
  <c r="AN35" i="147"/>
  <c r="AO35" i="147"/>
  <c r="AM35" i="147"/>
  <c r="DK84" i="84"/>
  <c r="GL36" i="160"/>
  <c r="BR35" i="84"/>
  <c r="BR40" i="84"/>
  <c r="DK84" i="160"/>
  <c r="GB55" i="160"/>
  <c r="GL44" i="165"/>
  <c r="GL27" i="160"/>
  <c r="GL33" i="147"/>
  <c r="GL42" i="160"/>
  <c r="DK85" i="160"/>
  <c r="GL32" i="165"/>
  <c r="AE46" i="165"/>
  <c r="GL31" i="165"/>
  <c r="GL32" i="160"/>
  <c r="GL29" i="160"/>
  <c r="GL42" i="84"/>
  <c r="GL44" i="160"/>
  <c r="GL26" i="165"/>
  <c r="GL43" i="160"/>
  <c r="GL41" i="84"/>
  <c r="AK26" i="147"/>
  <c r="AL26" i="147" s="1"/>
  <c r="GL37" i="165"/>
  <c r="GL24" i="165"/>
  <c r="GL24" i="160"/>
  <c r="GL45" i="165"/>
  <c r="BR37" i="84"/>
  <c r="AM44" i="165"/>
  <c r="AO44" i="165"/>
  <c r="AN44" i="165"/>
  <c r="DK68" i="160"/>
  <c r="GL39" i="165"/>
  <c r="AM26" i="165"/>
  <c r="AN26" i="165"/>
  <c r="AO26" i="165"/>
  <c r="AM23" i="165"/>
  <c r="AN23" i="165"/>
  <c r="AO23" i="165"/>
  <c r="GL33" i="165"/>
  <c r="GL25" i="165"/>
  <c r="GL34" i="147"/>
  <c r="GL18" i="165"/>
  <c r="GL32" i="147"/>
  <c r="GL19" i="160"/>
  <c r="GL39" i="84"/>
  <c r="GL34" i="160"/>
  <c r="GL37" i="160"/>
  <c r="BR43" i="84"/>
  <c r="AO36" i="165"/>
  <c r="AM36" i="165"/>
  <c r="AN36" i="165"/>
  <c r="AO20" i="165"/>
  <c r="AM20" i="165"/>
  <c r="AN20" i="165"/>
  <c r="DK81" i="160"/>
  <c r="EY81" i="160" s="1"/>
  <c r="AF46" i="165"/>
  <c r="GL42" i="165"/>
  <c r="GL34" i="165"/>
  <c r="GL39" i="147"/>
  <c r="GL36" i="84"/>
  <c r="GL38" i="160"/>
  <c r="GL40" i="147"/>
  <c r="GL31" i="160"/>
  <c r="DK75" i="160"/>
  <c r="EY75" i="160" s="1"/>
  <c r="BR41" i="84"/>
  <c r="GK55" i="160" l="1"/>
  <c r="CM24" i="147"/>
  <c r="EO17" i="165"/>
  <c r="EP17" i="165"/>
  <c r="DD56" i="160"/>
  <c r="EW71" i="84"/>
  <c r="EU31" i="84" s="1"/>
  <c r="ES31" i="84"/>
  <c r="DC71" i="84"/>
  <c r="EG20" i="165"/>
  <c r="EK20" i="165" s="1"/>
  <c r="AR14" i="84"/>
  <c r="FF54" i="84" s="1"/>
  <c r="AS14" i="84"/>
  <c r="GL22" i="165"/>
  <c r="EF29" i="165"/>
  <c r="EG29" i="165"/>
  <c r="EK25" i="165"/>
  <c r="EK27" i="165"/>
  <c r="EK45" i="165"/>
  <c r="EJ35" i="165"/>
  <c r="EJ42" i="165"/>
  <c r="EN32" i="165"/>
  <c r="EP32" i="165" s="1"/>
  <c r="EM32" i="165"/>
  <c r="EO32" i="165" s="1"/>
  <c r="EN45" i="165"/>
  <c r="EM45" i="165"/>
  <c r="EJ24" i="165"/>
  <c r="EJ25" i="165"/>
  <c r="EJ27" i="165"/>
  <c r="EJ45" i="165"/>
  <c r="EK42" i="165"/>
  <c r="EM33" i="165"/>
  <c r="EN33" i="165"/>
  <c r="EG30" i="165"/>
  <c r="EF30" i="165"/>
  <c r="EK24" i="165"/>
  <c r="EK17" i="165"/>
  <c r="EI17" i="165"/>
  <c r="EJ32" i="165"/>
  <c r="EH32" i="165"/>
  <c r="EJ44" i="165"/>
  <c r="EJ26" i="165"/>
  <c r="EJ40" i="165"/>
  <c r="EF43" i="165"/>
  <c r="EG43" i="165"/>
  <c r="EN34" i="165"/>
  <c r="EM34" i="165"/>
  <c r="EF31" i="165"/>
  <c r="EG31" i="165"/>
  <c r="EM20" i="165"/>
  <c r="EN20" i="165"/>
  <c r="EJ28" i="165"/>
  <c r="EJ17" i="165"/>
  <c r="EH17" i="165"/>
  <c r="EK32" i="165"/>
  <c r="EI32" i="165"/>
  <c r="EK44" i="165"/>
  <c r="EK26" i="165"/>
  <c r="EK40" i="165"/>
  <c r="EM44" i="165"/>
  <c r="EN44" i="165"/>
  <c r="N32" i="165"/>
  <c r="P32" i="165"/>
  <c r="O32" i="165"/>
  <c r="EN30" i="165"/>
  <c r="EM30" i="165"/>
  <c r="EM39" i="165"/>
  <c r="EN39" i="165"/>
  <c r="EG34" i="165"/>
  <c r="EF34" i="165"/>
  <c r="EK28" i="165"/>
  <c r="EK33" i="165"/>
  <c r="EJ18" i="165"/>
  <c r="EJ38" i="165"/>
  <c r="EG16" i="165"/>
  <c r="EF16" i="165"/>
  <c r="EM41" i="165"/>
  <c r="EO41" i="165" s="1"/>
  <c r="EN41" i="165"/>
  <c r="EP41" i="165" s="1"/>
  <c r="EF37" i="165"/>
  <c r="EG37" i="165"/>
  <c r="EJ33" i="165"/>
  <c r="EK18" i="165"/>
  <c r="EK38" i="165"/>
  <c r="EF19" i="165"/>
  <c r="EG19" i="165"/>
  <c r="EN42" i="165"/>
  <c r="EM42" i="165"/>
  <c r="EF39" i="165"/>
  <c r="EG39" i="165"/>
  <c r="EN18" i="165"/>
  <c r="EM18" i="165"/>
  <c r="EJ20" i="165"/>
  <c r="EJ36" i="165"/>
  <c r="EF21" i="165"/>
  <c r="EG21" i="165"/>
  <c r="EN43" i="165"/>
  <c r="EM43" i="165"/>
  <c r="EF41" i="165"/>
  <c r="EG41" i="165"/>
  <c r="EK35" i="165"/>
  <c r="EK36" i="165"/>
  <c r="EC22" i="165"/>
  <c r="DP22" i="165"/>
  <c r="D22" i="165" s="1"/>
  <c r="E22" i="165" s="1"/>
  <c r="FT23" i="165"/>
  <c r="FS23" i="165"/>
  <c r="FS22" i="165"/>
  <c r="FT22" i="165"/>
  <c r="AU25" i="147"/>
  <c r="EZ25" i="147" s="1"/>
  <c r="EE25" i="147" s="1"/>
  <c r="FT25" i="147"/>
  <c r="FS25" i="147"/>
  <c r="DT70" i="84"/>
  <c r="AU23" i="147"/>
  <c r="EO23" i="147" s="1"/>
  <c r="FS23" i="147"/>
  <c r="FT23" i="147"/>
  <c r="BR16" i="160"/>
  <c r="FB56" i="160"/>
  <c r="DZ56" i="160" s="1"/>
  <c r="O16" i="160" s="1"/>
  <c r="P16" i="160" s="1"/>
  <c r="FC56" i="160"/>
  <c r="EA56" i="160" s="1"/>
  <c r="Q16" i="160" s="1"/>
  <c r="R16" i="160" s="1"/>
  <c r="FE68" i="84"/>
  <c r="AH15" i="160"/>
  <c r="AG15" i="160"/>
  <c r="DB70" i="84"/>
  <c r="DH70" i="84"/>
  <c r="FE70" i="84" s="1"/>
  <c r="AJ40" i="147"/>
  <c r="AL40" i="147"/>
  <c r="AU39" i="147"/>
  <c r="AZ39" i="147"/>
  <c r="AU31" i="147"/>
  <c r="AU36" i="147"/>
  <c r="CS36" i="147" s="1"/>
  <c r="AZ36" i="147"/>
  <c r="AU37" i="147"/>
  <c r="AZ37" i="147"/>
  <c r="AU35" i="147"/>
  <c r="AZ35" i="147"/>
  <c r="AU34" i="147"/>
  <c r="AZ34" i="147"/>
  <c r="AU33" i="147"/>
  <c r="ES33" i="147" s="1"/>
  <c r="AZ33" i="147"/>
  <c r="DC72" i="84"/>
  <c r="DB72" i="84"/>
  <c r="FD72" i="84" s="1"/>
  <c r="BK31" i="84"/>
  <c r="BK32" i="84" s="1"/>
  <c r="BK33" i="84" s="1"/>
  <c r="BK34" i="84" s="1"/>
  <c r="BK35" i="84" s="1"/>
  <c r="BK36" i="84" s="1"/>
  <c r="BK37" i="84" s="1"/>
  <c r="BK38" i="84" s="1"/>
  <c r="BK39" i="84" s="1"/>
  <c r="BK40" i="84" s="1"/>
  <c r="BK41" i="84" s="1"/>
  <c r="BK42" i="84" s="1"/>
  <c r="BK43" i="84" s="1"/>
  <c r="BK44" i="84" s="1"/>
  <c r="BK45" i="84" s="1"/>
  <c r="BK24" i="160"/>
  <c r="BK25" i="160" s="1"/>
  <c r="BK26" i="160" s="1"/>
  <c r="BK27" i="160" s="1"/>
  <c r="BK28" i="160" s="1"/>
  <c r="BK29" i="160" s="1"/>
  <c r="BK30" i="160" s="1"/>
  <c r="BK31" i="160" s="1"/>
  <c r="BK32" i="160" s="1"/>
  <c r="BK33" i="160" s="1"/>
  <c r="BK34" i="160" s="1"/>
  <c r="BK35" i="160" s="1"/>
  <c r="BK36" i="160" s="1"/>
  <c r="BK37" i="160" s="1"/>
  <c r="BK38" i="160" s="1"/>
  <c r="BK39" i="160" s="1"/>
  <c r="BK40" i="160" s="1"/>
  <c r="BK41" i="160" s="1"/>
  <c r="BK42" i="160" s="1"/>
  <c r="BK43" i="160" s="1"/>
  <c r="BK44" i="160" s="1"/>
  <c r="BK45" i="160" s="1"/>
  <c r="AU22" i="165"/>
  <c r="ES22" i="165" s="1"/>
  <c r="AU19" i="165"/>
  <c r="AU36" i="165"/>
  <c r="EI36" i="165" s="1"/>
  <c r="GK17" i="165"/>
  <c r="GK39" i="165"/>
  <c r="GM39" i="165" s="1"/>
  <c r="AU45" i="165"/>
  <c r="EH45" i="165" s="1"/>
  <c r="AU37" i="165"/>
  <c r="EO37" i="165" s="1"/>
  <c r="E28" i="165"/>
  <c r="GK28" i="165" s="1"/>
  <c r="AU26" i="165"/>
  <c r="EH26" i="165" s="1"/>
  <c r="AU23" i="165"/>
  <c r="AU21" i="165"/>
  <c r="GK33" i="165"/>
  <c r="GM33" i="165" s="1"/>
  <c r="E44" i="165"/>
  <c r="GK44" i="165" s="1"/>
  <c r="GM44" i="165" s="1"/>
  <c r="GK41" i="165"/>
  <c r="GK38" i="165"/>
  <c r="GM38" i="165" s="1"/>
  <c r="AU33" i="165"/>
  <c r="EJ92" i="165" s="1"/>
  <c r="EL92" i="165" s="1"/>
  <c r="AU20" i="165"/>
  <c r="E40" i="165"/>
  <c r="GK40" i="165" s="1"/>
  <c r="GM40" i="165" s="1"/>
  <c r="GK42" i="165"/>
  <c r="GM42" i="165" s="1"/>
  <c r="E24" i="165"/>
  <c r="GK24" i="165" s="1"/>
  <c r="GM24" i="165" s="1"/>
  <c r="E32" i="165"/>
  <c r="GK32" i="165" s="1"/>
  <c r="GM32" i="165" s="1"/>
  <c r="AU39" i="165"/>
  <c r="AU38" i="165"/>
  <c r="EH38" i="165" s="1"/>
  <c r="AU29" i="165"/>
  <c r="EO29" i="165" s="1"/>
  <c r="GK27" i="165"/>
  <c r="GK23" i="165"/>
  <c r="GM23" i="165" s="1"/>
  <c r="AU24" i="165"/>
  <c r="AU44" i="165"/>
  <c r="EI44" i="165" s="1"/>
  <c r="AU28" i="165"/>
  <c r="GK25" i="165"/>
  <c r="GM25" i="165" s="1"/>
  <c r="DV32" i="165"/>
  <c r="AO30" i="165"/>
  <c r="AL30" i="165"/>
  <c r="E34" i="165"/>
  <c r="GK34" i="165" s="1"/>
  <c r="GM34" i="165" s="1"/>
  <c r="GK43" i="165"/>
  <c r="GM43" i="165" s="1"/>
  <c r="GK36" i="165"/>
  <c r="GM36" i="165" s="1"/>
  <c r="GK31" i="165"/>
  <c r="GM31" i="165" s="1"/>
  <c r="E37" i="165"/>
  <c r="GK37" i="165" s="1"/>
  <c r="GM37" i="165" s="1"/>
  <c r="E35" i="165"/>
  <c r="GK35" i="165" s="1"/>
  <c r="DV41" i="165"/>
  <c r="AU16" i="165"/>
  <c r="AU28" i="147"/>
  <c r="AL27" i="147"/>
  <c r="EJ76" i="165"/>
  <c r="EL76" i="165" s="1"/>
  <c r="CS17" i="165"/>
  <c r="GK20" i="165"/>
  <c r="AY25" i="147"/>
  <c r="AY26" i="147" s="1"/>
  <c r="GK21" i="165"/>
  <c r="GM21" i="165" s="1"/>
  <c r="GL45" i="84"/>
  <c r="GM45" i="84" s="1"/>
  <c r="EY76" i="84"/>
  <c r="ES35" i="147"/>
  <c r="EJ78" i="165"/>
  <c r="EL78" i="165" s="1"/>
  <c r="CQ17" i="165"/>
  <c r="EL100" i="165"/>
  <c r="EL91" i="165"/>
  <c r="DL24" i="165"/>
  <c r="FU16" i="165"/>
  <c r="EJ97" i="165"/>
  <c r="EJ88" i="165"/>
  <c r="AD46" i="165"/>
  <c r="AD47" i="165" s="1"/>
  <c r="EZ70" i="84"/>
  <c r="EY83" i="84"/>
  <c r="EY80" i="84"/>
  <c r="EZ55" i="160"/>
  <c r="EX55" i="160" s="1"/>
  <c r="FA70" i="84"/>
  <c r="EY81" i="84"/>
  <c r="FA55" i="160"/>
  <c r="EZ65" i="160"/>
  <c r="EZ56" i="160"/>
  <c r="FA65" i="160"/>
  <c r="FA56" i="160"/>
  <c r="GL25" i="147"/>
  <c r="GK29" i="165"/>
  <c r="FA68" i="84"/>
  <c r="EY68" i="84" s="1"/>
  <c r="DT71" i="84"/>
  <c r="DV71" i="84" s="1"/>
  <c r="FC15" i="160"/>
  <c r="FE15" i="160"/>
  <c r="I29" i="84"/>
  <c r="BS29" i="84" s="1"/>
  <c r="H29" i="84"/>
  <c r="G29" i="84"/>
  <c r="D30" i="84"/>
  <c r="E33" i="84"/>
  <c r="D33" i="84"/>
  <c r="GK33" i="84" s="1"/>
  <c r="GM33" i="84" s="1"/>
  <c r="D25" i="147"/>
  <c r="AJ31" i="165"/>
  <c r="AJ40" i="165"/>
  <c r="AP38" i="165"/>
  <c r="AJ43" i="165"/>
  <c r="AJ24" i="147"/>
  <c r="AU24" i="147" s="1"/>
  <c r="EB24" i="147" s="1"/>
  <c r="EC24" i="147" s="1"/>
  <c r="AJ27" i="147"/>
  <c r="AJ26" i="147"/>
  <c r="AJ30" i="147"/>
  <c r="AJ32" i="147"/>
  <c r="O30" i="84"/>
  <c r="P30" i="84" s="1"/>
  <c r="O28" i="84"/>
  <c r="P28" i="84"/>
  <c r="EW72" i="84"/>
  <c r="EU32" i="84" s="1"/>
  <c r="DC70" i="84"/>
  <c r="DP70" i="84" s="1"/>
  <c r="EV56" i="160"/>
  <c r="ET16" i="160" s="1"/>
  <c r="E16" i="160"/>
  <c r="GK16" i="160" s="1"/>
  <c r="GC59" i="84"/>
  <c r="GC60" i="84" s="1"/>
  <c r="GC61" i="84" s="1"/>
  <c r="GC62" i="84" s="1"/>
  <c r="GC63" i="84" s="1"/>
  <c r="GC64" i="84" s="1"/>
  <c r="GC65" i="84" s="1"/>
  <c r="GC66" i="84" s="1"/>
  <c r="GC67" i="84" s="1"/>
  <c r="GC68" i="84" s="1"/>
  <c r="GC69" i="84" s="1"/>
  <c r="GC70" i="84" s="1"/>
  <c r="GC71" i="84" s="1"/>
  <c r="GC72" i="84" s="1"/>
  <c r="GC73" i="84" s="1"/>
  <c r="GC74" i="84" s="1"/>
  <c r="GC75" i="84" s="1"/>
  <c r="GC76" i="84" s="1"/>
  <c r="GC77" i="84" s="1"/>
  <c r="GC78" i="84" s="1"/>
  <c r="GC79" i="84" s="1"/>
  <c r="GC80" i="84" s="1"/>
  <c r="GC81" i="84" s="1"/>
  <c r="GC82" i="84" s="1"/>
  <c r="GC83" i="84" s="1"/>
  <c r="GC84" i="84" s="1"/>
  <c r="GC85" i="84" s="1"/>
  <c r="EW61" i="160"/>
  <c r="EU21" i="160" s="1"/>
  <c r="DD62" i="160"/>
  <c r="I22" i="160" s="1"/>
  <c r="BS22" i="160" s="1"/>
  <c r="GK22" i="160"/>
  <c r="EW62" i="160"/>
  <c r="EU22" i="160" s="1"/>
  <c r="EQ22" i="160" s="1"/>
  <c r="DJ62" i="160"/>
  <c r="FP56" i="160"/>
  <c r="FX56" i="160" s="1"/>
  <c r="GK18" i="165"/>
  <c r="GM18" i="165" s="1"/>
  <c r="GK26" i="165"/>
  <c r="GM26" i="165" s="1"/>
  <c r="J19" i="160"/>
  <c r="BW14" i="160"/>
  <c r="BX14" i="160" s="1"/>
  <c r="FB14" i="160" s="1"/>
  <c r="K19" i="160"/>
  <c r="DQ68" i="84"/>
  <c r="EV58" i="160"/>
  <c r="ET18" i="160" s="1"/>
  <c r="EQ18" i="160" s="1"/>
  <c r="DX58" i="160"/>
  <c r="DY58" i="160"/>
  <c r="AO40" i="147"/>
  <c r="AN40" i="147"/>
  <c r="AM40" i="147"/>
  <c r="DJ58" i="160"/>
  <c r="J18" i="160" s="1"/>
  <c r="K18" i="160" s="1"/>
  <c r="FD70" i="84"/>
  <c r="GK18" i="160"/>
  <c r="DY75" i="84"/>
  <c r="DR82" i="84"/>
  <c r="DR80" i="84"/>
  <c r="DR75" i="84"/>
  <c r="DX79" i="84"/>
  <c r="DY80" i="84"/>
  <c r="DX75" i="84"/>
  <c r="DQ85" i="84"/>
  <c r="DX74" i="84"/>
  <c r="DQ82" i="84"/>
  <c r="GK16" i="165"/>
  <c r="GM16" i="165" s="1"/>
  <c r="CP16" i="165"/>
  <c r="CQ16" i="165"/>
  <c r="GK45" i="165"/>
  <c r="GM45" i="165" s="1"/>
  <c r="DN78" i="160"/>
  <c r="DP78" i="160" s="1"/>
  <c r="DT59" i="160"/>
  <c r="DV59" i="160" s="1"/>
  <c r="AO38" i="147"/>
  <c r="AJ38" i="147"/>
  <c r="AJ29" i="147"/>
  <c r="DM82" i="160"/>
  <c r="DO82" i="160" s="1"/>
  <c r="DM61" i="160"/>
  <c r="DO61" i="160" s="1"/>
  <c r="H28" i="160"/>
  <c r="I28" i="160"/>
  <c r="BS28" i="160" s="1"/>
  <c r="G28" i="160"/>
  <c r="J41" i="160"/>
  <c r="L41" i="160"/>
  <c r="BU41" i="160" s="1"/>
  <c r="K41" i="160"/>
  <c r="L45" i="160"/>
  <c r="BU45" i="160" s="1"/>
  <c r="K45" i="160"/>
  <c r="J45" i="160"/>
  <c r="I24" i="160"/>
  <c r="BS24" i="160" s="1"/>
  <c r="H24" i="160"/>
  <c r="G24" i="160"/>
  <c r="I33" i="160"/>
  <c r="BS33" i="160" s="1"/>
  <c r="G33" i="160"/>
  <c r="H33" i="160"/>
  <c r="L27" i="160"/>
  <c r="BU27" i="160" s="1"/>
  <c r="K27" i="160"/>
  <c r="J27" i="160"/>
  <c r="L36" i="160"/>
  <c r="BU36" i="160" s="1"/>
  <c r="J36" i="160"/>
  <c r="K36" i="160"/>
  <c r="K34" i="160"/>
  <c r="J34" i="160"/>
  <c r="L34" i="160"/>
  <c r="BU34" i="160" s="1"/>
  <c r="K37" i="160"/>
  <c r="L37" i="160"/>
  <c r="BU37" i="160" s="1"/>
  <c r="J37" i="160"/>
  <c r="I41" i="160"/>
  <c r="BS41" i="160" s="1"/>
  <c r="G41" i="160"/>
  <c r="H41" i="160"/>
  <c r="I35" i="160"/>
  <c r="BS35" i="160" s="1"/>
  <c r="G35" i="160"/>
  <c r="H35" i="160"/>
  <c r="I45" i="160"/>
  <c r="BS45" i="160" s="1"/>
  <c r="H45" i="160"/>
  <c r="G45" i="160"/>
  <c r="H23" i="160"/>
  <c r="G23" i="160"/>
  <c r="I23" i="160"/>
  <c r="BS23" i="160" s="1"/>
  <c r="L40" i="160"/>
  <c r="BU40" i="160" s="1"/>
  <c r="K40" i="160"/>
  <c r="J40" i="160"/>
  <c r="DU74" i="160"/>
  <c r="DW74" i="160" s="1"/>
  <c r="G30" i="160"/>
  <c r="H30" i="160"/>
  <c r="I30" i="160"/>
  <c r="BS30" i="160" s="1"/>
  <c r="K42" i="160"/>
  <c r="J42" i="160"/>
  <c r="L42" i="160"/>
  <c r="BU42" i="160" s="1"/>
  <c r="I37" i="160"/>
  <c r="BS37" i="160" s="1"/>
  <c r="G37" i="160"/>
  <c r="H37" i="160"/>
  <c r="I16" i="160"/>
  <c r="G16" i="160"/>
  <c r="H16" i="160" s="1"/>
  <c r="L21" i="160"/>
  <c r="BU21" i="160" s="1"/>
  <c r="J21" i="160"/>
  <c r="K21" i="160" s="1"/>
  <c r="J25" i="160"/>
  <c r="L25" i="160"/>
  <c r="BU25" i="160" s="1"/>
  <c r="K25" i="160"/>
  <c r="I32" i="160"/>
  <c r="BS32" i="160" s="1"/>
  <c r="H32" i="160"/>
  <c r="G32" i="160"/>
  <c r="I19" i="160"/>
  <c r="BS19" i="160" s="1"/>
  <c r="G19" i="160"/>
  <c r="H19" i="160"/>
  <c r="K23" i="160"/>
  <c r="L23" i="160"/>
  <c r="BU23" i="160" s="1"/>
  <c r="J23" i="160"/>
  <c r="H42" i="160"/>
  <c r="G42" i="160"/>
  <c r="I42" i="160"/>
  <c r="BS42" i="160" s="1"/>
  <c r="G14" i="160"/>
  <c r="H14" i="160"/>
  <c r="I14" i="160"/>
  <c r="BS14" i="160" s="1"/>
  <c r="L43" i="160"/>
  <c r="BU43" i="160" s="1"/>
  <c r="J43" i="160"/>
  <c r="K43" i="160"/>
  <c r="L24" i="160"/>
  <c r="BU24" i="160" s="1"/>
  <c r="K24" i="160"/>
  <c r="J24" i="160"/>
  <c r="I27" i="160"/>
  <c r="BS27" i="160" s="1"/>
  <c r="G27" i="160"/>
  <c r="H27" i="160"/>
  <c r="I40" i="160"/>
  <c r="BS40" i="160" s="1"/>
  <c r="H40" i="160"/>
  <c r="G40" i="160"/>
  <c r="L14" i="160"/>
  <c r="BU14" i="160" s="1"/>
  <c r="J14" i="160"/>
  <c r="K14" i="160"/>
  <c r="K39" i="160"/>
  <c r="J39" i="160"/>
  <c r="L39" i="160"/>
  <c r="BU39" i="160" s="1"/>
  <c r="AP33" i="165"/>
  <c r="DM70" i="84"/>
  <c r="AO35" i="165"/>
  <c r="AJ35" i="165"/>
  <c r="AO27" i="165"/>
  <c r="AJ27" i="165"/>
  <c r="AJ30" i="165"/>
  <c r="AO34" i="165"/>
  <c r="AJ34" i="165"/>
  <c r="AO18" i="165"/>
  <c r="AJ18" i="165"/>
  <c r="AN25" i="165"/>
  <c r="AJ25" i="165"/>
  <c r="AN42" i="165"/>
  <c r="AJ42" i="165"/>
  <c r="EQ40" i="160"/>
  <c r="DU66" i="160"/>
  <c r="DW66" i="160" s="1"/>
  <c r="DN74" i="160"/>
  <c r="DP74" i="160" s="1"/>
  <c r="DM66" i="160"/>
  <c r="DO66" i="160" s="1"/>
  <c r="DN65" i="160"/>
  <c r="DP65" i="160" s="1"/>
  <c r="DM59" i="160"/>
  <c r="DO59" i="160" s="1"/>
  <c r="DT73" i="160"/>
  <c r="DV73" i="160" s="1"/>
  <c r="EQ37" i="160"/>
  <c r="DN70" i="160"/>
  <c r="DP70" i="160" s="1"/>
  <c r="DM80" i="160"/>
  <c r="DO80" i="160" s="1"/>
  <c r="DM76" i="160"/>
  <c r="DO76" i="160" s="1"/>
  <c r="DN72" i="160"/>
  <c r="DP72" i="160" s="1"/>
  <c r="DT82" i="160"/>
  <c r="DV82" i="160" s="1"/>
  <c r="DM75" i="160"/>
  <c r="DO75" i="160" s="1"/>
  <c r="DY80" i="160"/>
  <c r="EW70" i="160"/>
  <c r="EU30" i="160" s="1"/>
  <c r="EQ30" i="160" s="1"/>
  <c r="DJ70" i="160"/>
  <c r="EW56" i="160"/>
  <c r="EU16" i="160" s="1"/>
  <c r="DJ56" i="160"/>
  <c r="DK56" i="160" s="1"/>
  <c r="EV78" i="160"/>
  <c r="ET38" i="160" s="1"/>
  <c r="DD78" i="160"/>
  <c r="EW71" i="160"/>
  <c r="EU31" i="160" s="1"/>
  <c r="DJ71" i="160"/>
  <c r="EV79" i="160"/>
  <c r="ET39" i="160" s="1"/>
  <c r="EQ39" i="160" s="1"/>
  <c r="DD79" i="160"/>
  <c r="EQ41" i="160"/>
  <c r="EV66" i="160"/>
  <c r="ET26" i="160" s="1"/>
  <c r="DD66" i="160"/>
  <c r="EW66" i="160"/>
  <c r="EU26" i="160" s="1"/>
  <c r="DJ66" i="160"/>
  <c r="EV71" i="160"/>
  <c r="ET31" i="160" s="1"/>
  <c r="DD71" i="160"/>
  <c r="EV84" i="160"/>
  <c r="ET44" i="160" s="1"/>
  <c r="DD84" i="160"/>
  <c r="EW75" i="160"/>
  <c r="EU35" i="160" s="1"/>
  <c r="EQ35" i="160" s="1"/>
  <c r="DJ75" i="160"/>
  <c r="DU75" i="160"/>
  <c r="DW75" i="160" s="1"/>
  <c r="DU77" i="160"/>
  <c r="DW77" i="160" s="1"/>
  <c r="DN84" i="160"/>
  <c r="DP84" i="160" s="1"/>
  <c r="EV74" i="160"/>
  <c r="ET34" i="160" s="1"/>
  <c r="EQ34" i="160" s="1"/>
  <c r="DD74" i="160"/>
  <c r="EV61" i="160"/>
  <c r="ET21" i="160" s="1"/>
  <c r="DD61" i="160"/>
  <c r="EW68" i="160"/>
  <c r="EU28" i="160" s="1"/>
  <c r="EQ28" i="160" s="1"/>
  <c r="DJ68" i="160"/>
  <c r="DY59" i="160"/>
  <c r="DJ55" i="160"/>
  <c r="EW69" i="160"/>
  <c r="EU29" i="160" s="1"/>
  <c r="DJ69" i="160"/>
  <c r="EW73" i="160"/>
  <c r="EU33" i="160" s="1"/>
  <c r="EQ33" i="160" s="1"/>
  <c r="DJ73" i="160"/>
  <c r="DM58" i="160"/>
  <c r="DO58" i="160" s="1"/>
  <c r="DT57" i="160"/>
  <c r="DV57" i="160" s="1"/>
  <c r="DM60" i="160"/>
  <c r="DO60" i="160" s="1"/>
  <c r="EW78" i="160"/>
  <c r="EU38" i="160" s="1"/>
  <c r="DJ78" i="160"/>
  <c r="EW72" i="160"/>
  <c r="EU32" i="160" s="1"/>
  <c r="EQ32" i="160" s="1"/>
  <c r="DJ72" i="160"/>
  <c r="EV69" i="160"/>
  <c r="ET29" i="160" s="1"/>
  <c r="DD69" i="160"/>
  <c r="EW84" i="160"/>
  <c r="EU44" i="160" s="1"/>
  <c r="DJ84" i="160"/>
  <c r="EV83" i="160"/>
  <c r="ET43" i="160" s="1"/>
  <c r="EQ43" i="160" s="1"/>
  <c r="DD83" i="160"/>
  <c r="DX80" i="160"/>
  <c r="DX71" i="160"/>
  <c r="EQ42" i="160"/>
  <c r="EY63" i="160"/>
  <c r="EY71" i="160"/>
  <c r="DR32" i="165"/>
  <c r="M32" i="165" s="1"/>
  <c r="AN34" i="165"/>
  <c r="AP29" i="165"/>
  <c r="AP24" i="165"/>
  <c r="AM27" i="165"/>
  <c r="AM34" i="165"/>
  <c r="AN27" i="165"/>
  <c r="GM26" i="160"/>
  <c r="GM33" i="160"/>
  <c r="GM34" i="160"/>
  <c r="EY70" i="160"/>
  <c r="AP44" i="165"/>
  <c r="AP37" i="165"/>
  <c r="AP22" i="165"/>
  <c r="AP26" i="165"/>
  <c r="AP28" i="165"/>
  <c r="AP23" i="165"/>
  <c r="AP21" i="165"/>
  <c r="AP16" i="165"/>
  <c r="AP19" i="165"/>
  <c r="AP45" i="165"/>
  <c r="AP36" i="165"/>
  <c r="AP20" i="165"/>
  <c r="AP39" i="165"/>
  <c r="AP36" i="147"/>
  <c r="AP31" i="147"/>
  <c r="AP33" i="147"/>
  <c r="AP39" i="147"/>
  <c r="AP34" i="147"/>
  <c r="AP28" i="147"/>
  <c r="AP35" i="147"/>
  <c r="AN29" i="147"/>
  <c r="AP37" i="147"/>
  <c r="AP23" i="147"/>
  <c r="FK58" i="160"/>
  <c r="FJ57" i="160"/>
  <c r="FK58" i="84"/>
  <c r="FJ58" i="84" s="1"/>
  <c r="GL16" i="160"/>
  <c r="AO25" i="165"/>
  <c r="GM36" i="84"/>
  <c r="EY78" i="84"/>
  <c r="GK15" i="160"/>
  <c r="EV55" i="160"/>
  <c r="ET15" i="160" s="1"/>
  <c r="EQ15" i="160" s="1"/>
  <c r="DD55" i="160"/>
  <c r="AO29" i="147"/>
  <c r="AN38" i="147"/>
  <c r="AM38" i="147"/>
  <c r="AM29" i="147"/>
  <c r="DQ17" i="165"/>
  <c r="L17" i="165" s="1"/>
  <c r="AM25" i="165"/>
  <c r="AN35" i="165"/>
  <c r="ES17" i="165"/>
  <c r="AN30" i="165"/>
  <c r="AM42" i="165"/>
  <c r="AM30" i="165"/>
  <c r="EU17" i="165"/>
  <c r="DR17" i="165"/>
  <c r="M17" i="165" s="1"/>
  <c r="FS30" i="165"/>
  <c r="FT30" i="165"/>
  <c r="ET17" i="165"/>
  <c r="ET32" i="165"/>
  <c r="ET33" i="165"/>
  <c r="AO43" i="165"/>
  <c r="AO42" i="165"/>
  <c r="CR17" i="165"/>
  <c r="CR33" i="165"/>
  <c r="CS32" i="165"/>
  <c r="CR32" i="165"/>
  <c r="DQ32" i="165"/>
  <c r="L32" i="165" s="1"/>
  <c r="EU33" i="165"/>
  <c r="AM43" i="165"/>
  <c r="AN43" i="165"/>
  <c r="EU32" i="165"/>
  <c r="DQ33" i="165"/>
  <c r="L33" i="165" s="1"/>
  <c r="EW65" i="160"/>
  <c r="EU25" i="160" s="1"/>
  <c r="DQ65" i="160"/>
  <c r="GK30" i="165"/>
  <c r="GK25" i="160"/>
  <c r="DJ68" i="84"/>
  <c r="DD68" i="84"/>
  <c r="GK28" i="84"/>
  <c r="GM28" i="84" s="1"/>
  <c r="EQ28" i="84"/>
  <c r="BR28" i="84"/>
  <c r="DU72" i="84"/>
  <c r="DW72" i="84" s="1"/>
  <c r="GK32" i="84"/>
  <c r="GM32" i="84" s="1"/>
  <c r="GK35" i="147"/>
  <c r="GK23" i="147"/>
  <c r="GM23" i="147" s="1"/>
  <c r="GK32" i="147"/>
  <c r="GM32" i="147" s="1"/>
  <c r="GK36" i="147"/>
  <c r="GM36" i="147" s="1"/>
  <c r="GK38" i="147"/>
  <c r="GK39" i="147"/>
  <c r="GM39" i="147" s="1"/>
  <c r="GK34" i="147"/>
  <c r="GM34" i="147" s="1"/>
  <c r="GK40" i="147"/>
  <c r="GM40" i="147" s="1"/>
  <c r="GK37" i="147"/>
  <c r="GM37" i="147" s="1"/>
  <c r="GK33" i="147"/>
  <c r="GM33" i="147" s="1"/>
  <c r="GK24" i="147"/>
  <c r="DY79" i="160"/>
  <c r="DY84" i="160"/>
  <c r="AD41" i="147"/>
  <c r="AD47" i="147" s="1"/>
  <c r="DJ57" i="160"/>
  <c r="GK17" i="160"/>
  <c r="EV57" i="160"/>
  <c r="ET17" i="160" s="1"/>
  <c r="EQ17" i="160" s="1"/>
  <c r="DD57" i="160"/>
  <c r="GL31" i="147"/>
  <c r="GL26" i="147"/>
  <c r="GL20" i="160"/>
  <c r="GK20" i="160"/>
  <c r="EW60" i="160"/>
  <c r="EU20" i="160" s="1"/>
  <c r="DJ60" i="160"/>
  <c r="EV60" i="160"/>
  <c r="ET20" i="160" s="1"/>
  <c r="DD60" i="160"/>
  <c r="GK29" i="84"/>
  <c r="GM29" i="84" s="1"/>
  <c r="EW69" i="84"/>
  <c r="EU29" i="84" s="1"/>
  <c r="EQ29" i="84" s="1"/>
  <c r="DJ69" i="84"/>
  <c r="DX79" i="160"/>
  <c r="DY85" i="160"/>
  <c r="GK31" i="147"/>
  <c r="GK29" i="147"/>
  <c r="GM29" i="147" s="1"/>
  <c r="GK30" i="147"/>
  <c r="GM30" i="147" s="1"/>
  <c r="GK28" i="147"/>
  <c r="GM28" i="147" s="1"/>
  <c r="GK19" i="165"/>
  <c r="GM19" i="165" s="1"/>
  <c r="DX78" i="160"/>
  <c r="DY54" i="160"/>
  <c r="DQ75" i="84"/>
  <c r="DX56" i="160"/>
  <c r="DQ76" i="84"/>
  <c r="DX77" i="84"/>
  <c r="DY69" i="84"/>
  <c r="DX64" i="160"/>
  <c r="DX83" i="160"/>
  <c r="DX74" i="160"/>
  <c r="DR68" i="160"/>
  <c r="DQ84" i="160"/>
  <c r="DQ83" i="160"/>
  <c r="DQ70" i="160"/>
  <c r="DQ71" i="160"/>
  <c r="DQ79" i="160"/>
  <c r="DQ56" i="160"/>
  <c r="DR83" i="160"/>
  <c r="DR71" i="160"/>
  <c r="DR79" i="160"/>
  <c r="DR76" i="160"/>
  <c r="DR56" i="160"/>
  <c r="DR57" i="160"/>
  <c r="DR54" i="160"/>
  <c r="DQ77" i="160"/>
  <c r="DR59" i="160"/>
  <c r="DQ68" i="160"/>
  <c r="DR64" i="160"/>
  <c r="DQ72" i="160"/>
  <c r="DQ69" i="160"/>
  <c r="DR81" i="160"/>
  <c r="DQ64" i="160"/>
  <c r="DR80" i="160"/>
  <c r="DR63" i="160"/>
  <c r="DR60" i="160"/>
  <c r="DR69" i="160"/>
  <c r="DR75" i="160"/>
  <c r="DR62" i="160"/>
  <c r="DR77" i="160"/>
  <c r="DQ81" i="160"/>
  <c r="DQ63" i="160"/>
  <c r="DQ62" i="160"/>
  <c r="DQ67" i="160"/>
  <c r="DQ73" i="160"/>
  <c r="DQ55" i="160"/>
  <c r="DQ85" i="160"/>
  <c r="DQ78" i="160"/>
  <c r="DQ57" i="160"/>
  <c r="DQ54" i="160"/>
  <c r="DQ74" i="160"/>
  <c r="DR61" i="160"/>
  <c r="DR67" i="160"/>
  <c r="DR82" i="160"/>
  <c r="DR73" i="160"/>
  <c r="DR66" i="160"/>
  <c r="DR55" i="160"/>
  <c r="DR85" i="160"/>
  <c r="DX80" i="84"/>
  <c r="DQ81" i="84"/>
  <c r="DX68" i="84"/>
  <c r="GM45" i="160"/>
  <c r="DX66" i="160"/>
  <c r="GM42" i="160"/>
  <c r="DY71" i="84"/>
  <c r="DJ71" i="84"/>
  <c r="DY77" i="84"/>
  <c r="GM41" i="84"/>
  <c r="GK31" i="84"/>
  <c r="GM31" i="84" s="1"/>
  <c r="EV71" i="84"/>
  <c r="ET31" i="84" s="1"/>
  <c r="EQ31" i="84" s="1"/>
  <c r="DD71" i="84"/>
  <c r="DY56" i="160"/>
  <c r="EY82" i="84"/>
  <c r="DX84" i="160"/>
  <c r="DR81" i="84"/>
  <c r="DY68" i="84"/>
  <c r="GM36" i="160"/>
  <c r="GM31" i="160"/>
  <c r="EY80" i="160"/>
  <c r="DR68" i="84"/>
  <c r="DY83" i="160"/>
  <c r="EY83" i="160"/>
  <c r="DY64" i="160"/>
  <c r="GM40" i="84"/>
  <c r="GM37" i="160"/>
  <c r="GM42" i="84"/>
  <c r="EY66" i="160"/>
  <c r="GL17" i="160"/>
  <c r="DR85" i="84"/>
  <c r="DR76" i="84"/>
  <c r="DX85" i="160"/>
  <c r="GM23" i="160"/>
  <c r="DQ80" i="84"/>
  <c r="DX54" i="160"/>
  <c r="DX75" i="160"/>
  <c r="EY75" i="84"/>
  <c r="DY78" i="160"/>
  <c r="DY74" i="84"/>
  <c r="EY67" i="160"/>
  <c r="GM34" i="84"/>
  <c r="DQ73" i="84"/>
  <c r="GM39" i="84"/>
  <c r="DR73" i="84"/>
  <c r="GM35" i="160"/>
  <c r="GM27" i="160"/>
  <c r="GM38" i="160"/>
  <c r="GL29" i="165"/>
  <c r="GM43" i="160"/>
  <c r="EY69" i="160"/>
  <c r="GM44" i="84"/>
  <c r="GL35" i="147"/>
  <c r="GM14" i="160"/>
  <c r="GL38" i="147"/>
  <c r="GL18" i="160"/>
  <c r="GL35" i="165"/>
  <c r="DQ69" i="84"/>
  <c r="DY79" i="84"/>
  <c r="DY71" i="160"/>
  <c r="EY74" i="160"/>
  <c r="GM30" i="160"/>
  <c r="GM40" i="160"/>
  <c r="DR69" i="84"/>
  <c r="EY64" i="160"/>
  <c r="AM35" i="165"/>
  <c r="GM29" i="160"/>
  <c r="DY70" i="160"/>
  <c r="DR72" i="84"/>
  <c r="GL30" i="165"/>
  <c r="DR83" i="84"/>
  <c r="DQ83" i="84"/>
  <c r="GL21" i="160"/>
  <c r="GM21" i="160" s="1"/>
  <c r="GM32" i="160"/>
  <c r="AM18" i="165"/>
  <c r="GL17" i="165"/>
  <c r="DX55" i="160"/>
  <c r="DX63" i="160"/>
  <c r="DX73" i="84"/>
  <c r="GL41" i="160"/>
  <c r="GM41" i="160" s="1"/>
  <c r="DY63" i="160"/>
  <c r="DX72" i="160"/>
  <c r="AN40" i="165"/>
  <c r="AM40" i="165"/>
  <c r="AO40" i="165"/>
  <c r="AO31" i="165"/>
  <c r="AM31" i="165"/>
  <c r="AN31" i="165"/>
  <c r="EY68" i="160"/>
  <c r="GL38" i="84"/>
  <c r="GM38" i="84" s="1"/>
  <c r="AN18" i="165"/>
  <c r="DX69" i="84"/>
  <c r="DY55" i="160"/>
  <c r="AM32" i="147"/>
  <c r="AN32" i="147"/>
  <c r="AO32" i="147"/>
  <c r="DY73" i="84"/>
  <c r="AM27" i="147"/>
  <c r="AO27" i="147"/>
  <c r="AN27" i="147"/>
  <c r="AM24" i="147"/>
  <c r="AN24" i="147"/>
  <c r="AO24" i="147"/>
  <c r="DY72" i="160"/>
  <c r="EY85" i="84"/>
  <c r="GM24" i="160"/>
  <c r="DX70" i="160"/>
  <c r="AO30" i="147"/>
  <c r="AM30" i="147"/>
  <c r="AN30" i="147"/>
  <c r="EY77" i="84"/>
  <c r="AO26" i="147"/>
  <c r="AN26" i="147"/>
  <c r="AM26" i="147"/>
  <c r="DY61" i="160"/>
  <c r="DX81" i="84"/>
  <c r="DX76" i="84"/>
  <c r="DY78" i="84"/>
  <c r="DX77" i="160"/>
  <c r="EY59" i="160"/>
  <c r="DX61" i="160"/>
  <c r="DY76" i="160"/>
  <c r="GL24" i="147"/>
  <c r="DY81" i="84"/>
  <c r="DX81" i="160"/>
  <c r="DY69" i="160"/>
  <c r="GL43" i="84"/>
  <c r="GM43" i="84" s="1"/>
  <c r="DX60" i="160"/>
  <c r="GL20" i="165"/>
  <c r="DX68" i="160"/>
  <c r="GL39" i="160"/>
  <c r="GM39" i="160" s="1"/>
  <c r="DX76" i="160"/>
  <c r="GM19" i="160"/>
  <c r="DY81" i="160"/>
  <c r="DX69" i="160"/>
  <c r="GL28" i="165"/>
  <c r="DQ84" i="84"/>
  <c r="DY60" i="160"/>
  <c r="DQ74" i="84"/>
  <c r="DY82" i="84"/>
  <c r="DY83" i="84"/>
  <c r="DR74" i="84"/>
  <c r="DX84" i="84"/>
  <c r="DX82" i="84"/>
  <c r="DX83" i="84"/>
  <c r="GL28" i="160"/>
  <c r="GM28" i="160" s="1"/>
  <c r="GL37" i="84"/>
  <c r="GM37" i="84" s="1"/>
  <c r="EY84" i="160"/>
  <c r="DR77" i="84"/>
  <c r="CS19" i="165"/>
  <c r="DR19" i="165"/>
  <c r="M19" i="165" s="1"/>
  <c r="DQ19" i="165"/>
  <c r="L19" i="165" s="1"/>
  <c r="DX78" i="84"/>
  <c r="DR79" i="84"/>
  <c r="DY65" i="160"/>
  <c r="EY74" i="84"/>
  <c r="GL41" i="165"/>
  <c r="DR78" i="84"/>
  <c r="GL25" i="160"/>
  <c r="GL15" i="160"/>
  <c r="DY57" i="160"/>
  <c r="DX67" i="160"/>
  <c r="DX85" i="84"/>
  <c r="DX62" i="160"/>
  <c r="EY84" i="84"/>
  <c r="DY68" i="160"/>
  <c r="DQ78" i="84"/>
  <c r="GL27" i="165"/>
  <c r="DY84" i="84"/>
  <c r="DQ79" i="84"/>
  <c r="DQ77" i="84"/>
  <c r="GI87" i="84"/>
  <c r="GJ87" i="84" s="1"/>
  <c r="DY73" i="160"/>
  <c r="DX65" i="160"/>
  <c r="EU38" i="165"/>
  <c r="ET38" i="165"/>
  <c r="CS38" i="165"/>
  <c r="CR38" i="165"/>
  <c r="DQ38" i="165"/>
  <c r="L38" i="165" s="1"/>
  <c r="ES38" i="165"/>
  <c r="DR38" i="165"/>
  <c r="M38" i="165" s="1"/>
  <c r="DR84" i="84"/>
  <c r="DY67" i="160"/>
  <c r="ES28" i="165"/>
  <c r="CS41" i="165"/>
  <c r="CR41" i="165"/>
  <c r="ES41" i="165"/>
  <c r="DQ41" i="165"/>
  <c r="L41" i="165" s="1"/>
  <c r="ET41" i="165"/>
  <c r="DR41" i="165"/>
  <c r="M41" i="165" s="1"/>
  <c r="EU41" i="165"/>
  <c r="EY85" i="160"/>
  <c r="DY85" i="84"/>
  <c r="DY62" i="160"/>
  <c r="GM44" i="160"/>
  <c r="DY82" i="160"/>
  <c r="GL22" i="160"/>
  <c r="GL35" i="84"/>
  <c r="GM35" i="84" s="1"/>
  <c r="DY76" i="84"/>
  <c r="FP24" i="147" l="1"/>
  <c r="ED24" i="147"/>
  <c r="EP28" i="165"/>
  <c r="EO28" i="165"/>
  <c r="EH36" i="165"/>
  <c r="EP44" i="165"/>
  <c r="EP36" i="165"/>
  <c r="EP39" i="165"/>
  <c r="EO44" i="165"/>
  <c r="EP29" i="165"/>
  <c r="EP38" i="165"/>
  <c r="EO21" i="165"/>
  <c r="EP21" i="165"/>
  <c r="EO39" i="165"/>
  <c r="EH44" i="165"/>
  <c r="EO19" i="165"/>
  <c r="EP19" i="165"/>
  <c r="EI38" i="165"/>
  <c r="EI33" i="165"/>
  <c r="EP33" i="165"/>
  <c r="EO16" i="165"/>
  <c r="EP16" i="165"/>
  <c r="EO26" i="165"/>
  <c r="EP26" i="165"/>
  <c r="EI26" i="165"/>
  <c r="EH28" i="165"/>
  <c r="EO33" i="165"/>
  <c r="EO36" i="165"/>
  <c r="EI28" i="165"/>
  <c r="EO38" i="165"/>
  <c r="EP37" i="165"/>
  <c r="EO45" i="165"/>
  <c r="EI45" i="165"/>
  <c r="EH33" i="165"/>
  <c r="EP45" i="165"/>
  <c r="DQ33" i="147"/>
  <c r="L33" i="147" s="1"/>
  <c r="EP28" i="147"/>
  <c r="EH28" i="147"/>
  <c r="EI28" i="147"/>
  <c r="EO28" i="147"/>
  <c r="EI31" i="147"/>
  <c r="EP31" i="147"/>
  <c r="EO31" i="147"/>
  <c r="EH31" i="147"/>
  <c r="EO34" i="147"/>
  <c r="EH34" i="147"/>
  <c r="EI34" i="147"/>
  <c r="EP34" i="147"/>
  <c r="EI39" i="147"/>
  <c r="EP39" i="147"/>
  <c r="EO39" i="147"/>
  <c r="EH39" i="147"/>
  <c r="EI35" i="147"/>
  <c r="EH35" i="147"/>
  <c r="EO35" i="147"/>
  <c r="EP35" i="147"/>
  <c r="EO37" i="147"/>
  <c r="EH37" i="147"/>
  <c r="EP37" i="147"/>
  <c r="EI37" i="147"/>
  <c r="ET35" i="147"/>
  <c r="Q35" i="147" s="1"/>
  <c r="EI33" i="147"/>
  <c r="EO33" i="147"/>
  <c r="EH33" i="147"/>
  <c r="EP33" i="147"/>
  <c r="EP36" i="147"/>
  <c r="EH36" i="147"/>
  <c r="EI36" i="147"/>
  <c r="EO36" i="147"/>
  <c r="EI23" i="147"/>
  <c r="EH23" i="147"/>
  <c r="EP23" i="147"/>
  <c r="DO71" i="84"/>
  <c r="DQ71" i="84" s="1"/>
  <c r="ER31" i="84"/>
  <c r="DP71" i="84"/>
  <c r="DR71" i="84" s="1"/>
  <c r="DO70" i="84"/>
  <c r="DI70" i="84"/>
  <c r="EW70" i="84" s="1"/>
  <c r="EU30" i="84" s="1"/>
  <c r="DV70" i="84"/>
  <c r="DL20" i="165"/>
  <c r="DB20" i="165"/>
  <c r="EB20" i="165"/>
  <c r="EC20" i="165" s="1"/>
  <c r="EP20" i="165" s="1"/>
  <c r="ED22" i="165"/>
  <c r="FP22" i="165"/>
  <c r="EO24" i="165"/>
  <c r="EP24" i="165"/>
  <c r="EH24" i="165"/>
  <c r="EI24" i="165"/>
  <c r="EK31" i="165"/>
  <c r="N28" i="165"/>
  <c r="P28" i="165"/>
  <c r="O28" i="165"/>
  <c r="R38" i="165"/>
  <c r="Q38" i="165"/>
  <c r="S38" i="165"/>
  <c r="S33" i="165"/>
  <c r="R33" i="165"/>
  <c r="Q33" i="165"/>
  <c r="EK41" i="165"/>
  <c r="EI41" i="165"/>
  <c r="EK19" i="165"/>
  <c r="EI19" i="165"/>
  <c r="EK37" i="165"/>
  <c r="EI37" i="165"/>
  <c r="EJ31" i="165"/>
  <c r="GM20" i="165"/>
  <c r="S32" i="165"/>
  <c r="R32" i="165"/>
  <c r="Q32" i="165"/>
  <c r="EJ41" i="165"/>
  <c r="EH41" i="165"/>
  <c r="EJ19" i="165"/>
  <c r="EH19" i="165"/>
  <c r="EJ37" i="165"/>
  <c r="EH37" i="165"/>
  <c r="EJ30" i="165"/>
  <c r="R17" i="165"/>
  <c r="Q17" i="165"/>
  <c r="S17" i="165"/>
  <c r="P17" i="165"/>
  <c r="O17" i="165"/>
  <c r="N17" i="165"/>
  <c r="EK30" i="165"/>
  <c r="S41" i="165"/>
  <c r="R41" i="165"/>
  <c r="Q41" i="165"/>
  <c r="EK43" i="165"/>
  <c r="EK21" i="165"/>
  <c r="EI21" i="165"/>
  <c r="EK39" i="165"/>
  <c r="EI39" i="165"/>
  <c r="EJ16" i="165"/>
  <c r="EH16" i="165"/>
  <c r="EJ43" i="165"/>
  <c r="EJ21" i="165"/>
  <c r="EH21" i="165"/>
  <c r="EJ39" i="165"/>
  <c r="EH39" i="165"/>
  <c r="EK16" i="165"/>
  <c r="EI16" i="165"/>
  <c r="EK29" i="165"/>
  <c r="EI29" i="165"/>
  <c r="EK34" i="165"/>
  <c r="P38" i="165"/>
  <c r="O38" i="165"/>
  <c r="N38" i="165"/>
  <c r="P41" i="165"/>
  <c r="O41" i="165"/>
  <c r="N41" i="165"/>
  <c r="EJ34" i="165"/>
  <c r="EJ29" i="165"/>
  <c r="EH29" i="165"/>
  <c r="AU27" i="147"/>
  <c r="FT27" i="147"/>
  <c r="FS27" i="147"/>
  <c r="N22" i="165"/>
  <c r="O22" i="165" s="1"/>
  <c r="P22" i="165"/>
  <c r="DL23" i="165"/>
  <c r="EZ23" i="165"/>
  <c r="EE23" i="165" s="1"/>
  <c r="FC23" i="165"/>
  <c r="EL23" i="165" s="1"/>
  <c r="EZ22" i="165"/>
  <c r="EE22" i="165" s="1"/>
  <c r="FC22" i="165"/>
  <c r="EL22" i="165" s="1"/>
  <c r="DR22" i="165"/>
  <c r="M22" i="165" s="1"/>
  <c r="EJ82" i="165"/>
  <c r="EL82" i="165" s="1"/>
  <c r="EJ81" i="165"/>
  <c r="EL81" i="165" s="1"/>
  <c r="DB23" i="165"/>
  <c r="CR22" i="165"/>
  <c r="DL22" i="165"/>
  <c r="ET22" i="165"/>
  <c r="DB22" i="165"/>
  <c r="P35" i="147"/>
  <c r="O35" i="147"/>
  <c r="N35" i="147"/>
  <c r="AU26" i="147"/>
  <c r="FT26" i="147"/>
  <c r="FS26" i="147"/>
  <c r="CR37" i="147"/>
  <c r="P33" i="147"/>
  <c r="O33" i="147"/>
  <c r="N33" i="147"/>
  <c r="DR31" i="147"/>
  <c r="M31" i="147" s="1"/>
  <c r="GM27" i="165"/>
  <c r="FC24" i="147"/>
  <c r="EL24" i="147" s="1"/>
  <c r="EZ24" i="147"/>
  <c r="EE24" i="147" s="1"/>
  <c r="GM41" i="165"/>
  <c r="DL23" i="147"/>
  <c r="DB23" i="147"/>
  <c r="DV23" i="147"/>
  <c r="BS16" i="160"/>
  <c r="EX56" i="160"/>
  <c r="AH16" i="160"/>
  <c r="AG16" i="160"/>
  <c r="GM17" i="165"/>
  <c r="DQ31" i="147"/>
  <c r="L31" i="147" s="1"/>
  <c r="ES31" i="147"/>
  <c r="CS33" i="165"/>
  <c r="DR33" i="165"/>
  <c r="M33" i="165" s="1"/>
  <c r="EV72" i="84"/>
  <c r="ET32" i="84" s="1"/>
  <c r="EQ32" i="84" s="1"/>
  <c r="E30" i="84"/>
  <c r="GK30" i="84" s="1"/>
  <c r="GM30" i="84" s="1"/>
  <c r="AU38" i="147"/>
  <c r="CR38" i="147" s="1"/>
  <c r="AZ38" i="147"/>
  <c r="AU32" i="147"/>
  <c r="AZ32" i="147"/>
  <c r="AU40" i="147"/>
  <c r="ET40" i="147" s="1"/>
  <c r="AZ40" i="147"/>
  <c r="AY27" i="147"/>
  <c r="AY28" i="147" s="1"/>
  <c r="AY29" i="147" s="1"/>
  <c r="AY30" i="147" s="1"/>
  <c r="AY31" i="147" s="1"/>
  <c r="AY32" i="147" s="1"/>
  <c r="AY33" i="147" s="1"/>
  <c r="AY34" i="147" s="1"/>
  <c r="AY35" i="147" s="1"/>
  <c r="AY36" i="147" s="1"/>
  <c r="AY37" i="147" s="1"/>
  <c r="AY38" i="147" s="1"/>
  <c r="AY39" i="147" s="1"/>
  <c r="AY40" i="147" s="1"/>
  <c r="DV22" i="165"/>
  <c r="FU22" i="165" s="1"/>
  <c r="FV29" i="165"/>
  <c r="AU34" i="165"/>
  <c r="EI34" i="165" s="1"/>
  <c r="FV41" i="165"/>
  <c r="DV23" i="165"/>
  <c r="DV36" i="165"/>
  <c r="DV44" i="165"/>
  <c r="DV26" i="165"/>
  <c r="DV19" i="165"/>
  <c r="AU42" i="165"/>
  <c r="AU30" i="165"/>
  <c r="EJ89" i="165" s="1"/>
  <c r="EL89" i="165" s="1"/>
  <c r="DV38" i="165"/>
  <c r="DV20" i="165"/>
  <c r="DW20" i="165" s="1"/>
  <c r="AU27" i="165"/>
  <c r="AU43" i="165"/>
  <c r="EP43" i="165" s="1"/>
  <c r="DV24" i="165"/>
  <c r="DV33" i="165"/>
  <c r="DV45" i="165"/>
  <c r="EJ104" i="165"/>
  <c r="EL104" i="165" s="1"/>
  <c r="GM35" i="165"/>
  <c r="AU25" i="165"/>
  <c r="AU31" i="165"/>
  <c r="FV32" i="165"/>
  <c r="DV39" i="165"/>
  <c r="AU35" i="165"/>
  <c r="FU41" i="165"/>
  <c r="DV21" i="165"/>
  <c r="AU18" i="165"/>
  <c r="EP18" i="165" s="1"/>
  <c r="DV37" i="165"/>
  <c r="GM28" i="165"/>
  <c r="AU40" i="165"/>
  <c r="FU32" i="165"/>
  <c r="DV28" i="165"/>
  <c r="DV29" i="165"/>
  <c r="AU30" i="147"/>
  <c r="AZ30" i="147"/>
  <c r="AU29" i="147"/>
  <c r="AZ29" i="147"/>
  <c r="DL24" i="147"/>
  <c r="DB24" i="147"/>
  <c r="DV24" i="147"/>
  <c r="DW24" i="147" s="1"/>
  <c r="CL24" i="147" s="1"/>
  <c r="DB27" i="147"/>
  <c r="DL27" i="147"/>
  <c r="DV27" i="147"/>
  <c r="E25" i="147"/>
  <c r="GK25" i="147" s="1"/>
  <c r="GM25" i="147" s="1"/>
  <c r="AP26" i="147"/>
  <c r="EU35" i="147"/>
  <c r="DR33" i="147"/>
  <c r="M33" i="147" s="1"/>
  <c r="DQ35" i="147"/>
  <c r="L35" i="147" s="1"/>
  <c r="ER16" i="165"/>
  <c r="EL97" i="165"/>
  <c r="ET33" i="147"/>
  <c r="EU33" i="147"/>
  <c r="DR35" i="147"/>
  <c r="M35" i="147" s="1"/>
  <c r="FC25" i="147"/>
  <c r="EL25" i="147" s="1"/>
  <c r="CS37" i="147"/>
  <c r="CR36" i="147"/>
  <c r="EJ98" i="165"/>
  <c r="EL98" i="165" s="1"/>
  <c r="ET39" i="165"/>
  <c r="EJ75" i="165"/>
  <c r="EL75" i="165" s="1"/>
  <c r="ET39" i="147"/>
  <c r="DR39" i="147"/>
  <c r="M39" i="147" s="1"/>
  <c r="CS28" i="165"/>
  <c r="ET24" i="165"/>
  <c r="CS39" i="165"/>
  <c r="EU31" i="147"/>
  <c r="ES39" i="147"/>
  <c r="DQ39" i="147"/>
  <c r="L39" i="147" s="1"/>
  <c r="DQ39" i="165"/>
  <c r="L39" i="165" s="1"/>
  <c r="ET31" i="147"/>
  <c r="EU39" i="147"/>
  <c r="EL88" i="165"/>
  <c r="DQ40" i="147"/>
  <c r="L40" i="147" s="1"/>
  <c r="DR40" i="147"/>
  <c r="M40" i="147" s="1"/>
  <c r="ES40" i="147"/>
  <c r="DQ34" i="147"/>
  <c r="L34" i="147" s="1"/>
  <c r="DR34" i="147"/>
  <c r="M34" i="147" s="1"/>
  <c r="EU34" i="147"/>
  <c r="ET34" i="147"/>
  <c r="ES34" i="147"/>
  <c r="EU19" i="165"/>
  <c r="ET16" i="165"/>
  <c r="CS24" i="165"/>
  <c r="EU23" i="147"/>
  <c r="DQ23" i="147"/>
  <c r="L23" i="147" s="1"/>
  <c r="DR23" i="147"/>
  <c r="M23" i="147" s="1"/>
  <c r="ES23" i="147"/>
  <c r="ET23" i="147"/>
  <c r="ET19" i="165"/>
  <c r="EQ16" i="165"/>
  <c r="ES33" i="165"/>
  <c r="EU36" i="147"/>
  <c r="DR36" i="147"/>
  <c r="M36" i="147" s="1"/>
  <c r="DQ36" i="147"/>
  <c r="L36" i="147" s="1"/>
  <c r="ET36" i="147"/>
  <c r="ES36" i="147"/>
  <c r="DQ37" i="147"/>
  <c r="L37" i="147" s="1"/>
  <c r="DR37" i="147"/>
  <c r="M37" i="147" s="1"/>
  <c r="EU37" i="147"/>
  <c r="ES37" i="147"/>
  <c r="ET37" i="147"/>
  <c r="CR19" i="165"/>
  <c r="ES19" i="165"/>
  <c r="DQ24" i="165"/>
  <c r="L24" i="165" s="1"/>
  <c r="DQ28" i="147"/>
  <c r="L28" i="147" s="1"/>
  <c r="DR28" i="147"/>
  <c r="M28" i="147" s="1"/>
  <c r="EU28" i="147"/>
  <c r="ET28" i="147"/>
  <c r="ES28" i="147"/>
  <c r="F17" i="165"/>
  <c r="CP17" i="165"/>
  <c r="CK17" i="165" s="1"/>
  <c r="ER17" i="165"/>
  <c r="CH17" i="165"/>
  <c r="EQ17" i="165"/>
  <c r="I17" i="165"/>
  <c r="EJ80" i="165"/>
  <c r="EL80" i="165" s="1"/>
  <c r="EJ79" i="165"/>
  <c r="EL79" i="165" s="1"/>
  <c r="EJ96" i="165"/>
  <c r="EL96" i="165" s="1"/>
  <c r="EJ87" i="165"/>
  <c r="EL87" i="165" s="1"/>
  <c r="ES24" i="165"/>
  <c r="EJ103" i="165"/>
  <c r="EL103" i="165" s="1"/>
  <c r="DR24" i="165"/>
  <c r="M24" i="165" s="1"/>
  <c r="EJ83" i="165"/>
  <c r="EL83" i="165" s="1"/>
  <c r="EJ95" i="165"/>
  <c r="EL95" i="165" s="1"/>
  <c r="EU24" i="165"/>
  <c r="CR24" i="165"/>
  <c r="EJ85" i="165"/>
  <c r="EL85" i="165" s="1"/>
  <c r="AP40" i="147"/>
  <c r="GM29" i="165"/>
  <c r="DX71" i="84"/>
  <c r="EO31" i="84" s="1"/>
  <c r="EY56" i="160"/>
  <c r="FD15" i="160"/>
  <c r="T34" i="84"/>
  <c r="S34" i="84"/>
  <c r="V39" i="84"/>
  <c r="U39" i="84"/>
  <c r="I28" i="84"/>
  <c r="G28" i="84"/>
  <c r="H28" i="84" s="1"/>
  <c r="V40" i="84"/>
  <c r="U40" i="84"/>
  <c r="V44" i="84"/>
  <c r="U44" i="84"/>
  <c r="V43" i="84"/>
  <c r="U43" i="84"/>
  <c r="T41" i="84"/>
  <c r="S41" i="84"/>
  <c r="J28" i="84"/>
  <c r="K28" i="84" s="1"/>
  <c r="L28" i="84"/>
  <c r="U42" i="84"/>
  <c r="V42" i="84"/>
  <c r="T43" i="84"/>
  <c r="S43" i="84"/>
  <c r="V37" i="84"/>
  <c r="U37" i="84"/>
  <c r="V29" i="84"/>
  <c r="U29" i="84"/>
  <c r="V36" i="84"/>
  <c r="U36" i="84"/>
  <c r="S28" i="84"/>
  <c r="U28" i="84"/>
  <c r="V35" i="84"/>
  <c r="U35" i="84"/>
  <c r="T44" i="84"/>
  <c r="S44" i="84"/>
  <c r="T35" i="84"/>
  <c r="S35" i="84"/>
  <c r="T29" i="84"/>
  <c r="S29" i="84"/>
  <c r="S39" i="84"/>
  <c r="T39" i="84"/>
  <c r="T42" i="84"/>
  <c r="S42" i="84"/>
  <c r="S31" i="84"/>
  <c r="U34" i="84"/>
  <c r="V34" i="84"/>
  <c r="G31" i="84"/>
  <c r="H31" i="84" s="1"/>
  <c r="I31" i="84"/>
  <c r="L31" i="84"/>
  <c r="J31" i="84"/>
  <c r="K31" i="84" s="1"/>
  <c r="L29" i="84"/>
  <c r="BU29" i="84" s="1"/>
  <c r="K29" i="84"/>
  <c r="J29" i="84"/>
  <c r="S40" i="84"/>
  <c r="T40" i="84"/>
  <c r="T38" i="84"/>
  <c r="S38" i="84"/>
  <c r="T37" i="84"/>
  <c r="S37" i="84"/>
  <c r="U41" i="84"/>
  <c r="V41" i="84"/>
  <c r="U38" i="84"/>
  <c r="V38" i="84"/>
  <c r="U33" i="84"/>
  <c r="V33" i="84"/>
  <c r="T33" i="84"/>
  <c r="S33" i="84"/>
  <c r="T36" i="84"/>
  <c r="S36" i="84"/>
  <c r="U31" i="84"/>
  <c r="I16" i="165"/>
  <c r="K16" i="165"/>
  <c r="AS16" i="165" s="1"/>
  <c r="J16" i="165"/>
  <c r="H16" i="165"/>
  <c r="F16" i="165"/>
  <c r="G16" i="165" s="1"/>
  <c r="DJ72" i="84"/>
  <c r="DX72" i="84"/>
  <c r="EQ16" i="160"/>
  <c r="GM16" i="160"/>
  <c r="DQ70" i="84"/>
  <c r="DX70" i="84"/>
  <c r="GF58" i="84"/>
  <c r="EQ21" i="160"/>
  <c r="GM22" i="160"/>
  <c r="G22" i="160"/>
  <c r="L22" i="160"/>
  <c r="BU22" i="160" s="1"/>
  <c r="DK62" i="160"/>
  <c r="J22" i="160"/>
  <c r="K22" i="160" s="1"/>
  <c r="FN56" i="160"/>
  <c r="BY14" i="160"/>
  <c r="EX14" i="160"/>
  <c r="DB18" i="165"/>
  <c r="DL18" i="165"/>
  <c r="DR58" i="160"/>
  <c r="EC58" i="160" s="1"/>
  <c r="W18" i="160" s="1"/>
  <c r="GK22" i="165"/>
  <c r="GM22" i="165" s="1"/>
  <c r="DD58" i="160"/>
  <c r="I18" i="160" s="1"/>
  <c r="BS18" i="160" s="1"/>
  <c r="DD73" i="84"/>
  <c r="EV73" i="84"/>
  <c r="ET33" i="84" s="1"/>
  <c r="DJ73" i="84"/>
  <c r="EW73" i="84"/>
  <c r="EU33" i="84" s="1"/>
  <c r="EJ93" i="165"/>
  <c r="EL93" i="165" s="1"/>
  <c r="FV22" i="165"/>
  <c r="AA15" i="147"/>
  <c r="L18" i="160"/>
  <c r="BU18" i="160" s="1"/>
  <c r="EO35" i="84"/>
  <c r="GM18" i="160"/>
  <c r="EC75" i="84"/>
  <c r="W35" i="84" s="1"/>
  <c r="EN45" i="84"/>
  <c r="EN35" i="84"/>
  <c r="EN42" i="84"/>
  <c r="EO40" i="84"/>
  <c r="DR78" i="160"/>
  <c r="T38" i="160" s="1"/>
  <c r="EC80" i="84"/>
  <c r="W40" i="84" s="1"/>
  <c r="DY72" i="84"/>
  <c r="EN40" i="84"/>
  <c r="DR72" i="160"/>
  <c r="EC72" i="160" s="1"/>
  <c r="W32" i="160" s="1"/>
  <c r="DY66" i="160"/>
  <c r="V26" i="160" s="1"/>
  <c r="DQ60" i="160"/>
  <c r="EN20" i="160" s="1"/>
  <c r="DX73" i="160"/>
  <c r="EO33" i="160" s="1"/>
  <c r="DQ82" i="160"/>
  <c r="EN42" i="160" s="1"/>
  <c r="DQ76" i="160"/>
  <c r="EN36" i="160" s="1"/>
  <c r="DR70" i="160"/>
  <c r="S30" i="160" s="1"/>
  <c r="DX57" i="160"/>
  <c r="EO17" i="160" s="1"/>
  <c r="DQ75" i="160"/>
  <c r="EN35" i="160" s="1"/>
  <c r="DQ59" i="160"/>
  <c r="EN19" i="160" s="1"/>
  <c r="DQ80" i="160"/>
  <c r="EN40" i="160" s="1"/>
  <c r="DQ58" i="160"/>
  <c r="DX82" i="160"/>
  <c r="EO42" i="160" s="1"/>
  <c r="DQ61" i="160"/>
  <c r="EN21" i="160" s="1"/>
  <c r="CK16" i="165"/>
  <c r="DX59" i="160"/>
  <c r="EO19" i="160" s="1"/>
  <c r="DR74" i="160"/>
  <c r="T34" i="160" s="1"/>
  <c r="DQ66" i="160"/>
  <c r="EN26" i="160" s="1"/>
  <c r="DY74" i="160"/>
  <c r="V34" i="160" s="1"/>
  <c r="V38" i="160"/>
  <c r="U38" i="160"/>
  <c r="T45" i="160"/>
  <c r="S45" i="160"/>
  <c r="V45" i="160"/>
  <c r="U45" i="160"/>
  <c r="L32" i="160"/>
  <c r="BU32" i="160" s="1"/>
  <c r="K32" i="160"/>
  <c r="J32" i="160"/>
  <c r="J33" i="160"/>
  <c r="K33" i="160"/>
  <c r="L33" i="160"/>
  <c r="BU33" i="160" s="1"/>
  <c r="I21" i="160"/>
  <c r="BS21" i="160" s="1"/>
  <c r="G21" i="160"/>
  <c r="H21" i="160" s="1"/>
  <c r="K31" i="160"/>
  <c r="J31" i="160"/>
  <c r="L31" i="160"/>
  <c r="BU31" i="160" s="1"/>
  <c r="V41" i="160"/>
  <c r="U41" i="160"/>
  <c r="U29" i="160"/>
  <c r="V29" i="160"/>
  <c r="U21" i="160"/>
  <c r="U32" i="160"/>
  <c r="V32" i="160"/>
  <c r="T15" i="160"/>
  <c r="S15" i="160"/>
  <c r="T37" i="160"/>
  <c r="S37" i="160"/>
  <c r="T23" i="160"/>
  <c r="S23" i="160"/>
  <c r="T24" i="160"/>
  <c r="S24" i="160"/>
  <c r="T36" i="160"/>
  <c r="S36" i="160"/>
  <c r="T28" i="160"/>
  <c r="S28" i="160"/>
  <c r="I44" i="160"/>
  <c r="BS44" i="160" s="1"/>
  <c r="H44" i="160"/>
  <c r="G44" i="160"/>
  <c r="V33" i="160"/>
  <c r="U33" i="160"/>
  <c r="V25" i="160"/>
  <c r="U25" i="160"/>
  <c r="U20" i="160"/>
  <c r="V43" i="160"/>
  <c r="U43" i="160"/>
  <c r="U16" i="160"/>
  <c r="V14" i="160"/>
  <c r="U14" i="160"/>
  <c r="J17" i="160"/>
  <c r="K17" i="160"/>
  <c r="L17" i="160"/>
  <c r="BU17" i="160" s="1"/>
  <c r="I43" i="160"/>
  <c r="BS43" i="160" s="1"/>
  <c r="G43" i="160"/>
  <c r="H43" i="160"/>
  <c r="L38" i="160"/>
  <c r="BU38" i="160" s="1"/>
  <c r="J38" i="160"/>
  <c r="K38" i="160"/>
  <c r="K29" i="160"/>
  <c r="L29" i="160"/>
  <c r="BU29" i="160" s="1"/>
  <c r="J29" i="160"/>
  <c r="H34" i="160"/>
  <c r="I34" i="160"/>
  <c r="BS34" i="160" s="1"/>
  <c r="G34" i="160"/>
  <c r="G38" i="160"/>
  <c r="I38" i="160"/>
  <c r="BS38" i="160" s="1"/>
  <c r="H38" i="160"/>
  <c r="S21" i="160"/>
  <c r="U40" i="160"/>
  <c r="V40" i="160"/>
  <c r="V17" i="160"/>
  <c r="U17" i="160"/>
  <c r="T40" i="160"/>
  <c r="S40" i="160"/>
  <c r="V15" i="160"/>
  <c r="U15" i="160"/>
  <c r="V44" i="160"/>
  <c r="U44" i="160"/>
  <c r="L44" i="160"/>
  <c r="BU44" i="160" s="1"/>
  <c r="K44" i="160"/>
  <c r="J44" i="160"/>
  <c r="K15" i="160"/>
  <c r="J15" i="160"/>
  <c r="L15" i="160"/>
  <c r="BU15" i="160" s="1"/>
  <c r="V23" i="160"/>
  <c r="U23" i="160"/>
  <c r="V30" i="160"/>
  <c r="U30" i="160"/>
  <c r="S29" i="160"/>
  <c r="T29" i="160"/>
  <c r="S41" i="160"/>
  <c r="T41" i="160"/>
  <c r="T43" i="160"/>
  <c r="S43" i="160"/>
  <c r="L20" i="160"/>
  <c r="J20" i="160"/>
  <c r="K20" i="160"/>
  <c r="V39" i="160"/>
  <c r="U39" i="160"/>
  <c r="U19" i="160"/>
  <c r="V19" i="160"/>
  <c r="K26" i="160"/>
  <c r="J26" i="160"/>
  <c r="L26" i="160"/>
  <c r="BU26" i="160" s="1"/>
  <c r="V31" i="160"/>
  <c r="U31" i="160"/>
  <c r="S16" i="160"/>
  <c r="V42" i="160"/>
  <c r="U42" i="160"/>
  <c r="T26" i="160"/>
  <c r="S26" i="160"/>
  <c r="T39" i="160"/>
  <c r="S39" i="160"/>
  <c r="H20" i="160"/>
  <c r="I20" i="160"/>
  <c r="G20" i="160"/>
  <c r="S33" i="160"/>
  <c r="T33" i="160"/>
  <c r="S35" i="160"/>
  <c r="T35" i="160"/>
  <c r="T31" i="160"/>
  <c r="S31" i="160"/>
  <c r="U18" i="160"/>
  <c r="T42" i="160"/>
  <c r="S42" i="160"/>
  <c r="S14" i="160"/>
  <c r="T14" i="160"/>
  <c r="H15" i="160"/>
  <c r="G15" i="160"/>
  <c r="I15" i="160"/>
  <c r="BS15" i="160" s="1"/>
  <c r="I29" i="160"/>
  <c r="BS29" i="160" s="1"/>
  <c r="H29" i="160"/>
  <c r="G29" i="160"/>
  <c r="L28" i="160"/>
  <c r="BU28" i="160" s="1"/>
  <c r="J28" i="160"/>
  <c r="K28" i="160"/>
  <c r="L30" i="160"/>
  <c r="BU30" i="160" s="1"/>
  <c r="J30" i="160"/>
  <c r="K30" i="160"/>
  <c r="S22" i="160"/>
  <c r="T22" i="160"/>
  <c r="H31" i="160"/>
  <c r="G31" i="160"/>
  <c r="I31" i="160"/>
  <c r="BS31" i="160" s="1"/>
  <c r="H39" i="160"/>
  <c r="G39" i="160"/>
  <c r="I39" i="160"/>
  <c r="BS39" i="160" s="1"/>
  <c r="L16" i="160"/>
  <c r="J16" i="160"/>
  <c r="K16" i="160" s="1"/>
  <c r="V22" i="160"/>
  <c r="U22" i="160"/>
  <c r="U27" i="160"/>
  <c r="V27" i="160"/>
  <c r="V28" i="160"/>
  <c r="U28" i="160"/>
  <c r="V36" i="160"/>
  <c r="U36" i="160"/>
  <c r="U24" i="160"/>
  <c r="V24" i="160"/>
  <c r="S27" i="160"/>
  <c r="T27" i="160"/>
  <c r="T20" i="160"/>
  <c r="S20" i="160"/>
  <c r="S17" i="160"/>
  <c r="T17" i="160"/>
  <c r="I17" i="160"/>
  <c r="BS17" i="160" s="1"/>
  <c r="G17" i="160"/>
  <c r="H17" i="160"/>
  <c r="L35" i="160"/>
  <c r="BU35" i="160" s="1"/>
  <c r="K35" i="160"/>
  <c r="J35" i="160"/>
  <c r="H26" i="160"/>
  <c r="I26" i="160"/>
  <c r="BS26" i="160" s="1"/>
  <c r="G26" i="160"/>
  <c r="AP34" i="165"/>
  <c r="AP27" i="165"/>
  <c r="AP18" i="165"/>
  <c r="EQ29" i="160"/>
  <c r="DY77" i="160"/>
  <c r="EO40" i="160"/>
  <c r="EQ31" i="160"/>
  <c r="EQ38" i="160"/>
  <c r="DR84" i="160"/>
  <c r="EO44" i="160"/>
  <c r="EO18" i="160"/>
  <c r="EQ44" i="160"/>
  <c r="EV76" i="160"/>
  <c r="ET36" i="160" s="1"/>
  <c r="EQ36" i="160" s="1"/>
  <c r="DD76" i="160"/>
  <c r="DY75" i="160"/>
  <c r="EO38" i="160"/>
  <c r="EO39" i="160"/>
  <c r="EQ26" i="160"/>
  <c r="ET28" i="165"/>
  <c r="DQ28" i="165"/>
  <c r="L28" i="165" s="1"/>
  <c r="AP43" i="165"/>
  <c r="AP30" i="165"/>
  <c r="DR28" i="165"/>
  <c r="M28" i="165" s="1"/>
  <c r="EU28" i="165"/>
  <c r="CR28" i="165"/>
  <c r="AP31" i="165"/>
  <c r="DK55" i="160"/>
  <c r="EY55" i="160" s="1"/>
  <c r="EO16" i="160"/>
  <c r="EC59" i="160"/>
  <c r="W19" i="160" s="1"/>
  <c r="GK26" i="147"/>
  <c r="GM26" i="147" s="1"/>
  <c r="EU22" i="165"/>
  <c r="AP35" i="165"/>
  <c r="FS25" i="165"/>
  <c r="AP25" i="165"/>
  <c r="CS22" i="165"/>
  <c r="ES30" i="165"/>
  <c r="DQ22" i="165"/>
  <c r="L22" i="165" s="1"/>
  <c r="AP40" i="165"/>
  <c r="AP42" i="165"/>
  <c r="AP29" i="147"/>
  <c r="CR28" i="147"/>
  <c r="CS28" i="147"/>
  <c r="AP38" i="147"/>
  <c r="AP30" i="147"/>
  <c r="AP32" i="147"/>
  <c r="AP24" i="147"/>
  <c r="AP27" i="147"/>
  <c r="FK59" i="160"/>
  <c r="FJ58" i="160"/>
  <c r="FK59" i="84"/>
  <c r="FJ59" i="84" s="1"/>
  <c r="DB25" i="165"/>
  <c r="DL25" i="165"/>
  <c r="GK27" i="147"/>
  <c r="GM27" i="147" s="1"/>
  <c r="GM15" i="160"/>
  <c r="DR16" i="165"/>
  <c r="M16" i="165" s="1"/>
  <c r="DR39" i="165"/>
  <c r="M39" i="165" s="1"/>
  <c r="EU16" i="165"/>
  <c r="CR16" i="165"/>
  <c r="DQ16" i="165"/>
  <c r="L16" i="165" s="1"/>
  <c r="CR39" i="165"/>
  <c r="ES16" i="165"/>
  <c r="ES39" i="165"/>
  <c r="EU39" i="165"/>
  <c r="DB30" i="165"/>
  <c r="DL30" i="165"/>
  <c r="CS16" i="165"/>
  <c r="GM30" i="165"/>
  <c r="DR65" i="160"/>
  <c r="GM25" i="160"/>
  <c r="EV65" i="160"/>
  <c r="ET25" i="160" s="1"/>
  <c r="EQ25" i="160" s="1"/>
  <c r="DD65" i="160"/>
  <c r="DQ72" i="84"/>
  <c r="EN32" i="84" s="1"/>
  <c r="DD72" i="84"/>
  <c r="EN28" i="84"/>
  <c r="DK68" i="84"/>
  <c r="FG54" i="84"/>
  <c r="BW15" i="160"/>
  <c r="BX15" i="160" s="1"/>
  <c r="FB15" i="160" s="1"/>
  <c r="CR39" i="147"/>
  <c r="CS39" i="147"/>
  <c r="CS40" i="147"/>
  <c r="CR40" i="147"/>
  <c r="GM38" i="147"/>
  <c r="GM35" i="147"/>
  <c r="GM24" i="147"/>
  <c r="DR70" i="84"/>
  <c r="GM17" i="160"/>
  <c r="DK57" i="160"/>
  <c r="EV70" i="84"/>
  <c r="ET30" i="84" s="1"/>
  <c r="DD70" i="84"/>
  <c r="GM31" i="147"/>
  <c r="GM20" i="160"/>
  <c r="EQ20" i="160"/>
  <c r="EO45" i="160"/>
  <c r="DK60" i="160"/>
  <c r="DK69" i="84"/>
  <c r="EO14" i="160"/>
  <c r="EN36" i="84"/>
  <c r="EC79" i="160"/>
  <c r="W39" i="160" s="1"/>
  <c r="EO29" i="84"/>
  <c r="EN23" i="160"/>
  <c r="EN37" i="160"/>
  <c r="EN43" i="160"/>
  <c r="EN39" i="160"/>
  <c r="EC63" i="160"/>
  <c r="W23" i="160" s="1"/>
  <c r="EC80" i="160"/>
  <c r="W40" i="160" s="1"/>
  <c r="DK71" i="84"/>
  <c r="EY71" i="84" s="1"/>
  <c r="EO37" i="84"/>
  <c r="EN22" i="160"/>
  <c r="EO43" i="160"/>
  <c r="EO34" i="84"/>
  <c r="EO24" i="160"/>
  <c r="EN45" i="160"/>
  <c r="EC85" i="160"/>
  <c r="W45" i="160" s="1"/>
  <c r="EC81" i="84"/>
  <c r="W41" i="84" s="1"/>
  <c r="EC76" i="84"/>
  <c r="W36" i="84" s="1"/>
  <c r="EN41" i="84"/>
  <c r="EC68" i="84"/>
  <c r="W28" i="84" s="1"/>
  <c r="EO31" i="160"/>
  <c r="EC85" i="84"/>
  <c r="EP45" i="84" s="1"/>
  <c r="S45" i="84"/>
  <c r="EC83" i="160"/>
  <c r="W43" i="160" s="1"/>
  <c r="EO28" i="84"/>
  <c r="EN24" i="160"/>
  <c r="T45" i="84"/>
  <c r="EO30" i="160"/>
  <c r="EO21" i="160"/>
  <c r="EN37" i="84"/>
  <c r="EN29" i="84"/>
  <c r="EN33" i="84"/>
  <c r="EO44" i="84"/>
  <c r="EO25" i="160"/>
  <c r="EN17" i="160"/>
  <c r="EC69" i="84"/>
  <c r="W29" i="84" s="1"/>
  <c r="EN15" i="160"/>
  <c r="EO39" i="84"/>
  <c r="EO42" i="84"/>
  <c r="CS23" i="147"/>
  <c r="CR23" i="147"/>
  <c r="EO33" i="84"/>
  <c r="EO38" i="84"/>
  <c r="EO28" i="160"/>
  <c r="EO41" i="160"/>
  <c r="EO32" i="160"/>
  <c r="DQ29" i="165"/>
  <c r="L29" i="165" s="1"/>
  <c r="CS29" i="165"/>
  <c r="ET29" i="165"/>
  <c r="DR29" i="165"/>
  <c r="M29" i="165" s="1"/>
  <c r="EU29" i="165"/>
  <c r="CR29" i="165"/>
  <c r="ES29" i="165"/>
  <c r="ET45" i="165"/>
  <c r="EU45" i="165"/>
  <c r="CS45" i="165"/>
  <c r="ES45" i="165"/>
  <c r="DR45" i="165"/>
  <c r="M45" i="165" s="1"/>
  <c r="CR45" i="165"/>
  <c r="DQ45" i="165"/>
  <c r="L45" i="165" s="1"/>
  <c r="EN29" i="160"/>
  <c r="EO23" i="160"/>
  <c r="EN43" i="84"/>
  <c r="EC73" i="84"/>
  <c r="W33" i="84" s="1"/>
  <c r="EC55" i="160"/>
  <c r="W15" i="160" s="1"/>
  <c r="EN39" i="84"/>
  <c r="EO15" i="160"/>
  <c r="CS34" i="165"/>
  <c r="DR34" i="165"/>
  <c r="M34" i="165" s="1"/>
  <c r="ET34" i="165"/>
  <c r="CR34" i="165"/>
  <c r="DQ34" i="165"/>
  <c r="L34" i="165" s="1"/>
  <c r="EU34" i="165"/>
  <c r="ES34" i="165"/>
  <c r="EC54" i="160"/>
  <c r="W14" i="160" s="1"/>
  <c r="EN16" i="160"/>
  <c r="EO29" i="160"/>
  <c r="EC69" i="160"/>
  <c r="W29" i="160" s="1"/>
  <c r="EC60" i="160"/>
  <c r="W20" i="160" s="1"/>
  <c r="EC57" i="160"/>
  <c r="W17" i="160" s="1"/>
  <c r="CR20" i="165"/>
  <c r="ES20" i="165"/>
  <c r="CS20" i="165"/>
  <c r="EU20" i="165"/>
  <c r="DR20" i="165"/>
  <c r="M20" i="165" s="1"/>
  <c r="DQ20" i="165"/>
  <c r="L20" i="165" s="1"/>
  <c r="ET20" i="165"/>
  <c r="EO36" i="160"/>
  <c r="DR26" i="165"/>
  <c r="M26" i="165" s="1"/>
  <c r="EU26" i="165"/>
  <c r="ES26" i="165"/>
  <c r="CS26" i="165"/>
  <c r="ET26" i="165"/>
  <c r="DQ26" i="165"/>
  <c r="L26" i="165" s="1"/>
  <c r="CR26" i="165"/>
  <c r="EC74" i="84"/>
  <c r="W34" i="84" s="1"/>
  <c r="ET43" i="165"/>
  <c r="EC79" i="84"/>
  <c r="W39" i="84" s="1"/>
  <c r="EN41" i="160"/>
  <c r="EC82" i="84"/>
  <c r="W42" i="84" s="1"/>
  <c r="EC73" i="160"/>
  <c r="W33" i="160" s="1"/>
  <c r="EO20" i="160"/>
  <c r="EN27" i="160"/>
  <c r="EU21" i="165"/>
  <c r="DQ21" i="165"/>
  <c r="L21" i="165" s="1"/>
  <c r="ES21" i="165"/>
  <c r="CS21" i="165"/>
  <c r="ET21" i="165"/>
  <c r="DR21" i="165"/>
  <c r="M21" i="165" s="1"/>
  <c r="CR21" i="165"/>
  <c r="CR33" i="147"/>
  <c r="CS33" i="147"/>
  <c r="EC84" i="84"/>
  <c r="W44" i="84" s="1"/>
  <c r="EC62" i="160"/>
  <c r="W22" i="160" s="1"/>
  <c r="EN33" i="160"/>
  <c r="EN28" i="160"/>
  <c r="CS35" i="147"/>
  <c r="CR35" i="147"/>
  <c r="EC77" i="84"/>
  <c r="W37" i="84" s="1"/>
  <c r="EO41" i="84"/>
  <c r="EC81" i="160"/>
  <c r="W41" i="160" s="1"/>
  <c r="DR36" i="165"/>
  <c r="M36" i="165" s="1"/>
  <c r="ES36" i="165"/>
  <c r="DQ36" i="165"/>
  <c r="L36" i="165" s="1"/>
  <c r="CS36" i="165"/>
  <c r="CR36" i="165"/>
  <c r="EU36" i="165"/>
  <c r="ET36" i="165"/>
  <c r="EC83" i="84"/>
  <c r="W43" i="84" s="1"/>
  <c r="V45" i="84"/>
  <c r="U45" i="84"/>
  <c r="EC61" i="160"/>
  <c r="W21" i="160" s="1"/>
  <c r="EC71" i="84"/>
  <c r="W31" i="84" s="1"/>
  <c r="EC56" i="160"/>
  <c r="W16" i="160" s="1"/>
  <c r="EC67" i="160"/>
  <c r="W27" i="160" s="1"/>
  <c r="CR23" i="165"/>
  <c r="DQ23" i="165"/>
  <c r="L23" i="165" s="1"/>
  <c r="CS23" i="165"/>
  <c r="ET23" i="165"/>
  <c r="DR23" i="165"/>
  <c r="M23" i="165" s="1"/>
  <c r="EU23" i="165"/>
  <c r="ES23" i="165"/>
  <c r="EC78" i="84"/>
  <c r="W38" i="84" s="1"/>
  <c r="EC82" i="160"/>
  <c r="W42" i="160" s="1"/>
  <c r="EN14" i="160"/>
  <c r="EN38" i="84"/>
  <c r="DR37" i="165"/>
  <c r="M37" i="165" s="1"/>
  <c r="EU37" i="165"/>
  <c r="DQ37" i="165"/>
  <c r="L37" i="165" s="1"/>
  <c r="CS37" i="165"/>
  <c r="CR37" i="165"/>
  <c r="ES37" i="165"/>
  <c r="ET37" i="165"/>
  <c r="EO22" i="160"/>
  <c r="EC68" i="160"/>
  <c r="W28" i="160" s="1"/>
  <c r="EN44" i="84"/>
  <c r="EC76" i="160"/>
  <c r="W36" i="160" s="1"/>
  <c r="EC71" i="160"/>
  <c r="W31" i="160" s="1"/>
  <c r="DR44" i="165"/>
  <c r="M44" i="165" s="1"/>
  <c r="ES44" i="165"/>
  <c r="DQ44" i="165"/>
  <c r="L44" i="165" s="1"/>
  <c r="CS44" i="165"/>
  <c r="CR44" i="165"/>
  <c r="EU44" i="165"/>
  <c r="ET44" i="165"/>
  <c r="CS31" i="147"/>
  <c r="CR31" i="147"/>
  <c r="EO45" i="84"/>
  <c r="EO27" i="160"/>
  <c r="EO43" i="84"/>
  <c r="EN34" i="84"/>
  <c r="EN31" i="160"/>
  <c r="CR34" i="147"/>
  <c r="CS34" i="147"/>
  <c r="EC64" i="160"/>
  <c r="W24" i="160" s="1"/>
  <c r="EO36" i="84"/>
  <c r="R35" i="147" l="1"/>
  <c r="EN31" i="84"/>
  <c r="EJ102" i="165"/>
  <c r="EU40" i="147"/>
  <c r="EI35" i="165"/>
  <c r="EO35" i="165"/>
  <c r="EH35" i="165"/>
  <c r="EP35" i="165"/>
  <c r="EI42" i="165"/>
  <c r="EH42" i="165"/>
  <c r="EI30" i="165"/>
  <c r="EH30" i="165"/>
  <c r="EP30" i="165"/>
  <c r="EP34" i="165"/>
  <c r="EO34" i="165"/>
  <c r="EO40" i="165"/>
  <c r="EH40" i="165"/>
  <c r="EP40" i="165"/>
  <c r="EI40" i="165"/>
  <c r="EH34" i="165"/>
  <c r="EO30" i="165"/>
  <c r="EO31" i="165"/>
  <c r="EP31" i="165"/>
  <c r="ET27" i="165"/>
  <c r="S27" i="165" s="1"/>
  <c r="EO27" i="165"/>
  <c r="EP27" i="165"/>
  <c r="EH27" i="165"/>
  <c r="EI27" i="165"/>
  <c r="EO43" i="165"/>
  <c r="EP42" i="165"/>
  <c r="EO25" i="165"/>
  <c r="EP25" i="165"/>
  <c r="EH25" i="165"/>
  <c r="EI25" i="165"/>
  <c r="EH43" i="165"/>
  <c r="EI43" i="165"/>
  <c r="DR18" i="165"/>
  <c r="M18" i="165" s="1"/>
  <c r="EI18" i="165"/>
  <c r="EH18" i="165"/>
  <c r="EH31" i="165"/>
  <c r="EO18" i="165"/>
  <c r="EI31" i="165"/>
  <c r="EO42" i="165"/>
  <c r="FO24" i="147"/>
  <c r="DX24" i="147"/>
  <c r="S35" i="147"/>
  <c r="EP32" i="147"/>
  <c r="EH32" i="147"/>
  <c r="EI32" i="147"/>
  <c r="EO32" i="147"/>
  <c r="EI30" i="147"/>
  <c r="EH30" i="147"/>
  <c r="EO30" i="147"/>
  <c r="EP30" i="147"/>
  <c r="EP38" i="147"/>
  <c r="EI38" i="147"/>
  <c r="EO38" i="147"/>
  <c r="EH38" i="147"/>
  <c r="EH40" i="147"/>
  <c r="EP40" i="147"/>
  <c r="EI40" i="147"/>
  <c r="EO40" i="147"/>
  <c r="EP29" i="147"/>
  <c r="EH29" i="147"/>
  <c r="EI29" i="147"/>
  <c r="EO29" i="147"/>
  <c r="DW70" i="84"/>
  <c r="DY70" i="84" s="1"/>
  <c r="U30" i="84" s="1"/>
  <c r="DJ70" i="84"/>
  <c r="FP20" i="165"/>
  <c r="ED20" i="165"/>
  <c r="DX20" i="165"/>
  <c r="FO20" i="165"/>
  <c r="EI20" i="165"/>
  <c r="EO20" i="165"/>
  <c r="EH20" i="165"/>
  <c r="CH16" i="165"/>
  <c r="U16" i="165" s="1"/>
  <c r="AS18" i="84"/>
  <c r="AR18" i="84"/>
  <c r="FF58" i="84" s="1"/>
  <c r="S21" i="165"/>
  <c r="R21" i="165"/>
  <c r="Q21" i="165"/>
  <c r="EM23" i="165"/>
  <c r="EO23" i="165" s="1"/>
  <c r="EN23" i="165"/>
  <c r="EP23" i="165" s="1"/>
  <c r="EF23" i="165"/>
  <c r="EH23" i="165" s="1"/>
  <c r="EJ23" i="165" s="1"/>
  <c r="EG23" i="165"/>
  <c r="P21" i="165"/>
  <c r="O21" i="165"/>
  <c r="N21" i="165"/>
  <c r="P20" i="165"/>
  <c r="O20" i="165"/>
  <c r="N20" i="165"/>
  <c r="P34" i="165"/>
  <c r="O34" i="165"/>
  <c r="N34" i="165"/>
  <c r="S28" i="165"/>
  <c r="R28" i="165"/>
  <c r="Q28" i="165"/>
  <c r="R16" i="165"/>
  <c r="S16" i="165"/>
  <c r="Q16" i="165"/>
  <c r="P26" i="165"/>
  <c r="O26" i="165"/>
  <c r="N26" i="165"/>
  <c r="P30" i="165"/>
  <c r="O30" i="165"/>
  <c r="N30" i="165"/>
  <c r="N24" i="165"/>
  <c r="P24" i="165"/>
  <c r="O24" i="165"/>
  <c r="N44" i="165"/>
  <c r="P44" i="165"/>
  <c r="O44" i="165"/>
  <c r="P45" i="165"/>
  <c r="O45" i="165"/>
  <c r="N45" i="165"/>
  <c r="S29" i="165"/>
  <c r="R29" i="165"/>
  <c r="Q29" i="165"/>
  <c r="S19" i="165"/>
  <c r="R19" i="165"/>
  <c r="Q19" i="165"/>
  <c r="N36" i="165"/>
  <c r="P36" i="165"/>
  <c r="O36" i="165"/>
  <c r="S37" i="165"/>
  <c r="R37" i="165"/>
  <c r="Q37" i="165"/>
  <c r="S43" i="165"/>
  <c r="R43" i="165"/>
  <c r="Q43" i="165"/>
  <c r="P37" i="165"/>
  <c r="O37" i="165"/>
  <c r="N37" i="165"/>
  <c r="S36" i="165"/>
  <c r="R36" i="165"/>
  <c r="Q36" i="165"/>
  <c r="P19" i="165"/>
  <c r="O19" i="165"/>
  <c r="N19" i="165"/>
  <c r="S39" i="165"/>
  <c r="R39" i="165"/>
  <c r="Q39" i="165"/>
  <c r="P33" i="165"/>
  <c r="O33" i="165"/>
  <c r="N33" i="165"/>
  <c r="U17" i="165"/>
  <c r="T17" i="165"/>
  <c r="EG24" i="147"/>
  <c r="EF24" i="147"/>
  <c r="P16" i="165"/>
  <c r="O16" i="165"/>
  <c r="N16" i="165"/>
  <c r="R34" i="165"/>
  <c r="Q34" i="165"/>
  <c r="S34" i="165"/>
  <c r="S45" i="165"/>
  <c r="R45" i="165"/>
  <c r="Q45" i="165"/>
  <c r="EM24" i="147"/>
  <c r="EO24" i="147" s="1"/>
  <c r="EN24" i="147"/>
  <c r="EP24" i="147" s="1"/>
  <c r="R20" i="165"/>
  <c r="Q20" i="165"/>
  <c r="S20" i="165"/>
  <c r="S44" i="165"/>
  <c r="R44" i="165"/>
  <c r="Q44" i="165"/>
  <c r="R26" i="165"/>
  <c r="Q26" i="165"/>
  <c r="S26" i="165"/>
  <c r="P29" i="165"/>
  <c r="O29" i="165"/>
  <c r="N29" i="165"/>
  <c r="P39" i="165"/>
  <c r="O39" i="165"/>
  <c r="N39" i="165"/>
  <c r="S24" i="165"/>
  <c r="R24" i="165"/>
  <c r="Q24" i="165"/>
  <c r="DW27" i="147"/>
  <c r="FC27" i="147"/>
  <c r="EL27" i="147" s="1"/>
  <c r="EZ27" i="147"/>
  <c r="EE27" i="147" s="1"/>
  <c r="EB27" i="147"/>
  <c r="EN22" i="165"/>
  <c r="EP22" i="165" s="1"/>
  <c r="EM22" i="165"/>
  <c r="EO22" i="165" s="1"/>
  <c r="DW22" i="165"/>
  <c r="S23" i="165"/>
  <c r="Q23" i="165"/>
  <c r="R23" i="165" s="1"/>
  <c r="N23" i="165"/>
  <c r="O23" i="165" s="1"/>
  <c r="P23" i="165"/>
  <c r="S22" i="165"/>
  <c r="Q22" i="165"/>
  <c r="R22" i="165" s="1"/>
  <c r="S31" i="147"/>
  <c r="R31" i="147"/>
  <c r="Q31" i="147"/>
  <c r="S40" i="147"/>
  <c r="R40" i="147"/>
  <c r="Q40" i="147"/>
  <c r="S39" i="147"/>
  <c r="R39" i="147"/>
  <c r="Q39" i="147"/>
  <c r="O36" i="147"/>
  <c r="N36" i="147"/>
  <c r="P36" i="147"/>
  <c r="P40" i="147"/>
  <c r="O40" i="147"/>
  <c r="N40" i="147"/>
  <c r="S33" i="147"/>
  <c r="R33" i="147"/>
  <c r="Q33" i="147"/>
  <c r="Q36" i="147"/>
  <c r="S36" i="147"/>
  <c r="R36" i="147"/>
  <c r="S23" i="147"/>
  <c r="R23" i="147"/>
  <c r="Q23" i="147"/>
  <c r="O34" i="147"/>
  <c r="P34" i="147"/>
  <c r="N34" i="147"/>
  <c r="N39" i="147"/>
  <c r="P39" i="147"/>
  <c r="O39" i="147"/>
  <c r="FC26" i="147"/>
  <c r="EL26" i="147" s="1"/>
  <c r="EZ26" i="147"/>
  <c r="EE26" i="147" s="1"/>
  <c r="O28" i="147"/>
  <c r="N28" i="147"/>
  <c r="P28" i="147"/>
  <c r="P23" i="147"/>
  <c r="O23" i="147"/>
  <c r="N23" i="147"/>
  <c r="S34" i="147"/>
  <c r="R34" i="147"/>
  <c r="Q34" i="147"/>
  <c r="Q28" i="147"/>
  <c r="S28" i="147"/>
  <c r="R28" i="147"/>
  <c r="S37" i="147"/>
  <c r="R37" i="147"/>
  <c r="Q37" i="147"/>
  <c r="N37" i="147"/>
  <c r="P37" i="147"/>
  <c r="O37" i="147"/>
  <c r="N31" i="147"/>
  <c r="P31" i="147"/>
  <c r="O31" i="147"/>
  <c r="BV22" i="160"/>
  <c r="BV36" i="84"/>
  <c r="BV44" i="84"/>
  <c r="BT26" i="160"/>
  <c r="BT33" i="160"/>
  <c r="BV40" i="160"/>
  <c r="BT20" i="160"/>
  <c r="BV28" i="160"/>
  <c r="BV39" i="160"/>
  <c r="BV25" i="160"/>
  <c r="BV41" i="160"/>
  <c r="BV35" i="84"/>
  <c r="BV37" i="84"/>
  <c r="BV41" i="84"/>
  <c r="BV34" i="84"/>
  <c r="BV33" i="84"/>
  <c r="BT41" i="160"/>
  <c r="BV38" i="84"/>
  <c r="BT40" i="84"/>
  <c r="BT39" i="160"/>
  <c r="BV14" i="160"/>
  <c r="BV33" i="160"/>
  <c r="BT35" i="84"/>
  <c r="BT43" i="84"/>
  <c r="BV43" i="84"/>
  <c r="BV39" i="84"/>
  <c r="BT35" i="160"/>
  <c r="BV32" i="160"/>
  <c r="BV45" i="84"/>
  <c r="BV36" i="160"/>
  <c r="BT42" i="160"/>
  <c r="BV42" i="160"/>
  <c r="BV29" i="84"/>
  <c r="BV40" i="84"/>
  <c r="BT29" i="84"/>
  <c r="BT41" i="84"/>
  <c r="BT29" i="160"/>
  <c r="BT42" i="84"/>
  <c r="BT44" i="84"/>
  <c r="BT34" i="84"/>
  <c r="BT17" i="160"/>
  <c r="BT22" i="160"/>
  <c r="BV19" i="160"/>
  <c r="BV15" i="160"/>
  <c r="BT28" i="160"/>
  <c r="BT37" i="160"/>
  <c r="BV29" i="160"/>
  <c r="BT45" i="160"/>
  <c r="BT39" i="84"/>
  <c r="V31" i="84"/>
  <c r="BT31" i="160"/>
  <c r="BV31" i="160"/>
  <c r="BT40" i="160"/>
  <c r="BT36" i="160"/>
  <c r="BT15" i="160"/>
  <c r="BV38" i="160"/>
  <c r="BT36" i="84"/>
  <c r="ER29" i="165"/>
  <c r="BT45" i="84"/>
  <c r="BT27" i="160"/>
  <c r="BV27" i="160"/>
  <c r="BV30" i="160"/>
  <c r="BV17" i="160"/>
  <c r="BT24" i="160"/>
  <c r="BT33" i="84"/>
  <c r="BT37" i="84"/>
  <c r="T31" i="84"/>
  <c r="BV24" i="160"/>
  <c r="BT14" i="160"/>
  <c r="BT43" i="160"/>
  <c r="BV23" i="160"/>
  <c r="BV44" i="160"/>
  <c r="BV43" i="160"/>
  <c r="BT23" i="160"/>
  <c r="BV45" i="160"/>
  <c r="BT38" i="84"/>
  <c r="BV42" i="84"/>
  <c r="V28" i="84"/>
  <c r="BV28" i="84" s="1"/>
  <c r="T28" i="84"/>
  <c r="BT28" i="84" s="1"/>
  <c r="EJ77" i="165"/>
  <c r="EL77" i="165" s="1"/>
  <c r="EV16" i="165"/>
  <c r="CJ16" i="165" s="1"/>
  <c r="FV23" i="147"/>
  <c r="FU23" i="147"/>
  <c r="BU16" i="160"/>
  <c r="BU28" i="84"/>
  <c r="BS28" i="84"/>
  <c r="T32" i="84"/>
  <c r="S32" i="84"/>
  <c r="FA15" i="160"/>
  <c r="BZ15" i="160"/>
  <c r="CI16" i="165"/>
  <c r="AQ16" i="165"/>
  <c r="EV17" i="165"/>
  <c r="CJ17" i="165" s="1"/>
  <c r="DV35" i="165"/>
  <c r="FV23" i="165"/>
  <c r="CI17" i="165"/>
  <c r="FV45" i="165"/>
  <c r="FU19" i="165"/>
  <c r="FU26" i="165"/>
  <c r="DV25" i="165"/>
  <c r="G17" i="165"/>
  <c r="FU29" i="165"/>
  <c r="DV18" i="165"/>
  <c r="CP41" i="165"/>
  <c r="FU39" i="165"/>
  <c r="FU24" i="165"/>
  <c r="FV26" i="165"/>
  <c r="CQ41" i="165"/>
  <c r="ER41" i="165"/>
  <c r="EQ41" i="165"/>
  <c r="FU28" i="165"/>
  <c r="FU38" i="165"/>
  <c r="FU37" i="165"/>
  <c r="CQ32" i="165"/>
  <c r="EQ32" i="165"/>
  <c r="ER32" i="165"/>
  <c r="DV27" i="165"/>
  <c r="DV30" i="165"/>
  <c r="FU44" i="165"/>
  <c r="DV34" i="165"/>
  <c r="FV28" i="165"/>
  <c r="CP32" i="165"/>
  <c r="FV37" i="165"/>
  <c r="FV19" i="165"/>
  <c r="FV44" i="165"/>
  <c r="FU23" i="165"/>
  <c r="DV31" i="165"/>
  <c r="EQ45" i="165"/>
  <c r="FV24" i="165"/>
  <c r="FU20" i="165"/>
  <c r="FV38" i="165"/>
  <c r="DV42" i="165"/>
  <c r="FV36" i="165"/>
  <c r="FU45" i="165"/>
  <c r="EQ29" i="165"/>
  <c r="FU33" i="165"/>
  <c r="EQ38" i="165"/>
  <c r="EQ26" i="165"/>
  <c r="CQ29" i="165"/>
  <c r="FV21" i="165"/>
  <c r="ER26" i="165"/>
  <c r="EQ28" i="165"/>
  <c r="DV40" i="165"/>
  <c r="FU21" i="165"/>
  <c r="FV39" i="165"/>
  <c r="ER45" i="165"/>
  <c r="FV33" i="165"/>
  <c r="DV43" i="165"/>
  <c r="FV20" i="165"/>
  <c r="ER38" i="165"/>
  <c r="FU36" i="165"/>
  <c r="AZ16" i="165"/>
  <c r="EO75" i="165" s="1"/>
  <c r="EM75" i="165" s="1"/>
  <c r="FV24" i="147"/>
  <c r="FU24" i="147"/>
  <c r="FU27" i="147"/>
  <c r="DB26" i="147"/>
  <c r="DL26" i="147"/>
  <c r="DV26" i="147"/>
  <c r="EU27" i="165"/>
  <c r="EL102" i="165"/>
  <c r="ES18" i="165"/>
  <c r="ES27" i="165"/>
  <c r="DQ18" i="165"/>
  <c r="L18" i="165" s="1"/>
  <c r="CR18" i="165"/>
  <c r="EU43" i="165"/>
  <c r="CR27" i="165"/>
  <c r="CR43" i="165"/>
  <c r="DQ27" i="165"/>
  <c r="L27" i="165" s="1"/>
  <c r="H17" i="165"/>
  <c r="AQ17" i="165" s="1"/>
  <c r="CS18" i="165"/>
  <c r="ES25" i="165"/>
  <c r="CS25" i="165"/>
  <c r="DR24" i="147"/>
  <c r="M24" i="147" s="1"/>
  <c r="EU24" i="147"/>
  <c r="DQ24" i="147"/>
  <c r="L24" i="147" s="1"/>
  <c r="ET24" i="147"/>
  <c r="DQ32" i="147"/>
  <c r="L32" i="147" s="1"/>
  <c r="DR32" i="147"/>
  <c r="M32" i="147" s="1"/>
  <c r="EU32" i="147"/>
  <c r="ES32" i="147"/>
  <c r="ET32" i="147"/>
  <c r="DR29" i="147"/>
  <c r="M29" i="147" s="1"/>
  <c r="ET29" i="147"/>
  <c r="EU29" i="147"/>
  <c r="DQ29" i="147"/>
  <c r="L29" i="147" s="1"/>
  <c r="ES29" i="147"/>
  <c r="DQ26" i="147"/>
  <c r="L26" i="147" s="1"/>
  <c r="EU26" i="147"/>
  <c r="DR26" i="147"/>
  <c r="M26" i="147" s="1"/>
  <c r="ET26" i="147"/>
  <c r="ES26" i="147"/>
  <c r="ET18" i="165"/>
  <c r="EU18" i="165"/>
  <c r="ET35" i="165"/>
  <c r="DQ27" i="147"/>
  <c r="L27" i="147" s="1"/>
  <c r="DR27" i="147"/>
  <c r="M27" i="147" s="1"/>
  <c r="EU27" i="147"/>
  <c r="ET27" i="147"/>
  <c r="ES27" i="147"/>
  <c r="DR25" i="165"/>
  <c r="M25" i="165" s="1"/>
  <c r="EU38" i="147"/>
  <c r="DQ38" i="147"/>
  <c r="L38" i="147" s="1"/>
  <c r="DR38" i="147"/>
  <c r="M38" i="147" s="1"/>
  <c r="ET38" i="147"/>
  <c r="ES38" i="147"/>
  <c r="CS38" i="147"/>
  <c r="CS29" i="147"/>
  <c r="CR29" i="147"/>
  <c r="EJ84" i="165"/>
  <c r="EL84" i="165" s="1"/>
  <c r="EJ94" i="165"/>
  <c r="EL94" i="165" s="1"/>
  <c r="DR30" i="147"/>
  <c r="M30" i="147" s="1"/>
  <c r="DQ30" i="147"/>
  <c r="L30" i="147" s="1"/>
  <c r="EU30" i="147"/>
  <c r="ET30" i="147"/>
  <c r="ES30" i="147"/>
  <c r="J17" i="165"/>
  <c r="K17" i="165"/>
  <c r="AS17" i="165" s="1"/>
  <c r="EJ90" i="165"/>
  <c r="EL90" i="165" s="1"/>
  <c r="ES43" i="165"/>
  <c r="DR27" i="165"/>
  <c r="M27" i="165" s="1"/>
  <c r="EJ101" i="165"/>
  <c r="EL101" i="165" s="1"/>
  <c r="EJ99" i="165"/>
  <c r="EL99" i="165" s="1"/>
  <c r="EU42" i="165"/>
  <c r="CS43" i="165"/>
  <c r="CS40" i="165"/>
  <c r="DR42" i="165"/>
  <c r="M42" i="165" s="1"/>
  <c r="DQ43" i="165"/>
  <c r="L43" i="165" s="1"/>
  <c r="CS27" i="165"/>
  <c r="DR43" i="165"/>
  <c r="M43" i="165" s="1"/>
  <c r="EJ86" i="165"/>
  <c r="EL86" i="165" s="1"/>
  <c r="BU20" i="160"/>
  <c r="BS20" i="160"/>
  <c r="BU31" i="84"/>
  <c r="BS31" i="84"/>
  <c r="FD16" i="160"/>
  <c r="H33" i="84"/>
  <c r="G33" i="84"/>
  <c r="I33" i="84"/>
  <c r="BS33" i="84" s="1"/>
  <c r="G32" i="84"/>
  <c r="H32" i="84"/>
  <c r="I32" i="84"/>
  <c r="BS32" i="84" s="1"/>
  <c r="V16" i="160"/>
  <c r="BV16" i="160" s="1"/>
  <c r="V21" i="160"/>
  <c r="BV21" i="160" s="1"/>
  <c r="J32" i="84"/>
  <c r="L32" i="84"/>
  <c r="BU32" i="84" s="1"/>
  <c r="K32" i="84"/>
  <c r="V20" i="160"/>
  <c r="BV20" i="160" s="1"/>
  <c r="T16" i="160"/>
  <c r="BT16" i="160" s="1"/>
  <c r="I30" i="84"/>
  <c r="G30" i="84"/>
  <c r="H30" i="84" s="1"/>
  <c r="S30" i="84"/>
  <c r="T21" i="160"/>
  <c r="BT21" i="160" s="1"/>
  <c r="V18" i="160"/>
  <c r="BV18" i="160" s="1"/>
  <c r="EC72" i="84"/>
  <c r="W32" i="84" s="1"/>
  <c r="U32" i="84"/>
  <c r="J33" i="84"/>
  <c r="L33" i="84"/>
  <c r="BU33" i="84" s="1"/>
  <c r="K33" i="84"/>
  <c r="FG58" i="84"/>
  <c r="H22" i="160"/>
  <c r="EY62" i="160"/>
  <c r="EX62" i="160"/>
  <c r="EX15" i="160"/>
  <c r="FW56" i="160"/>
  <c r="FQ56" i="160"/>
  <c r="FU18" i="165"/>
  <c r="FV18" i="165"/>
  <c r="EN18" i="160"/>
  <c r="S19" i="160"/>
  <c r="DK58" i="160"/>
  <c r="EX58" i="160" s="1"/>
  <c r="DK73" i="84"/>
  <c r="G18" i="160"/>
  <c r="H18" i="160" s="1"/>
  <c r="EQ33" i="84"/>
  <c r="S18" i="160"/>
  <c r="CQ22" i="165"/>
  <c r="CP22" i="165"/>
  <c r="EP35" i="84"/>
  <c r="EC78" i="160"/>
  <c r="W38" i="160" s="1"/>
  <c r="EC70" i="160"/>
  <c r="W30" i="160" s="1"/>
  <c r="S38" i="160"/>
  <c r="BT38" i="160" s="1"/>
  <c r="EN30" i="160"/>
  <c r="EN38" i="160"/>
  <c r="EC66" i="160"/>
  <c r="W26" i="160" s="1"/>
  <c r="U26" i="160"/>
  <c r="BV26" i="160" s="1"/>
  <c r="EO26" i="160"/>
  <c r="EN32" i="160"/>
  <c r="T32" i="160"/>
  <c r="EP40" i="84"/>
  <c r="EO32" i="84"/>
  <c r="T30" i="160"/>
  <c r="BT30" i="160" s="1"/>
  <c r="S32" i="160"/>
  <c r="EN34" i="160"/>
  <c r="S34" i="160"/>
  <c r="BT34" i="160" s="1"/>
  <c r="EC74" i="160"/>
  <c r="W34" i="160" s="1"/>
  <c r="EQ30" i="84"/>
  <c r="EO34" i="160"/>
  <c r="U34" i="160"/>
  <c r="BV34" i="160" s="1"/>
  <c r="U37" i="160"/>
  <c r="V37" i="160"/>
  <c r="U35" i="160"/>
  <c r="V35" i="160"/>
  <c r="EC84" i="160"/>
  <c r="W44" i="160" s="1"/>
  <c r="T44" i="160"/>
  <c r="S44" i="160"/>
  <c r="S25" i="160"/>
  <c r="T25" i="160"/>
  <c r="I25" i="160"/>
  <c r="BS25" i="160" s="1"/>
  <c r="G25" i="160"/>
  <c r="H25" i="160"/>
  <c r="EO37" i="160"/>
  <c r="EC77" i="160"/>
  <c r="W37" i="160" s="1"/>
  <c r="H36" i="160"/>
  <c r="I36" i="160"/>
  <c r="BS36" i="160" s="1"/>
  <c r="G36" i="160"/>
  <c r="EC65" i="160"/>
  <c r="W25" i="160" s="1"/>
  <c r="EN25" i="160"/>
  <c r="EN44" i="160"/>
  <c r="EO35" i="160"/>
  <c r="EC75" i="160"/>
  <c r="W35" i="160" s="1"/>
  <c r="DR40" i="165"/>
  <c r="M40" i="165" s="1"/>
  <c r="CR25" i="165"/>
  <c r="EU30" i="165"/>
  <c r="EU25" i="165"/>
  <c r="ET25" i="165"/>
  <c r="DQ25" i="165"/>
  <c r="L25" i="165" s="1"/>
  <c r="DQ40" i="165"/>
  <c r="L40" i="165" s="1"/>
  <c r="ET42" i="165"/>
  <c r="EP32" i="160"/>
  <c r="EP19" i="160"/>
  <c r="EP45" i="160"/>
  <c r="EP39" i="160"/>
  <c r="ET30" i="165"/>
  <c r="DR30" i="165"/>
  <c r="M30" i="165" s="1"/>
  <c r="CR30" i="165"/>
  <c r="ES42" i="165"/>
  <c r="CR42" i="165"/>
  <c r="DQ30" i="165"/>
  <c r="L30" i="165" s="1"/>
  <c r="CS42" i="165"/>
  <c r="CS30" i="165"/>
  <c r="DQ42" i="165"/>
  <c r="L42" i="165" s="1"/>
  <c r="FK60" i="160"/>
  <c r="FJ59" i="160"/>
  <c r="FK60" i="84"/>
  <c r="FJ60" i="84" s="1"/>
  <c r="FV25" i="165"/>
  <c r="FU25" i="165"/>
  <c r="EP36" i="84"/>
  <c r="EP41" i="84"/>
  <c r="CR40" i="165"/>
  <c r="EU40" i="165"/>
  <c r="ES40" i="165"/>
  <c r="ET40" i="165"/>
  <c r="ES35" i="165"/>
  <c r="DQ35" i="165"/>
  <c r="L35" i="165" s="1"/>
  <c r="FV30" i="165"/>
  <c r="CR35" i="165"/>
  <c r="DR35" i="165"/>
  <c r="M35" i="165" s="1"/>
  <c r="EU35" i="165"/>
  <c r="CS35" i="165"/>
  <c r="FU30" i="165"/>
  <c r="DK72" i="84"/>
  <c r="EX72" i="84" s="1"/>
  <c r="DK65" i="160"/>
  <c r="EP28" i="84"/>
  <c r="DK70" i="84"/>
  <c r="EY70" i="84" s="1"/>
  <c r="BY15" i="160"/>
  <c r="CQ37" i="147"/>
  <c r="CI37" i="147"/>
  <c r="CH37" i="147"/>
  <c r="CQ36" i="147"/>
  <c r="CI36" i="147"/>
  <c r="CP36" i="147"/>
  <c r="CP37" i="147"/>
  <c r="CQ28" i="147"/>
  <c r="EN30" i="84"/>
  <c r="EY57" i="160"/>
  <c r="EY60" i="160"/>
  <c r="EY69" i="84"/>
  <c r="CP28" i="147"/>
  <c r="CS26" i="147"/>
  <c r="EP23" i="160"/>
  <c r="EP40" i="160"/>
  <c r="EX71" i="84"/>
  <c r="W45" i="84"/>
  <c r="EP43" i="160"/>
  <c r="EP29" i="84"/>
  <c r="EP15" i="160"/>
  <c r="EP33" i="84"/>
  <c r="CS27" i="147"/>
  <c r="CR27" i="147"/>
  <c r="CS24" i="147"/>
  <c r="CR24" i="147"/>
  <c r="DR31" i="165"/>
  <c r="M31" i="165" s="1"/>
  <c r="DQ31" i="165"/>
  <c r="L31" i="165" s="1"/>
  <c r="CR31" i="165"/>
  <c r="EU31" i="165"/>
  <c r="ET31" i="165"/>
  <c r="CS31" i="165"/>
  <c r="ES31" i="165"/>
  <c r="CR32" i="147"/>
  <c r="CS32" i="147"/>
  <c r="CS30" i="147"/>
  <c r="CR30" i="147"/>
  <c r="EP31" i="84"/>
  <c r="EP18" i="160"/>
  <c r="EP42" i="160"/>
  <c r="EP44" i="84"/>
  <c r="EP17" i="160"/>
  <c r="EP28" i="160"/>
  <c r="EP20" i="160"/>
  <c r="EP41" i="160"/>
  <c r="EP36" i="160"/>
  <c r="EP38" i="84"/>
  <c r="EP16" i="160"/>
  <c r="EP22" i="160"/>
  <c r="EP42" i="84"/>
  <c r="EP29" i="160"/>
  <c r="EP27" i="160"/>
  <c r="EP21" i="160"/>
  <c r="EP24" i="160"/>
  <c r="EP31" i="160"/>
  <c r="EP43" i="84"/>
  <c r="EP37" i="84"/>
  <c r="EP33" i="160"/>
  <c r="EP39" i="84"/>
  <c r="EP34" i="84"/>
  <c r="EP14" i="160"/>
  <c r="EC70" i="84" l="1"/>
  <c r="W30" i="84" s="1"/>
  <c r="EO30" i="84"/>
  <c r="Q27" i="165"/>
  <c r="R27" i="165"/>
  <c r="BV31" i="84"/>
  <c r="BT31" i="84"/>
  <c r="L30" i="84"/>
  <c r="BU30" i="84" s="1"/>
  <c r="J30" i="84"/>
  <c r="K30" i="84" s="1"/>
  <c r="T16" i="165"/>
  <c r="AR16" i="165" s="1"/>
  <c r="DX27" i="147"/>
  <c r="F27" i="147" s="1"/>
  <c r="G27" i="147" s="1"/>
  <c r="FO27" i="147"/>
  <c r="DX22" i="165"/>
  <c r="F22" i="165" s="1"/>
  <c r="G22" i="165" s="1"/>
  <c r="FO22" i="165"/>
  <c r="EF22" i="165"/>
  <c r="EH22" i="165" s="1"/>
  <c r="EJ22" i="165" s="1"/>
  <c r="EG22" i="165"/>
  <c r="EI22" i="165" s="1"/>
  <c r="EK22" i="165" s="1"/>
  <c r="EI23" i="165"/>
  <c r="EK23" i="165" s="1"/>
  <c r="P35" i="165"/>
  <c r="O35" i="165"/>
  <c r="N35" i="165"/>
  <c r="S40" i="165"/>
  <c r="R40" i="165"/>
  <c r="Q40" i="165"/>
  <c r="P42" i="165"/>
  <c r="O42" i="165"/>
  <c r="N42" i="165"/>
  <c r="R42" i="165"/>
  <c r="Q42" i="165"/>
  <c r="S42" i="165"/>
  <c r="P43" i="165"/>
  <c r="O43" i="165"/>
  <c r="N43" i="165"/>
  <c r="P25" i="165"/>
  <c r="O25" i="165"/>
  <c r="N25" i="165"/>
  <c r="EH24" i="147"/>
  <c r="EJ24" i="147" s="1"/>
  <c r="S35" i="165"/>
  <c r="R35" i="165"/>
  <c r="Q35" i="165"/>
  <c r="P27" i="165"/>
  <c r="O27" i="165"/>
  <c r="N27" i="165"/>
  <c r="V16" i="165"/>
  <c r="W16" i="165"/>
  <c r="EI24" i="147"/>
  <c r="EK24" i="147" s="1"/>
  <c r="N40" i="165"/>
  <c r="P40" i="165"/>
  <c r="O40" i="165"/>
  <c r="N18" i="165"/>
  <c r="P18" i="165"/>
  <c r="O18" i="165"/>
  <c r="EF26" i="147"/>
  <c r="EG26" i="147"/>
  <c r="W17" i="165"/>
  <c r="V17" i="165"/>
  <c r="P31" i="165"/>
  <c r="O31" i="165"/>
  <c r="N31" i="165"/>
  <c r="S31" i="165"/>
  <c r="R31" i="165"/>
  <c r="Q31" i="165"/>
  <c r="R30" i="165"/>
  <c r="Q30" i="165"/>
  <c r="S30" i="165"/>
  <c r="S25" i="165"/>
  <c r="R25" i="165"/>
  <c r="Q25" i="165"/>
  <c r="S18" i="165"/>
  <c r="R18" i="165"/>
  <c r="Q18" i="165"/>
  <c r="EN26" i="147"/>
  <c r="EP26" i="147" s="1"/>
  <c r="EM26" i="147"/>
  <c r="EO26" i="147" s="1"/>
  <c r="EC27" i="147"/>
  <c r="FV27" i="147"/>
  <c r="H27" i="147"/>
  <c r="EG27" i="147"/>
  <c r="EF27" i="147"/>
  <c r="EQ23" i="165"/>
  <c r="N29" i="147"/>
  <c r="P29" i="147"/>
  <c r="O29" i="147"/>
  <c r="P30" i="147"/>
  <c r="O30" i="147"/>
  <c r="N30" i="147"/>
  <c r="R24" i="147"/>
  <c r="S24" i="147"/>
  <c r="Q24" i="147"/>
  <c r="Q30" i="147"/>
  <c r="S30" i="147"/>
  <c r="R30" i="147"/>
  <c r="P27" i="147"/>
  <c r="N27" i="147"/>
  <c r="O27" i="147" s="1"/>
  <c r="P26" i="147"/>
  <c r="N26" i="147"/>
  <c r="O26" i="147" s="1"/>
  <c r="S29" i="147"/>
  <c r="R29" i="147"/>
  <c r="Q29" i="147"/>
  <c r="W36" i="147"/>
  <c r="V36" i="147"/>
  <c r="Q27" i="147"/>
  <c r="R27" i="147" s="1"/>
  <c r="S27" i="147"/>
  <c r="S26" i="147"/>
  <c r="Q26" i="147"/>
  <c r="R26" i="147" s="1"/>
  <c r="P38" i="147"/>
  <c r="O38" i="147"/>
  <c r="N38" i="147"/>
  <c r="S32" i="147"/>
  <c r="R32" i="147"/>
  <c r="Q32" i="147"/>
  <c r="T37" i="147"/>
  <c r="U37" i="147"/>
  <c r="Q38" i="147"/>
  <c r="S38" i="147"/>
  <c r="R38" i="147"/>
  <c r="P32" i="147"/>
  <c r="O32" i="147"/>
  <c r="N32" i="147"/>
  <c r="V37" i="147"/>
  <c r="W37" i="147"/>
  <c r="X16" i="165"/>
  <c r="CI29" i="165"/>
  <c r="BV37" i="160"/>
  <c r="BV35" i="160"/>
  <c r="BT25" i="160"/>
  <c r="BT32" i="160"/>
  <c r="V30" i="84"/>
  <c r="BV30" i="84" s="1"/>
  <c r="BT44" i="160"/>
  <c r="T30" i="84"/>
  <c r="ER23" i="147"/>
  <c r="BT32" i="84"/>
  <c r="V32" i="84"/>
  <c r="BV32" i="84" s="1"/>
  <c r="AR17" i="165"/>
  <c r="ER24" i="147"/>
  <c r="EQ23" i="147"/>
  <c r="CQ23" i="147"/>
  <c r="BS30" i="84"/>
  <c r="X17" i="165"/>
  <c r="FA14" i="160"/>
  <c r="CH38" i="165"/>
  <c r="EV32" i="165"/>
  <c r="X32" i="165" s="1"/>
  <c r="AZ17" i="165"/>
  <c r="CH45" i="165"/>
  <c r="CH26" i="165"/>
  <c r="CI41" i="165"/>
  <c r="CI38" i="165"/>
  <c r="CK32" i="165"/>
  <c r="EV41" i="165"/>
  <c r="EV38" i="165"/>
  <c r="X38" i="165" s="1"/>
  <c r="CQ39" i="165"/>
  <c r="ER39" i="165"/>
  <c r="CQ44" i="165"/>
  <c r="EQ44" i="165"/>
  <c r="FU43" i="165"/>
  <c r="CQ21" i="165"/>
  <c r="EQ21" i="165"/>
  <c r="CP20" i="165"/>
  <c r="CQ37" i="165"/>
  <c r="ER37" i="165"/>
  <c r="FU34" i="165"/>
  <c r="CP38" i="165"/>
  <c r="CQ26" i="165"/>
  <c r="CP39" i="165"/>
  <c r="CH39" i="165"/>
  <c r="F25" i="165"/>
  <c r="G25" i="165" s="1"/>
  <c r="H25" i="165"/>
  <c r="FV43" i="165"/>
  <c r="CI26" i="165"/>
  <c r="FU40" i="165"/>
  <c r="CQ24" i="165"/>
  <c r="EQ24" i="165"/>
  <c r="ER24" i="165"/>
  <c r="FU27" i="165"/>
  <c r="CP37" i="165"/>
  <c r="CP28" i="165"/>
  <c r="CP29" i="165"/>
  <c r="CK29" i="165" s="1"/>
  <c r="CQ45" i="165"/>
  <c r="ER44" i="165"/>
  <c r="EV44" i="165" s="1"/>
  <c r="CQ36" i="165"/>
  <c r="ER36" i="165"/>
  <c r="CP36" i="165"/>
  <c r="CH36" i="165"/>
  <c r="CQ20" i="165"/>
  <c r="EQ20" i="165"/>
  <c r="EV26" i="165"/>
  <c r="FV31" i="165"/>
  <c r="CH32" i="165"/>
  <c r="CP44" i="165"/>
  <c r="CH44" i="165"/>
  <c r="CI32" i="165"/>
  <c r="CH41" i="165"/>
  <c r="FU35" i="165"/>
  <c r="EQ25" i="165"/>
  <c r="CQ33" i="165"/>
  <c r="EQ33" i="165"/>
  <c r="ER33" i="165"/>
  <c r="CP21" i="165"/>
  <c r="I29" i="165"/>
  <c r="K29" i="165"/>
  <c r="AS29" i="165" s="1"/>
  <c r="J29" i="165"/>
  <c r="CQ19" i="165"/>
  <c r="EQ19" i="165"/>
  <c r="ER19" i="165"/>
  <c r="F32" i="165"/>
  <c r="H32" i="165"/>
  <c r="G32" i="165"/>
  <c r="F30" i="165"/>
  <c r="G30" i="165" s="1"/>
  <c r="H30" i="165"/>
  <c r="FV27" i="165"/>
  <c r="I32" i="165"/>
  <c r="J32" i="165" s="1"/>
  <c r="K32" i="165"/>
  <c r="F41" i="165"/>
  <c r="G41" i="165" s="1"/>
  <c r="H41" i="165"/>
  <c r="EQ37" i="165"/>
  <c r="FV40" i="165"/>
  <c r="EO76" i="165"/>
  <c r="EM76" i="165" s="1"/>
  <c r="CP45" i="165"/>
  <c r="FU42" i="165"/>
  <c r="CQ38" i="165"/>
  <c r="CI45" i="165"/>
  <c r="EQ39" i="165"/>
  <c r="FV34" i="165"/>
  <c r="I41" i="165"/>
  <c r="J41" i="165" s="1"/>
  <c r="K41" i="165"/>
  <c r="CP24" i="165"/>
  <c r="CK41" i="165"/>
  <c r="CP26" i="165"/>
  <c r="EV29" i="165"/>
  <c r="FU31" i="165"/>
  <c r="FV42" i="165"/>
  <c r="CP23" i="165"/>
  <c r="CQ28" i="165"/>
  <c r="ER28" i="165"/>
  <c r="CI28" i="165" s="1"/>
  <c r="ER25" i="165"/>
  <c r="FV35" i="165"/>
  <c r="ER20" i="165"/>
  <c r="CP33" i="165"/>
  <c r="CH33" i="165"/>
  <c r="ER31" i="165"/>
  <c r="ER21" i="165"/>
  <c r="EQ36" i="165"/>
  <c r="CP19" i="165"/>
  <c r="CH19" i="165"/>
  <c r="CQ23" i="165"/>
  <c r="EQ24" i="147"/>
  <c r="FV26" i="147"/>
  <c r="FU26" i="147"/>
  <c r="EP32" i="84"/>
  <c r="T19" i="160"/>
  <c r="BT19" i="160" s="1"/>
  <c r="T18" i="160"/>
  <c r="BT18" i="160" s="1"/>
  <c r="I22" i="165"/>
  <c r="K22" i="165"/>
  <c r="AS22" i="165" s="1"/>
  <c r="J22" i="165"/>
  <c r="AQ37" i="147"/>
  <c r="AS36" i="147"/>
  <c r="AQ36" i="147"/>
  <c r="AQ28" i="147"/>
  <c r="AS28" i="147"/>
  <c r="AS37" i="147"/>
  <c r="FL56" i="160"/>
  <c r="FL57" i="160" s="1"/>
  <c r="FL58" i="160" s="1"/>
  <c r="FR56" i="160"/>
  <c r="FS57" i="160" s="1"/>
  <c r="FL54" i="84"/>
  <c r="FT54" i="84" s="1"/>
  <c r="CQ18" i="165"/>
  <c r="EQ18" i="165"/>
  <c r="ER18" i="165"/>
  <c r="CP18" i="165"/>
  <c r="EY58" i="160"/>
  <c r="EY73" i="84"/>
  <c r="CK22" i="165"/>
  <c r="EP30" i="160"/>
  <c r="EP26" i="160"/>
  <c r="EP38" i="160"/>
  <c r="EP34" i="160"/>
  <c r="EP44" i="160"/>
  <c r="EP35" i="160"/>
  <c r="EP25" i="160"/>
  <c r="EP37" i="160"/>
  <c r="FK61" i="160"/>
  <c r="FJ60" i="160"/>
  <c r="FK61" i="84"/>
  <c r="FJ61" i="84" s="1"/>
  <c r="CH36" i="147"/>
  <c r="CP25" i="165"/>
  <c r="CQ25" i="165"/>
  <c r="EY72" i="84"/>
  <c r="CP30" i="165"/>
  <c r="ER30" i="165"/>
  <c r="CQ30" i="165"/>
  <c r="EQ30" i="165"/>
  <c r="EY65" i="160"/>
  <c r="EX70" i="84"/>
  <c r="CH28" i="147"/>
  <c r="CI28" i="147"/>
  <c r="CK36" i="147"/>
  <c r="CQ38" i="147"/>
  <c r="CP23" i="147"/>
  <c r="CQ35" i="147"/>
  <c r="CQ33" i="147"/>
  <c r="CQ34" i="147"/>
  <c r="CP40" i="147"/>
  <c r="CQ40" i="147"/>
  <c r="CP35" i="147"/>
  <c r="CP34" i="147"/>
  <c r="CP38" i="147"/>
  <c r="CK37" i="147"/>
  <c r="CP33" i="147"/>
  <c r="CK28" i="147"/>
  <c r="CQ29" i="147"/>
  <c r="CQ39" i="147"/>
  <c r="CP39" i="147"/>
  <c r="CP31" i="147"/>
  <c r="CQ31" i="147"/>
  <c r="CP29" i="147"/>
  <c r="EP30" i="84" l="1"/>
  <c r="H22" i="165"/>
  <c r="BT30" i="84"/>
  <c r="ED27" i="147"/>
  <c r="I27" i="147" s="1"/>
  <c r="J27" i="147" s="1"/>
  <c r="FP27" i="147"/>
  <c r="AT17" i="165"/>
  <c r="EN27" i="147"/>
  <c r="EP27" i="147" s="1"/>
  <c r="EM27" i="147"/>
  <c r="AT16" i="165"/>
  <c r="U19" i="165"/>
  <c r="T19" i="165"/>
  <c r="U32" i="165"/>
  <c r="T32" i="165"/>
  <c r="EH26" i="147"/>
  <c r="EJ26" i="147" s="1"/>
  <c r="V38" i="165"/>
  <c r="W38" i="165"/>
  <c r="V28" i="165"/>
  <c r="W28" i="165"/>
  <c r="V41" i="165"/>
  <c r="W41" i="165"/>
  <c r="W45" i="165"/>
  <c r="V45" i="165"/>
  <c r="EI26" i="147"/>
  <c r="EK26" i="147" s="1"/>
  <c r="V26" i="165"/>
  <c r="W26" i="165"/>
  <c r="U26" i="165"/>
  <c r="T26" i="165"/>
  <c r="U41" i="165"/>
  <c r="T41" i="165"/>
  <c r="T45" i="165"/>
  <c r="U45" i="165"/>
  <c r="U38" i="165"/>
  <c r="T38" i="165"/>
  <c r="T33" i="165"/>
  <c r="U33" i="165"/>
  <c r="V32" i="165"/>
  <c r="W32" i="165"/>
  <c r="U36" i="165"/>
  <c r="T36" i="165"/>
  <c r="W29" i="165"/>
  <c r="V29" i="165"/>
  <c r="U39" i="165"/>
  <c r="T39" i="165"/>
  <c r="CI39" i="165"/>
  <c r="U44" i="165"/>
  <c r="T44" i="165"/>
  <c r="ER27" i="147"/>
  <c r="EH27" i="147"/>
  <c r="EJ27" i="147" s="1"/>
  <c r="EI27" i="147"/>
  <c r="EK27" i="147" s="1"/>
  <c r="ER23" i="165"/>
  <c r="CI23" i="165" s="1"/>
  <c r="V23" i="165" s="1"/>
  <c r="W23" i="165" s="1"/>
  <c r="CH23" i="165"/>
  <c r="EQ22" i="165"/>
  <c r="ER22" i="165"/>
  <c r="CH22" i="165"/>
  <c r="T22" i="165" s="1"/>
  <c r="U22" i="165" s="1"/>
  <c r="U36" i="147"/>
  <c r="T36" i="147"/>
  <c r="U28" i="147"/>
  <c r="T28" i="147"/>
  <c r="J24" i="147"/>
  <c r="K24" i="147"/>
  <c r="I24" i="147"/>
  <c r="W28" i="147"/>
  <c r="V28" i="147"/>
  <c r="K23" i="147"/>
  <c r="J23" i="147"/>
  <c r="I23" i="147"/>
  <c r="H24" i="147"/>
  <c r="F24" i="147"/>
  <c r="G24" i="147" s="1"/>
  <c r="H23" i="147"/>
  <c r="G23" i="147"/>
  <c r="F23" i="147"/>
  <c r="EV23" i="147"/>
  <c r="AR37" i="147"/>
  <c r="AT37" i="147"/>
  <c r="AT36" i="147"/>
  <c r="AZ28" i="147"/>
  <c r="CK21" i="165"/>
  <c r="CK19" i="165"/>
  <c r="CI36" i="165"/>
  <c r="CK26" i="165"/>
  <c r="CJ32" i="165"/>
  <c r="AQ41" i="165"/>
  <c r="AQ32" i="165"/>
  <c r="AQ30" i="165"/>
  <c r="AS41" i="165"/>
  <c r="AS32" i="165"/>
  <c r="AQ25" i="165"/>
  <c r="AQ22" i="165"/>
  <c r="CK45" i="165"/>
  <c r="CK37" i="165"/>
  <c r="EV33" i="165"/>
  <c r="X33" i="165" s="1"/>
  <c r="CH34" i="165"/>
  <c r="EV24" i="165"/>
  <c r="X24" i="165" s="1"/>
  <c r="EV45" i="165"/>
  <c r="X45" i="165" s="1"/>
  <c r="CI37" i="165"/>
  <c r="CJ38" i="165"/>
  <c r="CK39" i="165"/>
  <c r="CK33" i="165"/>
  <c r="CK44" i="165"/>
  <c r="CH28" i="165"/>
  <c r="CJ41" i="165"/>
  <c r="X41" i="165"/>
  <c r="CI33" i="165"/>
  <c r="CH37" i="165"/>
  <c r="CH18" i="165"/>
  <c r="CK23" i="165"/>
  <c r="CH29" i="165"/>
  <c r="CI19" i="165"/>
  <c r="CH21" i="165"/>
  <c r="CK36" i="165"/>
  <c r="CI18" i="165"/>
  <c r="X44" i="165"/>
  <c r="CJ44" i="165"/>
  <c r="EV18" i="165"/>
  <c r="EV25" i="165"/>
  <c r="CJ25" i="165" s="1"/>
  <c r="CQ42" i="165"/>
  <c r="ER42" i="165"/>
  <c r="X29" i="165"/>
  <c r="CJ29" i="165"/>
  <c r="K33" i="165"/>
  <c r="I33" i="165"/>
  <c r="J33" i="165" s="1"/>
  <c r="F36" i="165"/>
  <c r="H36" i="165"/>
  <c r="AQ36" i="165" s="1"/>
  <c r="G36" i="165"/>
  <c r="CK28" i="165"/>
  <c r="CP40" i="165"/>
  <c r="I39" i="165"/>
  <c r="J39" i="165" s="1"/>
  <c r="K39" i="165"/>
  <c r="K38" i="165"/>
  <c r="I38" i="165"/>
  <c r="J38" i="165" s="1"/>
  <c r="CQ27" i="165"/>
  <c r="ER27" i="165"/>
  <c r="EV27" i="165" s="1"/>
  <c r="EQ27" i="165"/>
  <c r="EV39" i="165"/>
  <c r="CH20" i="165"/>
  <c r="EV19" i="165"/>
  <c r="K23" i="165"/>
  <c r="AS23" i="165" s="1"/>
  <c r="I23" i="165"/>
  <c r="J23" i="165" s="1"/>
  <c r="I28" i="165"/>
  <c r="K28" i="165"/>
  <c r="AS28" i="165" s="1"/>
  <c r="J28" i="165"/>
  <c r="H26" i="165"/>
  <c r="F26" i="165"/>
  <c r="G26" i="165" s="1"/>
  <c r="AZ32" i="165"/>
  <c r="EO91" i="165" s="1"/>
  <c r="EM91" i="165" s="1"/>
  <c r="EV21" i="165"/>
  <c r="CQ31" i="165"/>
  <c r="EQ31" i="165"/>
  <c r="CI31" i="165" s="1"/>
  <c r="I45" i="165"/>
  <c r="J45" i="165" s="1"/>
  <c r="K45" i="165"/>
  <c r="EV37" i="165"/>
  <c r="H39" i="165"/>
  <c r="F39" i="165"/>
  <c r="G39" i="165" s="1"/>
  <c r="CP34" i="165"/>
  <c r="CK20" i="165"/>
  <c r="CP42" i="165"/>
  <c r="CH42" i="165"/>
  <c r="F44" i="165"/>
  <c r="H44" i="165"/>
  <c r="AQ44" i="165" s="1"/>
  <c r="G44" i="165"/>
  <c r="X26" i="165"/>
  <c r="CJ26" i="165"/>
  <c r="H37" i="165"/>
  <c r="AQ37" i="165" s="1"/>
  <c r="G37" i="165"/>
  <c r="F37" i="165"/>
  <c r="F20" i="165"/>
  <c r="G20" i="165" s="1"/>
  <c r="H20" i="165"/>
  <c r="CP43" i="165"/>
  <c r="CH43" i="165"/>
  <c r="CQ35" i="165"/>
  <c r="ER35" i="165"/>
  <c r="EQ35" i="165"/>
  <c r="F21" i="165"/>
  <c r="G21" i="165" s="1"/>
  <c r="H21" i="165"/>
  <c r="CI20" i="165"/>
  <c r="H29" i="165"/>
  <c r="AQ29" i="165" s="1"/>
  <c r="G29" i="165"/>
  <c r="F29" i="165"/>
  <c r="CI24" i="165"/>
  <c r="CQ43" i="165"/>
  <c r="EQ43" i="165"/>
  <c r="ER43" i="165"/>
  <c r="K37" i="165"/>
  <c r="I37" i="165"/>
  <c r="J37" i="165" s="1"/>
  <c r="EQ42" i="165"/>
  <c r="CI44" i="165"/>
  <c r="CH24" i="165"/>
  <c r="F23" i="165"/>
  <c r="G23" i="165" s="1"/>
  <c r="H23" i="165"/>
  <c r="G24" i="165"/>
  <c r="F24" i="165"/>
  <c r="H24" i="165"/>
  <c r="AQ24" i="165" s="1"/>
  <c r="CQ34" i="165"/>
  <c r="AZ41" i="165"/>
  <c r="EO100" i="165" s="1"/>
  <c r="EM100" i="165" s="1"/>
  <c r="CP35" i="165"/>
  <c r="EQ34" i="165"/>
  <c r="I20" i="165"/>
  <c r="J20" i="165" s="1"/>
  <c r="K20" i="165"/>
  <c r="J36" i="165"/>
  <c r="I36" i="165"/>
  <c r="K36" i="165"/>
  <c r="CP27" i="165"/>
  <c r="CH27" i="165"/>
  <c r="CK24" i="165"/>
  <c r="CH35" i="165"/>
  <c r="I26" i="165"/>
  <c r="K26" i="165"/>
  <c r="AS26" i="165" s="1"/>
  <c r="J26" i="165"/>
  <c r="K44" i="165"/>
  <c r="I44" i="165"/>
  <c r="J44" i="165" s="1"/>
  <c r="AZ22" i="165"/>
  <c r="EO81" i="165" s="1"/>
  <c r="EM81" i="165" s="1"/>
  <c r="H19" i="165"/>
  <c r="F19" i="165"/>
  <c r="F33" i="165"/>
  <c r="G33" i="165"/>
  <c r="H33" i="165"/>
  <c r="AQ33" i="165" s="1"/>
  <c r="CP31" i="165"/>
  <c r="CI25" i="165"/>
  <c r="H45" i="165"/>
  <c r="F45" i="165"/>
  <c r="G45" i="165" s="1"/>
  <c r="CQ40" i="165"/>
  <c r="ER40" i="165"/>
  <c r="EQ40" i="165"/>
  <c r="ER34" i="165"/>
  <c r="K19" i="165"/>
  <c r="AS19" i="165" s="1"/>
  <c r="I19" i="165"/>
  <c r="J19" i="165" s="1"/>
  <c r="EV28" i="165"/>
  <c r="I24" i="165"/>
  <c r="K24" i="165"/>
  <c r="AS24" i="165" s="1"/>
  <c r="J24" i="165"/>
  <c r="F38" i="165"/>
  <c r="G38" i="165" s="1"/>
  <c r="H38" i="165"/>
  <c r="CI21" i="165"/>
  <c r="EV20" i="165"/>
  <c r="EV36" i="165"/>
  <c r="H28" i="165"/>
  <c r="F28" i="165"/>
  <c r="CK38" i="165"/>
  <c r="J21" i="165"/>
  <c r="I21" i="165"/>
  <c r="K21" i="165"/>
  <c r="AS21" i="165" s="1"/>
  <c r="EV24" i="147"/>
  <c r="CP26" i="147"/>
  <c r="CQ26" i="147"/>
  <c r="ER26" i="147"/>
  <c r="EQ26" i="147"/>
  <c r="H18" i="165"/>
  <c r="F18" i="165"/>
  <c r="I25" i="165"/>
  <c r="K25" i="165"/>
  <c r="AS25" i="165" s="1"/>
  <c r="J25" i="165"/>
  <c r="I30" i="165"/>
  <c r="J30" i="165" s="1"/>
  <c r="K30" i="165"/>
  <c r="K18" i="165"/>
  <c r="I18" i="165"/>
  <c r="J18" i="165" s="1"/>
  <c r="AS38" i="147"/>
  <c r="AS31" i="147"/>
  <c r="AQ29" i="147"/>
  <c r="AS33" i="147"/>
  <c r="AQ31" i="147"/>
  <c r="AZ31" i="147"/>
  <c r="AS39" i="147"/>
  <c r="AQ34" i="147"/>
  <c r="AS35" i="147"/>
  <c r="AQ33" i="147"/>
  <c r="AS29" i="147"/>
  <c r="AQ38" i="147"/>
  <c r="AQ35" i="147"/>
  <c r="AQ39" i="147"/>
  <c r="AS34" i="147"/>
  <c r="FL55" i="84"/>
  <c r="FL56" i="84" s="1"/>
  <c r="FL57" i="84" s="1"/>
  <c r="FL58" i="84" s="1"/>
  <c r="FL59" i="84" s="1"/>
  <c r="FL60" i="84" s="1"/>
  <c r="FL61" i="84" s="1"/>
  <c r="FL62" i="84" s="1"/>
  <c r="FL63" i="84" s="1"/>
  <c r="FL64" i="84" s="1"/>
  <c r="FL65" i="84" s="1"/>
  <c r="FL66" i="84" s="1"/>
  <c r="FL67" i="84" s="1"/>
  <c r="FL68" i="84" s="1"/>
  <c r="FL69" i="84" s="1"/>
  <c r="FL70" i="84" s="1"/>
  <c r="FL71" i="84" s="1"/>
  <c r="FL72" i="84" s="1"/>
  <c r="FL73" i="84" s="1"/>
  <c r="FL74" i="84" s="1"/>
  <c r="FL75" i="84" s="1"/>
  <c r="FL76" i="84" s="1"/>
  <c r="FL77" i="84" s="1"/>
  <c r="FL78" i="84" s="1"/>
  <c r="FL79" i="84" s="1"/>
  <c r="FL80" i="84" s="1"/>
  <c r="FL81" i="84" s="1"/>
  <c r="FL82" i="84" s="1"/>
  <c r="FL83" i="84" s="1"/>
  <c r="FL84" i="84" s="1"/>
  <c r="FL85" i="84" s="1"/>
  <c r="FT56" i="160"/>
  <c r="FY56" i="160" s="1"/>
  <c r="GB56" i="160" s="1"/>
  <c r="FU57" i="160"/>
  <c r="FT57" i="160" s="1"/>
  <c r="FO57" i="160"/>
  <c r="AF17" i="160" s="1"/>
  <c r="CK18" i="165"/>
  <c r="FL59" i="160"/>
  <c r="FL60" i="160" s="1"/>
  <c r="FL61" i="160" s="1"/>
  <c r="FL62" i="160" s="1"/>
  <c r="FL63" i="160" s="1"/>
  <c r="FL64" i="160" s="1"/>
  <c r="FL65" i="160" s="1"/>
  <c r="FL66" i="160" s="1"/>
  <c r="FL67" i="160" s="1"/>
  <c r="FL68" i="160" s="1"/>
  <c r="FL69" i="160" s="1"/>
  <c r="FL70" i="160" s="1"/>
  <c r="FL71" i="160" s="1"/>
  <c r="FL72" i="160" s="1"/>
  <c r="FL73" i="160" s="1"/>
  <c r="FL74" i="160" s="1"/>
  <c r="FL75" i="160" s="1"/>
  <c r="FL76" i="160" s="1"/>
  <c r="FL77" i="160" s="1"/>
  <c r="FL78" i="160" s="1"/>
  <c r="FL79" i="160" s="1"/>
  <c r="FL80" i="160" s="1"/>
  <c r="FL81" i="160" s="1"/>
  <c r="FL82" i="160" s="1"/>
  <c r="FL83" i="160" s="1"/>
  <c r="FL84" i="160" s="1"/>
  <c r="FL85" i="160" s="1"/>
  <c r="FK62" i="160"/>
  <c r="FJ61" i="160"/>
  <c r="FK62" i="84"/>
  <c r="FJ62" i="84" s="1"/>
  <c r="CH25" i="165"/>
  <c r="CK25" i="165"/>
  <c r="CI30" i="165"/>
  <c r="CK30" i="165"/>
  <c r="EV30" i="165"/>
  <c r="CH30" i="165"/>
  <c r="CI31" i="147"/>
  <c r="CI35" i="147"/>
  <c r="CH23" i="147"/>
  <c r="CH38" i="147"/>
  <c r="CI40" i="147"/>
  <c r="CI39" i="147"/>
  <c r="CH29" i="147"/>
  <c r="CI29" i="147"/>
  <c r="CI34" i="147"/>
  <c r="CH35" i="147"/>
  <c r="CH40" i="147"/>
  <c r="CI33" i="147"/>
  <c r="CK38" i="147"/>
  <c r="CH34" i="147"/>
  <c r="CH39" i="147"/>
  <c r="CH31" i="147"/>
  <c r="CI38" i="147"/>
  <c r="CH33" i="147"/>
  <c r="CI23" i="147"/>
  <c r="CK39" i="147"/>
  <c r="CK33" i="147"/>
  <c r="CK40" i="147"/>
  <c r="CK34" i="147"/>
  <c r="CK23" i="147"/>
  <c r="CQ30" i="147"/>
  <c r="CQ24" i="147"/>
  <c r="AQ40" i="147"/>
  <c r="CK29" i="147"/>
  <c r="CK35" i="147"/>
  <c r="CP32" i="147"/>
  <c r="AS40" i="147"/>
  <c r="CP24" i="147"/>
  <c r="CQ27" i="147"/>
  <c r="CP27" i="147"/>
  <c r="CQ32" i="147"/>
  <c r="CK31" i="147"/>
  <c r="CP30" i="147"/>
  <c r="CR26" i="147"/>
  <c r="K27" i="147" l="1"/>
  <c r="AS20" i="165"/>
  <c r="AR19" i="165"/>
  <c r="EO27" i="147"/>
  <c r="EQ27" i="147" s="1"/>
  <c r="EV23" i="165"/>
  <c r="X23" i="165" s="1"/>
  <c r="AT29" i="165"/>
  <c r="AR45" i="165"/>
  <c r="AR38" i="165"/>
  <c r="U21" i="165"/>
  <c r="T21" i="165"/>
  <c r="V36" i="165"/>
  <c r="W36" i="165"/>
  <c r="U27" i="165"/>
  <c r="T27" i="165"/>
  <c r="U42" i="165"/>
  <c r="T42" i="165"/>
  <c r="W19" i="165"/>
  <c r="V19" i="165"/>
  <c r="V30" i="165"/>
  <c r="W30" i="165"/>
  <c r="V25" i="165"/>
  <c r="W25" i="165"/>
  <c r="U24" i="165"/>
  <c r="T24" i="165"/>
  <c r="V24" i="165"/>
  <c r="W24" i="165"/>
  <c r="W31" i="165"/>
  <c r="V31" i="165"/>
  <c r="T29" i="165"/>
  <c r="U29" i="165"/>
  <c r="U28" i="165"/>
  <c r="T28" i="165"/>
  <c r="T23" i="165"/>
  <c r="U23" i="165" s="1"/>
  <c r="W39" i="165"/>
  <c r="V39" i="165"/>
  <c r="W37" i="165"/>
  <c r="V37" i="165"/>
  <c r="W21" i="165"/>
  <c r="V21" i="165"/>
  <c r="V44" i="165"/>
  <c r="W44" i="165"/>
  <c r="U34" i="165"/>
  <c r="T34" i="165"/>
  <c r="U30" i="165"/>
  <c r="T30" i="165"/>
  <c r="T25" i="165"/>
  <c r="U25" i="165"/>
  <c r="U18" i="165"/>
  <c r="T18" i="165"/>
  <c r="U43" i="165"/>
  <c r="T43" i="165"/>
  <c r="T37" i="165"/>
  <c r="U37" i="165"/>
  <c r="U35" i="165"/>
  <c r="T35" i="165"/>
  <c r="V20" i="165"/>
  <c r="W20" i="165"/>
  <c r="U20" i="165"/>
  <c r="T20" i="165"/>
  <c r="W18" i="165"/>
  <c r="V18" i="165"/>
  <c r="W33" i="165"/>
  <c r="V33" i="165"/>
  <c r="CI22" i="165"/>
  <c r="V22" i="165" s="1"/>
  <c r="W22" i="165" s="1"/>
  <c r="EV22" i="165"/>
  <c r="V39" i="147"/>
  <c r="W39" i="147"/>
  <c r="W33" i="147"/>
  <c r="V33" i="147"/>
  <c r="U38" i="147"/>
  <c r="T38" i="147"/>
  <c r="CJ24" i="147"/>
  <c r="X24" i="147"/>
  <c r="W23" i="147"/>
  <c r="V23" i="147"/>
  <c r="U40" i="147"/>
  <c r="T40" i="147"/>
  <c r="U23" i="147"/>
  <c r="T23" i="147"/>
  <c r="U33" i="147"/>
  <c r="T33" i="147"/>
  <c r="U35" i="147"/>
  <c r="T35" i="147"/>
  <c r="W35" i="147"/>
  <c r="V35" i="147"/>
  <c r="U34" i="147"/>
  <c r="T34" i="147"/>
  <c r="W38" i="147"/>
  <c r="V38" i="147"/>
  <c r="W34" i="147"/>
  <c r="V34" i="147"/>
  <c r="V31" i="147"/>
  <c r="W31" i="147"/>
  <c r="U31" i="147"/>
  <c r="T31" i="147"/>
  <c r="W29" i="147"/>
  <c r="V29" i="147"/>
  <c r="W40" i="147"/>
  <c r="V40" i="147"/>
  <c r="U39" i="147"/>
  <c r="T39" i="147"/>
  <c r="T29" i="147"/>
  <c r="U29" i="147"/>
  <c r="K26" i="147"/>
  <c r="I26" i="147"/>
  <c r="J26" i="147" s="1"/>
  <c r="CJ23" i="147"/>
  <c r="X23" i="147"/>
  <c r="AR39" i="165"/>
  <c r="AR22" i="165"/>
  <c r="AT28" i="165"/>
  <c r="AR26" i="165"/>
  <c r="AT32" i="165"/>
  <c r="AR41" i="165"/>
  <c r="AT38" i="165"/>
  <c r="AT41" i="165"/>
  <c r="AR33" i="165"/>
  <c r="AT26" i="165"/>
  <c r="AR36" i="165"/>
  <c r="AT45" i="165"/>
  <c r="AT28" i="147"/>
  <c r="AR28" i="147"/>
  <c r="AR36" i="147"/>
  <c r="CK27" i="165"/>
  <c r="CI42" i="165"/>
  <c r="AQ45" i="165"/>
  <c r="AQ39" i="165"/>
  <c r="AQ38" i="165"/>
  <c r="AS30" i="165"/>
  <c r="AS45" i="165"/>
  <c r="AS44" i="165"/>
  <c r="AS39" i="165"/>
  <c r="AS38" i="165"/>
  <c r="AS37" i="165"/>
  <c r="AS36" i="165"/>
  <c r="EV35" i="165"/>
  <c r="X35" i="165" s="1"/>
  <c r="CJ33" i="165"/>
  <c r="AS33" i="165"/>
  <c r="G28" i="165"/>
  <c r="AZ28" i="165" s="1"/>
  <c r="EO87" i="165" s="1"/>
  <c r="EM87" i="165" s="1"/>
  <c r="AQ28" i="165"/>
  <c r="AQ26" i="165"/>
  <c r="CJ24" i="165"/>
  <c r="AQ23" i="165"/>
  <c r="AQ21" i="165"/>
  <c r="AQ20" i="165"/>
  <c r="AZ45" i="165"/>
  <c r="EO104" i="165" s="1"/>
  <c r="EM104" i="165" s="1"/>
  <c r="CJ45" i="165"/>
  <c r="EV43" i="165"/>
  <c r="X43" i="165" s="1"/>
  <c r="EV42" i="165"/>
  <c r="CJ42" i="165" s="1"/>
  <c r="CK42" i="165"/>
  <c r="EV34" i="165"/>
  <c r="CJ34" i="165" s="1"/>
  <c r="AZ33" i="165"/>
  <c r="EO92" i="165" s="1"/>
  <c r="EM92" i="165" s="1"/>
  <c r="EV31" i="165"/>
  <c r="CJ31" i="165" s="1"/>
  <c r="CK31" i="165"/>
  <c r="X25" i="165"/>
  <c r="CH31" i="165"/>
  <c r="AZ39" i="165"/>
  <c r="EO98" i="165" s="1"/>
  <c r="EM98" i="165" s="1"/>
  <c r="AZ24" i="165"/>
  <c r="EO83" i="165" s="1"/>
  <c r="EM83" i="165" s="1"/>
  <c r="AZ25" i="165"/>
  <c r="EO84" i="165" s="1"/>
  <c r="EM84" i="165" s="1"/>
  <c r="AZ30" i="165"/>
  <c r="EO89" i="165" s="1"/>
  <c r="EM89" i="165" s="1"/>
  <c r="AZ38" i="165"/>
  <c r="EO97" i="165" s="1"/>
  <c r="EM97" i="165" s="1"/>
  <c r="AZ29" i="165"/>
  <c r="EO88" i="165" s="1"/>
  <c r="EM88" i="165" s="1"/>
  <c r="AZ26" i="165"/>
  <c r="EO85" i="165" s="1"/>
  <c r="EM85" i="165" s="1"/>
  <c r="X27" i="165"/>
  <c r="CJ27" i="165"/>
  <c r="K31" i="165"/>
  <c r="I31" i="165"/>
  <c r="J31" i="165" s="1"/>
  <c r="CK43" i="165"/>
  <c r="CI34" i="165"/>
  <c r="X19" i="165"/>
  <c r="CJ19" i="165"/>
  <c r="J27" i="165"/>
  <c r="I27" i="165"/>
  <c r="K27" i="165"/>
  <c r="AS27" i="165" s="1"/>
  <c r="AZ36" i="165"/>
  <c r="EO95" i="165" s="1"/>
  <c r="EM95" i="165" s="1"/>
  <c r="F35" i="165"/>
  <c r="H35" i="165"/>
  <c r="AQ35" i="165" s="1"/>
  <c r="G35" i="165"/>
  <c r="AZ20" i="165"/>
  <c r="EO79" i="165" s="1"/>
  <c r="EM79" i="165" s="1"/>
  <c r="CH40" i="165"/>
  <c r="CI40" i="165"/>
  <c r="G19" i="165"/>
  <c r="AZ19" i="165" s="1"/>
  <c r="EO78" i="165" s="1"/>
  <c r="EM78" i="165" s="1"/>
  <c r="CK35" i="165"/>
  <c r="H42" i="165"/>
  <c r="AQ42" i="165" s="1"/>
  <c r="G42" i="165"/>
  <c r="F42" i="165"/>
  <c r="X37" i="165"/>
  <c r="CJ37" i="165"/>
  <c r="AR44" i="165"/>
  <c r="X39" i="165"/>
  <c r="CJ39" i="165"/>
  <c r="EV40" i="165"/>
  <c r="AR32" i="165"/>
  <c r="G18" i="165"/>
  <c r="AZ18" i="165" s="1"/>
  <c r="EO77" i="165" s="1"/>
  <c r="EM77" i="165" s="1"/>
  <c r="H31" i="165"/>
  <c r="F31" i="165"/>
  <c r="G31" i="165" s="1"/>
  <c r="AZ23" i="165"/>
  <c r="EO82" i="165" s="1"/>
  <c r="EM82" i="165" s="1"/>
  <c r="CI35" i="165"/>
  <c r="X21" i="165"/>
  <c r="CJ21" i="165"/>
  <c r="F40" i="165"/>
  <c r="G40" i="165" s="1"/>
  <c r="H40" i="165"/>
  <c r="X28" i="165"/>
  <c r="CJ28" i="165"/>
  <c r="I40" i="165"/>
  <c r="J40" i="165" s="1"/>
  <c r="K40" i="165"/>
  <c r="K34" i="165"/>
  <c r="I34" i="165"/>
  <c r="J34" i="165" s="1"/>
  <c r="AZ44" i="165"/>
  <c r="EO103" i="165" s="1"/>
  <c r="EM103" i="165" s="1"/>
  <c r="CK40" i="165"/>
  <c r="X18" i="165"/>
  <c r="CJ18" i="165"/>
  <c r="X36" i="165"/>
  <c r="CJ36" i="165"/>
  <c r="CI43" i="165"/>
  <c r="K35" i="165"/>
  <c r="I35" i="165"/>
  <c r="J35" i="165" s="1"/>
  <c r="AZ37" i="165"/>
  <c r="EO96" i="165" s="1"/>
  <c r="EM96" i="165" s="1"/>
  <c r="F34" i="165"/>
  <c r="G34" i="165" s="1"/>
  <c r="H34" i="165"/>
  <c r="I42" i="165"/>
  <c r="J42" i="165" s="1"/>
  <c r="K42" i="165"/>
  <c r="X20" i="165"/>
  <c r="CJ20" i="165"/>
  <c r="H27" i="165"/>
  <c r="F27" i="165"/>
  <c r="G27" i="165" s="1"/>
  <c r="K43" i="165"/>
  <c r="I43" i="165"/>
  <c r="J43" i="165" s="1"/>
  <c r="AZ21" i="165"/>
  <c r="EO80" i="165" s="1"/>
  <c r="EM80" i="165" s="1"/>
  <c r="F43" i="165"/>
  <c r="G43" i="165" s="1"/>
  <c r="H43" i="165"/>
  <c r="CK34" i="165"/>
  <c r="CI27" i="165"/>
  <c r="AR34" i="165"/>
  <c r="AQ23" i="147"/>
  <c r="AZ23" i="147"/>
  <c r="EV26" i="147"/>
  <c r="X26" i="147" s="1"/>
  <c r="X30" i="165"/>
  <c r="CJ30" i="165"/>
  <c r="AS18" i="165"/>
  <c r="AS23" i="147"/>
  <c r="AT40" i="147"/>
  <c r="AQ30" i="147"/>
  <c r="AS32" i="147"/>
  <c r="AS30" i="147"/>
  <c r="AQ32" i="147"/>
  <c r="FP57" i="160"/>
  <c r="FX57" i="160" s="1"/>
  <c r="GA56" i="160"/>
  <c r="CH24" i="147"/>
  <c r="CI30" i="147"/>
  <c r="FK63" i="160"/>
  <c r="FJ62" i="160"/>
  <c r="FK63" i="84"/>
  <c r="FJ63" i="84" s="1"/>
  <c r="CH27" i="147"/>
  <c r="CI32" i="147"/>
  <c r="CI24" i="147"/>
  <c r="CH32" i="147"/>
  <c r="CH30" i="147"/>
  <c r="CH26" i="147"/>
  <c r="CI26" i="147"/>
  <c r="CK24" i="147"/>
  <c r="CK30" i="147"/>
  <c r="CK27" i="147"/>
  <c r="CK32" i="147"/>
  <c r="CK26" i="147"/>
  <c r="CJ23" i="165" l="1"/>
  <c r="AT19" i="165"/>
  <c r="AR21" i="165"/>
  <c r="EV27" i="147"/>
  <c r="X27" i="147" s="1"/>
  <c r="CI27" i="147"/>
  <c r="V27" i="147" s="1"/>
  <c r="W27" i="147" s="1"/>
  <c r="AR20" i="165"/>
  <c r="AT39" i="165"/>
  <c r="AT36" i="165"/>
  <c r="AT20" i="165"/>
  <c r="AR18" i="165"/>
  <c r="AR29" i="165"/>
  <c r="AR37" i="165"/>
  <c r="AR40" i="147"/>
  <c r="AT33" i="165"/>
  <c r="AR28" i="165"/>
  <c r="CJ27" i="147"/>
  <c r="U31" i="165"/>
  <c r="T31" i="165"/>
  <c r="U40" i="165"/>
  <c r="T40" i="165"/>
  <c r="V43" i="165"/>
  <c r="W43" i="165"/>
  <c r="V42" i="165"/>
  <c r="W42" i="165"/>
  <c r="V34" i="165"/>
  <c r="W34" i="165"/>
  <c r="V27" i="165"/>
  <c r="W27" i="165"/>
  <c r="V35" i="165"/>
  <c r="W35" i="165"/>
  <c r="V40" i="165"/>
  <c r="W40" i="165"/>
  <c r="AR23" i="165"/>
  <c r="AT23" i="165"/>
  <c r="CJ22" i="165"/>
  <c r="X22" i="165"/>
  <c r="AT22" i="165"/>
  <c r="U30" i="147"/>
  <c r="T30" i="147"/>
  <c r="U32" i="147"/>
  <c r="T32" i="147"/>
  <c r="W30" i="147"/>
  <c r="V30" i="147"/>
  <c r="W24" i="147"/>
  <c r="V24" i="147"/>
  <c r="T24" i="147"/>
  <c r="U24" i="147" s="1"/>
  <c r="W32" i="147"/>
  <c r="V32" i="147"/>
  <c r="T27" i="147"/>
  <c r="U27" i="147" s="1"/>
  <c r="V26" i="147"/>
  <c r="W26" i="147" s="1"/>
  <c r="T26" i="147"/>
  <c r="U26" i="147" s="1"/>
  <c r="AT24" i="165"/>
  <c r="AR43" i="165"/>
  <c r="AR30" i="165"/>
  <c r="AT18" i="165"/>
  <c r="AT37" i="165"/>
  <c r="AR25" i="165"/>
  <c r="AT30" i="165"/>
  <c r="AR42" i="165"/>
  <c r="AT44" i="165"/>
  <c r="AR35" i="165"/>
  <c r="AT34" i="147"/>
  <c r="AR39" i="147"/>
  <c r="AR33" i="147"/>
  <c r="AR31" i="147"/>
  <c r="AR34" i="147"/>
  <c r="AT35" i="147"/>
  <c r="AT33" i="147"/>
  <c r="AT39" i="147"/>
  <c r="AR38" i="147"/>
  <c r="AT31" i="147"/>
  <c r="AT29" i="147"/>
  <c r="AR29" i="147"/>
  <c r="AT23" i="147"/>
  <c r="AR35" i="147"/>
  <c r="AT38" i="147"/>
  <c r="AR23" i="147"/>
  <c r="AG17" i="160"/>
  <c r="AH17" i="160"/>
  <c r="CJ26" i="147"/>
  <c r="X42" i="165"/>
  <c r="X34" i="165"/>
  <c r="AQ43" i="165"/>
  <c r="AQ40" i="165"/>
  <c r="AQ34" i="165"/>
  <c r="AQ31" i="165"/>
  <c r="CJ43" i="165"/>
  <c r="CJ35" i="165"/>
  <c r="X31" i="165"/>
  <c r="AS43" i="165"/>
  <c r="AS42" i="165"/>
  <c r="AS40" i="165"/>
  <c r="AS35" i="165"/>
  <c r="AS34" i="165"/>
  <c r="AS31" i="165"/>
  <c r="AQ27" i="165"/>
  <c r="AQ19" i="165"/>
  <c r="AQ18" i="165"/>
  <c r="AZ35" i="165"/>
  <c r="EO94" i="165" s="1"/>
  <c r="EM94" i="165" s="1"/>
  <c r="AZ43" i="165"/>
  <c r="EO102" i="165" s="1"/>
  <c r="EM102" i="165" s="1"/>
  <c r="AR24" i="165"/>
  <c r="AZ34" i="165"/>
  <c r="EO93" i="165" s="1"/>
  <c r="EM93" i="165" s="1"/>
  <c r="AZ27" i="165"/>
  <c r="EO86" i="165" s="1"/>
  <c r="EM86" i="165" s="1"/>
  <c r="AR27" i="165"/>
  <c r="AT25" i="165"/>
  <c r="AZ42" i="165"/>
  <c r="EO101" i="165" s="1"/>
  <c r="EM101" i="165" s="1"/>
  <c r="AT31" i="165"/>
  <c r="AT21" i="165"/>
  <c r="AZ40" i="165"/>
  <c r="EO99" i="165" s="1"/>
  <c r="EM99" i="165" s="1"/>
  <c r="X40" i="165"/>
  <c r="CJ40" i="165"/>
  <c r="AZ31" i="165"/>
  <c r="EO90" i="165" s="1"/>
  <c r="EM90" i="165" s="1"/>
  <c r="AS27" i="147"/>
  <c r="AQ27" i="147"/>
  <c r="AZ27" i="147"/>
  <c r="AQ24" i="147"/>
  <c r="AQ26" i="147"/>
  <c r="AS26" i="147"/>
  <c r="AS24" i="147"/>
  <c r="FN57" i="160"/>
  <c r="FW57" i="160" s="1"/>
  <c r="FK64" i="160"/>
  <c r="GG64" i="160" s="1"/>
  <c r="FJ63" i="160"/>
  <c r="FK64" i="84"/>
  <c r="FJ64" i="84" s="1"/>
  <c r="AW24" i="160" l="1"/>
  <c r="AV24" i="160"/>
  <c r="FG64" i="160" s="1"/>
  <c r="AR31" i="165"/>
  <c r="AT42" i="165"/>
  <c r="AT35" i="165"/>
  <c r="AT43" i="165"/>
  <c r="AT27" i="165"/>
  <c r="AT34" i="165"/>
  <c r="AR40" i="165"/>
  <c r="AR27" i="147"/>
  <c r="AT26" i="147"/>
  <c r="AT32" i="147"/>
  <c r="AR30" i="147"/>
  <c r="AT30" i="147"/>
  <c r="AR32" i="147"/>
  <c r="AR26" i="147"/>
  <c r="AT27" i="147"/>
  <c r="AT24" i="147"/>
  <c r="AR24" i="147"/>
  <c r="AZ26" i="147"/>
  <c r="AT40" i="165"/>
  <c r="AZ24" i="147"/>
  <c r="FQ57" i="160"/>
  <c r="FY57" i="160" s="1"/>
  <c r="GA57" i="160" s="1"/>
  <c r="FD17" i="160"/>
  <c r="FK65" i="160"/>
  <c r="FJ64" i="160"/>
  <c r="FK65" i="84"/>
  <c r="FJ65" i="84" s="1"/>
  <c r="FR57" i="160" l="1"/>
  <c r="FS58" i="160" s="1"/>
  <c r="FP58" i="160" s="1"/>
  <c r="GA58" i="160" s="1"/>
  <c r="GB57" i="160"/>
  <c r="FK66" i="160"/>
  <c r="FJ65" i="160"/>
  <c r="FK66" i="84"/>
  <c r="FJ66" i="84" s="1"/>
  <c r="FR58" i="160" l="1"/>
  <c r="FS59" i="160" s="1"/>
  <c r="FP59" i="160" s="1"/>
  <c r="GA59" i="160" s="1"/>
  <c r="FU58" i="160"/>
  <c r="FT58" i="160" s="1"/>
  <c r="FN58" i="160"/>
  <c r="FW58" i="160" s="1"/>
  <c r="FO58" i="160"/>
  <c r="AF18" i="160" s="1"/>
  <c r="FQ58" i="160"/>
  <c r="FY58" i="160" s="1"/>
  <c r="GB58" i="160" s="1"/>
  <c r="FK67" i="160"/>
  <c r="FJ66" i="160"/>
  <c r="FK67" i="84"/>
  <c r="FJ67" i="84" s="1"/>
  <c r="FN59" i="160" l="1"/>
  <c r="FW59" i="160" s="1"/>
  <c r="FV59" i="160" s="1"/>
  <c r="FU59" i="160"/>
  <c r="FT59" i="160" s="1"/>
  <c r="FO59" i="160"/>
  <c r="AF19" i="160" s="1"/>
  <c r="FQ59" i="160"/>
  <c r="FY59" i="160" s="1"/>
  <c r="FZ59" i="160" s="1"/>
  <c r="FR59" i="160"/>
  <c r="FS60" i="160" s="1"/>
  <c r="FN60" i="160" s="1"/>
  <c r="FW60" i="160" s="1"/>
  <c r="FX58" i="160"/>
  <c r="FK68" i="160"/>
  <c r="FJ67" i="160"/>
  <c r="FK68" i="84"/>
  <c r="FJ68" i="84" s="1"/>
  <c r="AG18" i="160" l="1"/>
  <c r="AH18" i="160"/>
  <c r="AJ19" i="160"/>
  <c r="AI19" i="160"/>
  <c r="AE19" i="160"/>
  <c r="AD19" i="160"/>
  <c r="FX59" i="160"/>
  <c r="FU60" i="160"/>
  <c r="FT60" i="160" s="1"/>
  <c r="GB59" i="160"/>
  <c r="FP60" i="160"/>
  <c r="GA60" i="160" s="1"/>
  <c r="FQ60" i="160"/>
  <c r="FY60" i="160" s="1"/>
  <c r="FO60" i="160"/>
  <c r="AF20" i="160" s="1"/>
  <c r="FR60" i="160"/>
  <c r="FS61" i="160" s="1"/>
  <c r="FK69" i="160"/>
  <c r="FJ68" i="160"/>
  <c r="FK69" i="84"/>
  <c r="FJ69" i="84" s="1"/>
  <c r="GK59" i="160" l="1"/>
  <c r="FD18" i="160"/>
  <c r="AH19" i="160"/>
  <c r="AG19" i="160"/>
  <c r="FC19" i="160"/>
  <c r="FX60" i="160"/>
  <c r="FE19" i="160"/>
  <c r="FN61" i="160"/>
  <c r="FW61" i="160" s="1"/>
  <c r="FV61" i="160" s="1"/>
  <c r="FP61" i="160"/>
  <c r="GA61" i="160" s="1"/>
  <c r="FO61" i="160"/>
  <c r="AF21" i="160" s="1"/>
  <c r="FQ61" i="160"/>
  <c r="FY61" i="160" s="1"/>
  <c r="FU61" i="160"/>
  <c r="FT61" i="160" s="1"/>
  <c r="FR61" i="160"/>
  <c r="FS62" i="160" s="1"/>
  <c r="FZ60" i="160"/>
  <c r="GB60" i="160"/>
  <c r="FK70" i="160"/>
  <c r="FJ69" i="160"/>
  <c r="FK70" i="84"/>
  <c r="FJ70" i="84" s="1"/>
  <c r="FD19" i="160" l="1"/>
  <c r="AH20" i="160"/>
  <c r="AG20" i="160"/>
  <c r="AI20" i="160"/>
  <c r="AJ20" i="160"/>
  <c r="AE21" i="160"/>
  <c r="AD21" i="160"/>
  <c r="BW19" i="160"/>
  <c r="FZ61" i="160"/>
  <c r="GB61" i="160"/>
  <c r="FX61" i="160"/>
  <c r="FP62" i="160"/>
  <c r="GA62" i="160" s="1"/>
  <c r="FN62" i="160"/>
  <c r="FW62" i="160" s="1"/>
  <c r="FV62" i="160" s="1"/>
  <c r="FQ62" i="160"/>
  <c r="FY62" i="160" s="1"/>
  <c r="FO62" i="160"/>
  <c r="AF22" i="160" s="1"/>
  <c r="FU62" i="160"/>
  <c r="FT62" i="160" s="1"/>
  <c r="FR62" i="160"/>
  <c r="FS63" i="160" s="1"/>
  <c r="FK71" i="160"/>
  <c r="FJ70" i="160"/>
  <c r="FK71" i="84"/>
  <c r="FJ71" i="84" s="1"/>
  <c r="FD20" i="160" l="1"/>
  <c r="AJ21" i="160"/>
  <c r="AI21" i="160"/>
  <c r="AH21" i="160"/>
  <c r="AG21" i="160"/>
  <c r="AE22" i="160"/>
  <c r="AD22" i="160"/>
  <c r="FC21" i="160"/>
  <c r="FE20" i="160"/>
  <c r="FX62" i="160"/>
  <c r="FN63" i="160"/>
  <c r="FW63" i="160" s="1"/>
  <c r="FV63" i="160" s="1"/>
  <c r="FQ63" i="160"/>
  <c r="FY63" i="160" s="1"/>
  <c r="FO63" i="160"/>
  <c r="AF23" i="160" s="1"/>
  <c r="FR63" i="160"/>
  <c r="FS64" i="160" s="1"/>
  <c r="FU63" i="160"/>
  <c r="FT63" i="160" s="1"/>
  <c r="FP63" i="160"/>
  <c r="GA63" i="160" s="1"/>
  <c r="FZ62" i="160"/>
  <c r="GB62" i="160"/>
  <c r="FK72" i="160"/>
  <c r="FJ71" i="160"/>
  <c r="FK72" i="84"/>
  <c r="FJ72" i="84" s="1"/>
  <c r="GK61" i="160" l="1"/>
  <c r="AH22" i="160"/>
  <c r="AG22" i="160"/>
  <c r="AJ22" i="160"/>
  <c r="AI22" i="160"/>
  <c r="AD23" i="160"/>
  <c r="AE23" i="160"/>
  <c r="FC22" i="160"/>
  <c r="FD21" i="160"/>
  <c r="FE21" i="160"/>
  <c r="BW21" i="160"/>
  <c r="BX21" i="160" s="1"/>
  <c r="FB21" i="160" s="1"/>
  <c r="FX63" i="160"/>
  <c r="FZ63" i="160"/>
  <c r="GB63" i="160"/>
  <c r="FR64" i="160"/>
  <c r="FS65" i="160" s="1"/>
  <c r="FO64" i="160"/>
  <c r="AF24" i="160" s="1"/>
  <c r="FQ64" i="160"/>
  <c r="FY64" i="160" s="1"/>
  <c r="FU64" i="160"/>
  <c r="FT64" i="160" s="1"/>
  <c r="FP64" i="160"/>
  <c r="GA64" i="160" s="1"/>
  <c r="FN64" i="160"/>
  <c r="FW64" i="160" s="1"/>
  <c r="FV64" i="160" s="1"/>
  <c r="FK73" i="160"/>
  <c r="FJ72" i="160"/>
  <c r="FK73" i="84"/>
  <c r="FJ73" i="84" s="1"/>
  <c r="GK62" i="160" l="1"/>
  <c r="BZ21" i="160"/>
  <c r="EZ21" i="160"/>
  <c r="AI23" i="160"/>
  <c r="AJ23" i="160"/>
  <c r="AH23" i="160"/>
  <c r="AG23" i="160"/>
  <c r="AE24" i="160"/>
  <c r="AD24" i="160"/>
  <c r="FE22" i="160"/>
  <c r="FC23" i="160"/>
  <c r="FD22" i="160"/>
  <c r="BY21" i="160"/>
  <c r="FA21" i="160"/>
  <c r="FZ64" i="160"/>
  <c r="GB64" i="160"/>
  <c r="FX64" i="160"/>
  <c r="FU65" i="160"/>
  <c r="FT65" i="160" s="1"/>
  <c r="FO65" i="160"/>
  <c r="AF25" i="160" s="1"/>
  <c r="FP65" i="160"/>
  <c r="FN65" i="160" s="1"/>
  <c r="FW65" i="160" s="1"/>
  <c r="FQ65" i="160"/>
  <c r="FY65" i="160" s="1"/>
  <c r="FR65" i="160"/>
  <c r="FS66" i="160" s="1"/>
  <c r="BW22" i="160"/>
  <c r="BX22" i="160" s="1"/>
  <c r="FB22" i="160" s="1"/>
  <c r="FK74" i="160"/>
  <c r="FJ73" i="160"/>
  <c r="FK74" i="84"/>
  <c r="FJ74" i="84" s="1"/>
  <c r="GK63" i="160" l="1"/>
  <c r="BZ22" i="160"/>
  <c r="AJ24" i="160"/>
  <c r="AI24" i="160"/>
  <c r="AH24" i="160"/>
  <c r="AG24" i="160"/>
  <c r="FC24" i="160"/>
  <c r="BY22" i="160"/>
  <c r="FA22" i="160"/>
  <c r="FE23" i="160"/>
  <c r="FD23" i="160"/>
  <c r="BW23" i="160"/>
  <c r="BX23" i="160" s="1"/>
  <c r="FB23" i="160" s="1"/>
  <c r="FX65" i="160"/>
  <c r="GA65" i="160"/>
  <c r="GB65" i="160"/>
  <c r="FR66" i="160"/>
  <c r="FS67" i="160" s="1"/>
  <c r="FQ66" i="160"/>
  <c r="FY66" i="160" s="1"/>
  <c r="FP66" i="160"/>
  <c r="GA66" i="160" s="1"/>
  <c r="FO66" i="160"/>
  <c r="AF26" i="160" s="1"/>
  <c r="FU66" i="160"/>
  <c r="FT66" i="160" s="1"/>
  <c r="FN66" i="160"/>
  <c r="FW66" i="160" s="1"/>
  <c r="FV66" i="160" s="1"/>
  <c r="FK75" i="160"/>
  <c r="FJ74" i="160"/>
  <c r="FK75" i="84"/>
  <c r="FJ75" i="84" s="1"/>
  <c r="GK64" i="160" l="1"/>
  <c r="BZ23" i="160"/>
  <c r="AE26" i="160"/>
  <c r="AD26" i="160"/>
  <c r="AH25" i="160"/>
  <c r="AG25" i="160"/>
  <c r="FE24" i="160"/>
  <c r="FD24" i="160"/>
  <c r="BY23" i="160"/>
  <c r="FA23" i="160"/>
  <c r="FX66" i="160"/>
  <c r="FR67" i="160"/>
  <c r="FS68" i="160" s="1"/>
  <c r="FQ67" i="160"/>
  <c r="FY67" i="160" s="1"/>
  <c r="FP67" i="160"/>
  <c r="GA67" i="160" s="1"/>
  <c r="FO67" i="160"/>
  <c r="AF27" i="160" s="1"/>
  <c r="FN67" i="160"/>
  <c r="FW67" i="160" s="1"/>
  <c r="FV67" i="160" s="1"/>
  <c r="FU67" i="160"/>
  <c r="FT67" i="160" s="1"/>
  <c r="BW24" i="160"/>
  <c r="BX24" i="160" s="1"/>
  <c r="FB24" i="160" s="1"/>
  <c r="GB66" i="160"/>
  <c r="FZ66" i="160"/>
  <c r="FK76" i="160"/>
  <c r="FJ75" i="160"/>
  <c r="FK76" i="84"/>
  <c r="FJ76" i="84" s="1"/>
  <c r="BZ24" i="160" l="1"/>
  <c r="AE27" i="160"/>
  <c r="AD27" i="160"/>
  <c r="AJ26" i="160"/>
  <c r="AI26" i="160"/>
  <c r="AG26" i="160"/>
  <c r="AH26" i="160"/>
  <c r="FD25" i="160"/>
  <c r="BY24" i="160"/>
  <c r="FA24" i="160"/>
  <c r="FC26" i="160"/>
  <c r="GB67" i="160"/>
  <c r="FZ67" i="160"/>
  <c r="FX67" i="160"/>
  <c r="FN68" i="160"/>
  <c r="FW68" i="160" s="1"/>
  <c r="FV68" i="160" s="1"/>
  <c r="FR68" i="160"/>
  <c r="FS69" i="160" s="1"/>
  <c r="FU68" i="160"/>
  <c r="FT68" i="160" s="1"/>
  <c r="FQ68" i="160"/>
  <c r="FY68" i="160" s="1"/>
  <c r="FO68" i="160"/>
  <c r="AF28" i="160" s="1"/>
  <c r="FP68" i="160"/>
  <c r="GA68" i="160" s="1"/>
  <c r="FK77" i="160"/>
  <c r="FJ76" i="160"/>
  <c r="FK77" i="84"/>
  <c r="FJ77" i="84" s="1"/>
  <c r="GK66" i="160" l="1"/>
  <c r="AE28" i="160"/>
  <c r="AD28" i="160"/>
  <c r="AH27" i="160"/>
  <c r="AG27" i="160"/>
  <c r="AJ27" i="160"/>
  <c r="AI27" i="160"/>
  <c r="FD26" i="160"/>
  <c r="FC27" i="160"/>
  <c r="FE26" i="160"/>
  <c r="BW26" i="160"/>
  <c r="BX26" i="160" s="1"/>
  <c r="FB26" i="160" s="1"/>
  <c r="FU69" i="160"/>
  <c r="FT69" i="160" s="1"/>
  <c r="FR69" i="160"/>
  <c r="FS70" i="160" s="1"/>
  <c r="FO69" i="160"/>
  <c r="AF29" i="160" s="1"/>
  <c r="FP69" i="160"/>
  <c r="GA69" i="160" s="1"/>
  <c r="FN69" i="160"/>
  <c r="FW69" i="160" s="1"/>
  <c r="FV69" i="160" s="1"/>
  <c r="FQ69" i="160"/>
  <c r="FY69" i="160" s="1"/>
  <c r="FX68" i="160"/>
  <c r="GB68" i="160"/>
  <c r="FZ68" i="160"/>
  <c r="FK78" i="160"/>
  <c r="FJ77" i="160"/>
  <c r="FK78" i="84"/>
  <c r="FJ78" i="84" s="1"/>
  <c r="GK67" i="160" l="1"/>
  <c r="BZ26" i="160"/>
  <c r="AE29" i="160"/>
  <c r="AD29" i="160"/>
  <c r="AH28" i="160"/>
  <c r="AG28" i="160"/>
  <c r="AI28" i="160"/>
  <c r="AJ28" i="160"/>
  <c r="FD27" i="160"/>
  <c r="FC28" i="160"/>
  <c r="FE27" i="160"/>
  <c r="BY26" i="160"/>
  <c r="FA26" i="160"/>
  <c r="BW27" i="160"/>
  <c r="BX27" i="160" s="1"/>
  <c r="FB27" i="160" s="1"/>
  <c r="FZ69" i="160"/>
  <c r="GB69" i="160"/>
  <c r="FX69" i="160"/>
  <c r="FU70" i="160"/>
  <c r="FT70" i="160" s="1"/>
  <c r="FO70" i="160"/>
  <c r="AF30" i="160" s="1"/>
  <c r="FK79" i="160"/>
  <c r="FJ78" i="160"/>
  <c r="FK79" i="84"/>
  <c r="FJ79" i="84" s="1"/>
  <c r="GK68" i="160" l="1"/>
  <c r="BZ27" i="160"/>
  <c r="FA27" i="160"/>
  <c r="AG29" i="160"/>
  <c r="AH29" i="160"/>
  <c r="AJ29" i="160"/>
  <c r="AI29" i="160"/>
  <c r="FD28" i="160"/>
  <c r="BY27" i="160"/>
  <c r="FE28" i="160"/>
  <c r="FC29" i="160"/>
  <c r="FP70" i="160"/>
  <c r="FN70" i="160" s="1"/>
  <c r="BW28" i="160"/>
  <c r="BX28" i="160" s="1"/>
  <c r="FB28" i="160" s="1"/>
  <c r="FK80" i="160"/>
  <c r="FJ79" i="160"/>
  <c r="FK80" i="84"/>
  <c r="FJ80" i="84" s="1"/>
  <c r="GK69" i="160" l="1"/>
  <c r="BZ28" i="160"/>
  <c r="FD29" i="160"/>
  <c r="FE29" i="160"/>
  <c r="BY28" i="160"/>
  <c r="FA28" i="160"/>
  <c r="FX70" i="160"/>
  <c r="FW70" i="160"/>
  <c r="FQ70" i="160"/>
  <c r="FR70" i="160" s="1"/>
  <c r="FS71" i="160" s="1"/>
  <c r="BW29" i="160"/>
  <c r="BX29" i="160" s="1"/>
  <c r="FB29" i="160" s="1"/>
  <c r="FK81" i="160"/>
  <c r="FJ80" i="160"/>
  <c r="FK81" i="84"/>
  <c r="FJ81" i="84" s="1"/>
  <c r="BZ29" i="160" l="1"/>
  <c r="AH30" i="160"/>
  <c r="AG30" i="160"/>
  <c r="BY29" i="160"/>
  <c r="FA29" i="160"/>
  <c r="FY70" i="160"/>
  <c r="GA70" i="160" s="1"/>
  <c r="FR71" i="160"/>
  <c r="FS72" i="160" s="1"/>
  <c r="FP71" i="160"/>
  <c r="GA71" i="160" s="1"/>
  <c r="FQ71" i="160"/>
  <c r="FY71" i="160" s="1"/>
  <c r="FN71" i="160"/>
  <c r="FW71" i="160" s="1"/>
  <c r="FV71" i="160" s="1"/>
  <c r="FU71" i="160"/>
  <c r="FT71" i="160" s="1"/>
  <c r="FO71" i="160"/>
  <c r="AF31" i="160" s="1"/>
  <c r="FK82" i="160"/>
  <c r="FJ81" i="160"/>
  <c r="FK82" i="84"/>
  <c r="FJ82" i="84" s="1"/>
  <c r="AD31" i="160" l="1"/>
  <c r="AE31" i="160"/>
  <c r="FD30" i="160"/>
  <c r="GB70" i="160"/>
  <c r="GB71" i="160"/>
  <c r="FZ71" i="160"/>
  <c r="FP72" i="160"/>
  <c r="GA72" i="160" s="1"/>
  <c r="FR72" i="160"/>
  <c r="FS73" i="160" s="1"/>
  <c r="FU72" i="160"/>
  <c r="FT72" i="160" s="1"/>
  <c r="FO72" i="160"/>
  <c r="AF32" i="160" s="1"/>
  <c r="FQ72" i="160"/>
  <c r="FY72" i="160" s="1"/>
  <c r="FN72" i="160"/>
  <c r="FW72" i="160" s="1"/>
  <c r="FV72" i="160" s="1"/>
  <c r="FX71" i="160"/>
  <c r="FK83" i="160"/>
  <c r="FJ82" i="160"/>
  <c r="FK83" i="84"/>
  <c r="FJ83" i="84" s="1"/>
  <c r="AJ31" i="160" l="1"/>
  <c r="AI31" i="160"/>
  <c r="AE32" i="160"/>
  <c r="AD32" i="160"/>
  <c r="AH31" i="160"/>
  <c r="AG31" i="160"/>
  <c r="FC31" i="160"/>
  <c r="FN73" i="160"/>
  <c r="FW73" i="160" s="1"/>
  <c r="FV73" i="160" s="1"/>
  <c r="FU73" i="160"/>
  <c r="FT73" i="160" s="1"/>
  <c r="FO73" i="160"/>
  <c r="AF33" i="160" s="1"/>
  <c r="FQ73" i="160"/>
  <c r="FY73" i="160" s="1"/>
  <c r="FR73" i="160"/>
  <c r="FS74" i="160" s="1"/>
  <c r="FP73" i="160"/>
  <c r="GA73" i="160" s="1"/>
  <c r="FX72" i="160"/>
  <c r="FZ72" i="160"/>
  <c r="GB72" i="160"/>
  <c r="FK84" i="160"/>
  <c r="FJ83" i="160"/>
  <c r="FK84" i="84"/>
  <c r="FJ84" i="84" s="1"/>
  <c r="GK71" i="160" l="1"/>
  <c r="AE33" i="160"/>
  <c r="AD33" i="160"/>
  <c r="AJ32" i="160"/>
  <c r="AI32" i="160"/>
  <c r="AH32" i="160"/>
  <c r="AG32" i="160"/>
  <c r="FC32" i="160"/>
  <c r="FD31" i="160"/>
  <c r="FE31" i="160"/>
  <c r="BW31" i="160"/>
  <c r="BX31" i="160" s="1"/>
  <c r="FB31" i="160" s="1"/>
  <c r="GB73" i="160"/>
  <c r="FZ73" i="160"/>
  <c r="FX73" i="160"/>
  <c r="FQ74" i="160"/>
  <c r="FY74" i="160" s="1"/>
  <c r="FN74" i="160"/>
  <c r="FW74" i="160" s="1"/>
  <c r="FV74" i="160" s="1"/>
  <c r="FO74" i="160"/>
  <c r="AF34" i="160" s="1"/>
  <c r="FP74" i="160"/>
  <c r="GA74" i="160" s="1"/>
  <c r="FR74" i="160"/>
  <c r="FS75" i="160" s="1"/>
  <c r="FU74" i="160"/>
  <c r="FT74" i="160" s="1"/>
  <c r="FK85" i="160"/>
  <c r="FJ85" i="160" s="1"/>
  <c r="FJ84" i="160"/>
  <c r="FK85" i="84"/>
  <c r="FJ85" i="84" s="1"/>
  <c r="GK72" i="160" l="1"/>
  <c r="BZ31" i="160"/>
  <c r="AD34" i="160"/>
  <c r="AE34" i="160"/>
  <c r="AH33" i="160"/>
  <c r="AG33" i="160"/>
  <c r="AJ33" i="160"/>
  <c r="AI33" i="160"/>
  <c r="FC33" i="160"/>
  <c r="FD32" i="160"/>
  <c r="BY31" i="160"/>
  <c r="FA31" i="160"/>
  <c r="FE32" i="160"/>
  <c r="BW32" i="160"/>
  <c r="BX32" i="160" s="1"/>
  <c r="FB32" i="160" s="1"/>
  <c r="FQ75" i="160"/>
  <c r="FY75" i="160" s="1"/>
  <c r="FO75" i="160"/>
  <c r="AF35" i="160" s="1"/>
  <c r="FN75" i="160"/>
  <c r="FW75" i="160" s="1"/>
  <c r="FV75" i="160" s="1"/>
  <c r="FR75" i="160"/>
  <c r="FS76" i="160" s="1"/>
  <c r="FU75" i="160"/>
  <c r="FT75" i="160" s="1"/>
  <c r="FP75" i="160"/>
  <c r="GA75" i="160" s="1"/>
  <c r="FX74" i="160"/>
  <c r="GB74" i="160"/>
  <c r="FZ74" i="160"/>
  <c r="GK73" i="160" l="1"/>
  <c r="BZ32" i="160"/>
  <c r="AJ34" i="160"/>
  <c r="AI34" i="160"/>
  <c r="AE35" i="160"/>
  <c r="AD35" i="160"/>
  <c r="AG34" i="160"/>
  <c r="AH34" i="160"/>
  <c r="FD33" i="160"/>
  <c r="FC34" i="160"/>
  <c r="BY32" i="160"/>
  <c r="FA32" i="160"/>
  <c r="FE33" i="160"/>
  <c r="BW33" i="160"/>
  <c r="BX33" i="160" s="1"/>
  <c r="FB33" i="160" s="1"/>
  <c r="FU76" i="160"/>
  <c r="FT76" i="160" s="1"/>
  <c r="FQ76" i="160"/>
  <c r="FY76" i="160" s="1"/>
  <c r="FO76" i="160"/>
  <c r="AF36" i="160" s="1"/>
  <c r="FN76" i="160"/>
  <c r="FW76" i="160" s="1"/>
  <c r="FV76" i="160" s="1"/>
  <c r="FR76" i="160"/>
  <c r="FS77" i="160" s="1"/>
  <c r="FP76" i="160"/>
  <c r="GA76" i="160" s="1"/>
  <c r="FX75" i="160"/>
  <c r="FZ75" i="160"/>
  <c r="GB75" i="160"/>
  <c r="GK74" i="160" l="1"/>
  <c r="BZ33" i="160"/>
  <c r="AE36" i="160"/>
  <c r="AD36" i="160"/>
  <c r="AJ35" i="160"/>
  <c r="AI35" i="160"/>
  <c r="AH35" i="160"/>
  <c r="AG35" i="160"/>
  <c r="FC35" i="160"/>
  <c r="BY33" i="160"/>
  <c r="FA33" i="160"/>
  <c r="FE34" i="160"/>
  <c r="FD34" i="160"/>
  <c r="BW34" i="160"/>
  <c r="BX34" i="160" s="1"/>
  <c r="FB34" i="160" s="1"/>
  <c r="GB76" i="160"/>
  <c r="FZ76" i="160"/>
  <c r="FP77" i="160"/>
  <c r="GA77" i="160" s="1"/>
  <c r="FN77" i="160"/>
  <c r="FW77" i="160" s="1"/>
  <c r="FV77" i="160" s="1"/>
  <c r="FO77" i="160"/>
  <c r="AF37" i="160" s="1"/>
  <c r="FR77" i="160"/>
  <c r="FS78" i="160" s="1"/>
  <c r="FU77" i="160"/>
  <c r="FT77" i="160" s="1"/>
  <c r="FQ77" i="160"/>
  <c r="FY77" i="160" s="1"/>
  <c r="FX76" i="160"/>
  <c r="GK75" i="160" l="1"/>
  <c r="BZ34" i="160"/>
  <c r="AG36" i="160"/>
  <c r="AH36" i="160"/>
  <c r="AI36" i="160"/>
  <c r="AJ36" i="160"/>
  <c r="AE37" i="160"/>
  <c r="AD37" i="160"/>
  <c r="FD35" i="160"/>
  <c r="FC36" i="160"/>
  <c r="BY34" i="160"/>
  <c r="FA34" i="160"/>
  <c r="FE35" i="160"/>
  <c r="BW35" i="160"/>
  <c r="BX35" i="160" s="1"/>
  <c r="FB35" i="160" s="1"/>
  <c r="FZ77" i="160"/>
  <c r="GB77" i="160"/>
  <c r="FR78" i="160"/>
  <c r="FS79" i="160" s="1"/>
  <c r="FN78" i="160"/>
  <c r="FW78" i="160" s="1"/>
  <c r="FV78" i="160" s="1"/>
  <c r="FU78" i="160"/>
  <c r="FT78" i="160" s="1"/>
  <c r="FP78" i="160"/>
  <c r="GA78" i="160" s="1"/>
  <c r="FO78" i="160"/>
  <c r="AF38" i="160" s="1"/>
  <c r="FQ78" i="160"/>
  <c r="FY78" i="160" s="1"/>
  <c r="FX77" i="160"/>
  <c r="GK76" i="160" l="1"/>
  <c r="BZ35" i="160"/>
  <c r="AG37" i="160"/>
  <c r="AH37" i="160"/>
  <c r="AJ37" i="160"/>
  <c r="AI37" i="160"/>
  <c r="AE38" i="160"/>
  <c r="AD38" i="160"/>
  <c r="FE36" i="160"/>
  <c r="FC37" i="160"/>
  <c r="BY35" i="160"/>
  <c r="FA35" i="160"/>
  <c r="FD36" i="160"/>
  <c r="FX78" i="160"/>
  <c r="FR79" i="160"/>
  <c r="FS80" i="160" s="1"/>
  <c r="FO79" i="160"/>
  <c r="AF39" i="160" s="1"/>
  <c r="FP79" i="160"/>
  <c r="GA79" i="160" s="1"/>
  <c r="FU79" i="160"/>
  <c r="FT79" i="160" s="1"/>
  <c r="FQ79" i="160"/>
  <c r="FY79" i="160" s="1"/>
  <c r="FN79" i="160"/>
  <c r="FW79" i="160" s="1"/>
  <c r="FV79" i="160" s="1"/>
  <c r="GB78" i="160"/>
  <c r="FZ78" i="160"/>
  <c r="BW36" i="160"/>
  <c r="BX36" i="160" s="1"/>
  <c r="FB36" i="160" s="1"/>
  <c r="FV60" i="160"/>
  <c r="GK77" i="160" l="1"/>
  <c r="BZ36" i="160"/>
  <c r="AJ38" i="160"/>
  <c r="AI38" i="160"/>
  <c r="AD20" i="160"/>
  <c r="AE20" i="160"/>
  <c r="AH38" i="160"/>
  <c r="AG38" i="160"/>
  <c r="AD39" i="160"/>
  <c r="AE39" i="160"/>
  <c r="FC38" i="160"/>
  <c r="FE37" i="160"/>
  <c r="BY36" i="160"/>
  <c r="FA36" i="160"/>
  <c r="FD37" i="160"/>
  <c r="FP80" i="160"/>
  <c r="GA80" i="160" s="1"/>
  <c r="FU80" i="160"/>
  <c r="FT80" i="160" s="1"/>
  <c r="FO80" i="160"/>
  <c r="AF40" i="160" s="1"/>
  <c r="FR80" i="160"/>
  <c r="FS81" i="160" s="1"/>
  <c r="FN80" i="160"/>
  <c r="FW80" i="160" s="1"/>
  <c r="FV80" i="160" s="1"/>
  <c r="FQ80" i="160"/>
  <c r="FY80" i="160" s="1"/>
  <c r="GB79" i="160"/>
  <c r="FZ79" i="160"/>
  <c r="FX79" i="160"/>
  <c r="BW37" i="160"/>
  <c r="BX37" i="160" s="1"/>
  <c r="FB37" i="160" s="1"/>
  <c r="GK78" i="160" l="1"/>
  <c r="GK60" i="160"/>
  <c r="BZ37" i="160"/>
  <c r="AH39" i="160"/>
  <c r="AG39" i="160"/>
  <c r="AE40" i="160"/>
  <c r="AD40" i="160"/>
  <c r="AI39" i="160"/>
  <c r="AJ39" i="160"/>
  <c r="FC20" i="160"/>
  <c r="FE38" i="160"/>
  <c r="FC39" i="160"/>
  <c r="FD38" i="160"/>
  <c r="BY37" i="160"/>
  <c r="FA37" i="160"/>
  <c r="BW38" i="160"/>
  <c r="BX38" i="160" s="1"/>
  <c r="FB38" i="160" s="1"/>
  <c r="FP81" i="160"/>
  <c r="GA81" i="160" s="1"/>
  <c r="FN81" i="160"/>
  <c r="FW81" i="160" s="1"/>
  <c r="FV81" i="160" s="1"/>
  <c r="FQ81" i="160"/>
  <c r="FY81" i="160" s="1"/>
  <c r="FU81" i="160"/>
  <c r="FT81" i="160" s="1"/>
  <c r="FO81" i="160"/>
  <c r="AF41" i="160" s="1"/>
  <c r="FR81" i="160"/>
  <c r="FS82" i="160" s="1"/>
  <c r="FX80" i="160"/>
  <c r="FZ80" i="160"/>
  <c r="GB80" i="160"/>
  <c r="GK79" i="160" l="1"/>
  <c r="BZ38" i="160"/>
  <c r="AH40" i="160"/>
  <c r="AG40" i="160"/>
  <c r="AJ40" i="160"/>
  <c r="AI40" i="160"/>
  <c r="AE41" i="160"/>
  <c r="AD41" i="160"/>
  <c r="FD39" i="160"/>
  <c r="FC40" i="160"/>
  <c r="BY38" i="160"/>
  <c r="FA38" i="160"/>
  <c r="FE39" i="160"/>
  <c r="BW39" i="160"/>
  <c r="BX39" i="160" s="1"/>
  <c r="FB39" i="160" s="1"/>
  <c r="FR82" i="160"/>
  <c r="FS83" i="160" s="1"/>
  <c r="FQ82" i="160"/>
  <c r="FY82" i="160" s="1"/>
  <c r="FP82" i="160"/>
  <c r="GA82" i="160" s="1"/>
  <c r="FN82" i="160"/>
  <c r="FW82" i="160" s="1"/>
  <c r="FV82" i="160" s="1"/>
  <c r="FO82" i="160"/>
  <c r="AF42" i="160" s="1"/>
  <c r="FU82" i="160"/>
  <c r="FT82" i="160" s="1"/>
  <c r="FZ81" i="160"/>
  <c r="GB81" i="160"/>
  <c r="FX81" i="160"/>
  <c r="FV65" i="160"/>
  <c r="BW20" i="160"/>
  <c r="BX20" i="160" s="1"/>
  <c r="FB20" i="160" s="1"/>
  <c r="GK80" i="160" l="1"/>
  <c r="BZ20" i="160"/>
  <c r="BZ39" i="160"/>
  <c r="FA39" i="160"/>
  <c r="AE25" i="160"/>
  <c r="AD25" i="160"/>
  <c r="AJ41" i="160"/>
  <c r="AI41" i="160"/>
  <c r="AH41" i="160"/>
  <c r="AG41" i="160"/>
  <c r="AD42" i="160"/>
  <c r="AE42" i="160"/>
  <c r="FA20" i="160"/>
  <c r="EZ20" i="160"/>
  <c r="FD40" i="160"/>
  <c r="FC41" i="160"/>
  <c r="BY39" i="160"/>
  <c r="FE40" i="160"/>
  <c r="BW40" i="160"/>
  <c r="BX40" i="160" s="1"/>
  <c r="FB40" i="160" s="1"/>
  <c r="FX82" i="160"/>
  <c r="GB82" i="160"/>
  <c r="FZ82" i="160"/>
  <c r="FR83" i="160"/>
  <c r="FS84" i="160" s="1"/>
  <c r="FN83" i="160"/>
  <c r="FW83" i="160" s="1"/>
  <c r="FV83" i="160" s="1"/>
  <c r="FQ83" i="160"/>
  <c r="FY83" i="160" s="1"/>
  <c r="FU83" i="160"/>
  <c r="FT83" i="160" s="1"/>
  <c r="FO83" i="160"/>
  <c r="AF43" i="160" s="1"/>
  <c r="FP83" i="160"/>
  <c r="GA83" i="160" s="1"/>
  <c r="FV58" i="160"/>
  <c r="FZ65" i="160"/>
  <c r="BY20" i="160"/>
  <c r="FN54" i="84"/>
  <c r="FW54" i="84" s="1"/>
  <c r="GK81" i="160" l="1"/>
  <c r="BZ40" i="160"/>
  <c r="AE43" i="160"/>
  <c r="AD43" i="160"/>
  <c r="AJ42" i="160"/>
  <c r="AI42" i="160"/>
  <c r="AD18" i="160"/>
  <c r="AE18" i="160"/>
  <c r="AI25" i="160"/>
  <c r="AJ25" i="160"/>
  <c r="AG42" i="160"/>
  <c r="AH42" i="160"/>
  <c r="FE41" i="160"/>
  <c r="BY40" i="160"/>
  <c r="FA40" i="160"/>
  <c r="FD41" i="160"/>
  <c r="FC42" i="160"/>
  <c r="FC25" i="160"/>
  <c r="FX83" i="160"/>
  <c r="GB83" i="160"/>
  <c r="FZ83" i="160"/>
  <c r="BW41" i="160"/>
  <c r="BX41" i="160" s="1"/>
  <c r="FB41" i="160" s="1"/>
  <c r="FQ84" i="160"/>
  <c r="FY84" i="160" s="1"/>
  <c r="FO84" i="160"/>
  <c r="AF44" i="160" s="1"/>
  <c r="FR84" i="160"/>
  <c r="FS85" i="160" s="1"/>
  <c r="FN84" i="160"/>
  <c r="FW84" i="160" s="1"/>
  <c r="FV84" i="160" s="1"/>
  <c r="FP84" i="160"/>
  <c r="GA84" i="160" s="1"/>
  <c r="FU84" i="160"/>
  <c r="FT84" i="160" s="1"/>
  <c r="FP54" i="84"/>
  <c r="FX54" i="84" s="1"/>
  <c r="FZ58" i="160"/>
  <c r="FQ54" i="84"/>
  <c r="GK82" i="160" l="1"/>
  <c r="GK65" i="160"/>
  <c r="BZ41" i="160"/>
  <c r="AG14" i="84"/>
  <c r="AH14" i="84"/>
  <c r="AH43" i="160"/>
  <c r="AG43" i="160"/>
  <c r="AJ18" i="160"/>
  <c r="AI18" i="160"/>
  <c r="AJ43" i="160"/>
  <c r="AI43" i="160"/>
  <c r="AE44" i="160"/>
  <c r="AD44" i="160"/>
  <c r="FD42" i="160"/>
  <c r="FC18" i="160"/>
  <c r="FE42" i="160"/>
  <c r="BY41" i="160"/>
  <c r="FA41" i="160"/>
  <c r="FE25" i="160"/>
  <c r="FC43" i="160"/>
  <c r="BW42" i="160"/>
  <c r="BX42" i="160" s="1"/>
  <c r="FB42" i="160" s="1"/>
  <c r="FO85" i="160"/>
  <c r="AF45" i="160" s="1"/>
  <c r="FQ85" i="160"/>
  <c r="FY85" i="160" s="1"/>
  <c r="FR85" i="160"/>
  <c r="FU85" i="160"/>
  <c r="FT85" i="160" s="1"/>
  <c r="FN85" i="160"/>
  <c r="FW85" i="160" s="1"/>
  <c r="FV85" i="160" s="1"/>
  <c r="FP85" i="160"/>
  <c r="GA85" i="160" s="1"/>
  <c r="FX84" i="160"/>
  <c r="FZ84" i="160"/>
  <c r="GB84" i="160"/>
  <c r="FY54" i="84"/>
  <c r="GB54" i="84" s="1"/>
  <c r="BW25" i="160"/>
  <c r="BX25" i="160" s="1"/>
  <c r="FB25" i="160" s="1"/>
  <c r="FR54" i="84"/>
  <c r="FS55" i="84" s="1"/>
  <c r="GK58" i="160" l="1"/>
  <c r="GK83" i="160"/>
  <c r="BZ42" i="160"/>
  <c r="FA42" i="160"/>
  <c r="AH44" i="160"/>
  <c r="AG44" i="160"/>
  <c r="AI44" i="160"/>
  <c r="AJ44" i="160"/>
  <c r="AE45" i="160"/>
  <c r="AD45" i="160"/>
  <c r="FA25" i="160"/>
  <c r="BZ25" i="160"/>
  <c r="FE18" i="160"/>
  <c r="FD14" i="84"/>
  <c r="FD43" i="160"/>
  <c r="BY42" i="160"/>
  <c r="FE43" i="160"/>
  <c r="FC44" i="160"/>
  <c r="BW43" i="160"/>
  <c r="BX43" i="160" s="1"/>
  <c r="FB43" i="160" s="1"/>
  <c r="FX85" i="160"/>
  <c r="FZ85" i="160"/>
  <c r="GB85" i="160"/>
  <c r="GJ85" i="160"/>
  <c r="GJ84" i="160" s="1"/>
  <c r="GJ83" i="160" s="1"/>
  <c r="GJ82" i="160" s="1"/>
  <c r="GJ81" i="160" s="1"/>
  <c r="GJ80" i="160" s="1"/>
  <c r="GJ79" i="160" s="1"/>
  <c r="GJ78" i="160" s="1"/>
  <c r="GJ77" i="160" s="1"/>
  <c r="GJ76" i="160" s="1"/>
  <c r="GJ75" i="160" s="1"/>
  <c r="GJ74" i="160" s="1"/>
  <c r="GJ73" i="160" s="1"/>
  <c r="GJ72" i="160" s="1"/>
  <c r="GJ71" i="160" s="1"/>
  <c r="GJ70" i="160" s="1"/>
  <c r="BY25" i="160"/>
  <c r="GA54" i="84"/>
  <c r="BW18" i="160"/>
  <c r="FO55" i="84"/>
  <c r="AF15" i="84" s="1"/>
  <c r="FU55" i="84"/>
  <c r="FN55" i="84"/>
  <c r="FW55" i="84" s="1"/>
  <c r="FV55" i="84" s="1"/>
  <c r="GK84" i="160" l="1"/>
  <c r="BZ43" i="160"/>
  <c r="AJ45" i="160"/>
  <c r="AI45" i="160"/>
  <c r="AG45" i="160"/>
  <c r="AH45" i="160"/>
  <c r="AE15" i="84"/>
  <c r="AD15" i="84"/>
  <c r="FD44" i="160"/>
  <c r="FE44" i="160"/>
  <c r="BY43" i="160"/>
  <c r="FA43" i="160"/>
  <c r="FC45" i="160"/>
  <c r="FT55" i="84"/>
  <c r="BW44" i="160"/>
  <c r="BX44" i="160" s="1"/>
  <c r="FB44" i="160" s="1"/>
  <c r="GJ69" i="160"/>
  <c r="GJ68" i="160" s="1"/>
  <c r="GJ67" i="160" s="1"/>
  <c r="GJ66" i="160" s="1"/>
  <c r="GJ65" i="160" s="1"/>
  <c r="GJ64" i="160" s="1"/>
  <c r="GJ63" i="160" s="1"/>
  <c r="GJ62" i="160" s="1"/>
  <c r="GJ61" i="160" s="1"/>
  <c r="GJ60" i="160" s="1"/>
  <c r="GJ59" i="160" s="1"/>
  <c r="GJ58" i="160" s="1"/>
  <c r="GJ57" i="160" s="1"/>
  <c r="FV70" i="160"/>
  <c r="BX19" i="160"/>
  <c r="FB19" i="160" s="1"/>
  <c r="GK85" i="160" l="1"/>
  <c r="BZ44" i="160"/>
  <c r="AE30" i="160"/>
  <c r="AD30" i="160"/>
  <c r="FA19" i="160"/>
  <c r="BZ19" i="160"/>
  <c r="GJ56" i="160"/>
  <c r="FV56" i="160" s="1"/>
  <c r="FV57" i="160"/>
  <c r="FD45" i="160"/>
  <c r="BY44" i="160"/>
  <c r="FA44" i="160"/>
  <c r="FE45" i="160"/>
  <c r="FC15" i="84"/>
  <c r="BW45" i="160"/>
  <c r="BX45" i="160" s="1"/>
  <c r="FB45" i="160" s="1"/>
  <c r="FZ70" i="160"/>
  <c r="FP55" i="84"/>
  <c r="BY19" i="160"/>
  <c r="BZ45" i="160" l="1"/>
  <c r="AE17" i="160"/>
  <c r="AD17" i="160"/>
  <c r="AE16" i="160"/>
  <c r="AD16" i="160"/>
  <c r="AJ30" i="160"/>
  <c r="AI30" i="160"/>
  <c r="FZ56" i="160"/>
  <c r="GJ55" i="160"/>
  <c r="GJ54" i="160" s="1"/>
  <c r="FZ57" i="160"/>
  <c r="FF45" i="160"/>
  <c r="FF44" i="160" s="1"/>
  <c r="FF43" i="160" s="1"/>
  <c r="FF42" i="160" s="1"/>
  <c r="FF41" i="160" s="1"/>
  <c r="FF40" i="160" s="1"/>
  <c r="FF39" i="160" s="1"/>
  <c r="FF38" i="160" s="1"/>
  <c r="FF37" i="160" s="1"/>
  <c r="FF36" i="160" s="1"/>
  <c r="FF35" i="160" s="1"/>
  <c r="FF34" i="160" s="1"/>
  <c r="FF33" i="160" s="1"/>
  <c r="FF32" i="160" s="1"/>
  <c r="FF31" i="160" s="1"/>
  <c r="FC30" i="160"/>
  <c r="BY45" i="160"/>
  <c r="FA45" i="160"/>
  <c r="FX55" i="84"/>
  <c r="FQ55" i="84"/>
  <c r="FR55" i="84" s="1"/>
  <c r="FS56" i="84" s="1"/>
  <c r="GK70" i="160" l="1"/>
  <c r="AJ16" i="160"/>
  <c r="AI16" i="160"/>
  <c r="AJ17" i="160"/>
  <c r="AI17" i="160"/>
  <c r="AH15" i="84"/>
  <c r="AG15" i="84"/>
  <c r="FC17" i="160"/>
  <c r="FE30" i="160"/>
  <c r="FF30" i="160" s="1"/>
  <c r="FF29" i="160" s="1"/>
  <c r="FF28" i="160" s="1"/>
  <c r="FF27" i="160" s="1"/>
  <c r="FF26" i="160" s="1"/>
  <c r="FF25" i="160" s="1"/>
  <c r="FF24" i="160" s="1"/>
  <c r="FF23" i="160" s="1"/>
  <c r="FF22" i="160" s="1"/>
  <c r="FF21" i="160" s="1"/>
  <c r="FF20" i="160" s="1"/>
  <c r="FF19" i="160" s="1"/>
  <c r="FF18" i="160" s="1"/>
  <c r="BW30" i="160"/>
  <c r="BX30" i="160" s="1"/>
  <c r="FB30" i="160" s="1"/>
  <c r="FY55" i="84"/>
  <c r="FO56" i="84"/>
  <c r="AF16" i="84" s="1"/>
  <c r="FU56" i="84"/>
  <c r="GK56" i="160" l="1"/>
  <c r="GK57" i="160"/>
  <c r="BZ30" i="160"/>
  <c r="FD15" i="84"/>
  <c r="FE16" i="160"/>
  <c r="BW16" i="160"/>
  <c r="BX16" i="160" s="1"/>
  <c r="FB16" i="160" s="1"/>
  <c r="FC16" i="160"/>
  <c r="BW17" i="160"/>
  <c r="FE17" i="160"/>
  <c r="FF17" i="160" s="1"/>
  <c r="EZ30" i="160"/>
  <c r="FA30" i="160"/>
  <c r="BY30" i="160"/>
  <c r="FZ55" i="84"/>
  <c r="GB55" i="84"/>
  <c r="GA55" i="84"/>
  <c r="FT56" i="84" s="1"/>
  <c r="BZ16" i="160" l="1"/>
  <c r="FA16" i="160"/>
  <c r="AI15" i="84"/>
  <c r="AJ15" i="84"/>
  <c r="FF16" i="160"/>
  <c r="FF15" i="160" s="1"/>
  <c r="FF14" i="160" s="1"/>
  <c r="BY16" i="160"/>
  <c r="EX16" i="160"/>
  <c r="BX17" i="160"/>
  <c r="FB17" i="160" s="1"/>
  <c r="EZ16" i="160"/>
  <c r="EY30" i="160"/>
  <c r="GK55" i="84" l="1"/>
  <c r="EZ17" i="160"/>
  <c r="BY17" i="160"/>
  <c r="BZ17" i="160"/>
  <c r="EX17" i="160"/>
  <c r="BX18" i="160"/>
  <c r="FB18" i="160" s="1"/>
  <c r="FA17" i="160"/>
  <c r="FE15" i="84"/>
  <c r="BY18" i="160" l="1"/>
  <c r="BZ18" i="160"/>
  <c r="FA18" i="160"/>
  <c r="EX18" i="160"/>
  <c r="EX19" i="160" s="1"/>
  <c r="EX20" i="160" s="1"/>
  <c r="BW15" i="84"/>
  <c r="BX15" i="84" s="1"/>
  <c r="BY15" i="84" l="1"/>
  <c r="BZ15" i="84"/>
  <c r="EX21" i="160"/>
  <c r="EX15" i="84"/>
  <c r="FB15" i="84"/>
  <c r="FA15" i="84" l="1"/>
  <c r="FA14" i="84"/>
  <c r="EX22" i="160"/>
  <c r="EX23" i="160" s="1"/>
  <c r="EX24" i="160" s="1"/>
  <c r="EX25" i="160" s="1"/>
  <c r="EX26" i="160" s="1"/>
  <c r="EX27" i="160" s="1"/>
  <c r="EX28" i="160" s="1"/>
  <c r="EX29" i="160" s="1"/>
  <c r="EX30" i="160" s="1"/>
  <c r="EX31" i="160" s="1"/>
  <c r="EX32" i="160" s="1"/>
  <c r="EX33" i="160" s="1"/>
  <c r="EX34" i="160" s="1"/>
  <c r="EX35" i="160" s="1"/>
  <c r="EX36" i="160" s="1"/>
  <c r="EX37" i="160" s="1"/>
  <c r="EX38" i="160" s="1"/>
  <c r="EX39" i="160" s="1"/>
  <c r="EX40" i="160" s="1"/>
  <c r="EX41" i="160" s="1"/>
  <c r="EX42" i="160" s="1"/>
  <c r="EX43" i="160" s="1"/>
  <c r="EX44" i="160" s="1"/>
  <c r="EX45" i="160" s="1"/>
  <c r="EY16" i="160" s="1"/>
  <c r="EY17" i="160"/>
  <c r="EY20" i="160"/>
  <c r="EY21" i="160" l="1"/>
  <c r="BZ24" i="84" l="1"/>
  <c r="BZ27" i="84" l="1"/>
  <c r="BZ28" i="84" l="1"/>
  <c r="BZ30" i="84" l="1"/>
  <c r="BZ31" i="84" l="1"/>
  <c r="EZ31" i="84" l="1"/>
  <c r="BZ38" i="84" l="1"/>
  <c r="BZ39" i="84" l="1"/>
  <c r="FZ54" i="84" l="1"/>
  <c r="AI14" i="84" l="1"/>
  <c r="AJ14" i="84"/>
  <c r="BZ41" i="84"/>
  <c r="FE14" i="84" l="1"/>
  <c r="EZ20" i="84"/>
  <c r="BZ16" i="84" l="1"/>
  <c r="FV54" i="84"/>
  <c r="AE14" i="84" l="1"/>
  <c r="AD14" i="84"/>
  <c r="BZ17" i="84"/>
  <c r="EY14" i="84"/>
  <c r="GK54" i="84" l="1"/>
  <c r="BW14" i="84"/>
  <c r="FC14" i="84"/>
  <c r="EZ21" i="84" l="1"/>
  <c r="BZ18" i="84" l="1"/>
  <c r="BZ22" i="84"/>
  <c r="BZ19" i="84" l="1"/>
  <c r="BZ23" i="84"/>
  <c r="AP25" i="147"/>
  <c r="CS25" i="147" l="1"/>
  <c r="ES25" i="147"/>
  <c r="P25" i="147" s="1"/>
  <c r="ET25" i="147"/>
  <c r="S25" i="147" s="1"/>
  <c r="DV25" i="147"/>
  <c r="DW25" i="147" s="1"/>
  <c r="CL25" i="147" s="1"/>
  <c r="EB25" i="147"/>
  <c r="DL25" i="147"/>
  <c r="DR25" i="147"/>
  <c r="M25" i="147" s="1"/>
  <c r="DQ25" i="147"/>
  <c r="L25" i="147" s="1"/>
  <c r="CR25" i="147"/>
  <c r="EU25" i="147"/>
  <c r="DB25" i="147"/>
  <c r="FO25" i="147" l="1"/>
  <c r="EC25" i="147"/>
  <c r="EG25" i="147"/>
  <c r="EI25" i="147" s="1"/>
  <c r="EF25" i="147"/>
  <c r="EH25" i="147" s="1"/>
  <c r="DX25" i="147"/>
  <c r="H25" i="147" s="1"/>
  <c r="EY27" i="84"/>
  <c r="Q25" i="147"/>
  <c r="R25" i="147" s="1"/>
  <c r="N25" i="147"/>
  <c r="O25" i="147" s="1"/>
  <c r="FU25" i="147"/>
  <c r="EN25" i="147"/>
  <c r="EP25" i="147" s="1"/>
  <c r="FV25" i="147"/>
  <c r="FP25" i="147" l="1"/>
  <c r="CQ25" i="147" s="1"/>
  <c r="ER25" i="147"/>
  <c r="EM25" i="147"/>
  <c r="EO25" i="147" s="1"/>
  <c r="EY31" i="84"/>
  <c r="EK25" i="147"/>
  <c r="EJ25" i="147"/>
  <c r="CP25" i="147"/>
  <c r="ED25" i="147"/>
  <c r="K25" i="147" s="1"/>
  <c r="EQ25" i="147" l="1"/>
  <c r="CH25" i="147"/>
  <c r="T25" i="147" s="1"/>
  <c r="CK25" i="147"/>
  <c r="I25" i="147"/>
  <c r="J25" i="147" s="1"/>
  <c r="F25" i="147"/>
  <c r="CI25" i="147" l="1"/>
  <c r="EV25" i="147"/>
  <c r="U25" i="147"/>
  <c r="EY19" i="84"/>
  <c r="G25" i="147"/>
  <c r="AZ25" i="147" s="1"/>
  <c r="AQ25" i="147"/>
  <c r="AS25" i="147"/>
  <c r="EY21" i="84" l="1"/>
  <c r="CJ25" i="147"/>
  <c r="X25" i="147"/>
  <c r="V25" i="147"/>
  <c r="W25" i="147" s="1"/>
  <c r="AT25" i="147" s="1"/>
  <c r="AR25" i="147"/>
  <c r="EY20" i="84"/>
  <c r="FS24" i="147"/>
  <c r="ES24" i="147"/>
  <c r="P24" i="147" l="1"/>
  <c r="O24" i="147"/>
  <c r="N24" i="147"/>
  <c r="FN56" i="84"/>
  <c r="FP56" i="84" s="1"/>
  <c r="FX56" i="84" s="1"/>
  <c r="EZ19" i="84"/>
  <c r="BZ21" i="84"/>
  <c r="BZ45" i="84"/>
  <c r="BZ44" i="84"/>
  <c r="BZ43" i="84"/>
  <c r="BZ42" i="84"/>
  <c r="BZ20" i="84"/>
  <c r="BZ40" i="84"/>
  <c r="BZ37" i="84"/>
  <c r="BZ36" i="84"/>
  <c r="BZ35" i="84"/>
  <c r="BZ34" i="84"/>
  <c r="BZ33" i="84"/>
  <c r="BZ32" i="84"/>
  <c r="BZ29" i="84"/>
  <c r="EZ27" i="84"/>
  <c r="BZ26" i="84"/>
  <c r="BZ25" i="84"/>
  <c r="AG16" i="84" l="1"/>
  <c r="AH16" i="84" s="1"/>
  <c r="FQ56" i="84"/>
  <c r="FW56" i="84"/>
  <c r="FV56" i="84" l="1"/>
  <c r="FY56" i="84"/>
  <c r="FR56" i="84"/>
  <c r="FS57" i="84" s="1"/>
  <c r="FD16" i="84"/>
  <c r="FZ56" i="84" l="1"/>
  <c r="GB56" i="84"/>
  <c r="FO57" i="84"/>
  <c r="FP57" i="84" s="1"/>
  <c r="FN57" i="84"/>
  <c r="FW57" i="84" s="1"/>
  <c r="FV57" i="84" s="1"/>
  <c r="FU57" i="84"/>
  <c r="GA56" i="84"/>
  <c r="AD16" i="84"/>
  <c r="AE16" i="84"/>
  <c r="FQ57" i="84" l="1"/>
  <c r="FT57" i="84"/>
  <c r="AD17" i="84"/>
  <c r="AE17" i="84"/>
  <c r="FC16" i="84"/>
  <c r="AJ16" i="84"/>
  <c r="AI16" i="84"/>
  <c r="AF17" i="84"/>
  <c r="FX57" i="84"/>
  <c r="GK56" i="84" l="1"/>
  <c r="FY57" i="84"/>
  <c r="FR57" i="84"/>
  <c r="FS58" i="84" s="1"/>
  <c r="FE16" i="84"/>
  <c r="BW16" i="84"/>
  <c r="BX16" i="84" s="1"/>
  <c r="AG17" i="84"/>
  <c r="AH17" i="84" s="1"/>
  <c r="FC17" i="84"/>
  <c r="FU58" i="84" l="1"/>
  <c r="FT58" i="84" s="1"/>
  <c r="FO58" i="84"/>
  <c r="FP58" i="84" s="1"/>
  <c r="FZ57" i="84"/>
  <c r="GB57" i="84"/>
  <c r="GA57" i="84"/>
  <c r="FD17" i="84"/>
  <c r="EX16" i="84"/>
  <c r="FB16" i="84"/>
  <c r="FA16" i="84" s="1"/>
  <c r="BY16" i="84"/>
  <c r="EZ16" i="84"/>
  <c r="FN58" i="84" l="1"/>
  <c r="AJ17" i="84"/>
  <c r="AI17" i="84"/>
  <c r="AF18" i="84"/>
  <c r="FX58" i="84"/>
  <c r="GK57" i="84" l="1"/>
  <c r="FW58" i="84"/>
  <c r="FQ58" i="84"/>
  <c r="AG18" i="84"/>
  <c r="AH18" i="84" s="1"/>
  <c r="BW17" i="84"/>
  <c r="BX17" i="84" s="1"/>
  <c r="FE17" i="84"/>
  <c r="FY58" i="84" l="1"/>
  <c r="FR58" i="84"/>
  <c r="FS59" i="84" s="1"/>
  <c r="GA58" i="84"/>
  <c r="FD18" i="84"/>
  <c r="BY17" i="84"/>
  <c r="EX17" i="84"/>
  <c r="FB17" i="84"/>
  <c r="FA17" i="84" s="1"/>
  <c r="FN59" i="84" l="1"/>
  <c r="FW59" i="84" s="1"/>
  <c r="FV59" i="84" s="1"/>
  <c r="FO59" i="84"/>
  <c r="FP59" i="84"/>
  <c r="GA59" i="84" s="1"/>
  <c r="FR59" i="84"/>
  <c r="FS60" i="84" s="1"/>
  <c r="FU59" i="84"/>
  <c r="FT59" i="84" s="1"/>
  <c r="FQ59" i="84"/>
  <c r="FY59" i="84" s="1"/>
  <c r="GB58" i="84"/>
  <c r="AE19" i="84" l="1"/>
  <c r="AD19" i="84"/>
  <c r="FZ59" i="84"/>
  <c r="GB59" i="84"/>
  <c r="FQ60" i="84"/>
  <c r="FY60" i="84" s="1"/>
  <c r="FO60" i="84"/>
  <c r="FP60" i="84"/>
  <c r="GA60" i="84" s="1"/>
  <c r="FU60" i="84"/>
  <c r="FT60" i="84" s="1"/>
  <c r="FR60" i="84"/>
  <c r="FS61" i="84" s="1"/>
  <c r="FN60" i="84"/>
  <c r="FW60" i="84" s="1"/>
  <c r="FV60" i="84" s="1"/>
  <c r="AF19" i="84"/>
  <c r="FX59" i="84"/>
  <c r="AF20" i="84" l="1"/>
  <c r="FX60" i="84"/>
  <c r="AG19" i="84"/>
  <c r="AH19" i="84"/>
  <c r="AD20" i="84"/>
  <c r="AE20" i="84"/>
  <c r="FC19" i="84"/>
  <c r="FZ60" i="84"/>
  <c r="GB60" i="84"/>
  <c r="AI19" i="84"/>
  <c r="AJ19" i="84"/>
  <c r="FQ61" i="84"/>
  <c r="FY61" i="84" s="1"/>
  <c r="FN61" i="84"/>
  <c r="FW61" i="84" s="1"/>
  <c r="FV61" i="84" s="1"/>
  <c r="FR61" i="84"/>
  <c r="FS62" i="84" s="1"/>
  <c r="FU61" i="84"/>
  <c r="FT61" i="84" s="1"/>
  <c r="FP61" i="84"/>
  <c r="GA61" i="84" s="1"/>
  <c r="FO61" i="84"/>
  <c r="GK59" i="84" l="1"/>
  <c r="BW19" i="84"/>
  <c r="BX19" i="84" s="1"/>
  <c r="FB19" i="84" s="1"/>
  <c r="FA19" i="84" s="1"/>
  <c r="FD19" i="84"/>
  <c r="FC20" i="84"/>
  <c r="FZ61" i="84"/>
  <c r="GB61" i="84"/>
  <c r="AI20" i="84"/>
  <c r="AJ20" i="84"/>
  <c r="FE19" i="84"/>
  <c r="AF21" i="84"/>
  <c r="FX61" i="84"/>
  <c r="AG20" i="84"/>
  <c r="AH20" i="84"/>
  <c r="AD21" i="84"/>
  <c r="AE21" i="84"/>
  <c r="FU62" i="84"/>
  <c r="FT62" i="84" s="1"/>
  <c r="FQ62" i="84"/>
  <c r="FY62" i="84" s="1"/>
  <c r="FR62" i="84"/>
  <c r="FS63" i="84" s="1"/>
  <c r="FO62" i="84"/>
  <c r="FN62" i="84"/>
  <c r="FW62" i="84" s="1"/>
  <c r="FV62" i="84" s="1"/>
  <c r="FP62" i="84"/>
  <c r="GA62" i="84" s="1"/>
  <c r="GK60" i="84" l="1"/>
  <c r="BY19" i="84"/>
  <c r="FD20" i="84"/>
  <c r="FC21" i="84"/>
  <c r="AI21" i="84"/>
  <c r="AJ21" i="84"/>
  <c r="AD22" i="84"/>
  <c r="AE22" i="84"/>
  <c r="BW20" i="84"/>
  <c r="BX20" i="84" s="1"/>
  <c r="FR63" i="84"/>
  <c r="FS64" i="84" s="1"/>
  <c r="FU63" i="84"/>
  <c r="FT63" i="84" s="1"/>
  <c r="FQ63" i="84"/>
  <c r="FY63" i="84" s="1"/>
  <c r="FO63" i="84"/>
  <c r="FP63" i="84"/>
  <c r="GA63" i="84" s="1"/>
  <c r="FN63" i="84"/>
  <c r="FW63" i="84" s="1"/>
  <c r="FV63" i="84" s="1"/>
  <c r="FX62" i="84"/>
  <c r="AF22" i="84"/>
  <c r="GB62" i="84"/>
  <c r="FZ62" i="84"/>
  <c r="AG21" i="84"/>
  <c r="AH21" i="84"/>
  <c r="FE20" i="84"/>
  <c r="GK61" i="84" l="1"/>
  <c r="FD21" i="84"/>
  <c r="BW21" i="84"/>
  <c r="BX21" i="84" s="1"/>
  <c r="FB21" i="84" s="1"/>
  <c r="FA21" i="84" s="1"/>
  <c r="FB20" i="84"/>
  <c r="FA20" i="84" s="1"/>
  <c r="BY20" i="84"/>
  <c r="FC22" i="84"/>
  <c r="AE23" i="84"/>
  <c r="AD23" i="84"/>
  <c r="FE21" i="84"/>
  <c r="FZ63" i="84"/>
  <c r="GB63" i="84"/>
  <c r="AH22" i="84"/>
  <c r="AG22" i="84"/>
  <c r="AF23" i="84"/>
  <c r="FX63" i="84"/>
  <c r="AJ22" i="84"/>
  <c r="AI22" i="84"/>
  <c r="FQ64" i="84"/>
  <c r="FY64" i="84" s="1"/>
  <c r="FR64" i="84"/>
  <c r="FS65" i="84" s="1"/>
  <c r="FO64" i="84"/>
  <c r="FU64" i="84"/>
  <c r="FT64" i="84" s="1"/>
  <c r="FP64" i="84"/>
  <c r="GA64" i="84" s="1"/>
  <c r="FN64" i="84"/>
  <c r="FW64" i="84" s="1"/>
  <c r="FV64" i="84" s="1"/>
  <c r="GK62" i="84" l="1"/>
  <c r="BW22" i="84"/>
  <c r="BX22" i="84" s="1"/>
  <c r="BY22" i="84" s="1"/>
  <c r="FD22" i="84"/>
  <c r="FE22" i="84"/>
  <c r="BY21" i="84"/>
  <c r="GB64" i="84"/>
  <c r="FZ64" i="84"/>
  <c r="AJ23" i="84"/>
  <c r="AI23" i="84"/>
  <c r="FQ65" i="84"/>
  <c r="FY65" i="84" s="1"/>
  <c r="FO65" i="84"/>
  <c r="FP65" i="84"/>
  <c r="GA65" i="84" s="1"/>
  <c r="FU65" i="84"/>
  <c r="FT65" i="84" s="1"/>
  <c r="FR65" i="84"/>
  <c r="FS66" i="84" s="1"/>
  <c r="FN65" i="84"/>
  <c r="FW65" i="84" s="1"/>
  <c r="FV65" i="84" s="1"/>
  <c r="FC23" i="84"/>
  <c r="AE24" i="84"/>
  <c r="AD24" i="84"/>
  <c r="AG23" i="84"/>
  <c r="AH23" i="84"/>
  <c r="FX64" i="84"/>
  <c r="AF24" i="84"/>
  <c r="GK63" i="84" l="1"/>
  <c r="FD23" i="84"/>
  <c r="FB22" i="84"/>
  <c r="FA22" i="84" s="1"/>
  <c r="FE23" i="84"/>
  <c r="BW23" i="84"/>
  <c r="BX23" i="84" s="1"/>
  <c r="BY23" i="84" s="1"/>
  <c r="AG24" i="84"/>
  <c r="AH24" i="84"/>
  <c r="FN66" i="84"/>
  <c r="FW66" i="84" s="1"/>
  <c r="FV66" i="84" s="1"/>
  <c r="FQ66" i="84"/>
  <c r="FY66" i="84" s="1"/>
  <c r="FU66" i="84"/>
  <c r="FT66" i="84" s="1"/>
  <c r="FR66" i="84"/>
  <c r="FS67" i="84" s="1"/>
  <c r="FO66" i="84"/>
  <c r="FP66" i="84"/>
  <c r="GA66" i="84" s="1"/>
  <c r="GB65" i="84"/>
  <c r="FZ65" i="84"/>
  <c r="AI24" i="84"/>
  <c r="AJ24" i="84"/>
  <c r="FC24" i="84"/>
  <c r="AD25" i="84"/>
  <c r="AE25" i="84"/>
  <c r="FX65" i="84"/>
  <c r="AF25" i="84"/>
  <c r="GK64" i="84" l="1"/>
  <c r="FB23" i="84"/>
  <c r="FA23" i="84" s="1"/>
  <c r="BW24" i="84"/>
  <c r="BX24" i="84" s="1"/>
  <c r="FB24" i="84" s="1"/>
  <c r="FA24" i="84" s="1"/>
  <c r="AD26" i="84"/>
  <c r="AE26" i="84"/>
  <c r="AJ25" i="84"/>
  <c r="AI25" i="84"/>
  <c r="FD24" i="84"/>
  <c r="FZ66" i="84"/>
  <c r="GB66" i="84"/>
  <c r="AG25" i="84"/>
  <c r="AH25" i="84"/>
  <c r="AF26" i="84"/>
  <c r="FX66" i="84"/>
  <c r="FE24" i="84"/>
  <c r="FC25" i="84"/>
  <c r="FU67" i="84"/>
  <c r="FT67" i="84" s="1"/>
  <c r="FN67" i="84"/>
  <c r="FW67" i="84" s="1"/>
  <c r="FV67" i="84" s="1"/>
  <c r="FO67" i="84"/>
  <c r="FQ67" i="84"/>
  <c r="FY67" i="84" s="1"/>
  <c r="FR67" i="84"/>
  <c r="FS68" i="84" s="1"/>
  <c r="FP67" i="84"/>
  <c r="GA67" i="84" s="1"/>
  <c r="GK65" i="84" l="1"/>
  <c r="FE25" i="84"/>
  <c r="FD25" i="84"/>
  <c r="BY24" i="84"/>
  <c r="FZ67" i="84"/>
  <c r="GB67" i="84"/>
  <c r="AH26" i="84"/>
  <c r="AG26" i="84"/>
  <c r="AD27" i="84"/>
  <c r="AE27" i="84"/>
  <c r="FC26" i="84"/>
  <c r="BW25" i="84"/>
  <c r="BX25" i="84" s="1"/>
  <c r="FX67" i="84"/>
  <c r="AF27" i="84"/>
  <c r="FN68" i="84"/>
  <c r="FW68" i="84" s="1"/>
  <c r="FV68" i="84" s="1"/>
  <c r="FP68" i="84"/>
  <c r="GA68" i="84" s="1"/>
  <c r="FU68" i="84"/>
  <c r="FT68" i="84" s="1"/>
  <c r="FQ68" i="84"/>
  <c r="FY68" i="84" s="1"/>
  <c r="FR68" i="84"/>
  <c r="FS69" i="84" s="1"/>
  <c r="FO68" i="84"/>
  <c r="AI26" i="84"/>
  <c r="AJ26" i="84"/>
  <c r="GK66" i="84" l="1"/>
  <c r="FD26" i="84"/>
  <c r="FE26" i="84"/>
  <c r="FC27" i="84"/>
  <c r="AE28" i="84"/>
  <c r="AD28" i="84"/>
  <c r="AF28" i="84"/>
  <c r="FX68" i="84"/>
  <c r="AG27" i="84"/>
  <c r="AH27" i="84"/>
  <c r="FB25" i="84"/>
  <c r="FA25" i="84" s="1"/>
  <c r="BY25" i="84"/>
  <c r="BW26" i="84"/>
  <c r="BX26" i="84" s="1"/>
  <c r="FP69" i="84"/>
  <c r="GA69" i="84" s="1"/>
  <c r="FQ69" i="84"/>
  <c r="FY69" i="84" s="1"/>
  <c r="FN69" i="84"/>
  <c r="FW69" i="84" s="1"/>
  <c r="FV69" i="84" s="1"/>
  <c r="FO69" i="84"/>
  <c r="FU69" i="84"/>
  <c r="FT69" i="84" s="1"/>
  <c r="FR69" i="84"/>
  <c r="FS70" i="84" s="1"/>
  <c r="FZ68" i="84"/>
  <c r="GB68" i="84"/>
  <c r="AI27" i="84"/>
  <c r="AJ27" i="84"/>
  <c r="GK67" i="84" l="1"/>
  <c r="BW27" i="84"/>
  <c r="BX27" i="84" s="1"/>
  <c r="FB27" i="84" s="1"/>
  <c r="FA27" i="84" s="1"/>
  <c r="FD27" i="84"/>
  <c r="FE27" i="84"/>
  <c r="AH28" i="84"/>
  <c r="AG28" i="84"/>
  <c r="FC28" i="84"/>
  <c r="AJ28" i="84"/>
  <c r="AI28" i="84"/>
  <c r="FQ70" i="84"/>
  <c r="FY70" i="84" s="1"/>
  <c r="FP70" i="84"/>
  <c r="GA70" i="84" s="1"/>
  <c r="FR70" i="84"/>
  <c r="FS71" i="84" s="1"/>
  <c r="FU70" i="84"/>
  <c r="FT70" i="84" s="1"/>
  <c r="FN70" i="84"/>
  <c r="FW70" i="84" s="1"/>
  <c r="FV70" i="84" s="1"/>
  <c r="FO70" i="84"/>
  <c r="GB69" i="84"/>
  <c r="FZ69" i="84"/>
  <c r="FX69" i="84"/>
  <c r="AF29" i="84"/>
  <c r="BY26" i="84"/>
  <c r="FB26" i="84"/>
  <c r="FA26" i="84" s="1"/>
  <c r="AD29" i="84"/>
  <c r="AE29" i="84"/>
  <c r="GK68" i="84" l="1"/>
  <c r="BY27" i="84"/>
  <c r="FE28" i="84"/>
  <c r="FD28" i="84"/>
  <c r="AD30" i="84"/>
  <c r="AE30" i="84"/>
  <c r="BW28" i="84"/>
  <c r="BX28" i="84" s="1"/>
  <c r="FP71" i="84"/>
  <c r="GA71" i="84" s="1"/>
  <c r="FN71" i="84"/>
  <c r="FW71" i="84" s="1"/>
  <c r="FV71" i="84" s="1"/>
  <c r="FU71" i="84"/>
  <c r="FT71" i="84" s="1"/>
  <c r="FQ71" i="84"/>
  <c r="FY71" i="84" s="1"/>
  <c r="FR71" i="84"/>
  <c r="FS72" i="84" s="1"/>
  <c r="FO71" i="84"/>
  <c r="AG29" i="84"/>
  <c r="AH29" i="84"/>
  <c r="AI29" i="84"/>
  <c r="AJ29" i="84"/>
  <c r="GB70" i="84"/>
  <c r="FZ70" i="84"/>
  <c r="FC29" i="84"/>
  <c r="AF30" i="84"/>
  <c r="FX70" i="84"/>
  <c r="GK69" i="84" l="1"/>
  <c r="FD29" i="84"/>
  <c r="BW29" i="84"/>
  <c r="BX29" i="84" s="1"/>
  <c r="BY29" i="84" s="1"/>
  <c r="FU72" i="84"/>
  <c r="FT72" i="84" s="1"/>
  <c r="FP72" i="84"/>
  <c r="GA72" i="84" s="1"/>
  <c r="FR72" i="84"/>
  <c r="FS73" i="84" s="1"/>
  <c r="FN72" i="84"/>
  <c r="FW72" i="84" s="1"/>
  <c r="FV72" i="84" s="1"/>
  <c r="FO72" i="84"/>
  <c r="FQ72" i="84"/>
  <c r="FY72" i="84" s="1"/>
  <c r="AE31" i="84"/>
  <c r="AD31" i="84"/>
  <c r="FB28" i="84"/>
  <c r="FA28" i="84" s="1"/>
  <c r="BY28" i="84"/>
  <c r="AJ30" i="84"/>
  <c r="AI30" i="84"/>
  <c r="FZ71" i="84"/>
  <c r="GB71" i="84"/>
  <c r="AH30" i="84"/>
  <c r="AG30" i="84"/>
  <c r="FE29" i="84"/>
  <c r="AF31" i="84"/>
  <c r="FX71" i="84"/>
  <c r="FC30" i="84"/>
  <c r="GK70" i="84" l="1"/>
  <c r="FD30" i="84"/>
  <c r="FB29" i="84"/>
  <c r="FA29" i="84" s="1"/>
  <c r="FE30" i="84"/>
  <c r="AF32" i="84"/>
  <c r="FX72" i="84"/>
  <c r="FN73" i="84"/>
  <c r="FW73" i="84" s="1"/>
  <c r="FV73" i="84" s="1"/>
  <c r="FU73" i="84"/>
  <c r="FT73" i="84" s="1"/>
  <c r="FR73" i="84"/>
  <c r="FS74" i="84" s="1"/>
  <c r="FP73" i="84"/>
  <c r="GA73" i="84" s="1"/>
  <c r="FQ73" i="84"/>
  <c r="FY73" i="84" s="1"/>
  <c r="FO73" i="84"/>
  <c r="BW30" i="84"/>
  <c r="BX30" i="84" s="1"/>
  <c r="FC31" i="84"/>
  <c r="AJ31" i="84"/>
  <c r="AI31" i="84"/>
  <c r="AE32" i="84"/>
  <c r="AD32" i="84"/>
  <c r="AH31" i="84"/>
  <c r="AG31" i="84"/>
  <c r="FZ72" i="84"/>
  <c r="GB72" i="84"/>
  <c r="GK71" i="84" l="1"/>
  <c r="FD31" i="84"/>
  <c r="BW31" i="84"/>
  <c r="BX31" i="84" s="1"/>
  <c r="FB31" i="84" s="1"/>
  <c r="FA31" i="84" s="1"/>
  <c r="FQ74" i="84"/>
  <c r="FY74" i="84" s="1"/>
  <c r="FU74" i="84"/>
  <c r="FT74" i="84" s="1"/>
  <c r="FR74" i="84"/>
  <c r="FS75" i="84" s="1"/>
  <c r="FO74" i="84"/>
  <c r="FN74" i="84"/>
  <c r="FW74" i="84" s="1"/>
  <c r="FV74" i="84" s="1"/>
  <c r="FP74" i="84"/>
  <c r="GA74" i="84" s="1"/>
  <c r="AD33" i="84"/>
  <c r="AE33" i="84"/>
  <c r="FB30" i="84"/>
  <c r="FA30" i="84" s="1"/>
  <c r="BY30" i="84"/>
  <c r="AH32" i="84"/>
  <c r="AG32" i="84"/>
  <c r="AI32" i="84"/>
  <c r="AJ32" i="84"/>
  <c r="FC32" i="84"/>
  <c r="FX73" i="84"/>
  <c r="AF33" i="84"/>
  <c r="FE31" i="84"/>
  <c r="FZ73" i="84"/>
  <c r="GB73" i="84"/>
  <c r="GK72" i="84" l="1"/>
  <c r="FD32" i="84"/>
  <c r="BY31" i="84"/>
  <c r="AH33" i="84"/>
  <c r="AG33" i="84"/>
  <c r="AE34" i="84"/>
  <c r="AD34" i="84"/>
  <c r="FX74" i="84"/>
  <c r="AF34" i="84"/>
  <c r="BW32" i="84"/>
  <c r="BX32" i="84" s="1"/>
  <c r="FZ74" i="84"/>
  <c r="GB74" i="84"/>
  <c r="AJ33" i="84"/>
  <c r="AI33" i="84"/>
  <c r="FC33" i="84"/>
  <c r="FN75" i="84"/>
  <c r="FW75" i="84" s="1"/>
  <c r="FV75" i="84" s="1"/>
  <c r="FU75" i="84"/>
  <c r="FT75" i="84" s="1"/>
  <c r="FR75" i="84"/>
  <c r="FS76" i="84" s="1"/>
  <c r="FQ75" i="84"/>
  <c r="FY75" i="84" s="1"/>
  <c r="FO75" i="84"/>
  <c r="FP75" i="84"/>
  <c r="GA75" i="84" s="1"/>
  <c r="FE32" i="84"/>
  <c r="GK73" i="84" l="1"/>
  <c r="FD33" i="84"/>
  <c r="FE33" i="84"/>
  <c r="BW33" i="84"/>
  <c r="BX33" i="84" s="1"/>
  <c r="FB33" i="84" s="1"/>
  <c r="FA33" i="84" s="1"/>
  <c r="AI34" i="84"/>
  <c r="AJ34" i="84"/>
  <c r="AD35" i="84"/>
  <c r="AE35" i="84"/>
  <c r="AH34" i="84"/>
  <c r="AG34" i="84"/>
  <c r="FC34" i="84"/>
  <c r="BY32" i="84"/>
  <c r="FB32" i="84"/>
  <c r="FA32" i="84" s="1"/>
  <c r="FX75" i="84"/>
  <c r="AF35" i="84"/>
  <c r="FZ75" i="84"/>
  <c r="GB75" i="84"/>
  <c r="FP76" i="84"/>
  <c r="GA76" i="84" s="1"/>
  <c r="FO76" i="84"/>
  <c r="FR76" i="84"/>
  <c r="FS77" i="84" s="1"/>
  <c r="FQ76" i="84"/>
  <c r="FY76" i="84" s="1"/>
  <c r="FN76" i="84"/>
  <c r="FW76" i="84" s="1"/>
  <c r="FV76" i="84" s="1"/>
  <c r="FU76" i="84"/>
  <c r="FT76" i="84" s="1"/>
  <c r="GK74" i="84" l="1"/>
  <c r="BY33" i="84"/>
  <c r="FD34" i="84"/>
  <c r="GB76" i="84"/>
  <c r="FZ76" i="84"/>
  <c r="AH35" i="84"/>
  <c r="AG35" i="84"/>
  <c r="AF36" i="84"/>
  <c r="FX76" i="84"/>
  <c r="BW34" i="84"/>
  <c r="BX34" i="84" s="1"/>
  <c r="FR77" i="84"/>
  <c r="FS78" i="84" s="1"/>
  <c r="FO77" i="84"/>
  <c r="FU77" i="84"/>
  <c r="FT77" i="84" s="1"/>
  <c r="FP77" i="84"/>
  <c r="GA77" i="84" s="1"/>
  <c r="FN77" i="84"/>
  <c r="FW77" i="84" s="1"/>
  <c r="FV77" i="84" s="1"/>
  <c r="FQ77" i="84"/>
  <c r="FY77" i="84" s="1"/>
  <c r="FC35" i="84"/>
  <c r="AI35" i="84"/>
  <c r="AJ35" i="84"/>
  <c r="AD36" i="84"/>
  <c r="AE36" i="84"/>
  <c r="FE34" i="84"/>
  <c r="GK75" i="84" l="1"/>
  <c r="BW35" i="84"/>
  <c r="BX35" i="84" s="1"/>
  <c r="FB35" i="84" s="1"/>
  <c r="FA35" i="84" s="1"/>
  <c r="FD35" i="84"/>
  <c r="FN78" i="84"/>
  <c r="FW78" i="84" s="1"/>
  <c r="FV78" i="84" s="1"/>
  <c r="FQ78" i="84"/>
  <c r="FY78" i="84" s="1"/>
  <c r="FR78" i="84"/>
  <c r="FS79" i="84" s="1"/>
  <c r="FO78" i="84"/>
  <c r="FP78" i="84"/>
  <c r="GA78" i="84" s="1"/>
  <c r="FU78" i="84"/>
  <c r="FT78" i="84" s="1"/>
  <c r="AH36" i="84"/>
  <c r="AG36" i="84"/>
  <c r="GB77" i="84"/>
  <c r="FZ77" i="84"/>
  <c r="AJ36" i="84"/>
  <c r="AI36" i="84"/>
  <c r="FB34" i="84"/>
  <c r="FA34" i="84" s="1"/>
  <c r="BY34" i="84"/>
  <c r="AE37" i="84"/>
  <c r="AD37" i="84"/>
  <c r="FC36" i="84"/>
  <c r="FE35" i="84"/>
  <c r="FX77" i="84"/>
  <c r="AF37" i="84"/>
  <c r="GK76" i="84" l="1"/>
  <c r="BY35" i="84"/>
  <c r="FE36" i="84"/>
  <c r="BW36" i="84"/>
  <c r="BX36" i="84" s="1"/>
  <c r="FB36" i="84" s="1"/>
  <c r="FA36" i="84" s="1"/>
  <c r="AF38" i="84"/>
  <c r="FX78" i="84"/>
  <c r="FD36" i="84"/>
  <c r="FP79" i="84"/>
  <c r="GA79" i="84" s="1"/>
  <c r="FN79" i="84"/>
  <c r="FW79" i="84" s="1"/>
  <c r="FV79" i="84" s="1"/>
  <c r="FO79" i="84"/>
  <c r="FQ79" i="84"/>
  <c r="FY79" i="84" s="1"/>
  <c r="FU79" i="84"/>
  <c r="FT79" i="84" s="1"/>
  <c r="FR79" i="84"/>
  <c r="FS80" i="84" s="1"/>
  <c r="AH37" i="84"/>
  <c r="AG37" i="84"/>
  <c r="AJ37" i="84"/>
  <c r="AI37" i="84"/>
  <c r="FZ78" i="84"/>
  <c r="GB78" i="84"/>
  <c r="FC37" i="84"/>
  <c r="AD38" i="84"/>
  <c r="AE38" i="84"/>
  <c r="GK77" i="84" l="1"/>
  <c r="FD37" i="84"/>
  <c r="BY36" i="84"/>
  <c r="AE39" i="84"/>
  <c r="AD39" i="84"/>
  <c r="BW37" i="84"/>
  <c r="BX37" i="84" s="1"/>
  <c r="AH38" i="84"/>
  <c r="AG38" i="84"/>
  <c r="FO80" i="84"/>
  <c r="FP80" i="84"/>
  <c r="GA80" i="84" s="1"/>
  <c r="FR80" i="84"/>
  <c r="FS81" i="84" s="1"/>
  <c r="FU80" i="84"/>
  <c r="FT80" i="84" s="1"/>
  <c r="FQ80" i="84"/>
  <c r="FY80" i="84" s="1"/>
  <c r="FN80" i="84"/>
  <c r="FW80" i="84" s="1"/>
  <c r="FV80" i="84" s="1"/>
  <c r="FZ79" i="84"/>
  <c r="GB79" i="84"/>
  <c r="FC38" i="84"/>
  <c r="AJ38" i="84"/>
  <c r="AI38" i="84"/>
  <c r="FE37" i="84"/>
  <c r="AF39" i="84"/>
  <c r="FX79" i="84"/>
  <c r="GK78" i="84" l="1"/>
  <c r="BW38" i="84"/>
  <c r="BX38" i="84" s="1"/>
  <c r="BY38" i="84" s="1"/>
  <c r="FE38" i="84"/>
  <c r="FR81" i="84"/>
  <c r="FS82" i="84" s="1"/>
  <c r="FO81" i="84"/>
  <c r="FN81" i="84"/>
  <c r="FW81" i="84" s="1"/>
  <c r="FV81" i="84" s="1"/>
  <c r="FQ81" i="84"/>
  <c r="FY81" i="84" s="1"/>
  <c r="FP81" i="84"/>
  <c r="GA81" i="84" s="1"/>
  <c r="FU81" i="84"/>
  <c r="FT81" i="84" s="1"/>
  <c r="AF40" i="84"/>
  <c r="FX80" i="84"/>
  <c r="AI39" i="84"/>
  <c r="AJ39" i="84"/>
  <c r="FD38" i="84"/>
  <c r="FB37" i="84"/>
  <c r="FA37" i="84" s="1"/>
  <c r="BY37" i="84"/>
  <c r="GB80" i="84"/>
  <c r="FZ80" i="84"/>
  <c r="FC39" i="84"/>
  <c r="AG39" i="84"/>
  <c r="AH39" i="84"/>
  <c r="AD40" i="84"/>
  <c r="AE40" i="84"/>
  <c r="GK79" i="84" l="1"/>
  <c r="FB38" i="84"/>
  <c r="FA38" i="84" s="1"/>
  <c r="FD39" i="84"/>
  <c r="AD41" i="84"/>
  <c r="AE41" i="84"/>
  <c r="FX81" i="84"/>
  <c r="AF41" i="84"/>
  <c r="AJ40" i="84"/>
  <c r="AI40" i="84"/>
  <c r="FE39" i="84"/>
  <c r="FN82" i="84"/>
  <c r="FW82" i="84" s="1"/>
  <c r="FV82" i="84" s="1"/>
  <c r="FQ82" i="84"/>
  <c r="FY82" i="84" s="1"/>
  <c r="FU82" i="84"/>
  <c r="FT82" i="84" s="1"/>
  <c r="FP82" i="84"/>
  <c r="GA82" i="84" s="1"/>
  <c r="FO82" i="84"/>
  <c r="FR82" i="84"/>
  <c r="FS83" i="84" s="1"/>
  <c r="AG40" i="84"/>
  <c r="AH40" i="84"/>
  <c r="BW39" i="84"/>
  <c r="BX39" i="84" s="1"/>
  <c r="FC40" i="84"/>
  <c r="GB81" i="84"/>
  <c r="FZ81" i="84"/>
  <c r="GK80" i="84" l="1"/>
  <c r="BW40" i="84"/>
  <c r="BX40" i="84" s="1"/>
  <c r="BY40" i="84" s="1"/>
  <c r="FE40" i="84"/>
  <c r="AD42" i="84"/>
  <c r="AE42" i="84"/>
  <c r="FU83" i="84"/>
  <c r="FT83" i="84" s="1"/>
  <c r="FO83" i="84"/>
  <c r="FQ83" i="84"/>
  <c r="FY83" i="84" s="1"/>
  <c r="FP83" i="84"/>
  <c r="GA83" i="84" s="1"/>
  <c r="FR83" i="84"/>
  <c r="FS84" i="84" s="1"/>
  <c r="FN83" i="84"/>
  <c r="FW83" i="84" s="1"/>
  <c r="FV83" i="84" s="1"/>
  <c r="BY39" i="84"/>
  <c r="FB39" i="84"/>
  <c r="FA39" i="84" s="1"/>
  <c r="AI41" i="84"/>
  <c r="AJ41" i="84"/>
  <c r="FD40" i="84"/>
  <c r="FX82" i="84"/>
  <c r="AF42" i="84"/>
  <c r="AG41" i="84"/>
  <c r="AH41" i="84"/>
  <c r="FZ82" i="84"/>
  <c r="GB82" i="84"/>
  <c r="FC41" i="84"/>
  <c r="GK81" i="84" l="1"/>
  <c r="FB40" i="84"/>
  <c r="FA40" i="84" s="1"/>
  <c r="FD41" i="84"/>
  <c r="FE41" i="84"/>
  <c r="FZ83" i="84"/>
  <c r="GB83" i="84"/>
  <c r="AF43" i="84"/>
  <c r="FX83" i="84"/>
  <c r="BW41" i="84"/>
  <c r="BX41" i="84" s="1"/>
  <c r="FC42" i="84"/>
  <c r="AD43" i="84"/>
  <c r="AE43" i="84"/>
  <c r="AJ42" i="84"/>
  <c r="AI42" i="84"/>
  <c r="AH42" i="84"/>
  <c r="AG42" i="84"/>
  <c r="FO84" i="84"/>
  <c r="FN84" i="84"/>
  <c r="FW84" i="84" s="1"/>
  <c r="FV84" i="84" s="1"/>
  <c r="FU84" i="84"/>
  <c r="FT84" i="84" s="1"/>
  <c r="FR84" i="84"/>
  <c r="FS85" i="84" s="1"/>
  <c r="FP84" i="84"/>
  <c r="GA84" i="84" s="1"/>
  <c r="FQ84" i="84"/>
  <c r="FY84" i="84" s="1"/>
  <c r="GK82" i="84" l="1"/>
  <c r="FD42" i="84"/>
  <c r="FX84" i="84"/>
  <c r="AF44" i="84"/>
  <c r="BW42" i="84"/>
  <c r="BX42" i="84" s="1"/>
  <c r="FB41" i="84"/>
  <c r="FA41" i="84" s="1"/>
  <c r="BY41" i="84"/>
  <c r="FZ84" i="84"/>
  <c r="GB84" i="84"/>
  <c r="FE42" i="84"/>
  <c r="AH43" i="84"/>
  <c r="AG43" i="84"/>
  <c r="FO85" i="84"/>
  <c r="FQ85" i="84"/>
  <c r="FY85" i="84" s="1"/>
  <c r="FP85" i="84"/>
  <c r="GA85" i="84" s="1"/>
  <c r="FR85" i="84"/>
  <c r="FU85" i="84"/>
  <c r="FT85" i="84" s="1"/>
  <c r="FN85" i="84"/>
  <c r="FW85" i="84" s="1"/>
  <c r="FV85" i="84" s="1"/>
  <c r="AE44" i="84"/>
  <c r="AD44" i="84"/>
  <c r="FC43" i="84"/>
  <c r="AJ43" i="84"/>
  <c r="AI43" i="84"/>
  <c r="GK83" i="84" l="1"/>
  <c r="FD43" i="84"/>
  <c r="BW43" i="84"/>
  <c r="BX43" i="84" s="1"/>
  <c r="FB43" i="84" s="1"/>
  <c r="FA43" i="84" s="1"/>
  <c r="AI44" i="84"/>
  <c r="AJ44" i="84"/>
  <c r="GJ85" i="84"/>
  <c r="GJ84" i="84" s="1"/>
  <c r="GJ83" i="84" s="1"/>
  <c r="GJ82" i="84" s="1"/>
  <c r="GJ81" i="84" s="1"/>
  <c r="GJ80" i="84" s="1"/>
  <c r="GJ79" i="84" s="1"/>
  <c r="GJ78" i="84" s="1"/>
  <c r="GJ77" i="84" s="1"/>
  <c r="GJ76" i="84" s="1"/>
  <c r="GJ75" i="84" s="1"/>
  <c r="GJ74" i="84" s="1"/>
  <c r="GJ73" i="84" s="1"/>
  <c r="GJ72" i="84" s="1"/>
  <c r="GJ71" i="84" s="1"/>
  <c r="GJ70" i="84" s="1"/>
  <c r="GJ69" i="84" s="1"/>
  <c r="GJ68" i="84" s="1"/>
  <c r="GJ67" i="84" s="1"/>
  <c r="GJ66" i="84" s="1"/>
  <c r="GJ65" i="84" s="1"/>
  <c r="GJ64" i="84" s="1"/>
  <c r="GJ63" i="84" s="1"/>
  <c r="GJ62" i="84" s="1"/>
  <c r="GJ61" i="84" s="1"/>
  <c r="GJ60" i="84" s="1"/>
  <c r="GJ59" i="84" s="1"/>
  <c r="GJ58" i="84" s="1"/>
  <c r="GB85" i="84"/>
  <c r="FZ85" i="84"/>
  <c r="FX85" i="84"/>
  <c r="AF45" i="84"/>
  <c r="FB42" i="84"/>
  <c r="FA42" i="84" s="1"/>
  <c r="BY42" i="84"/>
  <c r="FC44" i="84"/>
  <c r="FE43" i="84"/>
  <c r="AD45" i="84"/>
  <c r="AE45" i="84"/>
  <c r="AH44" i="84"/>
  <c r="AG44" i="84"/>
  <c r="GK84" i="84" l="1"/>
  <c r="FE44" i="84"/>
  <c r="BY43" i="84"/>
  <c r="BW44" i="84"/>
  <c r="BX44" i="84" s="1"/>
  <c r="FB44" i="84" s="1"/>
  <c r="FA44" i="84" s="1"/>
  <c r="AI45" i="84"/>
  <c r="AJ45" i="84"/>
  <c r="GJ57" i="84"/>
  <c r="GJ56" i="84" s="1"/>
  <c r="GJ55" i="84" s="1"/>
  <c r="GJ54" i="84" s="1"/>
  <c r="FV58" i="84"/>
  <c r="FD44" i="84"/>
  <c r="AH45" i="84"/>
  <c r="AG45" i="84"/>
  <c r="FC45" i="84"/>
  <c r="GK85" i="84" l="1"/>
  <c r="FD45" i="84"/>
  <c r="BW45" i="84"/>
  <c r="BX45" i="84" s="1"/>
  <c r="BY45" i="84" s="1"/>
  <c r="BY44" i="84"/>
  <c r="AD18" i="84"/>
  <c r="FZ58" i="84"/>
  <c r="FE45" i="84"/>
  <c r="FF45" i="84" l="1"/>
  <c r="FF44" i="84" s="1"/>
  <c r="FF43" i="84" s="1"/>
  <c r="FF42" i="84" s="1"/>
  <c r="FF41" i="84" s="1"/>
  <c r="FF40" i="84" s="1"/>
  <c r="FF39" i="84" s="1"/>
  <c r="FF38" i="84" s="1"/>
  <c r="FF37" i="84" s="1"/>
  <c r="FF36" i="84" s="1"/>
  <c r="FF35" i="84" s="1"/>
  <c r="FF34" i="84" s="1"/>
  <c r="FF33" i="84" s="1"/>
  <c r="FF32" i="84" s="1"/>
  <c r="FF31" i="84" s="1"/>
  <c r="FF30" i="84" s="1"/>
  <c r="FF29" i="84" s="1"/>
  <c r="FF28" i="84" s="1"/>
  <c r="FF27" i="84" s="1"/>
  <c r="FF26" i="84" s="1"/>
  <c r="FF25" i="84" s="1"/>
  <c r="FF24" i="84" s="1"/>
  <c r="FF23" i="84" s="1"/>
  <c r="FF22" i="84" s="1"/>
  <c r="FF21" i="84" s="1"/>
  <c r="FF20" i="84" s="1"/>
  <c r="FF19" i="84" s="1"/>
  <c r="FB45" i="84"/>
  <c r="FA45" i="84" s="1"/>
  <c r="AI18" i="84"/>
  <c r="AE18" i="84"/>
  <c r="FC18" i="84" l="1"/>
  <c r="AJ18" i="84"/>
  <c r="BW18" i="84" s="1"/>
  <c r="BX18" i="84" s="1"/>
  <c r="GK58" i="84" l="1"/>
  <c r="EZ18" i="84"/>
  <c r="BY18" i="84"/>
  <c r="FB18" i="84"/>
  <c r="EX18" i="84"/>
  <c r="FE18" i="84"/>
  <c r="FF18" i="84" s="1"/>
  <c r="FF17" i="84" s="1"/>
  <c r="FF16" i="84" s="1"/>
  <c r="FF15" i="84" s="1"/>
  <c r="FF14" i="84" s="1"/>
  <c r="EX19" i="84" l="1"/>
  <c r="EX20" i="84" s="1"/>
  <c r="EX21" i="84" s="1"/>
  <c r="EX22" i="84" s="1"/>
  <c r="EX23" i="84" s="1"/>
  <c r="EX24" i="84" s="1"/>
  <c r="EX25" i="84" s="1"/>
  <c r="EX26" i="84" s="1"/>
  <c r="EX27" i="84" s="1"/>
  <c r="EX28" i="84" s="1"/>
  <c r="EX29" i="84" s="1"/>
  <c r="EX30" i="84" s="1"/>
  <c r="EX31" i="84" s="1"/>
  <c r="EX32" i="84" s="1"/>
  <c r="EX33" i="84" s="1"/>
  <c r="EX34" i="84" s="1"/>
  <c r="EX35" i="84" s="1"/>
  <c r="EX36" i="84" s="1"/>
  <c r="EX37" i="84" s="1"/>
  <c r="EX38" i="84" s="1"/>
  <c r="EX39" i="84" s="1"/>
  <c r="EX40" i="84" s="1"/>
  <c r="EX41" i="84" s="1"/>
  <c r="EX42" i="84" s="1"/>
  <c r="EX43" i="84" s="1"/>
  <c r="EX44" i="84" s="1"/>
  <c r="EX45" i="84" s="1"/>
  <c r="EY18" i="84"/>
  <c r="FA18" i="84"/>
  <c r="EY16" i="8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B64461B-054C-4A8A-B7C5-FCBBF37FB57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0000000-0006-0000-0600-00000100000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00000000-0006-0000-0600-000002000000}">
      <text>
        <r>
          <rPr>
            <b/>
            <sz val="8"/>
            <color indexed="81"/>
            <rFont val="Tahoma"/>
            <family val="2"/>
          </rPr>
          <t xml:space="preserve">Currently NOT used.
</t>
        </r>
      </text>
    </comment>
    <comment ref="F13" authorId="3" shapeId="0" xr:uid="{00000000-0006-0000-0600-000003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0000000-0006-0000-0600-000004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0000000-0006-0000-0600-000005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00000000-0006-0000-0600-000006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00000000-0006-0000-0700-000001000000}">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00000000-0006-0000-0800-00000100000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09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Faull, Spencer</author>
  </authors>
  <commentList>
    <comment ref="HC2" authorId="0" shapeId="0" xr:uid="{00000000-0006-0000-0A00-000001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00000000-0006-0000-0A00-000002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0000000-0006-0000-0A00-000003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00000000-0006-0000-0A00-000004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0000000-0006-0000-0A00-000005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00000000-0006-0000-0A00-000006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00000000-0006-0000-0A00-000007000000}">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00000000-0006-0000-0A00-00000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00000000-0006-0000-0A00-000009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00000000-0006-0000-0A00-00000A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0000000-0006-0000-0A00-00000B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00000000-0006-0000-0A00-00000C000000}">
      <text>
        <r>
          <rPr>
            <b/>
            <sz val="9"/>
            <color indexed="81"/>
            <rFont val="Tahoma"/>
            <family val="2"/>
          </rPr>
          <t>Minimum End of Slot to Edge of Material
(Min Edge Dist).</t>
        </r>
        <r>
          <rPr>
            <sz val="9"/>
            <color indexed="81"/>
            <rFont val="Tahoma"/>
            <family val="2"/>
          </rPr>
          <t xml:space="preserve">
</t>
        </r>
      </text>
    </comment>
    <comment ref="DH9" authorId="3" shapeId="0" xr:uid="{00000000-0006-0000-0A00-00000D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00000000-0006-0000-0A00-00000E00000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00000000-0006-0000-0A00-00000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00000000-0006-0000-0A00-000010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00000000-0006-0000-0A00-000011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00000000-0006-0000-0A00-000012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00000000-0006-0000-0A00-000013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00000000-0006-0000-0A00-000014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0000000-0006-0000-0A00-000015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00000000-0006-0000-0A00-000016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00000000-0006-0000-0A00-000017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00000000-0006-0000-0A00-00001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0000000-0006-0000-0A00-000019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00000000-0006-0000-0A00-00001A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00000000-0006-0000-0A00-00001B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00000000-0006-0000-0A00-00001C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00000000-0006-0000-0A00-00001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00000000-0006-0000-0A00-000020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00000000-0006-0000-0A00-000021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00000000-0006-0000-0A00-00002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00000000-0006-0000-0A00-000023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00000000-0006-0000-0A00-000024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00000000-0006-0000-0A00-000025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0000000-0006-0000-0A00-00002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00000000-0006-0000-0A00-00002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00000000-0006-0000-0A00-000028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00000000-0006-0000-0A00-000029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00000000-0006-0000-0A00-00002A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00000000-0006-0000-0A00-00002B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00000000-0006-0000-0A00-00002C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00000000-0006-0000-0A00-00002D000000}">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00000000-0006-0000-0A00-00002E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GA26" authorId="4" shapeId="0" xr:uid="{3E5DADEF-1564-43B7-AFDA-E78A6065F4F0}">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CN27" authorId="2" shapeId="0" xr:uid="{3AD216FE-A1ED-4BB9-9947-77DCCDC0AD6E}">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197E20A6-CD6C-40D2-9854-5C7F1FB1E103}">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E1EDE859-296C-424B-A7DC-CB76DD43F5E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30785832-FBCF-4C2A-B794-5CD6064BEDB3}">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78373B59-2AF3-488A-A796-5D079B79F532}">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BF9E911E-C853-493E-9BE7-D743BF4713D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00000000-0006-0000-0A00-000031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00000000-0006-0000-0A00-00003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Faull, Spencer</author>
  </authors>
  <commentList>
    <comment ref="DH9" authorId="0" shapeId="0" xr:uid="{00000000-0006-0000-0B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00000000-0006-0000-0B00-000004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00000000-0006-0000-0B00-000005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00000000-0006-0000-0B00-000006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0B00-000007000000}">
      <text>
        <r>
          <rPr>
            <b/>
            <sz val="9"/>
            <color indexed="81"/>
            <rFont val="Tahoma"/>
            <family val="2"/>
          </rPr>
          <t>Rich Sellers:</t>
        </r>
        <r>
          <rPr>
            <sz val="9"/>
            <color indexed="81"/>
            <rFont val="Tahoma"/>
            <family val="2"/>
          </rPr>
          <t xml:space="preserve">
</t>
        </r>
      </text>
    </comment>
    <comment ref="AB12" authorId="0" shapeId="0" xr:uid="{00000000-0006-0000-0B00-000008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00000000-0006-0000-0B00-000009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0B00-00000A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00000000-0006-0000-0B00-00000B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00000000-0006-0000-0B00-00000C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78FC22E1-72CA-4E2E-8A0A-03FD4389172D}">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C639F2D2-19A9-4D54-896C-4EFE18D822F8}">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562C286A-6710-44D4-B803-74E4E26475C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E1AFFD3E-C910-4FD4-B6C2-2DC1816E5019}">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6C15EB4F-9343-405F-9253-7545311B3122}">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6DC06C42-6006-4D91-A278-1EA7647AF64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EBBC18D6-61FD-48F7-B984-661D56DE344C}">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87431DF3-70A0-4D13-94C4-BC168FE0164A}">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77DB0965-9EE5-42DC-AAA3-9D6704ACBD31}">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495319F5-15F1-4AF7-9681-348A366D9193}">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169BC75F-A109-4DDF-A984-3651BE6AD428}">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0D81682D-E4FE-4FC7-94B6-03EDB7FEB875}">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234CA56F-5C83-448B-83DD-7B1A2092ED63}">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2DCA66A6-B2D0-456F-AE5C-8F20D7AAB67A}">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00000000-0006-0000-0B00-00001D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00000000-0006-0000-0B00-00001E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00000000-0006-0000-0B00-00001F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6E39168D-7808-42CB-8542-FDA514A08AA6}">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GA12" authorId="4" shapeId="0" xr:uid="{08EA306B-8E44-4148-9D96-85CE7A5FB471}">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AM13" authorId="2" shapeId="0" xr:uid="{00000000-0006-0000-0B00-000021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CE82891C-D40F-44C8-BF0F-19AD175C1849}">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57ABD6BA-74EB-4CDB-9C34-A7658686159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79D474B4-F1A2-4DD0-8BFE-11339205AAFF}">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B4D63D61-C248-4980-981A-E96E76510011}">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15E7136B-CECC-4F9D-9F65-B026048B759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94AF668A-E549-47AC-807C-36FA7D2D51C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0CF270AA-6E95-4563-9CB8-ED8C23D67CE5}">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00000000-0006-0000-0B00-000023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0B00-000024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0B00-000025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00000000-0006-0000-0C00-000001000000}">
      <text>
        <r>
          <rPr>
            <b/>
            <sz val="9"/>
            <color indexed="81"/>
            <rFont val="Tahoma"/>
            <family val="2"/>
          </rPr>
          <t>Minimum End of Slot to Edge of Material
(Min Edge Dist).</t>
        </r>
        <r>
          <rPr>
            <sz val="9"/>
            <color indexed="81"/>
            <rFont val="Tahoma"/>
            <family val="2"/>
          </rPr>
          <t xml:space="preserve">
</t>
        </r>
      </text>
    </comment>
    <comment ref="BG20" authorId="0" shapeId="0" xr:uid="{00000000-0006-0000-0C00-00000200000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00000000-0006-0000-0C00-000003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00000000-0006-0000-0C00-000004000000}">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00000000-0006-0000-0C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00000000-0006-0000-0C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00000000-0006-0000-0C00-00000700000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0000000-0006-0000-0C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00000000-0006-0000-0C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0000000-0006-0000-0C00-00000A000000}">
      <text>
        <r>
          <rPr>
            <b/>
            <sz val="9"/>
            <color indexed="81"/>
            <rFont val="Tahoma"/>
            <family val="2"/>
          </rPr>
          <t>Rich Sellers:</t>
        </r>
        <r>
          <rPr>
            <sz val="9"/>
            <color indexed="81"/>
            <rFont val="Tahoma"/>
            <family val="2"/>
          </rPr>
          <t xml:space="preserve">
Need to Keep This Column - Used for Over-Span Check!!</t>
        </r>
      </text>
    </comment>
    <comment ref="BD21" authorId="1" shapeId="0" xr:uid="{00000000-0006-0000-0C00-00000B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00000000-0006-0000-0C00-00000C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00000000-0006-0000-0C00-00000D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00000000-0006-0000-0C00-00000E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00000000-0006-0000-0C00-00000F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00000000-0006-0000-0C00-000010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00000000-0006-0000-0C00-000011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00000000-0006-0000-0C00-000012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00000000-0006-0000-0C00-000013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00000000-0006-0000-0C00-000014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00000000-0006-0000-0C00-000015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00000000-0006-0000-0C00-00001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00000000-0006-0000-0C00-00001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00000000-0006-0000-0C00-000018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00000000-0006-0000-0C00-000019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21" authorId="4" shapeId="0" xr:uid="{4D359641-F864-4FBF-B77A-163B345F65B6}">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22" authorId="1" shapeId="0" xr:uid="{00000000-0006-0000-0C00-00001A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00000000-0006-0000-0C00-00001B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00000000-0006-0000-0C00-00001C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00000000-0006-0000-0C00-00001D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00000000-0006-0000-0C00-00001E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00000000-0006-0000-0C00-00001F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00000000-0006-0000-0C00-000020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00000000-0006-0000-0D00-000001000000}">
      <text>
        <r>
          <rPr>
            <b/>
            <sz val="9"/>
            <color indexed="81"/>
            <rFont val="Tahoma"/>
            <family val="2"/>
          </rPr>
          <t>Minimum End of Slot to Edge of Material
(Min Edge Dist).</t>
        </r>
        <r>
          <rPr>
            <sz val="9"/>
            <color indexed="81"/>
            <rFont val="Tahoma"/>
            <family val="2"/>
          </rPr>
          <t xml:space="preserve">
</t>
        </r>
      </text>
    </comment>
    <comment ref="BG13" authorId="0" shapeId="0" xr:uid="{78725470-77AE-45AA-A0AE-D8CCF6468659}">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9E72E554-BFE3-4365-B1EE-914985B4074A}">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1ADFC35D-4A53-436E-86F7-6645A04A4BDD}">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00000000-0006-0000-0D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00000000-0006-0000-0D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00000000-0006-0000-0D00-000007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0000000-0006-0000-0D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00000000-0006-0000-0D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C261570D-851F-4906-BD15-8EE70E754707}">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630CED11-6EEC-4ACB-8E9C-1306CE8A431F}">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CD62DB0-3FC3-482F-A4C6-8DCEEACFA1D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7AACDB53-B21B-4F0E-8C22-972B626D600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784C5D3E-1992-4024-8949-9123CEFEC15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BD3A962E-0811-4E33-A1F8-F8E7B341357B}">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5086126-6FD9-408F-B5E6-37B7B90AEEDD}">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9DBA945C-5D4F-4888-B4E8-0AEAB5954A9E}">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123DB7BF-056E-4308-8C0B-948CA0B76BE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4782F35B-2ACE-4E21-8A34-A3FC54BA6B53}">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03A9EAD4-7D68-4615-909B-BFBC1AB37D96}">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9BBE40F2-8901-4726-B184-1B75EA1921E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E23704C-70B0-4FA1-933F-B8745A77A8C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8CBF3B2D-EFD1-48E6-8C27-05B5611E49C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00000000-0006-0000-0D00-00001A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D8EED8FD-CD34-42C0-8A94-517B27FD0376}">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F678BCE0-9A6F-4478-9D87-003A91607C2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CF58B069-B46C-4C89-B07D-EC98E6310BBB}">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3CDEB46D-1249-4440-B8D0-F97DC1D73E3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4BE56F68-45C0-4167-8F0E-61682AFF8D8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63BB9115-AEE6-41AA-B0FC-3C726EE4D697}">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467EBCEB-B1B0-4587-A7C8-F776B92D451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57A5E09-955C-4968-A2C9-DE4C33AE1CD6}">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00000000-0006-0000-0E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0000000-0006-0000-0E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00000000-0006-0000-0E00-00000300000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00000000-0006-0000-0E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00000000-0006-0000-0E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E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12" authorId="0" shapeId="0" xr:uid="{00000000-0006-0000-0F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12" authorId="1" shapeId="0" xr:uid="{00000000-0006-0000-0F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12" authorId="1" shapeId="0" xr:uid="{00000000-0006-0000-0F00-000003000000}">
      <text>
        <r>
          <rPr>
            <b/>
            <sz val="10"/>
            <color indexed="81"/>
            <rFont val="Arial"/>
            <family val="2"/>
          </rPr>
          <t xml:space="preserve">Material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12" authorId="1" shapeId="0" xr:uid="{00000000-0006-0000-0F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12" authorId="1" shapeId="0" xr:uid="{00000000-0006-0000-0F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F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Rich Sellers</author>
    <author>sellersrl</author>
  </authors>
  <commentList>
    <comment ref="D2" authorId="0" shapeId="0" xr:uid="{00000000-0006-0000-1100-000001000000}">
      <text>
        <r>
          <rPr>
            <b/>
            <sz val="12"/>
            <color indexed="81"/>
            <rFont val="Arial"/>
            <family val="2"/>
          </rPr>
          <t xml:space="preserve">End of Joist/Girder:
</t>
        </r>
        <r>
          <rPr>
            <sz val="12"/>
            <color indexed="81"/>
            <rFont val="Arial"/>
            <family val="2"/>
          </rPr>
          <t>The "foot" column is the primary drive for the +/- value.
If the "Foot" column is zero, then the Inch column will determine the +/-.
If you have trouble, delete the value in both the Foot and Inch columns for the section you are working on (at the same time) and start over.
You can verify the dimension by looking at Column "N", which is displayed in inches only.</t>
        </r>
      </text>
    </comment>
    <comment ref="F2" authorId="1" shapeId="0" xr:uid="{00000000-0006-0000-1100-000002000000}">
      <text>
        <r>
          <rPr>
            <b/>
            <sz val="12"/>
            <color indexed="81"/>
            <rFont val="Arial"/>
            <family val="2"/>
          </rPr>
          <t xml:space="preserve">TCX Type:
</t>
        </r>
        <r>
          <rPr>
            <sz val="12"/>
            <color indexed="81"/>
            <rFont val="Arial"/>
            <family val="2"/>
          </rPr>
          <t>Enter TCX Type if not standard.  Enter "R", R1...", "S" or "S1...".</t>
        </r>
      </text>
    </comment>
    <comment ref="I2" authorId="1" shapeId="0" xr:uid="{00000000-0006-0000-1100-000003000000}">
      <text>
        <r>
          <rPr>
            <b/>
            <sz val="12"/>
            <color indexed="81"/>
            <rFont val="Arial"/>
            <family val="2"/>
          </rPr>
          <t xml:space="preserve">Special Seat Gage:
</t>
        </r>
        <r>
          <rPr>
            <sz val="12"/>
            <color indexed="81"/>
            <rFont val="Arial"/>
            <family val="2"/>
          </rPr>
          <t>Enter Special Seat Gage if not standard.  If blank, BOM will assume standard gage for HL/HR.</t>
        </r>
      </text>
    </comment>
    <comment ref="L2" authorId="1" shapeId="0" xr:uid="{00000000-0006-0000-1100-000004000000}">
      <text>
        <r>
          <rPr>
            <b/>
            <sz val="12"/>
            <color indexed="81"/>
            <rFont val="Arial"/>
            <family val="2"/>
          </rPr>
          <t xml:space="preserve">Spedial BCX Type:
</t>
        </r>
        <r>
          <rPr>
            <sz val="12"/>
            <color indexed="81"/>
            <rFont val="Arial"/>
            <family val="2"/>
          </rPr>
          <t>Enter Special BCX Type if not standard.  If blank, BOM will assume standard Type 2 BCX.</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CFA37CCF-246F-4007-B7F7-6A9D33DC042B}">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893E80FA-2B21-47A2-A5F0-F795460AE04B}">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A2DA4BAD-9E4A-4209-A064-C406C4AC7184}">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3053C1EA-5A56-4E50-A303-F8D4665F6DE1}">
      <text>
        <r>
          <rPr>
            <b/>
            <sz val="8"/>
            <color indexed="81"/>
            <rFont val="Tahoma"/>
            <family val="2"/>
          </rPr>
          <t xml:space="preserve">Currently NOT used.
</t>
        </r>
      </text>
    </comment>
    <comment ref="F13" authorId="3" shapeId="0" xr:uid="{7952F00E-47F6-4F77-BABC-46751A5E8A4D}">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F8E0BC1-9850-4D0D-8811-CD4C3114C4D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3E07280A-E81F-4A51-B9EE-0AE2B64CF8AC}">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EDE2244-57FA-41D0-A017-B3685CC719C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CA20FB9-770A-4140-8D5A-B5FB506003D8}">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5F1F3EC-F506-4B77-8AA4-4AF17F19E479}">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BD23B5E0-0FA7-4EEF-942B-361FF23A175C}">
      <text>
        <r>
          <rPr>
            <b/>
            <sz val="8"/>
            <color indexed="81"/>
            <rFont val="Tahoma"/>
            <family val="2"/>
          </rPr>
          <t xml:space="preserve">Currently NOT used.
</t>
        </r>
      </text>
    </comment>
    <comment ref="F13" authorId="3" shapeId="0" xr:uid="{75F175F1-95BC-4460-97BA-7C3CA4B1E672}">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864EDAF3-F711-464F-8844-1E8CE0AF2E4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1683FB57-9454-46A9-ABEE-F66201EB759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FF9F94FD-7B2B-463B-B64D-161570667C7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D096AEFA-F012-4519-9C01-676E4E87D990}">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41B558F9-68CD-463B-9184-1DC130E2F1BF}">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120774E6-11AD-494B-A961-51EF137E0821}">
      <text>
        <r>
          <rPr>
            <b/>
            <sz val="8"/>
            <color indexed="81"/>
            <rFont val="Tahoma"/>
            <family val="2"/>
          </rPr>
          <t xml:space="preserve">Currently NOT used.
</t>
        </r>
      </text>
    </comment>
    <comment ref="F13" authorId="3" shapeId="0" xr:uid="{82A47B35-0BA9-4F74-A0A7-277DB5F33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A0137296-390E-409B-8D30-123D6EB9970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80786B56-01BD-4FC6-9D81-2952F5836D66}">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32672AA-A452-4C79-8B3F-21743A32EB3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C6D5193-A7F0-484C-BB00-DEDB0AEA6045}">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AD721476-6931-48DA-A23A-1F48201FD0E2}">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6F7AD689-93F3-4EA6-9385-160965A0B3ED}">
      <text>
        <r>
          <rPr>
            <b/>
            <sz val="8"/>
            <color indexed="81"/>
            <rFont val="Tahoma"/>
            <family val="2"/>
          </rPr>
          <t xml:space="preserve">Currently NOT used.
</t>
        </r>
      </text>
    </comment>
    <comment ref="F13" authorId="3" shapeId="0" xr:uid="{3E7830F5-69A4-4B83-B98A-D13A66290DA5}">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D7F20F7E-ECAF-476A-8C72-9BD4884A0F1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7A977C3C-A1F4-4D6D-A737-1495C041575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A339F12F-7A19-4BB0-BA13-35298FCF67A9}">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8CBEB69-A3C2-49F1-AD7D-1268B33950BA}">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82AD700D-401A-410F-B5E8-B35D2A033847}">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78018F22-B05D-4DF4-B2AC-74227246C7DC}">
      <text>
        <r>
          <rPr>
            <b/>
            <sz val="8"/>
            <color indexed="81"/>
            <rFont val="Tahoma"/>
            <family val="2"/>
          </rPr>
          <t xml:space="preserve">Currently NOT used.
</t>
        </r>
      </text>
    </comment>
    <comment ref="F13" authorId="3" shapeId="0" xr:uid="{C52B2DA1-F52B-4E1E-9F0F-1955D2CE8D1E}">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4D01D40D-FFB9-4DA5-BDFC-A08D9F03D3BF}">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4CDCF86-B4D3-4AD7-941D-7B0FBF7710E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4B050D9-8F73-4B05-8A8B-63505ACB5FD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A439D859-F856-41E1-B8E6-1E70A1C3E97D}">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CFC95EC0-171B-4C28-B280-B667726E6C76}">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FA93FC72-2296-4E5B-B263-B17C05B22026}">
      <text>
        <r>
          <rPr>
            <b/>
            <sz val="8"/>
            <color indexed="81"/>
            <rFont val="Tahoma"/>
            <family val="2"/>
          </rPr>
          <t xml:space="preserve">Currently NOT used.
</t>
        </r>
      </text>
    </comment>
    <comment ref="F13" authorId="3" shapeId="0" xr:uid="{7028A812-9F42-4BA2-85BF-67360E7C4129}">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5216B6E6-0852-4B70-8C7C-8E95B87F8BCF}">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778704EF-6804-4BFC-98AB-CF12610ED02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C47EC537-0468-45B0-8A1C-0D826B25872B}">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E65E03F2-619C-46F5-8667-A422253161C1}">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5CF32074-3BDF-49F0-B3AB-B7E9B18D32BC}">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C90CE76F-BCE6-4589-B067-B6C00877A265}">
      <text>
        <r>
          <rPr>
            <b/>
            <sz val="8"/>
            <color indexed="81"/>
            <rFont val="Tahoma"/>
            <family val="2"/>
          </rPr>
          <t xml:space="preserve">Currently NOT used.
</t>
        </r>
      </text>
    </comment>
    <comment ref="F13" authorId="3" shapeId="0" xr:uid="{817422CD-2251-412A-B297-BB8B7B326FF8}">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339AC007-66D4-4F66-818D-8873634325A7}">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F9E9028B-2D21-4497-AECE-EEC75F0590A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AF367519-4B12-4C06-AC44-6406F5941591}">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AC855310-212D-48C7-A47E-4F4912928FE8}">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6799CCA0-42A1-4444-A053-FCD040E0447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182DE544-5693-4976-B68D-E9914192C70D}">
      <text>
        <r>
          <rPr>
            <b/>
            <sz val="8"/>
            <color indexed="81"/>
            <rFont val="Tahoma"/>
            <family val="2"/>
          </rPr>
          <t xml:space="preserve">Currently NOT used.
</t>
        </r>
      </text>
    </comment>
    <comment ref="F13" authorId="3" shapeId="0" xr:uid="{415A587E-CFED-46B1-BC38-C2AE6AF32931}">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61D3C44E-7670-434B-A79F-AB91F8EB163E}">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371E8399-F5BB-4E5B-81F6-F858DE9E4D7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DFB67940-8622-46F5-B689-24C4CB32665B}">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9DD66D3F-D4A9-43D1-8705-AD38D25DD4DB}">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1DCE9E0-3AEC-492F-9C01-B15302134D0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7DDD0A3D-DAD7-4E77-87C7-1FCB86E96F8A}">
      <text>
        <r>
          <rPr>
            <b/>
            <sz val="8"/>
            <color indexed="81"/>
            <rFont val="Tahoma"/>
            <family val="2"/>
          </rPr>
          <t xml:space="preserve">Currently NOT used.
</t>
        </r>
      </text>
    </comment>
    <comment ref="F13" authorId="3" shapeId="0" xr:uid="{AC1CD8F4-B990-42EA-830A-92E398F609F4}">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F5F2122-0970-411C-AF59-A62CA3E43ED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9A61F628-280C-4A2F-8CA9-BCE6A388093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EE4571F6-94DB-4FBE-BD69-20CB36888CC3}">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AF46EB37-111A-42CD-9B68-AB98455BD59E}">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636B80C8-31BF-4195-A78F-712BD893CC69}">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48D5D070-F9FB-476D-8CDB-94B3A90C3A5A}">
      <text>
        <r>
          <rPr>
            <b/>
            <sz val="8"/>
            <color indexed="81"/>
            <rFont val="Tahoma"/>
            <family val="2"/>
          </rPr>
          <t xml:space="preserve">Currently NOT used.
</t>
        </r>
      </text>
    </comment>
    <comment ref="F13" authorId="3" shapeId="0" xr:uid="{927C5182-402E-4AFB-B5A5-2CC47BE9357C}">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BB1BFE1-3D3A-49AB-A121-9D81720EC017}">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D71C22E0-7C63-4F70-9A6B-B5D86F1B3E23}">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078E7A06-609E-4D45-9E23-7B01CC9AA81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D31F038A-64CE-4DA5-9A93-B305F68CE3C7}">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CBBE0AFE-CBF9-40F5-9816-D0C66D838439}">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3328085A-54EE-4872-9E6C-4D896A38E512}">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9979F778-09F2-40BB-9A83-594269D6F3C4}">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469A926E-9711-4F66-98B4-D878474B9019}">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22439FC4-EA49-4724-BB3A-9A0D0446DE72}">
      <text>
        <r>
          <rPr>
            <b/>
            <sz val="9"/>
            <color indexed="81"/>
            <rFont val="Tahoma"/>
            <family val="2"/>
          </rPr>
          <t>Minimum End of Slot to Edge of Material
(Min Edge Dist).</t>
        </r>
        <r>
          <rPr>
            <sz val="9"/>
            <color indexed="81"/>
            <rFont val="Tahoma"/>
            <family val="2"/>
          </rPr>
          <t xml:space="preserve">
</t>
        </r>
      </text>
    </comment>
    <comment ref="BG20" authorId="0" shapeId="0" xr:uid="{F5F7A609-C454-48F4-88AE-2C7EEB07FC7F}">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FDF46026-66F5-4635-A99F-B93C1F2778C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837CAA0F-6F35-4AF1-AD0E-34522F9684D2}">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D3403F40-B34E-45EA-AD3C-DCFDAED33573}">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310D5284-18E4-43DB-BC3F-6C0E6AE1F4AE}">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392A6D97-DDC1-4371-8441-027C525EAF2D}">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17030B4-23CF-4B46-8AD1-65DA588948F6}">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673286BF-93C3-4BFB-A2B5-FCCD5020DDC1}">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1524CFD1-43C3-425D-B002-6B3A7B13775B}">
      <text>
        <r>
          <rPr>
            <b/>
            <sz val="9"/>
            <color indexed="81"/>
            <rFont val="Tahoma"/>
            <family val="2"/>
          </rPr>
          <t>Rich Sellers:</t>
        </r>
        <r>
          <rPr>
            <sz val="9"/>
            <color indexed="81"/>
            <rFont val="Tahoma"/>
            <family val="2"/>
          </rPr>
          <t xml:space="preserve">
Need to Keep This Column - Used for Over-Span Check!!</t>
        </r>
      </text>
    </comment>
    <comment ref="BD21" authorId="1" shapeId="0" xr:uid="{F7D9E6E1-CFC3-4653-84C6-6164000689C4}">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DEDBA4C0-CBF7-4340-8FED-0745FF93C334}">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7961E313-5B44-4A1C-A4FD-53856D0DB2A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8EE9C8A8-8654-4D8D-8B8B-AD7CE4D8943C}">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950DA90A-072F-4C3A-AAF7-B96B523794E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28CEE9C9-01B5-4263-B4A6-A749AADB9D85}">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37AA89DC-33D9-4AA4-A106-9FBBBF50F42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3E387C63-40C9-4F81-8DD1-ECBE7F757568}">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10842923-6D3B-4251-A569-8570A5544372}">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1CEA4FCC-0774-46BB-B22B-01819FAF1C3C}">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267038B4-42D6-4DF9-AEDD-668D2997858E}">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F6C69A33-6F04-48E8-A640-22798F2C0595}">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3AD28BDB-5691-4B49-9DAC-ADCE510B806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C2DB2187-E35D-4D9F-8D24-B1C7EE608BB4}">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6DE13CE1-4945-457F-A043-BBA76E57A71C}">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21" authorId="4" shapeId="0" xr:uid="{1C992390-C8AD-40D9-AAA2-3E18D28EDB1C}">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22" authorId="1" shapeId="0" xr:uid="{838487CC-344B-4953-BDDF-1593F83AC9AD}">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888EC39F-50AF-4513-97B7-16BF43B922C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958EF11D-7C39-43F7-8A73-8D6AC825F93B}">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34859694-0BB1-4CEE-882C-38B0DE28D11B}">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A53DFE91-E0EA-4335-8EE4-D8D43BC898B1}">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30005CEC-A0FB-4BE6-B880-32A2E7B2045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58425A9B-B20C-44EA-8C99-04163EFACB4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E68F9B30-BCB6-490D-A418-02E980F118E3}">
      <text>
        <r>
          <rPr>
            <b/>
            <sz val="9"/>
            <color indexed="81"/>
            <rFont val="Tahoma"/>
            <family val="2"/>
          </rPr>
          <t>Minimum End of Slot to Edge of Material
(Min Edge Dist).</t>
        </r>
        <r>
          <rPr>
            <sz val="9"/>
            <color indexed="81"/>
            <rFont val="Tahoma"/>
            <family val="2"/>
          </rPr>
          <t xml:space="preserve">
</t>
        </r>
      </text>
    </comment>
    <comment ref="BG13" authorId="0" shapeId="0" xr:uid="{22431EC0-AC12-4099-A120-CD1BEC1BDC32}">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25EEA923-2A7A-4444-9FE7-68188D4307AE}">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99578E0E-9F7C-4F34-850D-674FBF1A34E5}">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15C52AE5-7861-406C-9941-E26B722B430D}">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78DF6343-23A6-4F5C-B77F-1D686E31C23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CA2A96C6-F176-451B-87BF-5494C8716784}">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A88B6D52-4EBE-47F4-89B8-AB1EEE41238F}">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979F1826-337B-404E-AF73-36D7059B7F6A}">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108BF4AD-48B1-4B7E-B6E7-30B59EA2ACF4}">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83954A14-06E6-4F67-8F2E-A9FCD4C6A5AE}">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869FB134-B640-4238-8F99-B7F41BE47B3B}">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9BF1145B-55D2-4D84-B409-2016DE414702}">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FAB7898C-15AA-4C09-AE6F-E0C7C0589168}">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D15F8A9E-0A9D-464F-9E90-A4AEB25CDD3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4B19A0E-D0BD-40E8-895D-3A1550D25E6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2FD53048-CB8B-40C8-A616-1C4F671DD8A5}">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8217232F-12BE-404E-B69A-5CADEB44DD5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50A18B91-00FD-47A5-9ECD-B39D08AF77D7}">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15E5D87D-7421-4480-BDC5-14EF0B7D841D}">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16523EA4-2C37-4340-B11D-CBBD5D1B956D}">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A8421AC0-931D-493C-8A62-6A83D1D711FB}">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C437597D-A329-4ED7-8904-204EAD95D41F}">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5AB065FF-4C52-42E7-A5C9-6AA631451E3C}">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81041DB1-1E61-4204-9700-098FC667D60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8B025606-658E-46C6-87E6-791292795C6A}">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B1FF410C-12C2-4E26-B5E4-E9CE461A4FDC}">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6E6DE455-6A89-4C40-9D0D-DA4A91315104}">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69B9F178-B91B-43B7-A310-FBB86855FF53}">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858A660C-4D9B-4F05-91EA-ADABE732ADB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BD42038B-9D4D-4176-A1A5-61D93BB351F4}">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8EF6204F-FFB0-4771-8B24-0543A3A57BDB}">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F95F6585-CF25-4C7B-8350-D75ED6649A58}">
      <text>
        <r>
          <rPr>
            <b/>
            <sz val="9"/>
            <color indexed="81"/>
            <rFont val="Tahoma"/>
            <family val="2"/>
          </rPr>
          <t>Minimum End of Slot to Edge of Material
(Min Edge Dist).</t>
        </r>
        <r>
          <rPr>
            <sz val="9"/>
            <color indexed="81"/>
            <rFont val="Tahoma"/>
            <family val="2"/>
          </rPr>
          <t xml:space="preserve">
</t>
        </r>
      </text>
    </comment>
    <comment ref="BG13" authorId="0" shapeId="0" xr:uid="{66EDDFC6-F5A2-4AA6-9294-2721793D9BB2}">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5080D70D-A7FC-4874-B4AF-C3838165F2DB}">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B3E8535E-7F26-4C4C-8710-6CA66A67A5BB}">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2FA19AF6-A98E-4297-958F-B5DED162B233}">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DA6FCD84-2BC0-4EE4-8A8B-D00544DD8A9A}">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DA2E3C80-57EE-4FC2-AD86-43DC71E925CC}">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AD99ED7-9605-4336-9159-BC471F4662F6}">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6BB27E78-90FF-4481-B5A6-3003D576F69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4F557236-2B61-44A6-AD3C-37097FFD0AA2}">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E8634379-6ED0-4367-9596-6D2936F26DA4}">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1DE93D0-C444-489E-8E90-8DE0BD45987A}">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87AD2981-CE51-4430-9CB0-93E74B5690AD}">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ADD2F084-0269-49B7-8A37-101B04C81F99}">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2823864F-A9E1-4240-B461-43BCF7B0173E}">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9506266D-B99B-4308-A761-4E3FB05BC732}">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54437B53-33AB-4C99-8903-438260627814}">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71B333A5-28F6-4B40-9484-CD1FCC21430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EF43C5D2-3F24-449E-9CF3-48CFF4E084D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A5854CD2-110B-4C85-A860-07D36150F20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CA80E774-F306-44B8-BC2B-66AB797792E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35DD821E-0EA1-4CA7-9B92-A183AC940091}">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D3526354-135F-43D2-84C7-74C83995A85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6129C6D8-58FD-4B25-ADE2-538F58D025E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5B21A4EC-C50A-417E-83FD-1F9805C00C4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5A28DD90-3FBC-46E1-8280-EAC5EB50B481}">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14C8BBFA-6E9B-4C6A-B97D-609398CF39BC}">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5AEF818E-B7C5-4D71-9708-21720F94358B}">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71512963-3982-4AE7-8018-A8CBD842C9C7}">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DE11FD8E-FF00-46B6-9980-3F84204FC2A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84CAAC22-1AF0-4A67-B95C-BC17CE696C32}">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E08CEC5A-C1A3-4FDB-9F9C-44B619238E1B}">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F443E587-6C26-4E2C-85B3-64FC544977A8}">
      <text>
        <r>
          <rPr>
            <b/>
            <sz val="9"/>
            <color indexed="81"/>
            <rFont val="Tahoma"/>
            <family val="2"/>
          </rPr>
          <t>Minimum End of Slot to Edge of Material
(Min Edge Dist).</t>
        </r>
        <r>
          <rPr>
            <sz val="9"/>
            <color indexed="81"/>
            <rFont val="Tahoma"/>
            <family val="2"/>
          </rPr>
          <t xml:space="preserve">
</t>
        </r>
      </text>
    </comment>
    <comment ref="BG13" authorId="0" shapeId="0" xr:uid="{52766B90-416F-4534-B273-2B15D0049088}">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CC55AE94-406E-42F3-91BF-E4890D27277C}">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ECEE1FD0-3E8B-4C68-8625-D47B16659B31}">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4F7BEC88-E496-4945-9DF3-BA08D2D2843A}">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10D2D852-86F1-46E3-B640-6697EAB6EB51}">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F4AAD204-3433-48F9-B0EC-90DAB0B9661D}">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74C32FAA-C6D6-4AD1-BB84-576ED852EB92}">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BED32828-32BE-4E5C-ABA2-6561DEBBA2A2}">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9ABA6C4B-DAA9-4A01-8D64-A74D2BED948C}">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2F88AAC7-1928-4BCF-950D-C0735D048213}">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04E81815-6A85-44DD-A531-95C72B1CB4E1}">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F97CC52E-7A48-4FDD-A23B-2B0F95FB9118}">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03B233E9-8982-4C59-8B9D-63204803E583}">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07D95AD2-56C8-4260-B747-F2F02C0CAFA4}">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278EEC49-D1C5-489D-B8DA-A94672DAAA4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E4888BEC-7087-48A2-AE85-45C5903DFB4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DF6CA39A-8136-40CE-AAC7-A775BB5EE412}">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31577BE2-0DDA-46E9-911F-D17B7C459F06}">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7F1F0D84-B08F-4B9C-858E-992383192E65}">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45C6E88A-026C-43B8-81B4-9C691019B27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282FB88-2038-4A90-ABE5-BF71CD72319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A8EE12E1-B32A-4C32-988B-1B4FF0F49C19}">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A9A4973E-8607-472C-A443-9207CF556B68}">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82BF959E-0EFE-4F82-96A9-9F3C3657D58C}">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E6AF8401-5F6C-460F-B1B4-81ACD96FA164}">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A0D44B3F-9B62-44E4-9172-ED33522D354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CAE03B33-9FAD-4B7F-BD78-FF139D9D5ED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FA4EA1D8-2E43-494A-A200-4B219590BA94}">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1B3F523F-A935-496C-91E4-4736308E36A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B67C8F7F-A70A-469E-A081-E686552073AA}">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3ED7F12-91CC-4D81-A72C-D6FE937581AE}">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9B5FC6A9-A78A-4591-8EAB-046B302E09CF}">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C1B82EF-17C9-4E38-A587-1F7268658CBF}">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CEB58C1A-7C5F-4348-B6B8-531AA5745EE6}">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110E4E56-30F5-4957-B37B-91F0F5AC00B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54CE4C92-C3B8-4976-A448-55CAE5BD89DF}">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E4C86975-3EDA-4B24-9F44-94FF4AEAEE7F}">
      <text>
        <r>
          <rPr>
            <b/>
            <sz val="8"/>
            <color indexed="81"/>
            <rFont val="Tahoma"/>
            <family val="2"/>
          </rPr>
          <t>sellersrl:</t>
        </r>
        <r>
          <rPr>
            <sz val="8"/>
            <color indexed="81"/>
            <rFont val="Tahoma"/>
            <family val="2"/>
          </rPr>
          <t xml:space="preserve">
Materials that can't be used for bolted bridging.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<sst xmlns="http://schemas.openxmlformats.org/spreadsheetml/2006/main" count="13436" uniqueCount="1848">
  <si>
    <t>JOIST BILL OF MATERIALS</t>
  </si>
  <si>
    <t>JOB NAME:</t>
  </si>
  <si>
    <t>JOB #:</t>
  </si>
  <si>
    <t>LOCATION:</t>
  </si>
  <si>
    <t>NET UPLIFT =</t>
  </si>
  <si>
    <t>SSJ:</t>
  </si>
  <si>
    <t>LSJ:</t>
  </si>
  <si>
    <t>JS:</t>
  </si>
  <si>
    <t>HDR:</t>
  </si>
  <si>
    <t>TCXL</t>
  </si>
  <si>
    <t>TCXR</t>
  </si>
  <si>
    <t>SEAT DEPTH</t>
  </si>
  <si>
    <t>BCXL</t>
  </si>
  <si>
    <t>BCXR</t>
  </si>
  <si>
    <t>PUNCHED SEATS</t>
  </si>
  <si>
    <t>NOTES</t>
  </si>
  <si>
    <t>LENGTH</t>
  </si>
  <si>
    <t>TYPE</t>
  </si>
  <si>
    <t>BDL</t>
  </si>
  <si>
    <t>BDR</t>
  </si>
  <si>
    <t>DATE:</t>
  </si>
  <si>
    <t>SHEET:</t>
  </si>
  <si>
    <t>DETAILER:</t>
  </si>
  <si>
    <t>CHECKER:</t>
  </si>
  <si>
    <t>JOIST SIZE</t>
  </si>
  <si>
    <t>OVERALL LENGTH</t>
  </si>
  <si>
    <t>PAINT:</t>
  </si>
  <si>
    <t>GA.</t>
  </si>
  <si>
    <t>QTY.</t>
  </si>
  <si>
    <t>JOIST AND GIRDER SPECIAL NOTES</t>
  </si>
  <si>
    <t>NOTE #</t>
  </si>
  <si>
    <t>GIRDER SIZE</t>
  </si>
  <si>
    <t>A</t>
  </si>
  <si>
    <t>NO.</t>
  </si>
  <si>
    <t>N</t>
  </si>
  <si>
    <t>B</t>
  </si>
  <si>
    <t>BRIDGING CLIPS</t>
  </si>
  <si>
    <t>GIRDER BILL OF MATERIALS  (PART 1)</t>
  </si>
  <si>
    <t>GIRDER BILL OF MATERIALS  (PART 2)</t>
  </si>
  <si>
    <t>BRIDGING BILL OF MATERIALS</t>
  </si>
  <si>
    <t>MARK</t>
  </si>
  <si>
    <t>CAUTIONARY NOTES</t>
  </si>
  <si>
    <t>GENERAL PROJECT INFORMATION</t>
  </si>
  <si>
    <t>NMBS INTERNAL USE ONLY</t>
  </si>
  <si>
    <t>DIR.</t>
  </si>
  <si>
    <t>CAT.</t>
  </si>
  <si>
    <t>LOAD #</t>
  </si>
  <si>
    <t>VALUE</t>
  </si>
  <si>
    <t>DISTANCE</t>
  </si>
  <si>
    <t>LOAD 1</t>
  </si>
  <si>
    <t>LOAD 2</t>
  </si>
  <si>
    <t>REF.</t>
  </si>
  <si>
    <t>REMARKS</t>
  </si>
  <si>
    <t>SEQUENCE SUMMARY</t>
  </si>
  <si>
    <t>SEQ. #</t>
  </si>
  <si>
    <t>SEQUENCE KEY</t>
  </si>
  <si>
    <t xml:space="preserve">SEQUENCE </t>
  </si>
  <si>
    <t>[SPECIAL]   (LOAD)</t>
  </si>
  <si>
    <t>LOC.</t>
  </si>
  <si>
    <t>BOLT N,F,B</t>
  </si>
  <si>
    <t>JST. GA.</t>
  </si>
  <si>
    <t>GIRDERS TOTAL:</t>
  </si>
  <si>
    <t>NFB</t>
  </si>
  <si>
    <t>LOAD (KIP)</t>
  </si>
  <si>
    <t>&gt;</t>
  </si>
  <si>
    <t>&lt;</t>
  </si>
  <si>
    <t>Job Name :</t>
  </si>
  <si>
    <t>Job Location :</t>
  </si>
  <si>
    <t>Job # :</t>
  </si>
  <si>
    <t>Detailer :</t>
  </si>
  <si>
    <t>Checker :</t>
  </si>
  <si>
    <t>Date :</t>
  </si>
  <si>
    <t>Total "of" BOM :</t>
  </si>
  <si>
    <t>K</t>
  </si>
  <si>
    <t>LH</t>
  </si>
  <si>
    <t>JS</t>
  </si>
  <si>
    <t>HDR</t>
  </si>
  <si>
    <t>LOAD INFORMATION</t>
  </si>
  <si>
    <t>POS.</t>
  </si>
  <si>
    <t>JOIST "A"</t>
  </si>
  <si>
    <t>HL</t>
  </si>
  <si>
    <t>HR</t>
  </si>
  <si>
    <t>ADDITIONAL JOIST LOCATIONS  (FROM O.A.L. AT LEFT END)</t>
  </si>
  <si>
    <t>Address :</t>
  </si>
  <si>
    <t>Telephone :</t>
  </si>
  <si>
    <t>Sales Fax :</t>
  </si>
  <si>
    <t>Eng. Fax :</t>
  </si>
  <si>
    <t>Traffic Fax :</t>
  </si>
  <si>
    <t>T.C. WIDTH</t>
  </si>
  <si>
    <t>6115 County Road 42 | Butler, IN  46721 | www.newmill.com</t>
  </si>
  <si>
    <t>Total</t>
  </si>
  <si>
    <t>260-868-6000</t>
  </si>
  <si>
    <t>260-868-6002</t>
  </si>
  <si>
    <t>260-868-6003</t>
  </si>
  <si>
    <t>260-868-6004</t>
  </si>
  <si>
    <t>TELEPHONE:</t>
  </si>
  <si>
    <t>SALES FAX:</t>
  </si>
  <si>
    <t>TRAFFIC FAX:</t>
  </si>
  <si>
    <t>ENGR. FAX:</t>
  </si>
  <si>
    <t>386-466-1300</t>
  </si>
  <si>
    <t>386-466-1302</t>
  </si>
  <si>
    <t>386-466-1303</t>
  </si>
  <si>
    <t>386-466-1304</t>
  </si>
  <si>
    <t>540-389-0211</t>
  </si>
  <si>
    <t>800-543-9461</t>
  </si>
  <si>
    <t>540-387-2319</t>
  </si>
  <si>
    <t>540-375-4553</t>
  </si>
  <si>
    <t>SPACING
"C"</t>
  </si>
  <si>
    <t>ELEV.
"D"</t>
  </si>
  <si>
    <t>SLOPE
1</t>
  </si>
  <si>
    <t>SLOPE
2</t>
  </si>
  <si>
    <t>SEAT SLOPE</t>
  </si>
  <si>
    <t>L</t>
  </si>
  <si>
    <t>R</t>
  </si>
  <si>
    <t>CJ</t>
  </si>
  <si>
    <t>CJ:</t>
  </si>
  <si>
    <t/>
  </si>
  <si>
    <t>Master</t>
  </si>
  <si>
    <t>M</t>
  </si>
  <si>
    <t>View of BOM to be displayed:</t>
  </si>
  <si>
    <t>COLOR TAG</t>
  </si>
  <si>
    <t>WHT</t>
  </si>
  <si>
    <t>BRN</t>
  </si>
  <si>
    <t>ORG</t>
  </si>
  <si>
    <t>BLU</t>
  </si>
  <si>
    <t>GRN</t>
  </si>
  <si>
    <t>YLW</t>
  </si>
  <si>
    <t>PRP</t>
  </si>
  <si>
    <t>RED</t>
  </si>
  <si>
    <t>BLK</t>
  </si>
  <si>
    <t>QTY</t>
  </si>
  <si>
    <t># Views:</t>
  </si>
  <si>
    <t># Unreleased:</t>
  </si>
  <si>
    <t>White</t>
  </si>
  <si>
    <t>Brown</t>
  </si>
  <si>
    <t>Orange</t>
  </si>
  <si>
    <t>Blue</t>
  </si>
  <si>
    <t>Green</t>
  </si>
  <si>
    <t>Yellow</t>
  </si>
  <si>
    <t>Purple</t>
  </si>
  <si>
    <t>Red</t>
  </si>
  <si>
    <t>Black</t>
  </si>
  <si>
    <t>WL</t>
  </si>
  <si>
    <t>BE</t>
  </si>
  <si>
    <t>NU</t>
  </si>
  <si>
    <t>TC</t>
  </si>
  <si>
    <t>C3</t>
  </si>
  <si>
    <t>TL</t>
  </si>
  <si>
    <t>C</t>
  </si>
  <si>
    <t>40LH09</t>
  </si>
  <si>
    <t>28K12</t>
  </si>
  <si>
    <t>U</t>
  </si>
  <si>
    <t>GU</t>
  </si>
  <si>
    <t>CB</t>
  </si>
  <si>
    <t>CP</t>
  </si>
  <si>
    <t>CA</t>
  </si>
  <si>
    <t>CZ</t>
  </si>
  <si>
    <t>AX</t>
  </si>
  <si>
    <t>S</t>
  </si>
  <si>
    <t>BC</t>
  </si>
  <si>
    <t>XL</t>
  </si>
  <si>
    <t>XR</t>
  </si>
  <si>
    <t>DL</t>
  </si>
  <si>
    <t>LL</t>
  </si>
  <si>
    <t>SL</t>
  </si>
  <si>
    <t>CL</t>
  </si>
  <si>
    <t>IP</t>
  </si>
  <si>
    <t>SM</t>
  </si>
  <si>
    <t>LE</t>
  </si>
  <si>
    <t>RE</t>
  </si>
  <si>
    <t>Rel?</t>
  </si>
  <si>
    <t>Depth</t>
  </si>
  <si>
    <t>Series</t>
  </si>
  <si>
    <t>Section</t>
  </si>
  <si>
    <t>HL Ok?</t>
  </si>
  <si>
    <t>12K3</t>
  </si>
  <si>
    <t>BL</t>
  </si>
  <si>
    <t>BR</t>
  </si>
  <si>
    <t>HR Ok?</t>
  </si>
  <si>
    <t>Des. Ok?</t>
  </si>
  <si>
    <t>2.5K1</t>
  </si>
  <si>
    <t>2.5K2</t>
  </si>
  <si>
    <t>2.5K3</t>
  </si>
  <si>
    <t>2.5JS1</t>
  </si>
  <si>
    <t>2.5JS2</t>
  </si>
  <si>
    <t>2.5JS3</t>
  </si>
  <si>
    <t>2.5JS4</t>
  </si>
  <si>
    <t>2.5JS5</t>
  </si>
  <si>
    <t>2.5JS6</t>
  </si>
  <si>
    <t>2.5JS7</t>
  </si>
  <si>
    <t>2.5JS8</t>
  </si>
  <si>
    <t>8K1</t>
  </si>
  <si>
    <t>10K1</t>
  </si>
  <si>
    <t>12K1</t>
  </si>
  <si>
    <t>12K5</t>
  </si>
  <si>
    <t>14K1</t>
  </si>
  <si>
    <t>14K3</t>
  </si>
  <si>
    <t>14K4</t>
  </si>
  <si>
    <t>14K6</t>
  </si>
  <si>
    <t>16K2</t>
  </si>
  <si>
    <t>16K3</t>
  </si>
  <si>
    <t>16K4</t>
  </si>
  <si>
    <t>16K5</t>
  </si>
  <si>
    <t>16K6</t>
  </si>
  <si>
    <t>16K7</t>
  </si>
  <si>
    <t>16K9</t>
  </si>
  <si>
    <t>18K3</t>
  </si>
  <si>
    <t>18K4</t>
  </si>
  <si>
    <t>18K5</t>
  </si>
  <si>
    <t>18K6</t>
  </si>
  <si>
    <t>18K7</t>
  </si>
  <si>
    <t>18K9</t>
  </si>
  <si>
    <t>18K10</t>
  </si>
  <si>
    <t>20K3</t>
  </si>
  <si>
    <t>20K4</t>
  </si>
  <si>
    <t>20K5</t>
  </si>
  <si>
    <t>20K6</t>
  </si>
  <si>
    <t>20K7</t>
  </si>
  <si>
    <t>20K9</t>
  </si>
  <si>
    <t>20K10</t>
  </si>
  <si>
    <t>22K4</t>
  </si>
  <si>
    <t>22K5</t>
  </si>
  <si>
    <t>22K6</t>
  </si>
  <si>
    <t>22K7</t>
  </si>
  <si>
    <t>22K9</t>
  </si>
  <si>
    <t>22K10</t>
  </si>
  <si>
    <t>22K11</t>
  </si>
  <si>
    <t>24K4</t>
  </si>
  <si>
    <t>24K5</t>
  </si>
  <si>
    <t>24K6</t>
  </si>
  <si>
    <t>24K7</t>
  </si>
  <si>
    <t>24K8</t>
  </si>
  <si>
    <t>24K9</t>
  </si>
  <si>
    <t>24K10</t>
  </si>
  <si>
    <t>24K12</t>
  </si>
  <si>
    <t>26K5</t>
  </si>
  <si>
    <t>26K6</t>
  </si>
  <si>
    <t>26K7</t>
  </si>
  <si>
    <t>26K8</t>
  </si>
  <si>
    <t>26K9</t>
  </si>
  <si>
    <t>26K10</t>
  </si>
  <si>
    <t>26K12</t>
  </si>
  <si>
    <t>28K6</t>
  </si>
  <si>
    <t>28K7</t>
  </si>
  <si>
    <t>28K8</t>
  </si>
  <si>
    <t>28K9</t>
  </si>
  <si>
    <t>28K10</t>
  </si>
  <si>
    <t>30K7</t>
  </si>
  <si>
    <t>30K8</t>
  </si>
  <si>
    <t>30K9</t>
  </si>
  <si>
    <t>30K10</t>
  </si>
  <si>
    <t>30K11</t>
  </si>
  <si>
    <t>30K12</t>
  </si>
  <si>
    <t>18LH02</t>
  </si>
  <si>
    <t>18LH03</t>
  </si>
  <si>
    <t>18LH04</t>
  </si>
  <si>
    <t>18LH05</t>
  </si>
  <si>
    <t>18LH06</t>
  </si>
  <si>
    <t>18LH07</t>
  </si>
  <si>
    <t>18LH08</t>
  </si>
  <si>
    <t>18LH09</t>
  </si>
  <si>
    <t>20LH02</t>
  </si>
  <si>
    <t>20LH03</t>
  </si>
  <si>
    <t>20LH04</t>
  </si>
  <si>
    <t>20LH05</t>
  </si>
  <si>
    <t>20LH06</t>
  </si>
  <si>
    <t>20LH07</t>
  </si>
  <si>
    <t>20LH08</t>
  </si>
  <si>
    <t>20LH09</t>
  </si>
  <si>
    <t>20LH10</t>
  </si>
  <si>
    <t>24LH03</t>
  </si>
  <si>
    <t>24LH04</t>
  </si>
  <si>
    <t>24LH05</t>
  </si>
  <si>
    <t>24LH06</t>
  </si>
  <si>
    <t>24LH07</t>
  </si>
  <si>
    <t>24LH08</t>
  </si>
  <si>
    <t>24LH09</t>
  </si>
  <si>
    <t>24LH10</t>
  </si>
  <si>
    <t>24LH11</t>
  </si>
  <si>
    <t>28LH05</t>
  </si>
  <si>
    <t>28LH06</t>
  </si>
  <si>
    <t>28LH07</t>
  </si>
  <si>
    <t>28LH08</t>
  </si>
  <si>
    <t>28LH09</t>
  </si>
  <si>
    <t>28LH10</t>
  </si>
  <si>
    <t>28LH11</t>
  </si>
  <si>
    <t>28LH12</t>
  </si>
  <si>
    <t>28LH13</t>
  </si>
  <si>
    <t>32LH06</t>
  </si>
  <si>
    <t>32LH07</t>
  </si>
  <si>
    <t>32LH08</t>
  </si>
  <si>
    <t>32LH09</t>
  </si>
  <si>
    <t>32LH10</t>
  </si>
  <si>
    <t>32LH11</t>
  </si>
  <si>
    <t>32LH12</t>
  </si>
  <si>
    <t>32LH13</t>
  </si>
  <si>
    <t>32LH14</t>
  </si>
  <si>
    <t>32LH15</t>
  </si>
  <si>
    <t>36LH07</t>
  </si>
  <si>
    <t>36LH08</t>
  </si>
  <si>
    <t>36LH09</t>
  </si>
  <si>
    <t>36LH10</t>
  </si>
  <si>
    <t>36LH11</t>
  </si>
  <si>
    <t>36LH12</t>
  </si>
  <si>
    <t>36LH13</t>
  </si>
  <si>
    <t>36LH14</t>
  </si>
  <si>
    <t>36LH15</t>
  </si>
  <si>
    <t>40LH08</t>
  </si>
  <si>
    <t>40LH10</t>
  </si>
  <si>
    <t>40LH11</t>
  </si>
  <si>
    <t>40LH12</t>
  </si>
  <si>
    <t>40LH13</t>
  </si>
  <si>
    <t>40LH14</t>
  </si>
  <si>
    <t>40LH15</t>
  </si>
  <si>
    <t>40LH16</t>
  </si>
  <si>
    <t>44LH09</t>
  </si>
  <si>
    <t>44LH10</t>
  </si>
  <si>
    <t>44LH11</t>
  </si>
  <si>
    <t>44LH12</t>
  </si>
  <si>
    <t>44LH13</t>
  </si>
  <si>
    <t>44LH14</t>
  </si>
  <si>
    <t>44LH15</t>
  </si>
  <si>
    <t>44LH16</t>
  </si>
  <si>
    <t>44LH17</t>
  </si>
  <si>
    <t>48LH10</t>
  </si>
  <si>
    <t>48LH11</t>
  </si>
  <si>
    <t>48LH12</t>
  </si>
  <si>
    <t>48LH13</t>
  </si>
  <si>
    <t>48LH14</t>
  </si>
  <si>
    <t>48LH15</t>
  </si>
  <si>
    <t>48LH16</t>
  </si>
  <si>
    <t>48LH17</t>
  </si>
  <si>
    <t>52DLH10</t>
  </si>
  <si>
    <t>52DLH11</t>
  </si>
  <si>
    <t>52DLH12</t>
  </si>
  <si>
    <t>52DLH13</t>
  </si>
  <si>
    <t>52DLH14</t>
  </si>
  <si>
    <t>52DLH15</t>
  </si>
  <si>
    <t>52DLH16</t>
  </si>
  <si>
    <t>52DLH17</t>
  </si>
  <si>
    <t>56DLH11</t>
  </si>
  <si>
    <t>56DLH12</t>
  </si>
  <si>
    <t>56DLH13</t>
  </si>
  <si>
    <t>56DLH14</t>
  </si>
  <si>
    <t>56DLH15</t>
  </si>
  <si>
    <t>56DLH16</t>
  </si>
  <si>
    <t>56DLH17</t>
  </si>
  <si>
    <t>60DLH12</t>
  </si>
  <si>
    <t>60DLH13</t>
  </si>
  <si>
    <t>60DLH14</t>
  </si>
  <si>
    <t>60DLH15</t>
  </si>
  <si>
    <t>60DLH16</t>
  </si>
  <si>
    <t>60DLH17</t>
  </si>
  <si>
    <t>60DLH18</t>
  </si>
  <si>
    <t>64DLH12</t>
  </si>
  <si>
    <t>64DLH13</t>
  </si>
  <si>
    <t>64DLH14</t>
  </si>
  <si>
    <t>64DLH15</t>
  </si>
  <si>
    <t>64DLH16</t>
  </si>
  <si>
    <t>64DLH17</t>
  </si>
  <si>
    <t>64DLH18</t>
  </si>
  <si>
    <t>68DLH13</t>
  </si>
  <si>
    <t>68DLH14</t>
  </si>
  <si>
    <t>68DLH15</t>
  </si>
  <si>
    <t>68DLH16</t>
  </si>
  <si>
    <t>68DLH17</t>
  </si>
  <si>
    <t>68DLH18</t>
  </si>
  <si>
    <t>68DLH19</t>
  </si>
  <si>
    <t>72DLH14</t>
  </si>
  <si>
    <t>72DLH15</t>
  </si>
  <si>
    <t>72DLH16</t>
  </si>
  <si>
    <t>72DLH17</t>
  </si>
  <si>
    <t>72DLH18</t>
  </si>
  <si>
    <t>72DLH19</t>
  </si>
  <si>
    <t>10KCS1</t>
  </si>
  <si>
    <t>10KCS2</t>
  </si>
  <si>
    <t>10KCS3</t>
  </si>
  <si>
    <t>12KCS1</t>
  </si>
  <si>
    <t>12KCS2</t>
  </si>
  <si>
    <t>12KCS3</t>
  </si>
  <si>
    <t>14KCS1</t>
  </si>
  <si>
    <t>14KCS2</t>
  </si>
  <si>
    <t>14KCS3</t>
  </si>
  <si>
    <t>16KCS2</t>
  </si>
  <si>
    <t>16KCS3</t>
  </si>
  <si>
    <t>16KCS4</t>
  </si>
  <si>
    <t>16KCS5</t>
  </si>
  <si>
    <t>18KCS2</t>
  </si>
  <si>
    <t>18KCS3</t>
  </si>
  <si>
    <t>18KCS4</t>
  </si>
  <si>
    <t>18KCS5</t>
  </si>
  <si>
    <t>20KCS2</t>
  </si>
  <si>
    <t>20KCS3</t>
  </si>
  <si>
    <t>20KCS4</t>
  </si>
  <si>
    <t>20KCS5</t>
  </si>
  <si>
    <t>22KCS2</t>
  </si>
  <si>
    <t>22KCS3</t>
  </si>
  <si>
    <t>22KCS4</t>
  </si>
  <si>
    <t>22KCS5</t>
  </si>
  <si>
    <t>24KCS2</t>
  </si>
  <si>
    <t>24KCS3</t>
  </si>
  <si>
    <t>24KCS4</t>
  </si>
  <si>
    <t>24KCS5</t>
  </si>
  <si>
    <t>26KCS2</t>
  </si>
  <si>
    <t>26KCS3</t>
  </si>
  <si>
    <t>26KCS4</t>
  </si>
  <si>
    <t>26KCS5</t>
  </si>
  <si>
    <t>28KCS2</t>
  </si>
  <si>
    <t>28KCS3</t>
  </si>
  <si>
    <t>28KCS4</t>
  </si>
  <si>
    <t>28KCS5</t>
  </si>
  <si>
    <t>30KCS3</t>
  </si>
  <si>
    <t>30KCS4</t>
  </si>
  <si>
    <t>30KCS5</t>
  </si>
  <si>
    <t>KCS</t>
  </si>
  <si>
    <t>DLH</t>
  </si>
  <si>
    <t>SLH</t>
  </si>
  <si>
    <t># of N's</t>
  </si>
  <si>
    <t>Load</t>
  </si>
  <si>
    <t>Uplift</t>
  </si>
  <si>
    <t>If This is a Master Summary sheet, These quantities are the total quanities released.
If this is a Partial Release Summary, these quantities are the maximum that can be released.</t>
  </si>
  <si>
    <t>Date:</t>
  </si>
  <si>
    <t>Discrepancy Report based on</t>
  </si>
  <si>
    <t>Contract Dwg Date:</t>
  </si>
  <si>
    <t>Approval</t>
  </si>
  <si>
    <t>Specs:</t>
  </si>
  <si>
    <t>Drawings and BOMs</t>
  </si>
  <si>
    <t>Addenda:</t>
  </si>
  <si>
    <t>DTLR:</t>
  </si>
  <si>
    <t>CHKR:</t>
  </si>
  <si>
    <t>Field Use</t>
  </si>
  <si>
    <t>No</t>
  </si>
  <si>
    <t>Yes</t>
  </si>
  <si>
    <t>Specs?</t>
  </si>
  <si>
    <t>Sequence List</t>
  </si>
  <si>
    <t>Revised Field Use</t>
  </si>
  <si>
    <t>Joist/Girder Discrepancy Report</t>
  </si>
  <si>
    <t>LH/DLH</t>
  </si>
  <si>
    <t>G</t>
  </si>
  <si>
    <t>BRDG</t>
  </si>
  <si>
    <t>Dtl'd</t>
  </si>
  <si>
    <t>Left to Rel.</t>
  </si>
  <si>
    <t>Sequence Breakdown of Total Quantities and Quantities Left to Release</t>
  </si>
  <si>
    <t>Joist/Girder Discrepancy Report - Page #2</t>
  </si>
  <si>
    <t>Total Quantity Detailed</t>
  </si>
  <si>
    <t>Total Quantity  Released</t>
  </si>
  <si>
    <t>Sold</t>
  </si>
  <si>
    <t>Over/Under</t>
  </si>
  <si>
    <t>Total Pcs Sold</t>
  </si>
  <si>
    <t>Joist/Girder Discrepancy Report - Page #3</t>
  </si>
  <si>
    <t>Joist Type (for discrepancy reporting)</t>
  </si>
  <si>
    <t>Series (broken down due to limitations of parenthesis nesting within Excel)</t>
  </si>
  <si>
    <t>Release Name</t>
  </si>
  <si>
    <t>Rel. for Fab.</t>
  </si>
  <si>
    <t>Partial Release</t>
  </si>
  <si>
    <t>Mem Type</t>
  </si>
  <si>
    <t>Release Error?</t>
  </si>
  <si>
    <t>Last Qty of K</t>
  </si>
  <si>
    <t>Last Qty of LH</t>
  </si>
  <si>
    <t>Last Qty of G</t>
  </si>
  <si>
    <t>Last Qty of JS</t>
  </si>
  <si>
    <t>JDS in Control:</t>
  </si>
  <si>
    <t>Length</t>
  </si>
  <si>
    <t>(Min)</t>
  </si>
  <si>
    <t>gage</t>
  </si>
  <si>
    <t>Slot W</t>
  </si>
  <si>
    <t>Slot L</t>
  </si>
  <si>
    <t>TCX Calc Code</t>
  </si>
  <si>
    <t>Min. Seat Slope</t>
  </si>
  <si>
    <t>Left (Tag) End Information</t>
  </si>
  <si>
    <t>Right End Information</t>
  </si>
  <si>
    <t>Tag (Left) End Information</t>
  </si>
  <si>
    <t>Min. Seat Depth @ High End</t>
  </si>
  <si>
    <t>TE Seat Slope (Rad)</t>
  </si>
  <si>
    <t>TE Seat Kick</t>
  </si>
  <si>
    <t>RE Seat Slope (Rad)</t>
  </si>
  <si>
    <t>RE Seat Kick</t>
  </si>
  <si>
    <t>Length Calc for min slopes</t>
  </si>
  <si>
    <t>Girder Size</t>
  </si>
  <si>
    <t>Girder "Bay Length"</t>
  </si>
  <si>
    <t>Notes</t>
  </si>
  <si>
    <t>Girder TC Width</t>
  </si>
  <si>
    <t>Min. BDL @ Bay Length</t>
  </si>
  <si>
    <t>Min. BDR @ Bay Length</t>
  </si>
  <si>
    <t># of Lines or spacing</t>
  </si>
  <si>
    <t>PP Spacing</t>
  </si>
  <si>
    <t>Sum of Spa on Slope</t>
  </si>
  <si>
    <t>Calc'd Qty of "N"</t>
  </si>
  <si>
    <t>Skew Ang.</t>
  </si>
  <si>
    <t>SPA</t>
  </si>
  <si>
    <t>"X" TO WRAP PP DIM</t>
  </si>
  <si>
    <t>Joist Slope (radians)</t>
  </si>
  <si>
    <t>a</t>
  </si>
  <si>
    <t>n</t>
  </si>
  <si>
    <t>spa</t>
  </si>
  <si>
    <t>b</t>
  </si>
  <si>
    <t>Bay Remaining</t>
  </si>
  <si>
    <t>Bay Length</t>
  </si>
  <si>
    <t>Sect Type</t>
  </si>
  <si>
    <t>O.L. +/-</t>
  </si>
  <si>
    <t>TCXL Type</t>
  </si>
  <si>
    <t>BD</t>
  </si>
  <si>
    <t>Hole Loc.</t>
  </si>
  <si>
    <t>Edge/ Cap Pl</t>
  </si>
  <si>
    <t>Bearing Slope</t>
  </si>
  <si>
    <t>TCXR Type</t>
  </si>
  <si>
    <t>OAL</t>
  </si>
  <si>
    <t>BDL @ Base Length</t>
  </si>
  <si>
    <t>BDR @ Base Length</t>
  </si>
  <si>
    <t>L. Brg Width</t>
  </si>
  <si>
    <t>L. Clear Brg</t>
  </si>
  <si>
    <t>R. Brg Width</t>
  </si>
  <si>
    <t>R. Clear Brg</t>
  </si>
  <si>
    <t>plan TCXL</t>
  </si>
  <si>
    <t>sloping TCXL</t>
  </si>
  <si>
    <t>plan TCXR</t>
  </si>
  <si>
    <t>sloping TCXR</t>
  </si>
  <si>
    <t>Base</t>
  </si>
  <si>
    <t>TCA</t>
  </si>
  <si>
    <t>BCA</t>
  </si>
  <si>
    <t>TE</t>
  </si>
  <si>
    <t>min</t>
  </si>
  <si>
    <t>max</t>
  </si>
  <si>
    <t>Gap</t>
  </si>
  <si>
    <t>Bridging Calculations</t>
  </si>
  <si>
    <t>TE Flg Ga Min</t>
  </si>
  <si>
    <t>TE Flg Ga Max</t>
  </si>
  <si>
    <t>Avg. Flange Gage @ TE</t>
  </si>
  <si>
    <t>RE Flg Ga Min</t>
  </si>
  <si>
    <t>RE Flg Ga Max</t>
  </si>
  <si>
    <t>Avg. Flange Gage @ RE</t>
  </si>
  <si>
    <t>TE Brg Slope (Rad)</t>
  </si>
  <si>
    <t>TE Seat Slope (in/ft)</t>
  </si>
  <si>
    <t>RE Brg Slope (Rad)</t>
  </si>
  <si>
    <t>RE Seat Slope (in/ft)</t>
  </si>
  <si>
    <t>Total Rows Req'd</t>
  </si>
  <si>
    <t>Rows of EB</t>
  </si>
  <si>
    <t>Max. EB Span</t>
  </si>
  <si>
    <t>EB Reqd</t>
  </si>
  <si>
    <t>Joist Mark</t>
  </si>
  <si>
    <t>Joist Size</t>
  </si>
  <si>
    <t>Bolt "X"</t>
  </si>
  <si>
    <t>EB Span</t>
  </si>
  <si>
    <t>L. Skew Rad</t>
  </si>
  <si>
    <t>R. Skew Rad</t>
  </si>
  <si>
    <t>HL norm to support</t>
  </si>
  <si>
    <t>Calc. HL</t>
  </si>
  <si>
    <t>Logical HL</t>
  </si>
  <si>
    <t>BOM HL</t>
  </si>
  <si>
    <t>Calc. HR</t>
  </si>
  <si>
    <t>Logical HR</t>
  </si>
  <si>
    <t>BOM HR</t>
  </si>
  <si>
    <t>T.C. Slope (X"/Ft.)</t>
  </si>
  <si>
    <t>Special</t>
  </si>
  <si>
    <t>Min</t>
  </si>
  <si>
    <t>Max</t>
  </si>
  <si>
    <t>Sect #</t>
  </si>
  <si>
    <t>Support Type</t>
  </si>
  <si>
    <t>End of Joist</t>
  </si>
  <si>
    <t>TCX Type</t>
  </si>
  <si>
    <t>BCX</t>
  </si>
  <si>
    <t>Support Type "C" - Columns</t>
  </si>
  <si>
    <t>Support Type "B" - Beams</t>
  </si>
  <si>
    <t>Support Type "G" - Girders</t>
  </si>
  <si>
    <t>Support Type "M" - Masonry</t>
  </si>
  <si>
    <t>Support Gages</t>
  </si>
  <si>
    <t>Girder</t>
  </si>
  <si>
    <t>Beam</t>
  </si>
  <si>
    <t>HR norm to support</t>
  </si>
  <si>
    <t>Joist Standards</t>
  </si>
  <si>
    <t>Joist Type</t>
  </si>
  <si>
    <t>Min Brg</t>
  </si>
  <si>
    <t>Seat Length</t>
  </si>
  <si>
    <t>Slot Length</t>
  </si>
  <si>
    <t>Slot Width</t>
  </si>
  <si>
    <t>K Series</t>
  </si>
  <si>
    <t>/Foot.</t>
  </si>
  <si>
    <t>Seat Depth</t>
  </si>
  <si>
    <t>BCX Type</t>
  </si>
  <si>
    <t>Hole
Ga</t>
  </si>
  <si>
    <t>Seat
Gage</t>
  </si>
  <si>
    <t>BOM Hole Gage</t>
  </si>
  <si>
    <t>Std.Hole Gage</t>
  </si>
  <si>
    <t>BOM TE Seat Slope (in/ft)</t>
  </si>
  <si>
    <t>BOM RE Seat Slope (in/ft)</t>
  </si>
  <si>
    <t>Left End</t>
  </si>
  <si>
    <t>Right End</t>
  </si>
  <si>
    <t>Unequal Gage</t>
  </si>
  <si>
    <t>Seat Slot Warnings</t>
  </si>
  <si>
    <t>Severe Skew</t>
  </si>
  <si>
    <t>Brg L</t>
  </si>
  <si>
    <t>Brg R</t>
  </si>
  <si>
    <t>User Input Area</t>
  </si>
  <si>
    <t>Hole Location</t>
  </si>
  <si>
    <t>Clear Bearing</t>
  </si>
  <si>
    <t>Beam Width
Min. / Max.</t>
  </si>
  <si>
    <t>Flange Gage
Min. / Max.</t>
  </si>
  <si>
    <t>GirderMark</t>
  </si>
  <si>
    <t>Location</t>
  </si>
  <si>
    <t>Bolt
N/F/B</t>
  </si>
  <si>
    <t>Load
(Kip)</t>
  </si>
  <si>
    <t>OSHA
Holes
N/F/B</t>
  </si>
  <si>
    <t>Girder
TC GA</t>
  </si>
  <si>
    <t>TC
Hole
X/16"</t>
  </si>
  <si>
    <t>Joist
Ga</t>
  </si>
  <si>
    <t>TC End Hole</t>
  </si>
  <si>
    <t>Left</t>
  </si>
  <si>
    <t>Right</t>
  </si>
  <si>
    <t>In/"#xx"</t>
  </si>
  <si>
    <t>Load
(Kips)</t>
  </si>
  <si>
    <t>Additional Joist Locations
All Locations from Left Reference ("Bay") Point (CL Column/Beam or Face of CMU)</t>
  </si>
  <si>
    <t>Section
Number</t>
  </si>
  <si>
    <t>Brg
Slope</t>
  </si>
  <si>
    <t>Girder
Mark</t>
  </si>
  <si>
    <t>Left End Information</t>
  </si>
  <si>
    <t>Short Bearing
Warning</t>
  </si>
  <si>
    <t>CALCULATED P.P. PLAN SPACINGS
(referenced from Bay)</t>
  </si>
  <si>
    <t>Calculated spacing along slope
Sum of Spacing = Base Length</t>
  </si>
  <si>
    <t>Calc Girder TC Width</t>
  </si>
  <si>
    <t>Calc. KB Spacing</t>
  </si>
  <si>
    <t>Base Length This Mark</t>
  </si>
  <si>
    <t>Lookup JDS Data Area - looks up mark number from colum BB in the tblJoistData tab and displays JDS info so "User Input" can compare information that can be changed by the detailer with the original JDS data</t>
  </si>
  <si>
    <t>Lookup JDS Data Area - looks up mark number from colum CC in the tblGirderData tab and displays JDS info so "User Input" can compare information that can be changed by the detailer with the original JDS data</t>
  </si>
  <si>
    <t>TC
Left</t>
  </si>
  <si>
    <t>TC
Right</t>
  </si>
  <si>
    <t>+/- to calc OL</t>
  </si>
  <si>
    <t>Location
#1</t>
  </si>
  <si>
    <t>Location
#2</t>
  </si>
  <si>
    <t>Location
#3</t>
  </si>
  <si>
    <t>Location
#4</t>
  </si>
  <si>
    <t>2nd page controls</t>
  </si>
  <si>
    <t>0 if clear</t>
  </si>
  <si>
    <t>Mark</t>
  </si>
  <si>
    <t>Ft/"P"</t>
  </si>
  <si>
    <t>SP Seat Gage</t>
  </si>
  <si>
    <t>SP BCX Type</t>
  </si>
  <si>
    <t>TC Left Override</t>
  </si>
  <si>
    <t>TC Right Override</t>
  </si>
  <si>
    <t>User Input Area - Page 1</t>
  </si>
  <si>
    <t>User Input Area - Page 2</t>
  </si>
  <si>
    <t>Joist Spacing on Girder TC
(Plan Dimensions)</t>
  </si>
  <si>
    <t>Girder TC Holes</t>
  </si>
  <si>
    <t>Rem. BL on Slope</t>
  </si>
  <si>
    <t>Base Length - Rounded Spacing = "B"</t>
  </si>
  <si>
    <t>"A" from BL (no rounding adjustment)</t>
  </si>
  <si>
    <t>"A" from BL w/ Rounding Adjustment (BOM)</t>
  </si>
  <si>
    <t>"B" from BL w/ Rounding Adjustment (BOM)</t>
  </si>
  <si>
    <t>Rounding Error/2</t>
  </si>
  <si>
    <t>Kick</t>
  </si>
  <si>
    <t>OL</t>
  </si>
  <si>
    <t>Minimum Seat Slope =</t>
  </si>
  <si>
    <t>Minimum BC Kick =</t>
  </si>
  <si>
    <t>Minimum OL adjustment =</t>
  </si>
  <si>
    <t>Maximum Seat Gap =</t>
  </si>
  <si>
    <t>Support Width L</t>
  </si>
  <si>
    <t>Support Width R</t>
  </si>
  <si>
    <t>For Calculating Seat Gap on Sloping Joists w/o Sloping Seats</t>
  </si>
  <si>
    <t>Net Uplift=</t>
  </si>
  <si>
    <t>HW</t>
  </si>
  <si>
    <t>KB</t>
  </si>
  <si>
    <t>Type</t>
  </si>
  <si>
    <t>Mem A</t>
  </si>
  <si>
    <t>Dep A</t>
  </si>
  <si>
    <t>MemB</t>
  </si>
  <si>
    <t>DepB</t>
  </si>
  <si>
    <t>HWB</t>
  </si>
  <si>
    <t>HB</t>
  </si>
  <si>
    <t>BC1</t>
  </si>
  <si>
    <t>BC2</t>
  </si>
  <si>
    <t>BC3</t>
  </si>
  <si>
    <t>BC4</t>
  </si>
  <si>
    <t>BC5</t>
  </si>
  <si>
    <t>BC6</t>
  </si>
  <si>
    <t>MATERIAL</t>
  </si>
  <si>
    <t>BRIDGING TYPE</t>
  </si>
  <si>
    <t>MEMBER "B"</t>
  </si>
  <si>
    <t xml:space="preserve">NOTES
</t>
  </si>
  <si>
    <t>Clip</t>
  </si>
  <si>
    <t>Paint=</t>
  </si>
  <si>
    <t>Suggested Brg Slope based on Joist Slope and Support Skew</t>
  </si>
  <si>
    <t>8200 Woolery Way | Fallon, NV 89406 | www.newmill.com</t>
  </si>
  <si>
    <t>BC Mat'l</t>
  </si>
  <si>
    <t>BCXL Kick</t>
  </si>
  <si>
    <t>BCXR Kick</t>
  </si>
  <si>
    <t>BC Size
(Lo Kick)</t>
  </si>
  <si>
    <t>:Release Code</t>
  </si>
  <si>
    <t>:Release Counter (col "W")</t>
  </si>
  <si>
    <t>:Released for Fab?</t>
  </si>
  <si>
    <t>:Can this PR be Deleted?</t>
  </si>
  <si>
    <t>6248 Edgemere Blvd, PO Box 107 | El Paso, TX 79925 | www.newmill.com</t>
  </si>
  <si>
    <t>870-722-4245</t>
  </si>
  <si>
    <t>915-298-5050</t>
  </si>
  <si>
    <t>915-298-4040</t>
  </si>
  <si>
    <t>870-722-4262</t>
  </si>
  <si>
    <t>870-722-4292</t>
  </si>
  <si>
    <t>775-867-2140</t>
  </si>
  <si>
    <t>775-867-2060</t>
  </si>
  <si>
    <t>&lt; &gt;</t>
  </si>
  <si>
    <t>Version:</t>
  </si>
  <si>
    <t>L-OAL</t>
  </si>
  <si>
    <t>L-PTP</t>
  </si>
  <si>
    <t>R-OAL</t>
  </si>
  <si>
    <t>R-PTP</t>
  </si>
  <si>
    <t>L-BL</t>
  </si>
  <si>
    <t>R-BL</t>
  </si>
  <si>
    <t>BA1</t>
  </si>
  <si>
    <t>BA2</t>
  </si>
  <si>
    <t>BA Detailed?</t>
  </si>
  <si>
    <t>Bay Dimension</t>
  </si>
  <si>
    <t>Ft</t>
  </si>
  <si>
    <t>In</t>
  </si>
  <si>
    <t>TC
Slope</t>
  </si>
  <si>
    <t>JDS OAL</t>
  </si>
  <si>
    <t>P2P OAL</t>
  </si>
  <si>
    <t>Difference</t>
  </si>
  <si>
    <t>&lt;AutoCalc</t>
  </si>
  <si>
    <t>PTP&gt;</t>
  </si>
  <si>
    <t>&lt;PTP</t>
  </si>
  <si>
    <t>JDS Data&gt;</t>
  </si>
  <si>
    <t>AutoCalc&gt;</t>
  </si>
  <si>
    <t>vAutoCalc</t>
  </si>
  <si>
    <t>^AutoCalc</t>
  </si>
  <si>
    <t>Valid.&gt;</t>
  </si>
  <si>
    <t>&lt;Valid.</t>
  </si>
  <si>
    <t>&lt;Valid</t>
  </si>
  <si>
    <t>Vaild.&gt;</t>
  </si>
  <si>
    <t>&lt;Vaild.</t>
  </si>
  <si>
    <t>XW</t>
  </si>
  <si>
    <t>XWB</t>
  </si>
  <si>
    <t>XB</t>
  </si>
  <si>
    <t>User Input&gt;</t>
  </si>
  <si>
    <t>&lt;User Input</t>
  </si>
  <si>
    <t>TY</t>
  </si>
  <si>
    <t>Joist TCX Code</t>
  </si>
  <si>
    <t>Girder TCX Code</t>
  </si>
  <si>
    <t>GDR
GA.</t>
  </si>
  <si>
    <t>HOLE
X/16</t>
  </si>
  <si>
    <t>GIRDER T.C. HOLES</t>
  </si>
  <si>
    <t>OSHA
N,F,B</t>
  </si>
  <si>
    <t>L.E.</t>
  </si>
  <si>
    <t>R.E.</t>
  </si>
  <si>
    <t>LOAD CASE</t>
  </si>
  <si>
    <t>LC2</t>
  </si>
  <si>
    <t>LC3</t>
  </si>
  <si>
    <t>LC4</t>
  </si>
  <si>
    <t>LC5</t>
  </si>
  <si>
    <t>&lt;Vlaid.</t>
  </si>
  <si>
    <t>Add-in Location:</t>
  </si>
  <si>
    <t>LL (CLL)</t>
  </si>
  <si>
    <t>CDL</t>
  </si>
  <si>
    <t>80DLH15</t>
  </si>
  <si>
    <t>80DLH16</t>
  </si>
  <si>
    <t>80DLH17</t>
  </si>
  <si>
    <t>80DLH18</t>
  </si>
  <si>
    <t>80DLH19</t>
  </si>
  <si>
    <t>80DLH20</t>
  </si>
  <si>
    <t>88DLH16</t>
  </si>
  <si>
    <t>88DLH17</t>
  </si>
  <si>
    <t>88DLH18</t>
  </si>
  <si>
    <t>88DLH19</t>
  </si>
  <si>
    <t>88DLH20</t>
  </si>
  <si>
    <t>88DLH21</t>
  </si>
  <si>
    <t>96DLH17</t>
  </si>
  <si>
    <t>96DLH18</t>
  </si>
  <si>
    <t>96DLH19</t>
  </si>
  <si>
    <t>96DLH20</t>
  </si>
  <si>
    <t>96DLH21</t>
  </si>
  <si>
    <t>96DLH22</t>
  </si>
  <si>
    <t>104DLH18</t>
  </si>
  <si>
    <t>104DLH19</t>
  </si>
  <si>
    <t>104DLH20</t>
  </si>
  <si>
    <t>104DLH21</t>
  </si>
  <si>
    <t>104DLH22</t>
  </si>
  <si>
    <t>104DLH23</t>
  </si>
  <si>
    <t>112DLH19</t>
  </si>
  <si>
    <t>112DLH20</t>
  </si>
  <si>
    <t>112DLH21</t>
  </si>
  <si>
    <t>112DLH22</t>
  </si>
  <si>
    <t>112DLH23</t>
  </si>
  <si>
    <t>112DLH24</t>
  </si>
  <si>
    <t>120DLH20</t>
  </si>
  <si>
    <t>120DLH21</t>
  </si>
  <si>
    <t>120DLH22</t>
  </si>
  <si>
    <t>120DLH23</t>
  </si>
  <si>
    <t>120DLH24</t>
  </si>
  <si>
    <t>120DLH25</t>
  </si>
  <si>
    <t>Min. Clear Bearing</t>
  </si>
  <si>
    <t>Max BL Offset</t>
  </si>
  <si>
    <t>White?</t>
  </si>
  <si>
    <t>Girder Mark</t>
  </si>
  <si>
    <t>Brg Slope (X"/Ft.)</t>
  </si>
  <si>
    <t>Print PTP:</t>
  </si>
  <si>
    <t>Large Format Printing:</t>
  </si>
  <si>
    <t>Brg Slope
(X"/Ft.)</t>
  </si>
  <si>
    <t>B Excl.</t>
  </si>
  <si>
    <t>A12</t>
  </si>
  <si>
    <t>A14</t>
  </si>
  <si>
    <t>Bolted Types</t>
  </si>
  <si>
    <t>Expanded Margins:</t>
  </si>
  <si>
    <t>Default BL Over-ride</t>
  </si>
  <si>
    <t>New</t>
  </si>
  <si>
    <t>Old</t>
  </si>
  <si>
    <r>
      <t>Comments:</t>
    </r>
    <r>
      <rPr>
        <sz val="8"/>
        <rFont val="Arial"/>
        <family val="2"/>
      </rPr>
      <t xml:space="preserve"> (&lt;alt&gt; + &lt;enter&gt; to start new line.)</t>
    </r>
  </si>
  <si>
    <t>Support Width
Min. / Max.</t>
  </si>
  <si>
    <t>Joist TC Slope (X"/Ft.)</t>
  </si>
  <si>
    <t>B.L. Over-ride</t>
  </si>
  <si>
    <t>Girder TC Slope (X"/Ft.)</t>
  </si>
  <si>
    <t>02</t>
  </si>
  <si>
    <t>2</t>
  </si>
  <si>
    <t>100 Diuguids Lane | Salem, VA 24153 | www.newmill.com</t>
  </si>
  <si>
    <t>A12A</t>
  </si>
  <si>
    <t>A12B</t>
  </si>
  <si>
    <t>A13A</t>
  </si>
  <si>
    <t>A14A</t>
  </si>
  <si>
    <t>A14B</t>
  </si>
  <si>
    <t>1010</t>
  </si>
  <si>
    <t>1011</t>
  </si>
  <si>
    <t>1012</t>
  </si>
  <si>
    <t>1018</t>
  </si>
  <si>
    <t>Mat'ls</t>
  </si>
  <si>
    <t>A16A</t>
  </si>
  <si>
    <t>A16B</t>
  </si>
  <si>
    <t>A18A</t>
  </si>
  <si>
    <t>A18B</t>
  </si>
  <si>
    <t>A20A</t>
  </si>
  <si>
    <t>A20B</t>
  </si>
  <si>
    <t>A22A</t>
  </si>
  <si>
    <t>A22B</t>
  </si>
  <si>
    <t>A24A</t>
  </si>
  <si>
    <t>A24B</t>
  </si>
  <si>
    <t>A26A</t>
  </si>
  <si>
    <t>A26B</t>
  </si>
  <si>
    <t>A28A</t>
  </si>
  <si>
    <t>A28B</t>
  </si>
  <si>
    <t>A30A</t>
  </si>
  <si>
    <t>A30B</t>
  </si>
  <si>
    <t>A32A</t>
  </si>
  <si>
    <t>A32B</t>
  </si>
  <si>
    <t>A33A</t>
  </si>
  <si>
    <t>A34A</t>
  </si>
  <si>
    <t>A35A</t>
  </si>
  <si>
    <t>A36A</t>
  </si>
  <si>
    <t>A36B</t>
  </si>
  <si>
    <t>A37A</t>
  </si>
  <si>
    <t>A38A</t>
  </si>
  <si>
    <t>A38B</t>
  </si>
  <si>
    <t>A39A</t>
  </si>
  <si>
    <t>A39B</t>
  </si>
  <si>
    <t>A40A</t>
  </si>
  <si>
    <t>A40B</t>
  </si>
  <si>
    <t>A41A</t>
  </si>
  <si>
    <t>A42A</t>
  </si>
  <si>
    <t>A42B</t>
  </si>
  <si>
    <t>A43A</t>
  </si>
  <si>
    <t>A44A</t>
  </si>
  <si>
    <t>A44B</t>
  </si>
  <si>
    <t>A46A</t>
  </si>
  <si>
    <t>A48A</t>
  </si>
  <si>
    <t>A50A</t>
  </si>
  <si>
    <t>A51A</t>
  </si>
  <si>
    <t>A70A</t>
  </si>
  <si>
    <t>A71A</t>
  </si>
  <si>
    <t>A72A</t>
  </si>
  <si>
    <t>A73A</t>
  </si>
  <si>
    <t>A97A</t>
  </si>
  <si>
    <t>A98A</t>
  </si>
  <si>
    <t>A99A</t>
  </si>
  <si>
    <t>1210</t>
  </si>
  <si>
    <t>1211</t>
  </si>
  <si>
    <t>1212</t>
  </si>
  <si>
    <t>1218</t>
  </si>
  <si>
    <t>1510</t>
  </si>
  <si>
    <t>1511</t>
  </si>
  <si>
    <t>1512</t>
  </si>
  <si>
    <t>1513</t>
  </si>
  <si>
    <t>1514</t>
  </si>
  <si>
    <t>1515</t>
  </si>
  <si>
    <t>1517</t>
  </si>
  <si>
    <t>1518</t>
  </si>
  <si>
    <t>1525</t>
  </si>
  <si>
    <t>1711</t>
  </si>
  <si>
    <t>1712</t>
  </si>
  <si>
    <t>1714</t>
  </si>
  <si>
    <t>1715</t>
  </si>
  <si>
    <t>1717</t>
  </si>
  <si>
    <t>1718</t>
  </si>
  <si>
    <t>1725</t>
  </si>
  <si>
    <t>2012</t>
  </si>
  <si>
    <t>2014</t>
  </si>
  <si>
    <t>2015</t>
  </si>
  <si>
    <t>2016</t>
  </si>
  <si>
    <t>2017</t>
  </si>
  <si>
    <t>2018</t>
  </si>
  <si>
    <t>2020</t>
  </si>
  <si>
    <t>2021</t>
  </si>
  <si>
    <t>2023</t>
  </si>
  <si>
    <t>2024</t>
  </si>
  <si>
    <t>2025</t>
  </si>
  <si>
    <t>2028</t>
  </si>
  <si>
    <t>2031</t>
  </si>
  <si>
    <t>2518</t>
  </si>
  <si>
    <t>2521</t>
  </si>
  <si>
    <t>2523</t>
  </si>
  <si>
    <t>2525</t>
  </si>
  <si>
    <t>2528</t>
  </si>
  <si>
    <t>2531</t>
  </si>
  <si>
    <t>3018</t>
  </si>
  <si>
    <t>3022</t>
  </si>
  <si>
    <t>3025</t>
  </si>
  <si>
    <t>3028</t>
  </si>
  <si>
    <t>3029</t>
  </si>
  <si>
    <t>3031</t>
  </si>
  <si>
    <t>3037</t>
  </si>
  <si>
    <t>3528</t>
  </si>
  <si>
    <t>3531</t>
  </si>
  <si>
    <t>3534</t>
  </si>
  <si>
    <t>3537</t>
  </si>
  <si>
    <t>4025</t>
  </si>
  <si>
    <t>4031</t>
  </si>
  <si>
    <t>4034</t>
  </si>
  <si>
    <t>4037</t>
  </si>
  <si>
    <t>4043</t>
  </si>
  <si>
    <t>4050</t>
  </si>
  <si>
    <t>5043</t>
  </si>
  <si>
    <t>5050</t>
  </si>
  <si>
    <t>6043</t>
  </si>
  <si>
    <t>6050</t>
  </si>
  <si>
    <t>6056</t>
  </si>
  <si>
    <t>6062</t>
  </si>
  <si>
    <t>6075</t>
  </si>
  <si>
    <t>6010</t>
  </si>
  <si>
    <t>8050</t>
  </si>
  <si>
    <t>8062</t>
  </si>
  <si>
    <t>8075</t>
  </si>
  <si>
    <t>8010</t>
  </si>
  <si>
    <t>8011</t>
  </si>
  <si>
    <t>1001</t>
  </si>
  <si>
    <t>1002</t>
  </si>
  <si>
    <t>^^^^^</t>
  </si>
  <si>
    <t># KB Req'd</t>
  </si>
  <si>
    <t>Calc skews on masonry supports</t>
  </si>
  <si>
    <t>Mas Skew</t>
  </si>
  <si>
    <t>W2 Width</t>
  </si>
  <si>
    <t>8</t>
  </si>
  <si>
    <t>9</t>
  </si>
  <si>
    <t>21739 Road E-16 | Continental, OH 45831 | www.newmill.com</t>
  </si>
  <si>
    <t>Input Required</t>
  </si>
  <si>
    <t>Addn'l Joist Location / P#xx validation</t>
  </si>
  <si>
    <t>"True" if error, False if no error</t>
  </si>
  <si>
    <t>AR/AS</t>
  </si>
  <si>
    <t>AV/AW</t>
  </si>
  <si>
    <t>AZ/BA</t>
  </si>
  <si>
    <t>BD/BE</t>
  </si>
  <si>
    <t>A or B
&lt; Dep/1.15</t>
  </si>
  <si>
    <t>Template Version:</t>
  </si>
  <si>
    <t>Build:</t>
  </si>
  <si>
    <t>Template Date:</t>
  </si>
  <si>
    <t>Ft-In</t>
  </si>
  <si>
    <t>1992 NW Bascom Norris Drive | Lake City, FL 32055 | www.newmill.com</t>
  </si>
  <si>
    <t>3565 Highway 32 N | Hope, AR 71801 | www.newmill.com</t>
  </si>
  <si>
    <t>775-428-0600</t>
  </si>
  <si>
    <t>775-867-2169</t>
  </si>
  <si>
    <t>870-722-4100</t>
  </si>
  <si>
    <t>Code</t>
  </si>
  <si>
    <t>Auto-Fill Note</t>
  </si>
  <si>
    <t>SP</t>
  </si>
  <si>
    <t>DP</t>
  </si>
  <si>
    <t>TP</t>
  </si>
  <si>
    <t>Validation List</t>
  </si>
  <si>
    <t>Min Thickness of TC = 0.xxx"</t>
  </si>
  <si>
    <t>Min Thickness of BC = 0.xxx"</t>
  </si>
  <si>
    <t>Add Self-Weight to Design</t>
  </si>
  <si>
    <t>ESFR</t>
  </si>
  <si>
    <t>Note #</t>
  </si>
  <si>
    <t>TCXSup</t>
  </si>
  <si>
    <t>StgSlt</t>
  </si>
  <si>
    <t>SpSlt</t>
  </si>
  <si>
    <t>TCThk</t>
  </si>
  <si>
    <t>BCThk</t>
  </si>
  <si>
    <t>BPThk</t>
  </si>
  <si>
    <t>TCXMax</t>
  </si>
  <si>
    <t>BCBrg</t>
  </si>
  <si>
    <t>BClip</t>
  </si>
  <si>
    <t>BC7</t>
  </si>
  <si>
    <t>BC8</t>
  </si>
  <si>
    <t>(PLF - UNO)</t>
  </si>
  <si>
    <t>DefLL</t>
  </si>
  <si>
    <t>DefTL</t>
  </si>
  <si>
    <t>DefTCX</t>
  </si>
  <si>
    <t>DefSP</t>
  </si>
  <si>
    <t>##º Half(Full)-Skew, NS(FS), LE(RE)</t>
  </si>
  <si>
    <t>AC</t>
  </si>
  <si>
    <t>BW</t>
  </si>
  <si>
    <t>SC</t>
  </si>
  <si>
    <t>HS</t>
  </si>
  <si>
    <t>VS</t>
  </si>
  <si>
    <t>MS</t>
  </si>
  <si>
    <t>SSR</t>
  </si>
  <si>
    <t>##" Dia (##"H x ##"W) Duct @ #'-# from L-OAL</t>
  </si>
  <si>
    <t>#"Dia Pipes, 8" Below Top/Jst, 15" Horiz Clearance @ ##'-#,  ##'-# &amp;  ##'-# from L-OAL</t>
  </si>
  <si>
    <t>AddSlt</t>
  </si>
  <si>
    <t>ClrBrg</t>
  </si>
  <si>
    <t>Min Clear Bearing = #" @ LE(RE)(BE)</t>
  </si>
  <si>
    <t>Horiz Field Splice: See Detail on J1.xx</t>
  </si>
  <si>
    <t>Vert Field Splice: Type xx, Near Midspan</t>
  </si>
  <si>
    <t>Multiple Vert Field Splices: Type xx</t>
  </si>
  <si>
    <t>Standing Seam Roof: TC Lateral Support @ ##" Max.</t>
  </si>
  <si>
    <t>JS/HDR</t>
  </si>
  <si>
    <t>SpChd</t>
  </si>
  <si>
    <t>SpWeb</t>
  </si>
  <si>
    <t>##"^2 Min Chord Area</t>
  </si>
  <si>
    <t>##"^2 Min Web Area</t>
  </si>
  <si>
    <t>Domestic Steel Required (ARRA)</t>
  </si>
  <si>
    <t>LRFD</t>
  </si>
  <si>
    <t>**LRFD**   **LRFD**   **LRFD**</t>
  </si>
  <si>
    <t>L. Brg Width
(WF HALF-WIDTH)</t>
  </si>
  <si>
    <t>R. Brg Width
(WF HALF-WIDTH)</t>
  </si>
  <si>
    <t>Support Type "M" - Masonry W/ Shelf ∡</t>
  </si>
  <si>
    <t>P</t>
  </si>
  <si>
    <t>vValidation</t>
  </si>
  <si>
    <t>^Validation</t>
  </si>
  <si>
    <t>Seat Depth Over-ride</t>
  </si>
  <si>
    <t>SHAPES</t>
  </si>
  <si>
    <t>Single Pitch: (Ctr Depth=Designation) ##" Depth @ LBL, ##" Depth @ RBL</t>
  </si>
  <si>
    <t>Double Pitch: Ridge @ ##’-## From LBL (Depth=Designation), ##" Depth @ LBL, ##" Depth @ RBL</t>
  </si>
  <si>
    <t>Triple Pitch: Ridge Left @ ##’-## From LBL (Depth=Designation), ##" Depth @ LBL, ##" Depth @ RBL, Ridge Right @ ##'-## From LBL</t>
  </si>
  <si>
    <t>Arched Chords: (Depth=Designation) ##" TC Radius</t>
  </si>
  <si>
    <t>Bowstring: Ridge @ ##’-## From LBL (Depth=Designation), ##" Depth @ LBL, ##" TC Radius</t>
  </si>
  <si>
    <t>DEFLECTION</t>
  </si>
  <si>
    <t>LL Deflection = L/###|Deflection=L/### Due To ### PLF LL|LL Deflection=L/### (LL/TL Ratio = ##%)</t>
  </si>
  <si>
    <t>TL Deflection = L/###, Ck Std Camber Satisfies DL Def</t>
  </si>
  <si>
    <t>Special Deflection = ##" Max Due To ### PLF LL|DL|TL</t>
  </si>
  <si>
    <t>TCXL|TCXR Deflection = ##" Max Due To ### PLF LL|DL|TL</t>
  </si>
  <si>
    <t>BEARING SEATS</t>
  </si>
  <si>
    <t>Max Depth of TCXL|TCXR = ##"</t>
  </si>
  <si>
    <t>NoRein</t>
  </si>
  <si>
    <t>Rein</t>
  </si>
  <si>
    <t>KnifePL</t>
  </si>
  <si>
    <t>KickLd</t>
  </si>
  <si>
    <t>Knife Pl Provided for Load Transfer, TC/Seat Gap Clear for 1st ##” @ LE|RE|BE</t>
  </si>
  <si>
    <t>Axial Load Due To Kicker, No Rein Req’d</t>
  </si>
  <si>
    <t>Roll</t>
  </si>
  <si>
    <t>Seat Rollover Force = ##Kips @ LE|RE|BE</t>
  </si>
  <si>
    <t>Bottom Chord Bearing @ LE|RE|BE</t>
  </si>
  <si>
    <t>Stagger Seat Slots LE|RE: ##" NS, ##" FS</t>
  </si>
  <si>
    <t>Special Seat Slots: #"x#" Slots, Ga=#" @ LE|RE|BE</t>
  </si>
  <si>
    <t>Addn'l Seat Slots @ #" from L-OAL|R-OAL</t>
  </si>
  <si>
    <t>Min Thickness of Base Plate = 0.xxx" @ LE|RE|BE</t>
  </si>
  <si>
    <t>MaxWidth</t>
  </si>
  <si>
    <t>Max Width of TC &amp; Base Plate|BC for 1st ##” @ LE|RE|BE</t>
  </si>
  <si>
    <t>MISCELLANEOUS</t>
  </si>
  <si>
    <t>DomStl</t>
  </si>
  <si>
    <t>Camber = #"|Camber for DL|50% Std Camber|No Camber</t>
  </si>
  <si>
    <t>Bridging Clip(s) Required per Plan</t>
  </si>
  <si>
    <t>SpConn</t>
  </si>
  <si>
    <t>Special Connection @ (location), See Section ##</t>
  </si>
  <si>
    <t>GENERAL</t>
  </si>
  <si>
    <t>Special Note Here (special condition not matching pre-defined codes)</t>
  </si>
  <si>
    <t>Backup</t>
  </si>
  <si>
    <t>Overspan Check</t>
  </si>
  <si>
    <t>I think this is obsolete….</t>
  </si>
  <si>
    <t>Valid Panel Layout</t>
  </si>
  <si>
    <t>Panel Layout (B/N/F)</t>
  </si>
  <si>
    <t>Std TC Gage</t>
  </si>
  <si>
    <t>TC Gap</t>
  </si>
  <si>
    <t>Sect</t>
  </si>
  <si>
    <t>Sup</t>
  </si>
  <si>
    <t>E/J-Ft</t>
  </si>
  <si>
    <t>E/J-In</t>
  </si>
  <si>
    <t>TCX Ty</t>
  </si>
  <si>
    <t>Ga</t>
  </si>
  <si>
    <t>BCX Ty</t>
  </si>
  <si>
    <t>Flg/TC Gage
Min. / Max.</t>
  </si>
  <si>
    <t>Scissor: Ridge @ ##’-## From LBL (Vert Depth=Designation), BC Rise ##” @ Ridge From LBL, ##" Vert Depth @ LBL, ##" Vert Depth @ RBL, ##" BC Elev difference @ RBL</t>
  </si>
  <si>
    <t>ShrtBrg</t>
  </si>
  <si>
    <t>Short Bearing = #” @ LE|RE|BE</t>
  </si>
  <si>
    <t>TCXL|TCXR Supported @ End</t>
  </si>
  <si>
    <t>Reinforce Seats @ LE|RE|BE for Axial Load Transfer</t>
  </si>
  <si>
    <t>Skew</t>
  </si>
  <si>
    <t>Camb</t>
  </si>
  <si>
    <t>Duct</t>
  </si>
  <si>
    <t>Self</t>
  </si>
  <si>
    <t>RndShrtSlt</t>
  </si>
  <si>
    <t>#/#" Round Holes|#/#”x1” Slots, Ga=#” @ LE|RE|BE</t>
  </si>
  <si>
    <t>ChdWdth</t>
  </si>
  <si>
    <t>Min|Max Width of TC|BC = ##”</t>
  </si>
  <si>
    <t>Vier</t>
  </si>
  <si>
    <t>AlignPnls</t>
  </si>
  <si>
    <t>SpBund</t>
  </si>
  <si>
    <t>BIM</t>
  </si>
  <si>
    <t>Calcs</t>
  </si>
  <si>
    <t>Prof</t>
  </si>
  <si>
    <t>UnDef</t>
  </si>
  <si>
    <t>Align Panels of Adjacent Jsts</t>
  </si>
  <si>
    <t>Special Bundling Req’d, See Attached Listing</t>
  </si>
  <si>
    <t>Building Information Modeling, Inform Dtlr When Design Completed</t>
  </si>
  <si>
    <t>Sealed Calcs req’d for Record|Appl</t>
  </si>
  <si>
    <t>Joist|Girder Profiles Req’d</t>
  </si>
  <si>
    <t>Vierendeel Panel, ##” W x ##” H, Bottom Left Corner of Opening @ ##” From Bot/Jst, ##’-##” From L-OAL</t>
  </si>
  <si>
    <t>Layout=BL</t>
  </si>
  <si>
    <t>Sum Layout</t>
  </si>
  <si>
    <t>Line Selected</t>
  </si>
  <si>
    <t>W2 Half-Width</t>
  </si>
  <si>
    <t>CB-L on Brg Slope</t>
  </si>
  <si>
    <t>TCXL on Brg Slope</t>
  </si>
  <si>
    <t>CB-R on Brg Slope</t>
  </si>
  <si>
    <t>TCXR on Brg Slope</t>
  </si>
  <si>
    <t>TC Gage Values (min TC width)</t>
  </si>
  <si>
    <t>Changing the following values is not recommended.</t>
  </si>
  <si>
    <t>Consider Slope for OSHA Bolting if &gt;</t>
  </si>
  <si>
    <t>OSHA Slope:</t>
  </si>
  <si>
    <t>LH&lt;7</t>
  </si>
  <si>
    <t>Ft-</t>
  </si>
  <si>
    <t>WH</t>
  </si>
  <si>
    <t>Default Color Codes
(Page "K (1)" ONLY)</t>
  </si>
  <si>
    <t>K (1)</t>
  </si>
  <si>
    <t>KCS Series</t>
  </si>
  <si>
    <t>JS Series</t>
  </si>
  <si>
    <t>DLH Series</t>
  </si>
  <si>
    <t>SLH Series</t>
  </si>
  <si>
    <t>CJ Series</t>
  </si>
  <si>
    <t>Plant-by-Plant Settings</t>
  </si>
  <si>
    <t>Girder A/B Ratio</t>
  </si>
  <si>
    <t>Butler</t>
  </si>
  <si>
    <t>Salem</t>
  </si>
  <si>
    <t>Lake City</t>
  </si>
  <si>
    <t>Hope</t>
  </si>
  <si>
    <t>El Paso</t>
  </si>
  <si>
    <t>Fallon</t>
  </si>
  <si>
    <t>A/B Ratio:</t>
  </si>
  <si>
    <t>Prior to 4/13/18:</t>
  </si>
  <si>
    <t>List of Seq from K(**) Pages:</t>
  </si>
  <si>
    <t>Sht#</t>
  </si>
  <si>
    <t>Trad</t>
  </si>
  <si>
    <t>Qty</t>
  </si>
  <si>
    <t>Leg Dim</t>
  </si>
  <si>
    <t>Ck Fitup</t>
  </si>
  <si>
    <t>Max Leg</t>
  </si>
  <si>
    <t>Diag</t>
  </si>
  <si>
    <t>Hor</t>
  </si>
  <si>
    <t>Point-Point BIM Data and Graphical Load Data</t>
  </si>
  <si>
    <t>Trib Width - R</t>
  </si>
  <si>
    <t>Trib Width</t>
  </si>
  <si>
    <t>&lt;JDS Data</t>
  </si>
  <si>
    <t>Material</t>
  </si>
  <si>
    <t>Elev</t>
  </si>
  <si>
    <t>Slp 1</t>
  </si>
  <si>
    <t>Slp 2</t>
  </si>
  <si>
    <t>nil</t>
  </si>
  <si>
    <t>"A" Mark</t>
  </si>
  <si>
    <t>"A" Depth</t>
  </si>
  <si>
    <t>"B" Mark</t>
  </si>
  <si>
    <t>"B" Depth</t>
  </si>
  <si>
    <t>Spacing
Ft</t>
  </si>
  <si>
    <t>Spacing
In</t>
  </si>
  <si>
    <t># of KBs</t>
  </si>
  <si>
    <t>AC (tbl tab)</t>
  </si>
  <si>
    <t>AC (this tab)</t>
  </si>
  <si>
    <t>IsAC-Bom:</t>
  </si>
  <si>
    <t>Designation</t>
  </si>
  <si>
    <t># Rows Req</t>
  </si>
  <si>
    <t>Panel
N/F/B</t>
  </si>
  <si>
    <t>Panel "A"
Feet</t>
  </si>
  <si>
    <t>Panel "A"
Inch</t>
  </si>
  <si>
    <t># Interior Panels</t>
  </si>
  <si>
    <t>Int Pnl Sp
Inch</t>
  </si>
  <si>
    <t>Int Pnl Sp
Feet</t>
  </si>
  <si>
    <t>SpNote</t>
  </si>
  <si>
    <t>Row Counter</t>
  </si>
  <si>
    <t>BOM Synced:</t>
  </si>
  <si>
    <t>B_B</t>
  </si>
  <si>
    <t>Job Info.</t>
  </si>
  <si>
    <t>SectInfo</t>
  </si>
  <si>
    <t>Discrepancy Check</t>
  </si>
  <si>
    <t>B_A</t>
  </si>
  <si>
    <t>J_B</t>
  </si>
  <si>
    <t>J_A</t>
  </si>
  <si>
    <t>G_B</t>
  </si>
  <si>
    <t>G_A</t>
  </si>
  <si>
    <t>Date Saved:</t>
  </si>
  <si>
    <r>
      <t>&lt;</t>
    </r>
    <r>
      <rPr>
        <sz val="7"/>
        <color indexed="55"/>
        <rFont val="Arial"/>
        <family val="2"/>
      </rPr>
      <t>Plant Settings</t>
    </r>
  </si>
  <si>
    <r>
      <t>Plant Settings</t>
    </r>
    <r>
      <rPr>
        <sz val="8"/>
        <color indexed="55"/>
        <rFont val="Arial Black"/>
        <family val="2"/>
      </rPr>
      <t>&gt;</t>
    </r>
  </si>
  <si>
    <t>Manual Changes
Saved By:</t>
  </si>
  <si>
    <t>SEQUENCE DESCRIPTION</t>
  </si>
  <si>
    <t>Total K Dtl'd:</t>
  </si>
  <si>
    <t>Total LH Dtl'd:</t>
  </si>
  <si>
    <t>Total G Dtl'd:</t>
  </si>
  <si>
    <t>Total JS/Hdr Dtl'd:</t>
  </si>
  <si>
    <t>Total Brdg Dtl'd:</t>
  </si>
  <si>
    <t>Total # Seq:</t>
  </si>
  <si>
    <t># Rows:</t>
  </si>
  <si>
    <t>Is AC BOM?</t>
  </si>
  <si>
    <t>Bridging Pages</t>
  </si>
  <si>
    <t>No Data Here
Hidden column on BOM
"Mark" used to be 2 merged cells</t>
  </si>
  <si>
    <t>Jst A
Mark</t>
  </si>
  <si>
    <t>Jst A
Depth</t>
  </si>
  <si>
    <t>Jst B
Mark</t>
  </si>
  <si>
    <t>Jst B
Depth</t>
  </si>
  <si>
    <t>Space
Ft</t>
  </si>
  <si>
    <t>Space
In</t>
  </si>
  <si>
    <t>Brdg Rows</t>
  </si>
  <si>
    <t>Seq Row:</t>
  </si>
  <si>
    <t>Sequencing Pages</t>
  </si>
  <si>
    <t>Seq Nums&gt;&gt;&gt;&gt;
Marks\/ \/</t>
  </si>
  <si>
    <t>Seq Col:</t>
  </si>
  <si>
    <t>Mark Match on Page2</t>
  </si>
  <si>
    <t>Mark Match on Page1</t>
  </si>
  <si>
    <t>Min Slot-Edge:</t>
  </si>
  <si>
    <t>Manual Change Compare Table</t>
  </si>
  <si>
    <t>Ld Type</t>
  </si>
  <si>
    <t>Ld Cat</t>
  </si>
  <si>
    <t>Ld Pos</t>
  </si>
  <si>
    <t>Ld1 Val</t>
  </si>
  <si>
    <t>Ld2 Val</t>
  </si>
  <si>
    <t>Ref</t>
  </si>
  <si>
    <t>Ld Case</t>
  </si>
  <si>
    <t>Rem</t>
  </si>
  <si>
    <t>Assume 12" at CMU</t>
  </si>
  <si>
    <t>If R or Q…??</t>
  </si>
  <si>
    <t>Does not have "If R or Q"…</t>
  </si>
  <si>
    <t>Load Notes</t>
  </si>
  <si>
    <t>Load #</t>
  </si>
  <si>
    <t>Category</t>
  </si>
  <si>
    <t>Position</t>
  </si>
  <si>
    <t>Val 1</t>
  </si>
  <si>
    <t>Loc1 In</t>
  </si>
  <si>
    <t>Loc1 Ft</t>
  </si>
  <si>
    <t>Loc2 Ft</t>
  </si>
  <si>
    <t>Loc2 In</t>
  </si>
  <si>
    <t>Remarks</t>
  </si>
  <si>
    <t>(blank)</t>
  </si>
  <si>
    <t>Rows Req'd</t>
  </si>
  <si>
    <t>Ld1 Feet</t>
  </si>
  <si>
    <t>Ld1 Inch</t>
  </si>
  <si>
    <t>Ld2 Feet</t>
  </si>
  <si>
    <t>Ld2 Inch</t>
  </si>
  <si>
    <t>(Not Used)</t>
  </si>
  <si>
    <t>Lines Req'd</t>
  </si>
  <si>
    <t>AddSeat</t>
  </si>
  <si>
    <t>BCBrgCant</t>
  </si>
  <si>
    <t>BPSetBk</t>
  </si>
  <si>
    <t>ContAngle</t>
  </si>
  <si>
    <t>Addn’l Bearing Seat @ LE|RE|BE, Setback = #’-##”, Depth = ##”</t>
  </si>
  <si>
    <t>Bottom Chord Bearing Cantilever @ LE|RE|BE, Ctr Line of Support = #’-##” @ LE|RE|BE</t>
  </si>
  <si>
    <t>Shorten Base Pl @ LE|RE|BE, Setback = #’-#, Max TC Depth = ##”, Ck TCX For Unrein Length, See Section ##</t>
  </si>
  <si>
    <t>Continuity Angles for Load Transfer, Hold Double Angle W2 Down for Field Install, No TC Splices within 1st ##” @ LE|RE|BE</t>
  </si>
  <si>
    <t>Tie Pl Provided for Load Transfer, No Rein Req’d (***Could Show This Note in Load Note Remarks***)</t>
  </si>
  <si>
    <t>PAINT</t>
  </si>
  <si>
    <t>NO Shop Primer|NO Shop Primer – Galv|# Shop Coats – Std Gray Primer</t>
  </si>
  <si>
    <t>DUCT</t>
  </si>
  <si>
    <t>SpBClip</t>
  </si>
  <si>
    <t>V100</t>
  </si>
  <si>
    <t xml:space="preserve">Add Vertical to Support Load On BCXL|R </t>
  </si>
  <si>
    <t>Special Bridging Clip(s) Required per Plan, See Sketch</t>
  </si>
  <si>
    <t>##" Dia|##"H x ##"W Duct @ #'-# from L-OAL</t>
  </si>
  <si>
    <t>Val 2</t>
  </si>
  <si>
    <t>Tot. Ld Rows</t>
  </si>
  <si>
    <t>IF(VLOOKUP(FK70,$CB$54:$CD$85,3,FALSE)="","ERR",</t>
  </si>
  <si>
    <t>AutoCalc BOM:</t>
  </si>
  <si>
    <t>Show Manual Changes:</t>
  </si>
  <si>
    <t>Red in G-K</t>
  </si>
  <si>
    <t>Note Used</t>
  </si>
  <si>
    <t>List of Used Load Notes-&gt;</t>
  </si>
  <si>
    <t>List of Used Special Notes-&gt;</t>
  </si>
  <si>
    <t>&lt;-Number of Used Notes</t>
  </si>
  <si>
    <t>Special Notes</t>
  </si>
  <si>
    <t>Number of Manual Save Rows:</t>
  </si>
  <si>
    <t>All</t>
  </si>
  <si>
    <t>Jst</t>
  </si>
  <si>
    <t>TL/LL</t>
  </si>
  <si>
    <t>Gir</t>
  </si>
  <si>
    <t>Des</t>
  </si>
  <si>
    <t>Brd</t>
  </si>
  <si>
    <t>Brid</t>
  </si>
  <si>
    <t>Joi</t>
  </si>
  <si>
    <t>BCX
"X"</t>
  </si>
  <si>
    <t>Section Over-Rides</t>
  </si>
  <si>
    <t>EOJ</t>
  </si>
  <si>
    <r>
      <t>BL</t>
    </r>
    <r>
      <rPr>
        <sz val="4"/>
        <rFont val="Arial"/>
        <family val="2"/>
      </rPr>
      <t xml:space="preserve"> (TCX)</t>
    </r>
  </si>
  <si>
    <t>JOIST AND GIRDER LOAD NOTES</t>
  </si>
  <si>
    <t>Temp Sheet that JDS fills out
**BOM uses P_B**</t>
  </si>
  <si>
    <t>Note</t>
  </si>
  <si>
    <t>Sect. Num.</t>
  </si>
  <si>
    <t>EOG</t>
  </si>
  <si>
    <t># KB
/Gir.</t>
  </si>
  <si>
    <t>TC Width</t>
  </si>
  <si>
    <t>Min. Clr Bearing</t>
  </si>
  <si>
    <t>Load
(K)</t>
  </si>
  <si>
    <r>
      <t xml:space="preserve">Bolt
</t>
    </r>
    <r>
      <rPr>
        <sz val="5"/>
        <rFont val="Arial Narrow"/>
        <family val="2"/>
      </rPr>
      <t>N/F/B</t>
    </r>
  </si>
  <si>
    <t>Panel Layout N/F/B</t>
  </si>
  <si>
    <t>Joist
"Bay Length"</t>
  </si>
  <si>
    <t>Girder
"Bay Length"</t>
  </si>
  <si>
    <t>Sect. Num</t>
  </si>
  <si>
    <t>AR</t>
  </si>
  <si>
    <t>LH Series (&lt;= 06)</t>
  </si>
  <si>
    <t>LH Series (&gt;= 07)</t>
  </si>
  <si>
    <t>18LH10</t>
  </si>
  <si>
    <t>18LH11</t>
  </si>
  <si>
    <t>18LH12</t>
  </si>
  <si>
    <t>18LH13</t>
  </si>
  <si>
    <t>18LH14</t>
  </si>
  <si>
    <t>18LH15</t>
  </si>
  <si>
    <t>18LH16</t>
  </si>
  <si>
    <t>18LH17</t>
  </si>
  <si>
    <t>18LH18</t>
  </si>
  <si>
    <t>18LH19</t>
  </si>
  <si>
    <t>18LH20</t>
  </si>
  <si>
    <t>20LH11</t>
  </si>
  <si>
    <t>20LH12</t>
  </si>
  <si>
    <t>20LH13</t>
  </si>
  <si>
    <t>20LH14</t>
  </si>
  <si>
    <t>20LH15</t>
  </si>
  <si>
    <t>20LH16</t>
  </si>
  <si>
    <t>20LH17</t>
  </si>
  <si>
    <t>20LH18</t>
  </si>
  <si>
    <t>20LH19</t>
  </si>
  <si>
    <t>20LH20</t>
  </si>
  <si>
    <t>24LH12</t>
  </si>
  <si>
    <t>24LH13</t>
  </si>
  <si>
    <t>24LH14</t>
  </si>
  <si>
    <t>24LH15</t>
  </si>
  <si>
    <t>24LH16</t>
  </si>
  <si>
    <t>24LH17</t>
  </si>
  <si>
    <t>24LH18</t>
  </si>
  <si>
    <t>24LH19</t>
  </si>
  <si>
    <t>24LH20</t>
  </si>
  <si>
    <t>24LH21</t>
  </si>
  <si>
    <t>28LH14</t>
  </si>
  <si>
    <t>28LH15</t>
  </si>
  <si>
    <t>28LH16</t>
  </si>
  <si>
    <t>28LH17</t>
  </si>
  <si>
    <t>28LH18</t>
  </si>
  <si>
    <t>28LH19</t>
  </si>
  <si>
    <t>28LH20</t>
  </si>
  <si>
    <t>28LH21</t>
  </si>
  <si>
    <t>28LH22</t>
  </si>
  <si>
    <t>28LH23</t>
  </si>
  <si>
    <t>32LH16</t>
  </si>
  <si>
    <t>32LH17</t>
  </si>
  <si>
    <t>32LH18</t>
  </si>
  <si>
    <t>32LH19</t>
  </si>
  <si>
    <t>32LH20</t>
  </si>
  <si>
    <t>32LH21</t>
  </si>
  <si>
    <t>32LH22</t>
  </si>
  <si>
    <t>32LH23</t>
  </si>
  <si>
    <t>32LH24</t>
  </si>
  <si>
    <t>36LH16</t>
  </si>
  <si>
    <t>36LH17</t>
  </si>
  <si>
    <t>36LH18</t>
  </si>
  <si>
    <t>36LH19</t>
  </si>
  <si>
    <t>36LH20</t>
  </si>
  <si>
    <t>36LH21</t>
  </si>
  <si>
    <t>36LH22</t>
  </si>
  <si>
    <t>36LH23</t>
  </si>
  <si>
    <t>36LH24</t>
  </si>
  <si>
    <t>36LH25</t>
  </si>
  <si>
    <t>40LH17</t>
  </si>
  <si>
    <t>40LH18</t>
  </si>
  <si>
    <t>40LH19</t>
  </si>
  <si>
    <t>40LH20</t>
  </si>
  <si>
    <t>40LH21</t>
  </si>
  <si>
    <t>40LH22</t>
  </si>
  <si>
    <t>40LH23</t>
  </si>
  <si>
    <t>40LH24</t>
  </si>
  <si>
    <t>40LH25</t>
  </si>
  <si>
    <t>44LH18</t>
  </si>
  <si>
    <t>44LH19</t>
  </si>
  <si>
    <t>44LH20</t>
  </si>
  <si>
    <t>44LH21</t>
  </si>
  <si>
    <t>44LH22</t>
  </si>
  <si>
    <t>44LH23</t>
  </si>
  <si>
    <t>44LH24</t>
  </si>
  <si>
    <t>44LH25</t>
  </si>
  <si>
    <t>48LH18</t>
  </si>
  <si>
    <t>48LH19</t>
  </si>
  <si>
    <t>48LH20</t>
  </si>
  <si>
    <t>48LH21</t>
  </si>
  <si>
    <t>48LH22</t>
  </si>
  <si>
    <t>48LH23</t>
  </si>
  <si>
    <t>48LH24</t>
  </si>
  <si>
    <t>48LH25</t>
  </si>
  <si>
    <r>
      <rPr>
        <sz val="8"/>
        <color rgb="FF969696"/>
        <rFont val="Arial"/>
        <family val="2"/>
      </rPr>
      <t>Paint List</t>
    </r>
    <r>
      <rPr>
        <sz val="8"/>
        <color indexed="55"/>
        <rFont val="Arial Black"/>
        <family val="2"/>
      </rPr>
      <t>&gt;</t>
    </r>
  </si>
  <si>
    <r>
      <t>&lt;</t>
    </r>
    <r>
      <rPr>
        <sz val="8"/>
        <color rgb="FF969696"/>
        <rFont val="Arial"/>
        <family val="2"/>
      </rPr>
      <t>Paint List</t>
    </r>
  </si>
  <si>
    <t>No Primer</t>
  </si>
  <si>
    <t>No Primer - Galv</t>
  </si>
  <si>
    <t>2 Coats Gray Primer</t>
  </si>
  <si>
    <t>3 Coats Gray Primer</t>
  </si>
  <si>
    <t>Other: &lt;Enter info here&gt;</t>
  </si>
  <si>
    <t>Finish Types</t>
  </si>
  <si>
    <t>Gray Primer</t>
  </si>
  <si>
    <t>P3</t>
  </si>
  <si>
    <t>PLin</t>
  </si>
  <si>
    <t>N.S.</t>
  </si>
  <si>
    <t>NOT SEQUENCED</t>
  </si>
  <si>
    <t>1</t>
  </si>
  <si>
    <t>SEQ1</t>
  </si>
  <si>
    <t>SEQ2</t>
  </si>
  <si>
    <t>3</t>
  </si>
  <si>
    <t>SEQ3</t>
  </si>
  <si>
    <t>Girders</t>
  </si>
  <si>
    <t>G1</t>
  </si>
  <si>
    <t>-</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</si>
  <si>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</si>
  <si>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</si>
  <si>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</si>
  <si>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</si>
  <si>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</si>
  <si>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</si>
  <si>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</si>
  <si>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</si>
  <si>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</si>
  <si>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</si>
  <si>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</si>
  <si>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</si>
  <si>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</si>
  <si>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</si>
  <si>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</si>
  <si>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</si>
  <si>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</si>
  <si>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</si>
  <si>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</si>
  <si>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</si>
  <si>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</si>
  <si>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</si>
  <si>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</si>
  <si>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</si>
  <si>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</si>
  <si>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</si>
  <si>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</si>
  <si>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</si>
  <si>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Joists</t>
  </si>
  <si>
    <t>J1</t>
  </si>
  <si>
    <t>J2</t>
  </si>
  <si>
    <t>J3</t>
  </si>
  <si>
    <t>J4</t>
  </si>
  <si>
    <t>J5</t>
  </si>
  <si>
    <t>J6</t>
  </si>
  <si>
    <t>J7</t>
  </si>
  <si>
    <t>TJ8</t>
  </si>
  <si>
    <t>J9</t>
  </si>
  <si>
    <t>J10</t>
  </si>
  <si>
    <t>TJ11</t>
  </si>
  <si>
    <t>J12</t>
  </si>
  <si>
    <t>J13</t>
  </si>
  <si>
    <t>J14</t>
  </si>
  <si>
    <t>J15</t>
  </si>
  <si>
    <t>J16</t>
  </si>
  <si>
    <t>TJ17</t>
  </si>
  <si>
    <t>J18</t>
  </si>
  <si>
    <t>TJ19</t>
  </si>
  <si>
    <t>J20</t>
  </si>
  <si>
    <t>J21</t>
  </si>
  <si>
    <t>J22</t>
  </si>
  <si>
    <t>J23</t>
  </si>
  <si>
    <t>J24</t>
  </si>
  <si>
    <t>J25</t>
  </si>
  <si>
    <t>TJ26</t>
  </si>
  <si>
    <t>J27</t>
  </si>
  <si>
    <t>J28</t>
  </si>
  <si>
    <t>J29</t>
  </si>
  <si>
    <t>J30</t>
  </si>
  <si>
    <t>TJ31</t>
  </si>
  <si>
    <t>J32</t>
  </si>
  <si>
    <t>J33</t>
  </si>
  <si>
    <t>J34</t>
  </si>
  <si>
    <t>J35</t>
  </si>
  <si>
    <t>J36</t>
  </si>
  <si>
    <t>J37</t>
  </si>
  <si>
    <t>J38</t>
  </si>
  <si>
    <t>J39</t>
  </si>
  <si>
    <t>J40</t>
  </si>
  <si>
    <t>J41</t>
  </si>
  <si>
    <t>J42</t>
  </si>
  <si>
    <t>J43</t>
  </si>
  <si>
    <t>TJ44</t>
  </si>
  <si>
    <t>J45</t>
  </si>
  <si>
    <t>J46</t>
  </si>
  <si>
    <t>J47</t>
  </si>
  <si>
    <t>J48</t>
  </si>
  <si>
    <t>J49</t>
  </si>
  <si>
    <t>J50</t>
  </si>
  <si>
    <t>J51</t>
  </si>
  <si>
    <t>J52</t>
  </si>
  <si>
    <t>J53</t>
  </si>
  <si>
    <t>TJ54</t>
  </si>
  <si>
    <t>J55</t>
  </si>
  <si>
    <t>J56</t>
  </si>
  <si>
    <t>J57</t>
  </si>
  <si>
    <t>J58</t>
  </si>
  <si>
    <t>TJ59</t>
  </si>
  <si>
    <t>J60</t>
  </si>
  <si>
    <t>J61</t>
  </si>
  <si>
    <t>J62</t>
  </si>
  <si>
    <t>TJ63</t>
  </si>
  <si>
    <t>J64</t>
  </si>
  <si>
    <t>J65</t>
  </si>
  <si>
    <t>J66</t>
  </si>
  <si>
    <t>J67</t>
  </si>
  <si>
    <t>J68</t>
  </si>
  <si>
    <t>J69</t>
  </si>
  <si>
    <t>J70</t>
  </si>
  <si>
    <t>J71</t>
  </si>
  <si>
    <t>J72</t>
  </si>
  <si>
    <t>J73</t>
  </si>
  <si>
    <t>Bridging</t>
  </si>
  <si>
    <t>H1</t>
  </si>
  <si>
    <t>W1</t>
  </si>
  <si>
    <t>W2</t>
  </si>
  <si>
    <t>B1</t>
  </si>
  <si>
    <t>B2</t>
  </si>
  <si>
    <t>X1</t>
  </si>
  <si>
    <t>X2</t>
  </si>
  <si>
    <t>X3</t>
  </si>
  <si>
    <t>X4</t>
  </si>
  <si>
    <t>X5</t>
  </si>
  <si>
    <t>FULL STRIP</t>
  </si>
  <si>
    <t xml:space="preserve">STRIP </t>
  </si>
  <si>
    <t>TYP NU</t>
  </si>
  <si>
    <t>4</t>
  </si>
  <si>
    <t>5</t>
  </si>
  <si>
    <t>6</t>
  </si>
  <si>
    <t>7</t>
  </si>
  <si>
    <t>SNOW DRIFT</t>
  </si>
  <si>
    <t>10</t>
  </si>
  <si>
    <t>11</t>
  </si>
  <si>
    <t>12</t>
  </si>
  <si>
    <t>13</t>
  </si>
  <si>
    <t>14</t>
  </si>
  <si>
    <t>15</t>
  </si>
  <si>
    <t>16</t>
  </si>
  <si>
    <t>17</t>
  </si>
  <si>
    <t>18</t>
  </si>
  <si>
    <t>19</t>
  </si>
  <si>
    <t>20</t>
  </si>
  <si>
    <t>21</t>
  </si>
  <si>
    <t>22</t>
  </si>
  <si>
    <t>23</t>
  </si>
  <si>
    <t>SNOW DRIFT TO G</t>
  </si>
  <si>
    <t>24</t>
  </si>
  <si>
    <t>25</t>
  </si>
  <si>
    <t>TYP JOIST AXIAL</t>
  </si>
  <si>
    <t>26</t>
  </si>
  <si>
    <t>TYP RTU</t>
  </si>
  <si>
    <t>27</t>
  </si>
  <si>
    <t>MUA / RTU XFER GIRDER</t>
  </si>
  <si>
    <t>28</t>
  </si>
  <si>
    <t>MUA XFER GIRDER</t>
  </si>
  <si>
    <t>29</t>
  </si>
  <si>
    <t>WF BRACE LOADS</t>
  </si>
  <si>
    <t>30</t>
  </si>
  <si>
    <t>31</t>
  </si>
  <si>
    <t>32</t>
  </si>
  <si>
    <t>WF BRACE LOADS TO G</t>
  </si>
  <si>
    <t>33</t>
  </si>
  <si>
    <t>34</t>
  </si>
  <si>
    <t>35</t>
  </si>
  <si>
    <t>MAIN PAR J</t>
  </si>
  <si>
    <t>36</t>
  </si>
  <si>
    <t>MAIN PERP G</t>
  </si>
  <si>
    <t>37</t>
  </si>
  <si>
    <t>38</t>
  </si>
  <si>
    <t>MAIN PERP J</t>
  </si>
  <si>
    <t>39</t>
  </si>
  <si>
    <t>40</t>
  </si>
  <si>
    <t>JOIST AXIAL XFERS THRU TIE PLATE @ L.E. / THRU SEAT @ R.E.</t>
  </si>
  <si>
    <t>GIRDER AX XFERS THRU SEAT @ L.E., REDUCES TO 0.0K @ R.E.</t>
  </si>
  <si>
    <t>AT R.E. MAINTAIN 1'-1" MIN. CLEAR BEARING - SEAT TYPE R. DESIGNER TO ENSURE THAT GIRDER W2</t>
  </si>
  <si>
    <t>CLEARS 3/4X3/4 BAR WHILE WORKING POINT REMAINS MINIMUM 1/2” PAST EDGE OF BEARING @ R.E. SEE</t>
  </si>
  <si>
    <t>SECTION 2 &amp; 3/J1.0</t>
  </si>
  <si>
    <t>D</t>
  </si>
  <si>
    <t>GIRDER AXIAL XFERS THRU SEAT @ B.E. UNO</t>
  </si>
  <si>
    <t>E</t>
  </si>
  <si>
    <t>F</t>
  </si>
  <si>
    <t>6" MAIN AT FIRST/LAST PP</t>
  </si>
  <si>
    <t>6" MAIN @ 46'-6" FROM L=PTP IS 4'-0" FROM BOTTOM OF DECK</t>
  </si>
  <si>
    <t>H</t>
  </si>
  <si>
    <t>6" MAIN @46'-0" FROM L-PTP IS 4'-0" FROM BOTTOM OF DECK</t>
  </si>
  <si>
    <t>48VG9N16.3K</t>
  </si>
  <si>
    <t>#1</t>
  </si>
  <si>
    <t>#2</t>
  </si>
  <si>
    <t>#3</t>
  </si>
  <si>
    <t>#4</t>
  </si>
  <si>
    <t>#5</t>
  </si>
  <si>
    <t>#6</t>
  </si>
  <si>
    <t>#7</t>
  </si>
  <si>
    <t>52VG9N15.3K</t>
  </si>
  <si>
    <t>48VG9N13.8K</t>
  </si>
  <si>
    <t>52VG9N18.3K</t>
  </si>
  <si>
    <t>Verify girder has sufficient minimum required bearing on RIGHT ends.  Girders with a</t>
  </si>
  <si>
    <t>self-weight greater than 50 plf. require 6" minimum bearing on steel.</t>
  </si>
  <si>
    <t>Joist is bearing within 8" of the seat on the RIGHT end - Contact the Engineer of Record</t>
  </si>
  <si>
    <t>for reduced point load at this location.</t>
  </si>
  <si>
    <t>32LH305/180</t>
  </si>
  <si>
    <t>44LH305/180</t>
  </si>
  <si>
    <t>ENGINEERING REVIEW BY: EC</t>
  </si>
  <si>
    <t>INTERNATIONAL BUILDING CODE 2018</t>
  </si>
  <si>
    <t>SDS = 1.296</t>
  </si>
  <si>
    <t>LIVE LOAD DEFLECTION = L/240</t>
  </si>
  <si>
    <t>SEISMIC SEPARATION IS REQUIRED</t>
  </si>
  <si>
    <t>GIRDER L = 59%</t>
  </si>
  <si>
    <t>FINAL CALCS REQUIRED</t>
  </si>
  <si>
    <t>CAMBER PER SJI</t>
  </si>
  <si>
    <t>JOIST AXIAL XFERS THRU TIE PLATE @ BE TYP, UNO</t>
  </si>
  <si>
    <t>2" BRANCHLINES @ 8" FROM TOP OF JOIST.</t>
  </si>
  <si>
    <t>6" MAINS @ 1'-0" FROM TOP OF JOIST. TYP UNO</t>
  </si>
  <si>
    <t>1/4" MIN SEAT MATERIAL THICKNESS</t>
  </si>
  <si>
    <t>MINDEN UPS BLDG 1</t>
  </si>
  <si>
    <t>MINDEN, NV</t>
  </si>
  <si>
    <t>NN22-0071</t>
  </si>
  <si>
    <t>JMM</t>
  </si>
  <si>
    <t>NR</t>
  </si>
  <si>
    <t>C (1)</t>
  </si>
  <si>
    <t>N (1)</t>
  </si>
  <si>
    <t>L (1)</t>
  </si>
  <si>
    <t>L (2)</t>
  </si>
  <si>
    <t>L (3)</t>
  </si>
  <si>
    <t>S (1)</t>
  </si>
  <si>
    <t>S (2)</t>
  </si>
  <si>
    <t>S (3)</t>
  </si>
  <si>
    <t>S (4)</t>
  </si>
  <si>
    <t>[B,F](4,23,27,36)</t>
  </si>
  <si>
    <t>[D](4,28)</t>
  </si>
  <si>
    <t>[D](4)</t>
  </si>
  <si>
    <t>[B,F,G](4,27,32,37)</t>
  </si>
  <si>
    <t>[B,C,F](4,27,36)</t>
  </si>
  <si>
    <t>[F](24,27,36)</t>
  </si>
  <si>
    <t>[F,G](27,33,37)</t>
  </si>
  <si>
    <t>[C,F](27,36)</t>
  </si>
  <si>
    <t>[F](27,33,37)</t>
  </si>
  <si>
    <t>[B,F](5,23,27,36)</t>
  </si>
  <si>
    <t>[D](5,28)</t>
  </si>
  <si>
    <t>[D](5)</t>
  </si>
  <si>
    <t>[B,F](5,27,34,36)</t>
  </si>
  <si>
    <t>[B,C,F](5,27,36)</t>
  </si>
  <si>
    <t>[D](4,27)</t>
  </si>
  <si>
    <t>[B,F,H](4,27,32,37)</t>
  </si>
  <si>
    <t>[B,C,F,H](4,37)</t>
  </si>
  <si>
    <t>[F,H](27,33,37)</t>
  </si>
  <si>
    <t>[C,F,H](37)</t>
  </si>
  <si>
    <t>[C,F](37)</t>
  </si>
  <si>
    <t>[D](5,27)</t>
  </si>
  <si>
    <t>[B,C,F](5,36)</t>
  </si>
  <si>
    <t>J (1)</t>
  </si>
  <si>
    <t>[A](1,6,7,35)</t>
  </si>
  <si>
    <t>[A](1,6,8)</t>
  </si>
  <si>
    <t>[A](1,9,25)</t>
  </si>
  <si>
    <t>[A](1,10,25)</t>
  </si>
  <si>
    <t>[A](2,11,25,26)</t>
  </si>
  <si>
    <t>[A](2,12,25,26)</t>
  </si>
  <si>
    <t>[A](2,12,25)</t>
  </si>
  <si>
    <t>[A](2,21,25)</t>
  </si>
  <si>
    <t>[A](2,21,25,27)</t>
  </si>
  <si>
    <t>[A](2,21,25,26)</t>
  </si>
  <si>
    <t>[A](2,21,25,26,38)</t>
  </si>
  <si>
    <t>[A](2,21,25,35,38)</t>
  </si>
  <si>
    <t>[A](2,21,25,29,35,38)</t>
  </si>
  <si>
    <t>[A](2,6,12,35)</t>
  </si>
  <si>
    <t>J (2)</t>
  </si>
  <si>
    <t>[A](2,12,25,27)</t>
  </si>
  <si>
    <t>(1,6,13,35)</t>
  </si>
  <si>
    <t>(1,6,14)</t>
  </si>
  <si>
    <t>(1,15,25)</t>
  </si>
  <si>
    <t>(1,16,25)</t>
  </si>
  <si>
    <t>(3,17,25)</t>
  </si>
  <si>
    <t>(3,25)</t>
  </si>
  <si>
    <t>(3,25,35)</t>
  </si>
  <si>
    <t>(3,25,29,35)</t>
  </si>
  <si>
    <t>(3,6,35)</t>
  </si>
  <si>
    <t>(3,25,26)</t>
  </si>
  <si>
    <t>(3,25,27)</t>
  </si>
  <si>
    <t>(1,6,18,35)</t>
  </si>
  <si>
    <t>(1,6,19)</t>
  </si>
  <si>
    <t>(1,20,25)</t>
  </si>
  <si>
    <t>(1,25)</t>
  </si>
  <si>
    <t>(3,25,26,35,39)</t>
  </si>
  <si>
    <t>(3,25,30,35,39)</t>
  </si>
  <si>
    <t>J (3)</t>
  </si>
  <si>
    <t>[A](2,21,25,31,35)</t>
  </si>
  <si>
    <t>[A](2,6,21,35)</t>
  </si>
  <si>
    <t>[A](2,22,25)</t>
  </si>
  <si>
    <t>[A](2,22,25,27)</t>
  </si>
  <si>
    <t>[A](2,12,25,40)</t>
  </si>
  <si>
    <t>[A](2,12,25,26,40)</t>
  </si>
  <si>
    <t>[A](2,12,25,35,40)</t>
  </si>
  <si>
    <t>[A](2,12,25,29,35,40)</t>
  </si>
  <si>
    <t>J (4)</t>
  </si>
  <si>
    <t>[A](2,6,21,35,40)</t>
  </si>
  <si>
    <t>[A](2,21,25,35)</t>
  </si>
  <si>
    <t>[A](2,11,25)</t>
  </si>
  <si>
    <t>(3,6,35,39)</t>
  </si>
  <si>
    <t>(3,25,35,39)</t>
  </si>
  <si>
    <t>[A](2,22,25,26)</t>
  </si>
  <si>
    <t>B (1)</t>
  </si>
  <si>
    <t>P (1)</t>
  </si>
  <si>
    <t xml:space="preserve">2" BRANCH LINES @ 5'-0", 15'-0", 25'-0", 35'-0", 45'-0", 55'-0" &amp; 65'-0" FROM L-PTP, TYP U.N.O.	</t>
  </si>
  <si>
    <t>SPECIAL</t>
  </si>
  <si>
    <t>LOAD</t>
  </si>
  <si>
    <t>OHA1</t>
  </si>
  <si>
    <t>OHA2</t>
  </si>
  <si>
    <t>OHP1</t>
  </si>
  <si>
    <t>OHP2</t>
  </si>
  <si>
    <t>13/16" DIA. HOLES IN GIRDER SEAT @ R.E. (NOT SLOTS)</t>
  </si>
  <si>
    <t>[A](1,6,7,35, SJ1)</t>
  </si>
  <si>
    <t>[A](1,6,8, SJ2)</t>
  </si>
  <si>
    <t>[A](1,9,25, SJ3)</t>
  </si>
  <si>
    <t>[A](1,10,25, SJ4)</t>
  </si>
  <si>
    <t>[A](2,11,25,26, SJ5)</t>
  </si>
  <si>
    <t>[A](2,12,25,26, SJ6)</t>
  </si>
  <si>
    <t>[A](2,12,25, SJ7)</t>
  </si>
  <si>
    <t>[A](2,12,25, STJ8)</t>
  </si>
  <si>
    <t>[A](2,21,25, SJ9)</t>
  </si>
  <si>
    <t>[A](2,21,25,27, SJ10)</t>
  </si>
  <si>
    <t>[A](2,21,25, STJ11)</t>
  </si>
  <si>
    <t>[A](2,21,25,26, SJ12)</t>
  </si>
  <si>
    <t>[A](2,21,25,26,38, SJ13)</t>
  </si>
  <si>
    <t>[A](2,21,25,35,38, SJ14)</t>
  </si>
  <si>
    <t>[A](2,21,25,29,35,38, SJ15)</t>
  </si>
  <si>
    <t>[A](2,6,12,35, SJ16)</t>
  </si>
  <si>
    <t>[A](2,12,25, STJ17)</t>
  </si>
  <si>
    <t>[A](2,12,25,27, SJ18)</t>
  </si>
  <si>
    <t>[A](2,12,25,26, STJ19)</t>
  </si>
  <si>
    <t>(1,6,13,35, SJ20)</t>
  </si>
  <si>
    <t>(1,6,14, SJ21)</t>
  </si>
  <si>
    <t>(1,15,25, SJ22)</t>
  </si>
  <si>
    <t>(1,16,25, SJ23)</t>
  </si>
  <si>
    <t>(3,17,25, SJ24)</t>
  </si>
  <si>
    <t>(3,25, SJ25)</t>
  </si>
  <si>
    <t>(3,25, STJ26)</t>
  </si>
  <si>
    <t>(3,25,35, SJ27)</t>
  </si>
  <si>
    <t>(3,25,29,35, SJ28)</t>
  </si>
  <si>
    <t>(3,6,35, SJ29)</t>
  </si>
  <si>
    <t>(3,25,26, SJ30)</t>
  </si>
  <si>
    <t>(3,25,26, STJ31)</t>
  </si>
  <si>
    <t>(3,25,27, SJ32)</t>
  </si>
  <si>
    <t>(1,6,18,35, SJ33)</t>
  </si>
  <si>
    <t>(1,6,19, SJ34)</t>
  </si>
  <si>
    <t>(1,20,25, SJ35)</t>
  </si>
  <si>
    <t>(1,25, SJ36)</t>
  </si>
  <si>
    <t>(3,25,26,35,39, SJ37)</t>
  </si>
  <si>
    <t>(3,25,30,35,39, SJ38)</t>
  </si>
  <si>
    <t>(1,6,18,35, SJ39)</t>
  </si>
  <si>
    <t>(1,6,19, SJ40)</t>
  </si>
  <si>
    <t>(1,20,25, SJ41)</t>
  </si>
  <si>
    <t>(1,25, SJ42)</t>
  </si>
  <si>
    <t>(3,25, SJ43)</t>
  </si>
  <si>
    <t>(3,25, STJ44)</t>
  </si>
  <si>
    <t>(3,25,29,35, SJ45)</t>
  </si>
  <si>
    <t>(3,6,35, SJ46)</t>
  </si>
  <si>
    <t>[A](1,6,7,35, SJ47)</t>
  </si>
  <si>
    <t>[A](1,6,8, SJ48)</t>
  </si>
  <si>
    <t>[A](1,9,25, SJ49)</t>
  </si>
  <si>
    <t>[A](1,10,25, SJ50)</t>
  </si>
  <si>
    <t>[A](2,11,25,26, SJ51)</t>
  </si>
  <si>
    <t>[A](2,12,25,26, SJ52)</t>
  </si>
  <si>
    <t>[A](2,21,25, SJ53)</t>
  </si>
  <si>
    <t>[A](2,21,25, STJ54)</t>
  </si>
  <si>
    <t>[A](2,21,25,27, SJ55)</t>
  </si>
  <si>
    <t>[A](2,21,25,26, SJ56)</t>
  </si>
  <si>
    <t>[A](2,21,25,31,35, SJ57)</t>
  </si>
  <si>
    <t>[A](2,6,21,35, SJ58)</t>
  </si>
  <si>
    <t>[A](2,22,25, STJ59)</t>
  </si>
  <si>
    <t>[A](2,22,25, SJ60)</t>
  </si>
  <si>
    <t>[A](2,22,25,27, SJ61)</t>
  </si>
  <si>
    <t>[A](2,12,25,40, SJ62)</t>
  </si>
  <si>
    <t>[A](2,12,25,40, STJ63)</t>
  </si>
  <si>
    <t>[A](2,12,25,26,40, SJ64)</t>
  </si>
  <si>
    <t>[A](2,12,25,35,40, SJ65)</t>
  </si>
  <si>
    <t>[A](2,12,25,29,35,40, SJ66)</t>
  </si>
  <si>
    <t>[A](2,6,21,35,40, SJ67)</t>
  </si>
  <si>
    <t>[A](2,21,25,35, SJ68)</t>
  </si>
  <si>
    <t>[A](2,11,25, SJ69)</t>
  </si>
  <si>
    <t>(3,6,35,39, SJ70)</t>
  </si>
  <si>
    <t>(3,25,35,39, SJ71)</t>
  </si>
  <si>
    <t>[A](2,22,25,26, SJ72)</t>
  </si>
  <si>
    <t>[A](2,11,25, SJ73)</t>
  </si>
  <si>
    <t>SJ1</t>
  </si>
  <si>
    <t>SJ2</t>
  </si>
  <si>
    <t>SJ3</t>
  </si>
  <si>
    <t>SJ4</t>
  </si>
  <si>
    <t>SJ5</t>
  </si>
  <si>
    <t>SJ6</t>
  </si>
  <si>
    <t>SJ7</t>
  </si>
  <si>
    <t>STJ8</t>
  </si>
  <si>
    <t>SJ9</t>
  </si>
  <si>
    <t>SJ10</t>
  </si>
  <si>
    <t>STJ11</t>
  </si>
  <si>
    <t>SJ12</t>
  </si>
  <si>
    <t>SJ13</t>
  </si>
  <si>
    <t>SJ14</t>
  </si>
  <si>
    <t>SJ15</t>
  </si>
  <si>
    <t>SJ16</t>
  </si>
  <si>
    <t>STJ17</t>
  </si>
  <si>
    <t>SJ18</t>
  </si>
  <si>
    <t>STJ19</t>
  </si>
  <si>
    <t>SJ20</t>
  </si>
  <si>
    <t>SJ21</t>
  </si>
  <si>
    <t>SJ22</t>
  </si>
  <si>
    <t>SJ23</t>
  </si>
  <si>
    <t>SJ24</t>
  </si>
  <si>
    <t>SJ25</t>
  </si>
  <si>
    <t>STJ26</t>
  </si>
  <si>
    <t>SJ27</t>
  </si>
  <si>
    <t>SJ28</t>
  </si>
  <si>
    <t>SJ29</t>
  </si>
  <si>
    <t>SJ30</t>
  </si>
  <si>
    <t>STJ31</t>
  </si>
  <si>
    <t>SJ32</t>
  </si>
  <si>
    <t>SJ33</t>
  </si>
  <si>
    <t>SJ34</t>
  </si>
  <si>
    <t>SJ35</t>
  </si>
  <si>
    <t>SJ36</t>
  </si>
  <si>
    <t>SJ37</t>
  </si>
  <si>
    <t>SJ38</t>
  </si>
  <si>
    <t>SJ39</t>
  </si>
  <si>
    <t>SJ40</t>
  </si>
  <si>
    <t>SJ41</t>
  </si>
  <si>
    <t>SJ42</t>
  </si>
  <si>
    <t>SJ43</t>
  </si>
  <si>
    <t>STJ44</t>
  </si>
  <si>
    <t>SJ45</t>
  </si>
  <si>
    <t>SJ46</t>
  </si>
  <si>
    <t>SJ47</t>
  </si>
  <si>
    <t>SJ48</t>
  </si>
  <si>
    <t>SJ49</t>
  </si>
  <si>
    <t>SJ50</t>
  </si>
  <si>
    <t>SJ51</t>
  </si>
  <si>
    <t>SJ52</t>
  </si>
  <si>
    <t>SJ53</t>
  </si>
  <si>
    <t>STJ54</t>
  </si>
  <si>
    <t>SJ55</t>
  </si>
  <si>
    <t>SJ56</t>
  </si>
  <si>
    <t>SJ57</t>
  </si>
  <si>
    <t>SJ58</t>
  </si>
  <si>
    <t>STJ59</t>
  </si>
  <si>
    <t>SJ60</t>
  </si>
  <si>
    <t>SJ61</t>
  </si>
  <si>
    <t>SJ62</t>
  </si>
  <si>
    <t>STJ63</t>
  </si>
  <si>
    <t>SJ64</t>
  </si>
  <si>
    <t>SJ65</t>
  </si>
  <si>
    <t>SJ66</t>
  </si>
  <si>
    <t>SJ67</t>
  </si>
  <si>
    <t>SJ68</t>
  </si>
  <si>
    <t>SJ69</t>
  </si>
  <si>
    <t>SJ70</t>
  </si>
  <si>
    <t>SJ71</t>
  </si>
  <si>
    <t>SJ72</t>
  </si>
  <si>
    <t>SJ73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</si>
</sst>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mm/dd/yy"/>
    <numFmt numFmtId="165" formatCode="0\ ?/?"/>
    <numFmt numFmtId="166" formatCode="0.0"/>
    <numFmt numFmtId="167" formatCode="0.00;\&lt;0.00\&gt;"/>
    <numFmt numFmtId="168" formatCode="m/d/yy;@"/>
    <numFmt numFmtId="169" formatCode="\-\ @"/>
    <numFmt numFmtId="170" formatCode="0\ #/#;0\ #/#\&gt;"/>
    <numFmt numFmtId="171" formatCode="0\ #/#"/>
    <numFmt numFmtId="172" formatCode="0\ #/##"/>
    <numFmt numFmtId="173" formatCode="#/##"/>
    <numFmt numFmtId="174" formatCode="00\-0\-0000"/>
    <numFmt numFmtId="175" formatCode="0\ \-;\&lt;0\ \-"/>
    <numFmt numFmtId="176" formatCode="0.00\ "/>
    <numFmt numFmtId="177" formatCode="0\ \p\l\f"/>
    <numFmt numFmtId="178" formatCode="0.000"/>
    <numFmt numFmtId="179" formatCode="0.0000"/>
    <numFmt numFmtId="180" formatCode="0\ ?/??;\-0\ ?/??"/>
    <numFmt numFmtId="181" formatCode="0.00\'"/>
    <numFmt numFmtId="182" formatCode="0\ ??/??"/>
    <numFmt numFmtId="183" formatCode="0\-"/>
    <numFmt numFmtId="184" formatCode="0\ ?/??"/>
    <numFmt numFmtId="185" formatCode="#\ #/##\'\'"/>
    <numFmt numFmtId="186" formatCode="0\ #/#;\&lt;0\ #/#\&gt;"/>
    <numFmt numFmtId="187" formatCode="#\ #/##"/>
    <numFmt numFmtId="188" formatCode="0\-;\&lt;0\-"/>
    <numFmt numFmtId="189" formatCode="yy\.mmdd"/>
    <numFmt numFmtId="190" formatCode="m/d/yy\ h:mm;@"/>
    <numFmt numFmtId="191" formatCode="0\ \-;\&lt;0\-"/>
    <numFmt numFmtId="192" formatCode="m/d/yy\ &quot;@&quot;\ h:mm"/>
    <numFmt numFmtId="193" formatCode="0_);[Red]\(0\)"/>
    <numFmt numFmtId="194" formatCode="0;[Red]\&lt;0\&gt;"/>
  </numFmts>
  <fonts count="164" x14ac:knownFonts="1">
    <font>
      <sz val="10"/>
      <name val="Arial"/>
    </font>
    <font>
      <sz val="11"/>
      <color theme="1"/>
      <name val="Arial"/>
      <family val="2"/>
    </font>
    <font>
      <sz val="11"/>
      <color theme="1"/>
      <name val="Arial"/>
      <family val="2"/>
    </font>
    <font>
      <sz val="10"/>
      <name val="Arial"/>
      <family val="2"/>
    </font>
    <font>
      <sz val="10"/>
      <name val="Arial"/>
      <family val="2"/>
    </font>
    <font>
      <sz val="12"/>
      <name val="Arial"/>
      <family val="2"/>
    </font>
    <font>
      <sz val="11"/>
      <name val="Arial"/>
      <family val="2"/>
    </font>
    <font>
      <sz val="9"/>
      <name val="Arial"/>
      <family val="2"/>
    </font>
    <font>
      <sz val="10"/>
      <name val="Arial Black"/>
      <family val="2"/>
    </font>
    <font>
      <b/>
      <sz val="10"/>
      <name val="Arial"/>
      <family val="2"/>
    </font>
    <font>
      <i/>
      <sz val="8"/>
      <name val="Arial"/>
      <family val="2"/>
    </font>
    <font>
      <b/>
      <sz val="12"/>
      <name val="Arial"/>
      <family val="2"/>
    </font>
    <font>
      <sz val="10"/>
      <color indexed="23"/>
      <name val="Arial"/>
      <family val="2"/>
    </font>
    <font>
      <b/>
      <u/>
      <sz val="10"/>
      <name val="Arial"/>
      <family val="2"/>
    </font>
    <font>
      <b/>
      <sz val="9"/>
      <name val="Arial"/>
      <family val="2"/>
    </font>
    <font>
      <b/>
      <sz val="8"/>
      <name val="Arial"/>
      <family val="2"/>
    </font>
    <font>
      <b/>
      <sz val="11"/>
      <name val="Arial"/>
      <family val="2"/>
    </font>
    <font>
      <b/>
      <sz val="14"/>
      <name val="Arial"/>
      <family val="2"/>
    </font>
    <font>
      <sz val="16"/>
      <name val="Arial"/>
      <family val="2"/>
    </font>
    <font>
      <u/>
      <sz val="11"/>
      <name val="Arial"/>
      <family val="2"/>
    </font>
    <font>
      <b/>
      <sz val="8"/>
      <color indexed="81"/>
      <name val="Tahoma"/>
      <family val="2"/>
    </font>
    <font>
      <sz val="14"/>
      <color indexed="81"/>
      <name val="Tahoma"/>
      <family val="2"/>
    </font>
    <font>
      <b/>
      <sz val="12"/>
      <color indexed="10"/>
      <name val="Arial"/>
      <family val="2"/>
    </font>
    <font>
      <sz val="10"/>
      <color indexed="57"/>
      <name val="Arial"/>
      <family val="2"/>
    </font>
    <font>
      <sz val="6"/>
      <name val="Arial"/>
      <family val="2"/>
    </font>
    <font>
      <b/>
      <sz val="10"/>
      <color indexed="55"/>
      <name val="Arial"/>
      <family val="2"/>
    </font>
    <font>
      <sz val="10"/>
      <color indexed="17"/>
      <name val="Arial"/>
      <family val="2"/>
    </font>
    <font>
      <b/>
      <sz val="14"/>
      <color indexed="10"/>
      <name val="Arial"/>
      <family val="2"/>
    </font>
    <font>
      <sz val="8"/>
      <name val="Arial"/>
      <family val="2"/>
    </font>
    <font>
      <sz val="10"/>
      <color indexed="55"/>
      <name val="Arial"/>
      <family val="2"/>
    </font>
    <font>
      <sz val="14"/>
      <color indexed="81"/>
      <name val="Arial"/>
      <family val="2"/>
    </font>
    <font>
      <sz val="14"/>
      <color indexed="10"/>
      <name val="Arial"/>
      <family val="2"/>
    </font>
    <font>
      <b/>
      <sz val="10"/>
      <name val="Arial Narrow"/>
      <family val="2"/>
    </font>
    <font>
      <b/>
      <sz val="10"/>
      <name val="Arial"/>
      <family val="2"/>
    </font>
    <font>
      <sz val="9"/>
      <name val="Arial"/>
      <family val="2"/>
    </font>
    <font>
      <sz val="8"/>
      <color indexed="9"/>
      <name val="Arial Narrow"/>
      <family val="2"/>
    </font>
    <font>
      <sz val="10"/>
      <color indexed="9"/>
      <name val="Arial"/>
      <family val="2"/>
    </font>
    <font>
      <sz val="9"/>
      <name val="Arial Narrow"/>
      <family val="2"/>
    </font>
    <font>
      <b/>
      <u/>
      <sz val="11"/>
      <name val="Arial"/>
      <family val="2"/>
    </font>
    <font>
      <sz val="10"/>
      <color indexed="17"/>
      <name val="Arial"/>
      <family val="2"/>
    </font>
    <font>
      <sz val="10"/>
      <name val="Arial"/>
      <family val="2"/>
    </font>
    <font>
      <sz val="9"/>
      <color indexed="8"/>
      <name val="Arial"/>
      <family val="2"/>
    </font>
    <font>
      <sz val="10"/>
      <color indexed="8"/>
      <name val="Arial"/>
      <family val="2"/>
    </font>
    <font>
      <sz val="9"/>
      <color indexed="10"/>
      <name val="Arial"/>
      <family val="2"/>
    </font>
    <font>
      <sz val="6"/>
      <color indexed="9"/>
      <name val="Arial"/>
      <family val="2"/>
    </font>
    <font>
      <b/>
      <sz val="12"/>
      <color indexed="23"/>
      <name val="Arial"/>
      <family val="2"/>
    </font>
    <font>
      <b/>
      <sz val="10"/>
      <color indexed="10"/>
      <name val="Arial"/>
      <family val="2"/>
    </font>
    <font>
      <sz val="8"/>
      <name val="Arial Narrow"/>
      <family val="2"/>
    </font>
    <font>
      <sz val="8"/>
      <name val="Arial"/>
      <family val="2"/>
    </font>
    <font>
      <sz val="8"/>
      <color indexed="57"/>
      <name val="Arial"/>
      <family val="2"/>
    </font>
    <font>
      <b/>
      <i/>
      <u/>
      <sz val="12"/>
      <name val="Arial"/>
      <family val="2"/>
    </font>
    <font>
      <b/>
      <i/>
      <u/>
      <sz val="12"/>
      <name val="Arial Narrow"/>
      <family val="2"/>
    </font>
    <font>
      <b/>
      <i/>
      <u/>
      <sz val="10"/>
      <name val="Arial"/>
      <family val="2"/>
    </font>
    <font>
      <sz val="10"/>
      <color indexed="55"/>
      <name val="Arial"/>
      <family val="2"/>
    </font>
    <font>
      <sz val="12"/>
      <color indexed="81"/>
      <name val="Arial"/>
      <family val="2"/>
    </font>
    <font>
      <sz val="10"/>
      <color indexed="22"/>
      <name val="Arial"/>
      <family val="2"/>
    </font>
    <font>
      <sz val="10"/>
      <color indexed="55"/>
      <name val="Arial Narrow"/>
      <family val="2"/>
    </font>
    <font>
      <sz val="12"/>
      <color indexed="10"/>
      <name val="Arial"/>
      <family val="2"/>
    </font>
    <font>
      <b/>
      <sz val="12"/>
      <color indexed="81"/>
      <name val="Arial"/>
      <family val="2"/>
    </font>
    <font>
      <b/>
      <sz val="14"/>
      <color indexed="81"/>
      <name val="Arial"/>
      <family val="2"/>
    </font>
    <font>
      <b/>
      <sz val="10"/>
      <color indexed="81"/>
      <name val="Arial"/>
      <family val="2"/>
    </font>
    <font>
      <sz val="10"/>
      <color indexed="81"/>
      <name val="Arial"/>
      <family val="2"/>
    </font>
    <font>
      <sz val="8"/>
      <color indexed="55"/>
      <name val="Arial Black"/>
      <family val="2"/>
    </font>
    <font>
      <b/>
      <sz val="12"/>
      <color indexed="10"/>
      <name val="Arial"/>
      <family val="2"/>
    </font>
    <font>
      <sz val="8"/>
      <color indexed="17"/>
      <name val="Arial"/>
      <family val="2"/>
    </font>
    <font>
      <b/>
      <i/>
      <sz val="8"/>
      <color indexed="17"/>
      <name val="Arial"/>
      <family val="2"/>
    </font>
    <font>
      <sz val="8"/>
      <color indexed="63"/>
      <name val="Arial"/>
      <family val="2"/>
    </font>
    <font>
      <b/>
      <sz val="8"/>
      <color indexed="10"/>
      <name val="Arial"/>
      <family val="2"/>
    </font>
    <font>
      <u/>
      <sz val="8"/>
      <color indexed="12"/>
      <name val="Arial"/>
      <family val="2"/>
    </font>
    <font>
      <u/>
      <sz val="8"/>
      <color indexed="17"/>
      <name val="Arial"/>
      <family val="2"/>
    </font>
    <font>
      <b/>
      <u/>
      <sz val="8"/>
      <name val="Arial"/>
      <family val="2"/>
    </font>
    <font>
      <b/>
      <u/>
      <sz val="8"/>
      <color indexed="10"/>
      <name val="Arial"/>
      <family val="2"/>
    </font>
    <font>
      <b/>
      <sz val="7"/>
      <name val="Arial"/>
      <family val="2"/>
    </font>
    <font>
      <sz val="7"/>
      <name val="Arial"/>
      <family val="2"/>
    </font>
    <font>
      <b/>
      <i/>
      <sz val="8"/>
      <name val="Arial"/>
      <family val="2"/>
    </font>
    <font>
      <sz val="8"/>
      <color indexed="55"/>
      <name val="Arial"/>
      <family val="2"/>
    </font>
    <font>
      <b/>
      <sz val="6"/>
      <name val="Arial Narrow"/>
      <family val="2"/>
    </font>
    <font>
      <sz val="6"/>
      <name val="Arial Narrow"/>
      <family val="2"/>
    </font>
    <font>
      <sz val="8"/>
      <color indexed="17"/>
      <name val="Arial Narrow"/>
      <family val="2"/>
    </font>
    <font>
      <b/>
      <sz val="6"/>
      <name val="Arial"/>
      <family val="2"/>
    </font>
    <font>
      <sz val="6"/>
      <name val="Arial"/>
      <family val="2"/>
    </font>
    <font>
      <sz val="5"/>
      <color indexed="63"/>
      <name val="Arial"/>
      <family val="2"/>
    </font>
    <font>
      <sz val="5"/>
      <name val="Arial"/>
      <family val="2"/>
    </font>
    <font>
      <sz val="7"/>
      <name val="Arial"/>
      <family val="2"/>
    </font>
    <font>
      <sz val="7"/>
      <name val="Arial Narrow"/>
      <family val="2"/>
    </font>
    <font>
      <b/>
      <sz val="7"/>
      <name val="Arial Narrow"/>
      <family val="2"/>
    </font>
    <font>
      <b/>
      <u/>
      <sz val="8"/>
      <color indexed="17"/>
      <name val="Arial"/>
      <family val="2"/>
    </font>
    <font>
      <sz val="8"/>
      <color indexed="23"/>
      <name val="Arial"/>
      <family val="2"/>
    </font>
    <font>
      <b/>
      <sz val="8"/>
      <color indexed="55"/>
      <name val="Arial"/>
      <family val="2"/>
    </font>
    <font>
      <u/>
      <sz val="8"/>
      <color indexed="57"/>
      <name val="Arial"/>
      <family val="2"/>
    </font>
    <font>
      <sz val="8"/>
      <color indexed="12"/>
      <name val="Arial"/>
      <family val="2"/>
    </font>
    <font>
      <b/>
      <sz val="8"/>
      <color indexed="61"/>
      <name val="Arial"/>
      <family val="2"/>
    </font>
    <font>
      <b/>
      <i/>
      <u/>
      <sz val="8"/>
      <color indexed="57"/>
      <name val="Arial"/>
      <family val="2"/>
    </font>
    <font>
      <sz val="8"/>
      <color indexed="9"/>
      <name val="Arial"/>
      <family val="2"/>
    </font>
    <font>
      <sz val="8"/>
      <color indexed="9"/>
      <name val="Arial"/>
      <family val="2"/>
    </font>
    <font>
      <sz val="8"/>
      <color indexed="10"/>
      <name val="Arial Narrow"/>
      <family val="2"/>
    </font>
    <font>
      <sz val="8"/>
      <color indexed="10"/>
      <name val="Arial"/>
      <family val="2"/>
    </font>
    <font>
      <sz val="8"/>
      <color indexed="55"/>
      <name val="Arial Narrow"/>
      <family val="2"/>
    </font>
    <font>
      <b/>
      <sz val="8"/>
      <color indexed="55"/>
      <name val="Arial Narrow"/>
      <family val="2"/>
    </font>
    <font>
      <b/>
      <sz val="12"/>
      <color indexed="81"/>
      <name val="Tahoma"/>
      <family val="2"/>
    </font>
    <font>
      <sz val="12"/>
      <color indexed="81"/>
      <name val="Tahoma"/>
      <family val="2"/>
    </font>
    <font>
      <b/>
      <sz val="12"/>
      <color indexed="10"/>
      <name val="Tahoma"/>
      <family val="2"/>
    </font>
    <font>
      <b/>
      <i/>
      <u/>
      <sz val="12"/>
      <color indexed="81"/>
      <name val="Tahoma"/>
      <family val="2"/>
    </font>
    <font>
      <sz val="11"/>
      <name val="Arial"/>
      <family val="2"/>
    </font>
    <font>
      <b/>
      <sz val="11"/>
      <name val="Arial"/>
      <family val="2"/>
    </font>
    <font>
      <b/>
      <i/>
      <sz val="16"/>
      <color indexed="10"/>
      <name val="Arial"/>
      <family val="2"/>
    </font>
    <font>
      <b/>
      <u/>
      <sz val="8"/>
      <color indexed="12"/>
      <name val="Arial"/>
      <family val="2"/>
    </font>
    <font>
      <sz val="8"/>
      <color indexed="81"/>
      <name val="Tahoma"/>
      <family val="2"/>
    </font>
    <font>
      <b/>
      <sz val="9"/>
      <color indexed="17"/>
      <name val="Arial"/>
      <family val="2"/>
    </font>
    <font>
      <b/>
      <u/>
      <sz val="9"/>
      <name val="Arial"/>
      <family val="2"/>
    </font>
    <font>
      <sz val="8"/>
      <color indexed="55"/>
      <name val="Arial"/>
      <family val="2"/>
    </font>
    <font>
      <sz val="8"/>
      <color indexed="17"/>
      <name val="Arial"/>
      <family val="2"/>
    </font>
    <font>
      <sz val="8"/>
      <color rgb="FF000000"/>
      <name val="Tahoma"/>
      <family val="2"/>
    </font>
    <font>
      <sz val="8"/>
      <color rgb="FFFF0000"/>
      <name val="Arial"/>
      <family val="2"/>
    </font>
    <font>
      <sz val="8"/>
      <color rgb="FF00B050"/>
      <name val="Arial"/>
      <family val="2"/>
    </font>
    <font>
      <sz val="8"/>
      <color rgb="FF008000"/>
      <name val="Arial"/>
      <family val="2"/>
    </font>
    <font>
      <sz val="9"/>
      <color indexed="81"/>
      <name val="Tahoma"/>
      <family val="2"/>
    </font>
    <font>
      <sz val="8"/>
      <color rgb="FFFF0000"/>
      <name val="Arial Narrow"/>
      <family val="2"/>
    </font>
    <font>
      <sz val="8"/>
      <color rgb="FF006600"/>
      <name val="Arial"/>
      <family val="2"/>
    </font>
    <font>
      <sz val="8.5"/>
      <color rgb="FF006600"/>
      <name val="Arial"/>
      <family val="2"/>
    </font>
    <font>
      <sz val="8.5"/>
      <color rgb="FF006600"/>
      <name val="Arial Narrow"/>
      <family val="2"/>
    </font>
    <font>
      <u/>
      <sz val="8"/>
      <color rgb="FF006600"/>
      <name val="Arial"/>
      <family val="2"/>
    </font>
    <font>
      <b/>
      <sz val="8"/>
      <color rgb="FF006600"/>
      <name val="Arial"/>
      <family val="2"/>
    </font>
    <font>
      <b/>
      <u/>
      <sz val="8"/>
      <color rgb="FF006600"/>
      <name val="Arial"/>
      <family val="2"/>
    </font>
    <font>
      <sz val="8"/>
      <color rgb="FF006600"/>
      <name val="Arial Narrow"/>
      <family val="2"/>
    </font>
    <font>
      <sz val="10"/>
      <color rgb="FFFF0000"/>
      <name val="Arial"/>
      <family val="2"/>
    </font>
    <font>
      <sz val="6"/>
      <color rgb="FFFF0000"/>
      <name val="Arial"/>
      <family val="2"/>
    </font>
    <font>
      <b/>
      <sz val="9"/>
      <color indexed="81"/>
      <name val="Tahoma"/>
      <family val="2"/>
    </font>
    <font>
      <sz val="8"/>
      <color rgb="FF006600"/>
      <name val="Cambria"/>
      <family val="1"/>
    </font>
    <font>
      <sz val="8"/>
      <name val="Calibri"/>
      <family val="2"/>
    </font>
    <font>
      <sz val="10"/>
      <color rgb="FF006600"/>
      <name val="Arial"/>
      <family val="2"/>
    </font>
    <font>
      <b/>
      <sz val="9"/>
      <color rgb="FF006600"/>
      <name val="Arial"/>
      <family val="2"/>
    </font>
    <font>
      <sz val="9"/>
      <color rgb="FF006600"/>
      <name val="Arial"/>
      <family val="2"/>
    </font>
    <font>
      <b/>
      <sz val="16"/>
      <name val="Arial"/>
      <family val="2"/>
    </font>
    <font>
      <sz val="10"/>
      <color theme="0" tint="-0.34998626667073579"/>
      <name val="Arial"/>
      <family val="2"/>
    </font>
    <font>
      <b/>
      <sz val="8"/>
      <color rgb="FFFF0000"/>
      <name val="Arial"/>
      <family val="2"/>
    </font>
    <font>
      <sz val="8"/>
      <color theme="0" tint="-0.14996795556505021"/>
      <name val="Arial"/>
      <family val="2"/>
    </font>
    <font>
      <sz val="8"/>
      <color theme="0"/>
      <name val="Arial"/>
      <family val="2"/>
    </font>
    <font>
      <b/>
      <u/>
      <sz val="12"/>
      <color indexed="81"/>
      <name val="Arial"/>
      <family val="2"/>
    </font>
    <font>
      <b/>
      <i/>
      <sz val="12"/>
      <color indexed="10"/>
      <name val="Arial"/>
      <family val="2"/>
    </font>
    <font>
      <b/>
      <i/>
      <u/>
      <sz val="12"/>
      <color indexed="10"/>
      <name val="Arial"/>
      <family val="2"/>
    </font>
    <font>
      <sz val="7"/>
      <color theme="0" tint="-0.499984740745262"/>
      <name val="Arial"/>
      <family val="2"/>
    </font>
    <font>
      <b/>
      <sz val="8"/>
      <name val="Arial Narrow"/>
      <family val="2"/>
    </font>
    <font>
      <sz val="8"/>
      <color theme="0" tint="-0.499984740745262"/>
      <name val="Arial"/>
      <family val="2"/>
    </font>
    <font>
      <sz val="8"/>
      <color indexed="63"/>
      <name val="Arial Narrow"/>
      <family val="2"/>
    </font>
    <font>
      <b/>
      <i/>
      <u/>
      <sz val="12"/>
      <color indexed="81"/>
      <name val="Arial"/>
      <family val="2"/>
    </font>
    <font>
      <sz val="6"/>
      <color theme="0" tint="-0.24994659260841701"/>
      <name val="Arial Narrow"/>
      <family val="2"/>
    </font>
    <font>
      <sz val="6"/>
      <color theme="0" tint="-0.499984740745262"/>
      <name val="Arial Narrow"/>
      <family val="2"/>
    </font>
    <font>
      <sz val="8"/>
      <color rgb="FF000000"/>
      <name val="Segoe UI"/>
      <family val="2"/>
    </font>
    <font>
      <b/>
      <u/>
      <sz val="8"/>
      <color rgb="FFFF5050"/>
      <name val="Arial"/>
      <family val="2"/>
    </font>
    <font>
      <sz val="7"/>
      <color indexed="55"/>
      <name val="Arial"/>
      <family val="2"/>
    </font>
    <font>
      <sz val="10"/>
      <color theme="0"/>
      <name val="Arial"/>
      <family val="2"/>
    </font>
    <font>
      <b/>
      <sz val="7"/>
      <color theme="0" tint="-0.499984740745262"/>
      <name val="Arial"/>
      <family val="2"/>
    </font>
    <font>
      <b/>
      <sz val="20"/>
      <name val="Arial"/>
      <family val="2"/>
    </font>
    <font>
      <sz val="10"/>
      <color rgb="FF0070C0"/>
      <name val="Arial"/>
      <family val="2"/>
    </font>
    <font>
      <b/>
      <i/>
      <sz val="12"/>
      <color indexed="81"/>
      <name val="Tahoma"/>
      <family val="2"/>
    </font>
    <font>
      <sz val="10"/>
      <name val="Arial Narrow"/>
      <family val="2"/>
    </font>
    <font>
      <sz val="4"/>
      <name val="Arial"/>
      <family val="2"/>
    </font>
    <font>
      <b/>
      <sz val="8"/>
      <color indexed="10"/>
      <name val="Arial Narrow"/>
      <family val="2"/>
    </font>
    <font>
      <b/>
      <sz val="8"/>
      <color rgb="FFFF0000"/>
      <name val="Arial Narrow"/>
      <family val="2"/>
    </font>
    <font>
      <sz val="5"/>
      <name val="Arial Narrow"/>
      <family val="2"/>
    </font>
    <font>
      <sz val="6"/>
      <color theme="0"/>
      <name val="Arial"/>
      <family val="2"/>
    </font>
    <font>
      <b/>
      <i/>
      <sz val="9"/>
      <color indexed="81"/>
      <name val="Tahoma"/>
      <family val="2"/>
    </font>
    <font>
      <sz val="8"/>
      <color rgb="FF969696"/>
      <name val="Arial"/>
      <family val="2"/>
    </font>
  </fonts>
  <fills count="27">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26"/>
        <bgColor indexed="64"/>
      </patternFill>
    </fill>
    <fill>
      <patternFill patternType="solid">
        <fgColor indexed="23"/>
        <bgColor indexed="64"/>
      </patternFill>
    </fill>
    <fill>
      <patternFill patternType="solid">
        <fgColor indexed="52"/>
        <bgColor indexed="64"/>
      </patternFill>
    </fill>
    <fill>
      <patternFill patternType="solid">
        <fgColor indexed="9"/>
        <bgColor indexed="64"/>
      </patternFill>
    </fill>
    <fill>
      <patternFill patternType="solid">
        <fgColor indexed="46"/>
        <bgColor indexed="64"/>
      </patternFill>
    </fill>
    <fill>
      <patternFill patternType="solid">
        <fgColor rgb="FFFFFFCC"/>
        <bgColor indexed="64"/>
      </patternFill>
    </fill>
    <fill>
      <patternFill patternType="solid">
        <fgColor rgb="FFFFFF99"/>
        <bgColor indexed="64"/>
      </patternFill>
    </fill>
    <fill>
      <patternFill patternType="solid">
        <fgColor rgb="FFFFFF00"/>
        <bgColor indexed="64"/>
      </patternFill>
    </fill>
    <fill>
      <patternFill patternType="solid">
        <fgColor theme="0" tint="-0.24994659260841701"/>
        <bgColor indexed="64"/>
      </patternFill>
    </fill>
    <fill>
      <patternFill patternType="solid">
        <fgColor rgb="FFCCFFCC"/>
        <bgColor indexed="64"/>
      </patternFill>
    </fill>
    <fill>
      <patternFill patternType="solid">
        <fgColor theme="2" tint="-0.24994659260841701"/>
        <bgColor indexed="64"/>
      </patternFill>
    </fill>
    <fill>
      <patternFill patternType="solid">
        <fgColor rgb="FFFFC000"/>
        <bgColor indexed="64"/>
      </patternFill>
    </fill>
    <fill>
      <patternFill patternType="solid">
        <fgColor rgb="FF99CCFF"/>
        <bgColor indexed="64"/>
      </patternFill>
    </fill>
    <fill>
      <gradientFill type="path" left="0.5" right="0.5" top="0.5" bottom="0.5">
        <stop position="0">
          <color theme="0"/>
        </stop>
        <stop position="1">
          <color rgb="FFFFCCCC"/>
        </stop>
      </gradient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theme="3" tint="0.79998168889431442"/>
        <bgColor indexed="64"/>
      </patternFill>
    </fill>
    <fill>
      <gradientFill type="path" left="0.1" right="0.9" top="0.25" bottom="0.75">
        <stop position="0">
          <color rgb="FFFFFFFF"/>
        </stop>
        <stop position="1">
          <color rgb="FF00FFCC"/>
        </stop>
      </gradientFill>
    </fill>
  </fills>
  <borders count="418">
    <border>
      <left/>
      <right/>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double">
        <color indexed="64"/>
      </top>
      <bottom/>
      <diagonal/>
    </border>
    <border>
      <left/>
      <right/>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double">
        <color indexed="64"/>
      </bottom>
      <diagonal/>
    </border>
    <border>
      <left/>
      <right style="thin">
        <color indexed="64"/>
      </right>
      <top/>
      <bottom style="thin">
        <color indexed="64"/>
      </bottom>
      <diagonal/>
    </border>
    <border>
      <left style="medium">
        <color indexed="64"/>
      </left>
      <right style="hair">
        <color indexed="64"/>
      </right>
      <top/>
      <bottom style="double">
        <color indexed="64"/>
      </bottom>
      <diagonal/>
    </border>
    <border>
      <left/>
      <right/>
      <top style="medium">
        <color indexed="64"/>
      </top>
      <bottom/>
      <diagonal/>
    </border>
    <border>
      <left/>
      <right style="thin">
        <color indexed="64"/>
      </right>
      <top/>
      <bottom/>
      <diagonal/>
    </border>
    <border>
      <left/>
      <right style="medium">
        <color indexed="64"/>
      </right>
      <top/>
      <bottom/>
      <diagonal/>
    </border>
    <border>
      <left/>
      <right style="medium">
        <color indexed="64"/>
      </right>
      <top style="medium">
        <color indexed="64"/>
      </top>
      <bottom/>
      <diagonal/>
    </border>
    <border>
      <left style="hair">
        <color indexed="64"/>
      </left>
      <right style="medium">
        <color indexed="64"/>
      </right>
      <top/>
      <bottom style="double">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ck">
        <color indexed="64"/>
      </right>
      <top style="double">
        <color indexed="64"/>
      </top>
      <bottom style="thin">
        <color indexed="64"/>
      </bottom>
      <diagonal/>
    </border>
    <border>
      <left style="thick">
        <color indexed="64"/>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medium">
        <color indexed="64"/>
      </right>
      <top style="double">
        <color indexed="64"/>
      </top>
      <bottom style="thin">
        <color indexed="64"/>
      </bottom>
      <diagonal/>
    </border>
    <border>
      <left style="medium">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double">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double">
        <color indexed="64"/>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double">
        <color indexed="64"/>
      </top>
      <bottom style="medium">
        <color indexed="64"/>
      </bottom>
      <diagonal/>
    </border>
    <border>
      <left/>
      <right/>
      <top style="thick">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ck">
        <color indexed="64"/>
      </left>
      <right style="hair">
        <color indexed="64"/>
      </right>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ck">
        <color indexed="64"/>
      </right>
      <top/>
      <bottom/>
      <diagonal/>
    </border>
    <border>
      <left/>
      <right style="hair">
        <color indexed="64"/>
      </right>
      <top/>
      <bottom style="double">
        <color indexed="64"/>
      </bottom>
      <diagonal/>
    </border>
    <border>
      <left/>
      <right style="medium">
        <color indexed="64"/>
      </right>
      <top/>
      <bottom style="double">
        <color indexed="64"/>
      </bottom>
      <diagonal/>
    </border>
    <border>
      <left style="medium">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thick">
        <color indexed="64"/>
      </left>
      <right style="thick">
        <color indexed="64"/>
      </right>
      <top style="double">
        <color indexed="64"/>
      </top>
      <bottom style="hair">
        <color indexed="64"/>
      </bottom>
      <diagonal/>
    </border>
    <border>
      <left style="thick">
        <color indexed="64"/>
      </left>
      <right style="medium">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style="thick">
        <color indexed="64"/>
      </right>
      <top style="double">
        <color indexed="64"/>
      </top>
      <bottom style="hair">
        <color indexed="64"/>
      </bottom>
      <diagonal/>
    </border>
    <border>
      <left style="thick">
        <color indexed="64"/>
      </left>
      <right/>
      <top style="double">
        <color indexed="64"/>
      </top>
      <bottom style="hair">
        <color indexed="64"/>
      </bottom>
      <diagonal/>
    </border>
    <border>
      <left style="thin">
        <color indexed="64"/>
      </left>
      <right style="thick">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medium">
        <color indexed="64"/>
      </left>
      <right/>
      <top style="hair">
        <color indexed="64"/>
      </top>
      <bottom style="thick">
        <color indexed="64"/>
      </bottom>
      <diagonal/>
    </border>
    <border>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style="thick">
        <color indexed="64"/>
      </left>
      <right style="thick">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style="medium">
        <color indexed="64"/>
      </left>
      <right style="medium">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thick">
        <color indexed="64"/>
      </left>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ck">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right style="thick">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thin">
        <color indexed="64"/>
      </left>
      <right style="medium">
        <color indexed="64"/>
      </right>
      <top style="hair">
        <color indexed="64"/>
      </top>
      <bottom style="hair">
        <color indexed="64"/>
      </bottom>
      <diagonal/>
    </border>
    <border>
      <left/>
      <right style="thick">
        <color indexed="64"/>
      </right>
      <top style="hair">
        <color indexed="64"/>
      </top>
      <bottom style="hair">
        <color indexed="64"/>
      </bottom>
      <diagonal/>
    </border>
    <border>
      <left style="thin">
        <color indexed="64"/>
      </left>
      <right style="medium">
        <color indexed="64"/>
      </right>
      <top style="hair">
        <color indexed="64"/>
      </top>
      <bottom style="thick">
        <color indexed="64"/>
      </bottom>
      <diagonal/>
    </border>
    <border>
      <left/>
      <right style="thick">
        <color indexed="64"/>
      </right>
      <top style="hair">
        <color indexed="64"/>
      </top>
      <bottom style="thick">
        <color indexed="64"/>
      </bottom>
      <diagonal/>
    </border>
    <border>
      <left style="thin">
        <color indexed="64"/>
      </left>
      <right style="hair">
        <color indexed="64"/>
      </right>
      <top style="hair">
        <color indexed="64"/>
      </top>
      <bottom style="thick">
        <color indexed="64"/>
      </bottom>
      <diagonal/>
    </border>
    <border>
      <left style="hair">
        <color indexed="64"/>
      </left>
      <right style="thin">
        <color indexed="64"/>
      </right>
      <top style="hair">
        <color indexed="64"/>
      </top>
      <bottom style="thick">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thick">
        <color indexed="64"/>
      </left>
      <right style="hair">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ck">
        <color indexed="64"/>
      </left>
      <right style="hair">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medium">
        <color indexed="64"/>
      </left>
      <right style="thin">
        <color indexed="64"/>
      </right>
      <top style="hair">
        <color indexed="64"/>
      </top>
      <bottom style="thick">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double">
        <color indexed="64"/>
      </bottom>
      <diagonal/>
    </border>
    <border>
      <left style="medium">
        <color indexed="64"/>
      </left>
      <right/>
      <top/>
      <bottom style="thin">
        <color indexed="64"/>
      </bottom>
      <diagonal/>
    </border>
    <border>
      <left style="thin">
        <color indexed="64"/>
      </left>
      <right style="thick">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diagonal/>
    </border>
    <border>
      <left style="medium">
        <color indexed="64"/>
      </left>
      <right style="thick">
        <color indexed="64"/>
      </right>
      <top style="thin">
        <color indexed="64"/>
      </top>
      <bottom style="double">
        <color indexed="64"/>
      </bottom>
      <diagonal/>
    </border>
    <border>
      <left style="medium">
        <color indexed="64"/>
      </left>
      <right style="thick">
        <color indexed="64"/>
      </right>
      <top style="double">
        <color indexed="64"/>
      </top>
      <bottom style="double">
        <color indexed="64"/>
      </bottom>
      <diagonal/>
    </border>
    <border>
      <left style="thin">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ck">
        <color indexed="64"/>
      </left>
      <right/>
      <top style="medium">
        <color indexed="64"/>
      </top>
      <bottom style="double">
        <color indexed="64"/>
      </bottom>
      <diagonal/>
    </border>
    <border>
      <left style="thick">
        <color indexed="64"/>
      </left>
      <right style="thick">
        <color indexed="64"/>
      </right>
      <top style="double">
        <color indexed="64"/>
      </top>
      <bottom style="double">
        <color indexed="64"/>
      </bottom>
      <diagonal/>
    </border>
    <border>
      <left style="thick">
        <color indexed="64"/>
      </left>
      <right style="thin">
        <color indexed="64"/>
      </right>
      <top style="double">
        <color indexed="64"/>
      </top>
      <bottom style="double">
        <color indexed="64"/>
      </bottom>
      <diagonal/>
    </border>
    <border>
      <left style="thick">
        <color indexed="64"/>
      </left>
      <right style="thin">
        <color indexed="64"/>
      </right>
      <top style="medium">
        <color indexed="64"/>
      </top>
      <bottom style="double">
        <color indexed="64"/>
      </bottom>
      <diagonal/>
    </border>
    <border>
      <left style="thin">
        <color indexed="64"/>
      </left>
      <right/>
      <top style="double">
        <color indexed="64"/>
      </top>
      <bottom style="double">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double">
        <color indexed="64"/>
      </bottom>
      <diagonal/>
    </border>
    <border>
      <left style="thin">
        <color indexed="64"/>
      </left>
      <right style="thick">
        <color indexed="64"/>
      </right>
      <top style="double">
        <color indexed="64"/>
      </top>
      <bottom style="double">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medium">
        <color indexed="64"/>
      </top>
      <bottom style="double">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hair">
        <color indexed="64"/>
      </left>
      <right/>
      <top/>
      <bottom style="thin">
        <color indexed="64"/>
      </bottom>
      <diagonal/>
    </border>
    <border>
      <left style="hair">
        <color indexed="64"/>
      </left>
      <right/>
      <top style="thin">
        <color indexed="64"/>
      </top>
      <bottom/>
      <diagonal/>
    </border>
    <border>
      <left style="medium">
        <color indexed="64"/>
      </left>
      <right style="medium">
        <color indexed="64"/>
      </right>
      <top style="thick">
        <color indexed="64"/>
      </top>
      <bottom style="double">
        <color indexed="64"/>
      </bottom>
      <diagonal/>
    </border>
    <border>
      <left style="thick">
        <color indexed="64"/>
      </left>
      <right style="medium">
        <color indexed="64"/>
      </right>
      <top style="thick">
        <color indexed="64"/>
      </top>
      <bottom style="double">
        <color indexed="64"/>
      </bottom>
      <diagonal/>
    </border>
    <border>
      <left style="thick">
        <color indexed="64"/>
      </left>
      <right style="medium">
        <color indexed="64"/>
      </right>
      <top style="double">
        <color indexed="64"/>
      </top>
      <bottom style="double">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top style="thin">
        <color indexed="64"/>
      </top>
      <bottom style="double">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double">
        <color indexed="64"/>
      </bottom>
      <diagonal/>
    </border>
    <border>
      <left style="medium">
        <color indexed="64"/>
      </left>
      <right style="medium">
        <color indexed="64"/>
      </right>
      <top style="thick">
        <color indexed="64"/>
      </top>
      <bottom style="thick">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double">
        <color indexed="64"/>
      </top>
      <bottom style="double">
        <color indexed="64"/>
      </bottom>
      <diagonal/>
    </border>
    <border>
      <left style="medium">
        <color indexed="64"/>
      </left>
      <right style="thick">
        <color indexed="64"/>
      </right>
      <top style="medium">
        <color indexed="64"/>
      </top>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right/>
      <top style="medium">
        <color indexed="64"/>
      </top>
      <bottom style="double">
        <color indexed="64"/>
      </bottom>
      <diagonal/>
    </border>
    <border>
      <left/>
      <right/>
      <top style="double">
        <color indexed="64"/>
      </top>
      <bottom style="double">
        <color indexed="64"/>
      </bottom>
      <diagonal/>
    </border>
    <border>
      <left style="thick">
        <color indexed="64"/>
      </left>
      <right style="medium">
        <color indexed="64"/>
      </right>
      <top style="medium">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ck">
        <color indexed="64"/>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double">
        <color auto="1"/>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double">
        <color auto="1"/>
      </top>
      <bottom style="hair">
        <color auto="1"/>
      </bottom>
      <diagonal/>
    </border>
    <border>
      <left style="thin">
        <color auto="1"/>
      </left>
      <right/>
      <top style="double">
        <color auto="1"/>
      </top>
      <bottom style="hair">
        <color auto="1"/>
      </bottom>
      <diagonal/>
    </border>
    <border>
      <left style="thin">
        <color indexed="64"/>
      </left>
      <right/>
      <top style="hair">
        <color auto="1"/>
      </top>
      <bottom style="hair">
        <color auto="1"/>
      </bottom>
      <diagonal/>
    </border>
    <border>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style="hair">
        <color indexed="64"/>
      </right>
      <top/>
      <bottom style="thin">
        <color indexed="64"/>
      </bottom>
      <diagonal/>
    </border>
    <border>
      <left/>
      <right style="hair">
        <color indexed="64"/>
      </right>
      <top style="thin">
        <color indexed="64"/>
      </top>
      <bottom/>
      <diagonal/>
    </border>
    <border>
      <left style="thin">
        <color auto="1"/>
      </left>
      <right style="thin">
        <color auto="1"/>
      </right>
      <top style="hair">
        <color auto="1"/>
      </top>
      <bottom style="thin">
        <color auto="1"/>
      </bottom>
      <diagonal/>
    </border>
    <border>
      <left/>
      <right style="thick">
        <color indexed="64"/>
      </right>
      <top/>
      <bottom style="hair">
        <color indexed="64"/>
      </bottom>
      <diagonal/>
    </border>
    <border>
      <left style="thick">
        <color indexed="64"/>
      </left>
      <right/>
      <top/>
      <bottom style="hair">
        <color indexed="64"/>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medium">
        <color indexed="64"/>
      </left>
      <right style="thin">
        <color indexed="64"/>
      </right>
      <top/>
      <bottom style="double">
        <color auto="1"/>
      </bottom>
      <diagonal/>
    </border>
    <border>
      <left style="thin">
        <color indexed="64"/>
      </left>
      <right style="thin">
        <color indexed="64"/>
      </right>
      <top/>
      <bottom style="double">
        <color auto="1"/>
      </bottom>
      <diagonal/>
    </border>
    <border>
      <left style="thin">
        <color indexed="64"/>
      </left>
      <right style="medium">
        <color indexed="64"/>
      </right>
      <top/>
      <bottom style="double">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bottom style="double">
        <color indexed="64"/>
      </bottom>
      <diagonal/>
    </border>
    <border>
      <left/>
      <right style="hair">
        <color indexed="64"/>
      </right>
      <top style="hair">
        <color indexed="64"/>
      </top>
      <bottom style="thin">
        <color indexed="64"/>
      </bottom>
      <diagonal/>
    </border>
    <border>
      <left style="thin">
        <color indexed="64"/>
      </left>
      <right style="thin">
        <color indexed="64"/>
      </right>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style="thin">
        <color indexed="64"/>
      </left>
      <right/>
      <top/>
      <bottom style="hair">
        <color auto="1"/>
      </bottom>
      <diagonal/>
    </border>
    <border>
      <left/>
      <right style="thin">
        <color indexed="64"/>
      </right>
      <top/>
      <bottom style="hair">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ck">
        <color indexed="64"/>
      </left>
      <right style="hair">
        <color indexed="64"/>
      </right>
      <top style="thick">
        <color indexed="64"/>
      </top>
      <bottom style="double">
        <color indexed="64"/>
      </bottom>
      <diagonal/>
    </border>
    <border>
      <left style="hair">
        <color indexed="64"/>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ck">
        <color indexed="64"/>
      </right>
      <top style="double">
        <color indexed="64"/>
      </top>
      <bottom style="double">
        <color indexed="64"/>
      </bottom>
      <diagonal/>
    </border>
    <border>
      <left style="hair">
        <color indexed="64"/>
      </left>
      <right style="hair">
        <color indexed="64"/>
      </right>
      <top style="thick">
        <color indexed="64"/>
      </top>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top style="medium">
        <color auto="1"/>
      </top>
      <bottom/>
      <diagonal/>
    </border>
    <border>
      <left style="hair">
        <color auto="1"/>
      </left>
      <right/>
      <top/>
      <bottom style="double">
        <color auto="1"/>
      </bottom>
      <diagonal/>
    </border>
    <border>
      <left style="hair">
        <color indexed="64"/>
      </left>
      <right/>
      <top style="double">
        <color indexed="64"/>
      </top>
      <bottom style="hair">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diagonal/>
    </border>
    <border>
      <left style="medium">
        <color indexed="64"/>
      </left>
      <right style="hair">
        <color indexed="64"/>
      </right>
      <top/>
      <bottom/>
      <diagonal/>
    </border>
    <border>
      <left style="hair">
        <color auto="1"/>
      </left>
      <right style="medium">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medium">
        <color auto="1"/>
      </right>
      <top/>
      <bottom style="double">
        <color auto="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double">
        <color indexed="64"/>
      </left>
      <right style="thin">
        <color indexed="64"/>
      </right>
      <top style="thin">
        <color indexed="64"/>
      </top>
      <bottom style="hair">
        <color indexed="64"/>
      </bottom>
      <diagonal/>
    </border>
    <border>
      <left/>
      <right style="thick">
        <color indexed="64"/>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style="thick">
        <color indexed="64"/>
      </right>
      <top/>
      <bottom style="double">
        <color indexed="64"/>
      </bottom>
      <diagonal/>
    </border>
    <border>
      <left style="medium">
        <color indexed="64"/>
      </left>
      <right/>
      <top/>
      <bottom style="double">
        <color indexed="64"/>
      </bottom>
      <diagonal/>
    </border>
    <border>
      <left style="medium">
        <color indexed="64"/>
      </left>
      <right style="thick">
        <color indexed="64"/>
      </right>
      <top/>
      <bottom style="double">
        <color indexed="64"/>
      </bottom>
      <diagonal/>
    </border>
    <border>
      <left style="thin">
        <color indexed="64"/>
      </left>
      <right style="medium">
        <color indexed="64"/>
      </right>
      <top style="thick">
        <color indexed="64"/>
      </top>
      <bottom style="double">
        <color indexed="64"/>
      </bottom>
      <diagonal/>
    </border>
    <border>
      <left style="medium">
        <color indexed="64"/>
      </left>
      <right style="medium">
        <color indexed="64"/>
      </right>
      <top style="thick">
        <color indexed="64"/>
      </top>
      <bottom style="hair">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medium">
        <color indexed="64"/>
      </left>
      <right style="medium">
        <color indexed="64"/>
      </right>
      <top style="hair">
        <color indexed="64"/>
      </top>
      <bottom style="double">
        <color indexed="64"/>
      </bottom>
      <diagonal/>
    </border>
    <border>
      <left style="thin">
        <color indexed="64"/>
      </left>
      <right style="thin">
        <color indexed="64"/>
      </right>
      <top style="thick">
        <color indexed="64"/>
      </top>
      <bottom style="double">
        <color indexed="64"/>
      </bottom>
      <diagonal/>
    </border>
    <border>
      <left style="thin">
        <color indexed="64"/>
      </left>
      <right style="medium">
        <color indexed="64"/>
      </right>
      <top style="thick">
        <color indexed="64"/>
      </top>
      <bottom style="hair">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hair">
        <color indexed="64"/>
      </top>
      <bottom style="double">
        <color indexed="64"/>
      </bottom>
      <diagonal/>
    </border>
    <border>
      <left style="thick">
        <color indexed="64"/>
      </left>
      <right style="thin">
        <color indexed="64"/>
      </right>
      <top style="thick">
        <color indexed="64"/>
      </top>
      <bottom style="double">
        <color indexed="64"/>
      </bottom>
      <diagonal/>
    </border>
    <border>
      <left style="thin">
        <color indexed="64"/>
      </left>
      <right/>
      <top style="thick">
        <color indexed="64"/>
      </top>
      <bottom style="double">
        <color indexed="64"/>
      </bottom>
      <diagonal/>
    </border>
    <border>
      <left/>
      <right style="thin">
        <color indexed="64"/>
      </right>
      <top style="thick">
        <color indexed="64"/>
      </top>
      <bottom style="double">
        <color indexed="64"/>
      </bottom>
      <diagonal/>
    </border>
    <border>
      <left style="thin">
        <color indexed="64"/>
      </left>
      <right style="thick">
        <color indexed="64"/>
      </right>
      <top style="thick">
        <color indexed="64"/>
      </top>
      <bottom style="double">
        <color indexed="64"/>
      </bottom>
      <diagonal/>
    </border>
    <border>
      <left style="thick">
        <color indexed="64"/>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ck">
        <color indexed="64"/>
      </right>
      <top style="double">
        <color indexed="64"/>
      </top>
      <bottom style="double">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medium">
        <color indexed="64"/>
      </left>
      <right style="hair">
        <color indexed="64"/>
      </right>
      <top style="hair">
        <color indexed="64"/>
      </top>
      <bottom style="thick">
        <color indexed="64"/>
      </bottom>
      <diagonal/>
    </border>
  </borders>
  <cellStyleXfs count="4">
    <xf numFmtId="0" fontId="0" fillId="0" borderId="0"/>
    <xf numFmtId="0" fontId="2" fillId="0" borderId="0"/>
    <xf numFmtId="0" fontId="3" fillId="0" borderId="0"/>
    <xf numFmtId="0" fontId="1" fillId="0" borderId="0"/>
  </cellStyleXfs>
  <cellXfs count="2669">
    <xf numFmtId="0" fontId="0" fillId="0" borderId="0" xfId="0"/>
    <xf numFmtId="0" fontId="0" fillId="2" borderId="0" xfId="0" applyFill="1"/>
    <xf numFmtId="0" fontId="4" fillId="2" borderId="0" xfId="0" applyFont="1" applyFill="1"/>
    <xf numFmtId="0" fontId="5" fillId="0" borderId="0" xfId="0" applyFont="1" applyAlignment="1">
      <alignment horizontal="center"/>
    </xf>
    <xf numFmtId="0" fontId="8" fillId="2" borderId="0" xfId="0" applyFont="1" applyFill="1" applyAlignment="1">
      <alignment horizontal="right"/>
    </xf>
    <xf numFmtId="0" fontId="8" fillId="2" borderId="0" xfId="0" applyFont="1" applyFill="1" applyAlignment="1">
      <alignment horizontal="left"/>
    </xf>
    <xf numFmtId="0" fontId="9" fillId="3" borderId="1" xfId="0" applyFont="1" applyFill="1" applyBorder="1" applyAlignment="1">
      <alignment horizontal="right"/>
    </xf>
    <xf numFmtId="0" fontId="9" fillId="3" borderId="2" xfId="0" applyFont="1" applyFill="1" applyBorder="1" applyAlignment="1">
      <alignment horizontal="right"/>
    </xf>
    <xf numFmtId="0" fontId="9" fillId="3" borderId="3" xfId="0" applyFont="1" applyFill="1" applyBorder="1" applyAlignment="1">
      <alignment horizontal="right"/>
    </xf>
    <xf numFmtId="49" fontId="12" fillId="4" borderId="4" xfId="0" applyNumberFormat="1" applyFont="1" applyFill="1" applyBorder="1" applyAlignment="1">
      <alignment horizontal="left" indent="1"/>
    </xf>
    <xf numFmtId="49" fontId="12" fillId="4" borderId="5" xfId="0" applyNumberFormat="1" applyFont="1" applyFill="1" applyBorder="1" applyAlignment="1">
      <alignment horizontal="left" indent="1"/>
    </xf>
    <xf numFmtId="1" fontId="12" fillId="4" borderId="6" xfId="0" applyNumberFormat="1" applyFont="1" applyFill="1" applyBorder="1" applyAlignment="1">
      <alignment horizontal="left" indent="1"/>
    </xf>
    <xf numFmtId="0" fontId="9" fillId="5" borderId="7" xfId="0" applyFont="1" applyFill="1" applyBorder="1" applyAlignment="1">
      <alignment horizontal="right"/>
    </xf>
    <xf numFmtId="0" fontId="9" fillId="5" borderId="8" xfId="0" applyFont="1" applyFill="1" applyBorder="1" applyAlignment="1">
      <alignment horizontal="right"/>
    </xf>
    <xf numFmtId="0" fontId="9" fillId="5" borderId="9" xfId="0" applyFont="1" applyFill="1" applyBorder="1" applyAlignment="1">
      <alignment horizontal="right"/>
    </xf>
    <xf numFmtId="0" fontId="9" fillId="3" borderId="7" xfId="0" applyFont="1" applyFill="1" applyBorder="1" applyAlignment="1">
      <alignment horizontal="right"/>
    </xf>
    <xf numFmtId="0" fontId="9" fillId="3" borderId="8" xfId="0" applyFont="1" applyFill="1" applyBorder="1" applyAlignment="1">
      <alignment horizontal="right"/>
    </xf>
    <xf numFmtId="0" fontId="9" fillId="3" borderId="9" xfId="0" applyFont="1" applyFill="1" applyBorder="1" applyAlignment="1">
      <alignment horizontal="right"/>
    </xf>
    <xf numFmtId="0" fontId="13" fillId="0" borderId="0" xfId="0" applyFont="1" applyAlignment="1">
      <alignment horizontal="left" vertical="center" indent="4"/>
    </xf>
    <xf numFmtId="0" fontId="4" fillId="0" borderId="0" xfId="0" applyFont="1"/>
    <xf numFmtId="0" fontId="14" fillId="0" borderId="10" xfId="0" applyFont="1" applyBorder="1" applyAlignment="1">
      <alignment horizontal="right" vertical="top"/>
    </xf>
    <xf numFmtId="0" fontId="4" fillId="2" borderId="0" xfId="0" applyFont="1" applyFill="1" applyAlignment="1">
      <alignment vertical="center"/>
    </xf>
    <xf numFmtId="0" fontId="4" fillId="0" borderId="0" xfId="0" applyFont="1" applyAlignment="1">
      <alignment horizontal="left"/>
    </xf>
    <xf numFmtId="0" fontId="11" fillId="2" borderId="0" xfId="0" applyFont="1" applyFill="1" applyAlignment="1">
      <alignment horizontal="center" vertical="center"/>
    </xf>
    <xf numFmtId="0" fontId="6" fillId="0" borderId="0" xfId="0" applyFont="1" applyAlignment="1">
      <alignment horizontal="left"/>
    </xf>
    <xf numFmtId="0" fontId="6" fillId="0" borderId="0" xfId="0" applyFont="1"/>
    <xf numFmtId="0" fontId="16" fillId="0" borderId="0" xfId="0" applyFont="1" applyAlignment="1">
      <alignment horizontal="center"/>
    </xf>
    <xf numFmtId="0" fontId="17" fillId="0" borderId="0" xfId="0" applyFont="1" applyAlignment="1">
      <alignment horizontal="center"/>
    </xf>
    <xf numFmtId="49" fontId="6" fillId="0" borderId="0" xfId="0" applyNumberFormat="1" applyFont="1" applyAlignment="1">
      <alignment vertical="top"/>
    </xf>
    <xf numFmtId="49" fontId="6" fillId="0" borderId="0" xfId="0" applyNumberFormat="1" applyFont="1" applyAlignment="1">
      <alignment horizontal="center" vertical="top"/>
    </xf>
    <xf numFmtId="0" fontId="4" fillId="2" borderId="0" xfId="0" applyFont="1" applyFill="1" applyAlignment="1">
      <alignment horizontal="center"/>
    </xf>
    <xf numFmtId="0" fontId="24" fillId="2" borderId="11" xfId="0" applyFont="1" applyFill="1" applyBorder="1" applyAlignment="1">
      <alignment horizontal="right"/>
    </xf>
    <xf numFmtId="0" fontId="25" fillId="2" borderId="0" xfId="0" quotePrefix="1" applyFont="1" applyFill="1"/>
    <xf numFmtId="49" fontId="15" fillId="0" borderId="0" xfId="0" applyNumberFormat="1" applyFont="1" applyAlignment="1">
      <alignment horizontal="left" indent="4"/>
    </xf>
    <xf numFmtId="0" fontId="0" fillId="0" borderId="0" xfId="0" applyAlignment="1">
      <alignment horizontal="left"/>
    </xf>
    <xf numFmtId="0" fontId="4" fillId="2" borderId="12" xfId="0" applyFont="1" applyFill="1" applyBorder="1" applyAlignment="1" applyProtection="1">
      <alignment horizontal="center"/>
      <protection locked="0"/>
    </xf>
    <xf numFmtId="0" fontId="11" fillId="0" borderId="0" xfId="0" applyFont="1" applyAlignment="1">
      <alignment horizontal="center"/>
    </xf>
    <xf numFmtId="1" fontId="4" fillId="2" borderId="12" xfId="0" applyNumberFormat="1" applyFont="1" applyFill="1" applyBorder="1" applyAlignment="1" applyProtection="1">
      <alignment horizontal="center"/>
      <protection locked="0"/>
    </xf>
    <xf numFmtId="0" fontId="9" fillId="0" borderId="0" xfId="0" applyFont="1" applyAlignment="1">
      <alignment horizontal="center"/>
    </xf>
    <xf numFmtId="0" fontId="34" fillId="0" borderId="0" xfId="0" applyFont="1"/>
    <xf numFmtId="0" fontId="34" fillId="0" borderId="0" xfId="0" applyFont="1" applyAlignment="1">
      <alignment horizontal="center"/>
    </xf>
    <xf numFmtId="0" fontId="34" fillId="0" borderId="0" xfId="0" applyFont="1" applyAlignment="1">
      <alignment vertical="center"/>
    </xf>
    <xf numFmtId="176" fontId="34" fillId="0" borderId="0" xfId="0" applyNumberFormat="1" applyFont="1" applyAlignment="1">
      <alignment vertical="center"/>
    </xf>
    <xf numFmtId="2" fontId="35" fillId="0" borderId="0" xfId="0" applyNumberFormat="1" applyFont="1" applyAlignment="1">
      <alignment vertical="center"/>
    </xf>
    <xf numFmtId="0" fontId="37" fillId="0" borderId="0" xfId="0" applyFont="1"/>
    <xf numFmtId="1" fontId="34" fillId="0" borderId="0" xfId="0" applyNumberFormat="1" applyFont="1" applyAlignment="1">
      <alignment horizontal="center"/>
    </xf>
    <xf numFmtId="2" fontId="35" fillId="0" borderId="0" xfId="0" applyNumberFormat="1" applyFont="1"/>
    <xf numFmtId="0" fontId="14" fillId="0" borderId="0" xfId="0" applyFont="1" applyAlignment="1">
      <alignment horizontal="left"/>
    </xf>
    <xf numFmtId="0" fontId="9" fillId="2" borderId="0" xfId="0" applyFont="1" applyFill="1"/>
    <xf numFmtId="0" fontId="0" fillId="2" borderId="0" xfId="0" applyFill="1" applyAlignment="1">
      <alignment horizontal="center"/>
    </xf>
    <xf numFmtId="0" fontId="0" fillId="0" borderId="0" xfId="0" applyAlignment="1">
      <alignment horizontal="right"/>
    </xf>
    <xf numFmtId="0" fontId="13" fillId="0" borderId="0" xfId="0" applyFont="1" applyAlignment="1">
      <alignment horizontal="left" vertical="center" indent="1"/>
    </xf>
    <xf numFmtId="0" fontId="0" fillId="2" borderId="0" xfId="0" applyFill="1" applyAlignment="1">
      <alignment wrapText="1"/>
    </xf>
    <xf numFmtId="0" fontId="0" fillId="2" borderId="13" xfId="0" applyFill="1" applyBorder="1" applyAlignment="1">
      <alignment horizontal="center"/>
    </xf>
    <xf numFmtId="0" fontId="0" fillId="2" borderId="12" xfId="0" applyFill="1" applyBorder="1" applyAlignment="1" applyProtection="1">
      <alignment horizontal="center"/>
      <protection locked="0"/>
    </xf>
    <xf numFmtId="0" fontId="0" fillId="2" borderId="14" xfId="0" applyFill="1" applyBorder="1" applyAlignment="1" applyProtection="1">
      <alignment horizontal="center"/>
      <protection locked="0"/>
    </xf>
    <xf numFmtId="0" fontId="4" fillId="0" borderId="0" xfId="0" applyFont="1" applyAlignment="1">
      <alignment horizontal="center"/>
    </xf>
    <xf numFmtId="0" fontId="40" fillId="0" borderId="0" xfId="0" applyFont="1"/>
    <xf numFmtId="0" fontId="40" fillId="0" borderId="0" xfId="0" applyFont="1" applyAlignment="1">
      <alignment horizontal="center"/>
    </xf>
    <xf numFmtId="0" fontId="34" fillId="0" borderId="15" xfId="0" applyFont="1" applyBorder="1" applyAlignment="1">
      <alignment vertical="center"/>
    </xf>
    <xf numFmtId="176" fontId="34" fillId="0" borderId="15" xfId="0" applyNumberFormat="1" applyFont="1" applyBorder="1" applyAlignment="1">
      <alignment vertical="center"/>
    </xf>
    <xf numFmtId="2" fontId="35" fillId="0" borderId="15" xfId="0" applyNumberFormat="1" applyFont="1" applyBorder="1" applyAlignment="1">
      <alignment vertical="center"/>
    </xf>
    <xf numFmtId="0" fontId="36" fillId="0" borderId="15" xfId="0" applyFont="1" applyBorder="1" applyAlignment="1">
      <alignment vertical="center"/>
    </xf>
    <xf numFmtId="0" fontId="34" fillId="0" borderId="15" xfId="0" applyFont="1" applyBorder="1"/>
    <xf numFmtId="0" fontId="40" fillId="0" borderId="15" xfId="0" applyFont="1" applyBorder="1"/>
    <xf numFmtId="1" fontId="34" fillId="0" borderId="15" xfId="0" applyNumberFormat="1" applyFont="1" applyBorder="1" applyAlignment="1">
      <alignment horizontal="center"/>
    </xf>
    <xf numFmtId="2" fontId="35" fillId="0" borderId="15" xfId="0" applyNumberFormat="1" applyFont="1" applyBorder="1"/>
    <xf numFmtId="0" fontId="36" fillId="0" borderId="15" xfId="0" applyFont="1" applyBorder="1"/>
    <xf numFmtId="0" fontId="32" fillId="0" borderId="0" xfId="0" applyFont="1" applyAlignment="1">
      <alignment horizontal="right"/>
    </xf>
    <xf numFmtId="0" fontId="0" fillId="0" borderId="16" xfId="0" applyBorder="1"/>
    <xf numFmtId="0" fontId="32" fillId="0" borderId="16" xfId="0" applyFont="1" applyBorder="1" applyAlignment="1">
      <alignment horizontal="right"/>
    </xf>
    <xf numFmtId="0" fontId="22" fillId="0" borderId="0" xfId="0" applyFont="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pplyProtection="1">
      <alignment horizontal="center"/>
      <protection locked="0"/>
    </xf>
    <xf numFmtId="0" fontId="0" fillId="2" borderId="20" xfId="0" applyFill="1" applyBorder="1" applyAlignment="1" applyProtection="1">
      <alignment horizontal="center"/>
      <protection locked="0"/>
    </xf>
    <xf numFmtId="0" fontId="0" fillId="2" borderId="21"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40" fillId="0" borderId="0" xfId="0" applyFont="1" applyAlignment="1">
      <alignment vertical="center"/>
    </xf>
    <xf numFmtId="0" fontId="36" fillId="0" borderId="0" xfId="0" applyFont="1"/>
    <xf numFmtId="0" fontId="45" fillId="2" borderId="0" xfId="0" quotePrefix="1" applyFont="1" applyFill="1"/>
    <xf numFmtId="0" fontId="45" fillId="2" borderId="0" xfId="0" quotePrefix="1" applyFont="1" applyFill="1" applyAlignment="1">
      <alignment horizontal="right"/>
    </xf>
    <xf numFmtId="0" fontId="0" fillId="2" borderId="0" xfId="0" applyFill="1" applyAlignment="1">
      <alignment horizontal="left"/>
    </xf>
    <xf numFmtId="0" fontId="0" fillId="2" borderId="12" xfId="0" applyFill="1" applyBorder="1" applyProtection="1">
      <protection locked="0"/>
    </xf>
    <xf numFmtId="168" fontId="0" fillId="2" borderId="12" xfId="0" applyNumberFormat="1" applyFill="1" applyBorder="1" applyProtection="1">
      <protection locked="0"/>
    </xf>
    <xf numFmtId="1" fontId="0" fillId="2" borderId="12" xfId="0" applyNumberFormat="1" applyFill="1" applyBorder="1" applyAlignment="1" applyProtection="1">
      <alignment horizontal="center"/>
      <protection locked="0"/>
    </xf>
    <xf numFmtId="0" fontId="0" fillId="2" borderId="12" xfId="0" applyFill="1" applyBorder="1" applyAlignment="1">
      <alignment horizontal="left"/>
    </xf>
    <xf numFmtId="168" fontId="0" fillId="2" borderId="0" xfId="0" applyNumberFormat="1" applyFill="1" applyAlignment="1">
      <alignment horizontal="center"/>
    </xf>
    <xf numFmtId="1" fontId="4" fillId="2" borderId="0" xfId="0" applyNumberFormat="1" applyFont="1" applyFill="1" applyAlignment="1">
      <alignment horizontal="center"/>
    </xf>
    <xf numFmtId="0" fontId="4" fillId="2" borderId="12" xfId="0" applyFont="1" applyFill="1" applyBorder="1" applyProtection="1">
      <protection locked="0"/>
    </xf>
    <xf numFmtId="49" fontId="4" fillId="2" borderId="12" xfId="0" applyNumberFormat="1" applyFont="1" applyFill="1" applyBorder="1" applyAlignment="1" applyProtection="1">
      <alignment horizontal="center"/>
      <protection locked="0"/>
    </xf>
    <xf numFmtId="0" fontId="0" fillId="2" borderId="0" xfId="0" applyFill="1" applyAlignment="1">
      <alignment horizontal="right"/>
    </xf>
    <xf numFmtId="0" fontId="0" fillId="2" borderId="0" xfId="0" applyFill="1" applyAlignment="1" applyProtection="1">
      <alignment horizontal="center"/>
      <protection locked="0"/>
    </xf>
    <xf numFmtId="0" fontId="10" fillId="2" borderId="0" xfId="0" applyFont="1" applyFill="1" applyAlignment="1">
      <alignment horizontal="right"/>
    </xf>
    <xf numFmtId="0" fontId="0" fillId="0" borderId="0" xfId="0" applyAlignment="1">
      <alignment horizontal="center"/>
    </xf>
    <xf numFmtId="0" fontId="0" fillId="0" borderId="0" xfId="0" applyAlignment="1">
      <alignment horizontal="center" vertical="top"/>
    </xf>
    <xf numFmtId="0" fontId="0" fillId="0" borderId="10" xfId="0" applyBorder="1"/>
    <xf numFmtId="0" fontId="0" fillId="0" borderId="22" xfId="0" applyBorder="1"/>
    <xf numFmtId="0" fontId="0" fillId="0" borderId="11" xfId="0" applyBorder="1"/>
    <xf numFmtId="0" fontId="3" fillId="0" borderId="0" xfId="0" applyFont="1"/>
    <xf numFmtId="0" fontId="44" fillId="0" borderId="0" xfId="0" applyFont="1" applyAlignment="1">
      <alignment horizontal="center"/>
    </xf>
    <xf numFmtId="0" fontId="24" fillId="2" borderId="10" xfId="0" applyFont="1" applyFill="1" applyBorder="1" applyAlignment="1">
      <alignment horizontal="left"/>
    </xf>
    <xf numFmtId="0" fontId="0" fillId="2" borderId="0" xfId="0" applyFill="1" applyProtection="1">
      <protection hidden="1"/>
    </xf>
    <xf numFmtId="0" fontId="0" fillId="2" borderId="0" xfId="0" applyFill="1" applyAlignment="1" applyProtection="1">
      <alignment horizontal="right"/>
      <protection hidden="1"/>
    </xf>
    <xf numFmtId="0" fontId="0" fillId="2" borderId="0" xfId="0" applyFill="1" applyAlignment="1" applyProtection="1">
      <alignment horizontal="center"/>
      <protection hidden="1"/>
    </xf>
    <xf numFmtId="0" fontId="3" fillId="2" borderId="0" xfId="0" applyFont="1" applyFill="1" applyProtection="1">
      <protection hidden="1"/>
    </xf>
    <xf numFmtId="0" fontId="0" fillId="2" borderId="0" xfId="0" applyFill="1" applyAlignment="1" applyProtection="1">
      <alignment horizontal="left"/>
      <protection hidden="1"/>
    </xf>
    <xf numFmtId="180" fontId="47" fillId="2" borderId="21" xfId="0" applyNumberFormat="1" applyFont="1" applyFill="1" applyBorder="1" applyAlignment="1" applyProtection="1">
      <alignment horizontal="center"/>
      <protection hidden="1"/>
    </xf>
    <xf numFmtId="178" fontId="48" fillId="2" borderId="12" xfId="0" quotePrefix="1" applyNumberFormat="1" applyFont="1" applyFill="1" applyBorder="1" applyAlignment="1" applyProtection="1">
      <alignment horizontal="center"/>
      <protection hidden="1"/>
    </xf>
    <xf numFmtId="178" fontId="48" fillId="2" borderId="12" xfId="0" applyNumberFormat="1" applyFont="1" applyFill="1" applyBorder="1" applyAlignment="1" applyProtection="1">
      <alignment horizontal="center"/>
      <protection hidden="1"/>
    </xf>
    <xf numFmtId="2" fontId="48" fillId="2" borderId="12" xfId="0" applyNumberFormat="1" applyFont="1" applyFill="1" applyBorder="1" applyAlignment="1" applyProtection="1">
      <alignment horizontal="center"/>
      <protection hidden="1"/>
    </xf>
    <xf numFmtId="178" fontId="15" fillId="2" borderId="12" xfId="0" applyNumberFormat="1" applyFont="1" applyFill="1" applyBorder="1" applyAlignment="1" applyProtection="1">
      <alignment horizontal="center"/>
      <protection hidden="1"/>
    </xf>
    <xf numFmtId="0" fontId="48" fillId="2" borderId="12" xfId="0" applyFont="1" applyFill="1" applyBorder="1" applyAlignment="1" applyProtection="1">
      <alignment horizontal="center"/>
      <protection hidden="1"/>
    </xf>
    <xf numFmtId="165" fontId="48" fillId="2" borderId="12" xfId="0" applyNumberFormat="1" applyFont="1" applyFill="1" applyBorder="1" applyAlignment="1" applyProtection="1">
      <alignment horizontal="center"/>
      <protection hidden="1"/>
    </xf>
    <xf numFmtId="2" fontId="48" fillId="2" borderId="8" xfId="0" applyNumberFormat="1" applyFont="1" applyFill="1" applyBorder="1" applyAlignment="1" applyProtection="1">
      <alignment horizontal="center"/>
      <protection hidden="1"/>
    </xf>
    <xf numFmtId="12" fontId="47" fillId="2" borderId="12" xfId="0" applyNumberFormat="1" applyFont="1" applyFill="1" applyBorder="1" applyAlignment="1" applyProtection="1">
      <alignment horizontal="center"/>
      <protection hidden="1"/>
    </xf>
    <xf numFmtId="0" fontId="48" fillId="2" borderId="8" xfId="0" applyFont="1" applyFill="1" applyBorder="1" applyAlignment="1" applyProtection="1">
      <alignment horizontal="center"/>
      <protection hidden="1"/>
    </xf>
    <xf numFmtId="0" fontId="48" fillId="2" borderId="0" xfId="0" applyFont="1" applyFill="1" applyProtection="1">
      <protection hidden="1"/>
    </xf>
    <xf numFmtId="1" fontId="47" fillId="2" borderId="12" xfId="0" applyNumberFormat="1" applyFont="1" applyFill="1" applyBorder="1" applyAlignment="1" applyProtection="1">
      <alignment horizontal="center"/>
      <protection hidden="1"/>
    </xf>
    <xf numFmtId="49" fontId="0" fillId="0" borderId="0" xfId="0" applyNumberFormat="1" applyAlignment="1">
      <alignment horizontal="center"/>
    </xf>
    <xf numFmtId="1" fontId="0" fillId="0" borderId="0" xfId="0" applyNumberFormat="1" applyAlignment="1">
      <alignment horizontal="center"/>
    </xf>
    <xf numFmtId="0" fontId="0" fillId="0" borderId="12" xfId="0" applyBorder="1"/>
    <xf numFmtId="12" fontId="0" fillId="0" borderId="12" xfId="0" applyNumberFormat="1" applyBorder="1" applyAlignment="1">
      <alignment horizontal="center"/>
    </xf>
    <xf numFmtId="0" fontId="0" fillId="0" borderId="12" xfId="0" applyBorder="1" applyAlignment="1">
      <alignment horizontal="center"/>
    </xf>
    <xf numFmtId="0" fontId="53" fillId="2" borderId="0" xfId="0" quotePrefix="1" applyFont="1" applyFill="1"/>
    <xf numFmtId="2" fontId="48" fillId="2" borderId="28" xfId="0" applyNumberFormat="1" applyFont="1" applyFill="1" applyBorder="1" applyAlignment="1" applyProtection="1">
      <alignment horizontal="center"/>
      <protection hidden="1"/>
    </xf>
    <xf numFmtId="1" fontId="0" fillId="2" borderId="0" xfId="0" applyNumberFormat="1" applyFill="1"/>
    <xf numFmtId="171" fontId="0" fillId="2" borderId="0" xfId="0" applyNumberFormat="1" applyFill="1"/>
    <xf numFmtId="0" fontId="7" fillId="0" borderId="2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4" fillId="2" borderId="0" xfId="0" applyFont="1" applyFill="1" applyProtection="1">
      <protection hidden="1"/>
    </xf>
    <xf numFmtId="0" fontId="4" fillId="2" borderId="0" xfId="0" applyFont="1" applyFill="1" applyAlignment="1" applyProtection="1">
      <alignment horizontal="right"/>
      <protection hidden="1"/>
    </xf>
    <xf numFmtId="0" fontId="4" fillId="2" borderId="0" xfId="0" applyFont="1" applyFill="1" applyAlignment="1" applyProtection="1">
      <alignment horizontal="left"/>
      <protection hidden="1"/>
    </xf>
    <xf numFmtId="0" fontId="0" fillId="2" borderId="45" xfId="0" applyFill="1" applyBorder="1" applyProtection="1">
      <protection hidden="1"/>
    </xf>
    <xf numFmtId="0" fontId="28" fillId="2" borderId="12" xfId="0" applyFont="1" applyFill="1" applyBorder="1" applyAlignment="1" applyProtection="1">
      <alignment horizontal="center"/>
      <protection hidden="1"/>
    </xf>
    <xf numFmtId="0" fontId="7" fillId="2" borderId="46" xfId="0" applyFont="1" applyFill="1" applyBorder="1" applyAlignment="1" applyProtection="1">
      <alignment horizontal="center" wrapText="1"/>
      <protection hidden="1"/>
    </xf>
    <xf numFmtId="0" fontId="7" fillId="2" borderId="47" xfId="0" applyFont="1" applyFill="1" applyBorder="1" applyAlignment="1" applyProtection="1">
      <alignment horizontal="center" wrapText="1"/>
      <protection hidden="1"/>
    </xf>
    <xf numFmtId="0" fontId="0" fillId="2" borderId="45" xfId="0" applyFill="1" applyBorder="1" applyAlignment="1" applyProtection="1">
      <alignment horizontal="center"/>
      <protection hidden="1"/>
    </xf>
    <xf numFmtId="0" fontId="0" fillId="2" borderId="48" xfId="0" applyFill="1" applyBorder="1" applyAlignment="1" applyProtection="1">
      <alignment horizontal="center"/>
      <protection hidden="1"/>
    </xf>
    <xf numFmtId="0" fontId="3" fillId="2" borderId="0" xfId="0" applyFont="1" applyFill="1" applyAlignment="1" applyProtection="1">
      <alignment horizontal="center"/>
      <protection hidden="1"/>
    </xf>
    <xf numFmtId="0" fontId="4" fillId="2" borderId="0" xfId="0" applyFont="1" applyFill="1" applyAlignment="1" applyProtection="1">
      <alignment horizontal="center"/>
      <protection hidden="1"/>
    </xf>
    <xf numFmtId="0" fontId="4" fillId="0" borderId="0" xfId="0" applyFont="1" applyProtection="1">
      <protection hidden="1"/>
    </xf>
    <xf numFmtId="0" fontId="0" fillId="2" borderId="49" xfId="0" applyFill="1" applyBorder="1" applyAlignment="1" applyProtection="1">
      <alignment horizontal="center" wrapText="1"/>
      <protection hidden="1"/>
    </xf>
    <xf numFmtId="49" fontId="4" fillId="2" borderId="0" xfId="0" applyNumberFormat="1" applyFont="1" applyFill="1" applyProtection="1">
      <protection hidden="1"/>
    </xf>
    <xf numFmtId="0" fontId="18" fillId="2" borderId="0" xfId="0" quotePrefix="1" applyFont="1" applyFill="1" applyProtection="1">
      <protection hidden="1"/>
    </xf>
    <xf numFmtId="0" fontId="11" fillId="2" borderId="0" xfId="0" applyFont="1" applyFill="1" applyAlignment="1" applyProtection="1">
      <alignment horizontal="center" vertical="center"/>
      <protection hidden="1"/>
    </xf>
    <xf numFmtId="3" fontId="4" fillId="6" borderId="54" xfId="0" applyNumberFormat="1" applyFont="1" applyFill="1" applyBorder="1" applyAlignment="1" applyProtection="1">
      <alignment horizontal="center"/>
      <protection hidden="1"/>
    </xf>
    <xf numFmtId="1" fontId="4" fillId="2" borderId="0" xfId="0" applyNumberFormat="1" applyFont="1" applyFill="1" applyProtection="1">
      <protection hidden="1"/>
    </xf>
    <xf numFmtId="0" fontId="55" fillId="2" borderId="0" xfId="0" quotePrefix="1" applyFont="1" applyFill="1" applyAlignment="1" applyProtection="1">
      <alignment horizontal="center"/>
      <protection hidden="1"/>
    </xf>
    <xf numFmtId="0" fontId="55" fillId="2" borderId="0" xfId="0" applyFont="1" applyFill="1" applyAlignment="1" applyProtection="1">
      <alignment horizontal="center"/>
      <protection hidden="1"/>
    </xf>
    <xf numFmtId="0" fontId="3" fillId="6" borderId="55" xfId="0" applyFont="1" applyFill="1" applyBorder="1" applyAlignment="1">
      <alignment horizontal="center"/>
    </xf>
    <xf numFmtId="0" fontId="3" fillId="6" borderId="56" xfId="0" applyFont="1" applyFill="1" applyBorder="1" applyAlignment="1">
      <alignment horizontal="center" wrapText="1"/>
    </xf>
    <xf numFmtId="0" fontId="3" fillId="6" borderId="57" xfId="0" applyFont="1" applyFill="1" applyBorder="1" applyAlignment="1">
      <alignment horizontal="center" wrapText="1"/>
    </xf>
    <xf numFmtId="171" fontId="3" fillId="6" borderId="56" xfId="0" applyNumberFormat="1" applyFont="1" applyFill="1" applyBorder="1" applyAlignment="1">
      <alignment horizontal="center" wrapText="1"/>
    </xf>
    <xf numFmtId="171" fontId="3" fillId="6" borderId="56" xfId="0" applyNumberFormat="1" applyFont="1" applyFill="1" applyBorder="1" applyAlignment="1">
      <alignment horizontal="center"/>
    </xf>
    <xf numFmtId="1" fontId="3" fillId="6" borderId="58" xfId="0" applyNumberFormat="1" applyFont="1" applyFill="1" applyBorder="1" applyAlignment="1">
      <alignment horizontal="center" wrapText="1"/>
    </xf>
    <xf numFmtId="0" fontId="56" fillId="6" borderId="59" xfId="0" applyFont="1" applyFill="1" applyBorder="1" applyAlignment="1">
      <alignment horizontal="center"/>
    </xf>
    <xf numFmtId="1" fontId="56" fillId="6" borderId="12" xfId="0" applyNumberFormat="1" applyFont="1" applyFill="1" applyBorder="1" applyAlignment="1">
      <alignment horizontal="center"/>
    </xf>
    <xf numFmtId="0" fontId="56" fillId="6" borderId="21" xfId="0" applyFont="1" applyFill="1" applyBorder="1" applyAlignment="1">
      <alignment horizontal="center"/>
    </xf>
    <xf numFmtId="175" fontId="56" fillId="6" borderId="60" xfId="0" applyNumberFormat="1" applyFont="1" applyFill="1" applyBorder="1" applyAlignment="1">
      <alignment horizontal="right"/>
    </xf>
    <xf numFmtId="171" fontId="56" fillId="6" borderId="61" xfId="0" applyNumberFormat="1" applyFont="1" applyFill="1" applyBorder="1" applyAlignment="1">
      <alignment horizontal="left"/>
    </xf>
    <xf numFmtId="171" fontId="56" fillId="6" borderId="62" xfId="0" applyNumberFormat="1" applyFont="1" applyFill="1" applyBorder="1" applyAlignment="1">
      <alignment horizontal="center"/>
    </xf>
    <xf numFmtId="171" fontId="56" fillId="6" borderId="63" xfId="0" applyNumberFormat="1" applyFont="1" applyFill="1" applyBorder="1" applyAlignment="1">
      <alignment horizontal="center"/>
    </xf>
    <xf numFmtId="166" fontId="56" fillId="6" borderId="12" xfId="0" applyNumberFormat="1" applyFont="1" applyFill="1" applyBorder="1" applyAlignment="1">
      <alignment horizontal="center"/>
    </xf>
    <xf numFmtId="166" fontId="56" fillId="6" borderId="64" xfId="0" applyNumberFormat="1" applyFont="1" applyFill="1" applyBorder="1" applyAlignment="1">
      <alignment horizontal="center"/>
    </xf>
    <xf numFmtId="2" fontId="56" fillId="6" borderId="65" xfId="0" applyNumberFormat="1" applyFont="1" applyFill="1" applyBorder="1" applyAlignment="1">
      <alignment horizontal="center"/>
    </xf>
    <xf numFmtId="0" fontId="56" fillId="6" borderId="64" xfId="0" applyFont="1" applyFill="1" applyBorder="1" applyAlignment="1">
      <alignment horizontal="center"/>
    </xf>
    <xf numFmtId="166" fontId="56" fillId="6" borderId="65" xfId="0" applyNumberFormat="1" applyFont="1" applyFill="1" applyBorder="1" applyAlignment="1">
      <alignment horizontal="center"/>
    </xf>
    <xf numFmtId="184" fontId="56" fillId="6" borderId="65" xfId="0" applyNumberFormat="1" applyFont="1" applyFill="1" applyBorder="1" applyAlignment="1">
      <alignment horizontal="center"/>
    </xf>
    <xf numFmtId="182" fontId="29" fillId="6" borderId="69" xfId="0" applyNumberFormat="1" applyFont="1" applyFill="1" applyBorder="1" applyAlignment="1">
      <alignment horizontal="center"/>
    </xf>
    <xf numFmtId="183" fontId="56" fillId="6" borderId="69" xfId="0" applyNumberFormat="1" applyFont="1" applyFill="1" applyBorder="1" applyAlignment="1">
      <alignment horizontal="center"/>
    </xf>
    <xf numFmtId="180" fontId="56" fillId="6" borderId="70" xfId="0" applyNumberFormat="1" applyFont="1" applyFill="1" applyBorder="1" applyAlignment="1">
      <alignment horizontal="right"/>
    </xf>
    <xf numFmtId="0" fontId="56" fillId="6" borderId="14" xfId="0" applyFont="1" applyFill="1" applyBorder="1" applyAlignment="1">
      <alignment horizontal="left"/>
    </xf>
    <xf numFmtId="183" fontId="56" fillId="6" borderId="71" xfId="0" applyNumberFormat="1" applyFont="1" applyFill="1" applyBorder="1" applyAlignment="1">
      <alignment horizontal="center"/>
    </xf>
    <xf numFmtId="180" fontId="56" fillId="6" borderId="72" xfId="0" applyNumberFormat="1" applyFont="1" applyFill="1" applyBorder="1" applyAlignment="1">
      <alignment horizontal="center"/>
    </xf>
    <xf numFmtId="166" fontId="53" fillId="6" borderId="73" xfId="0" applyNumberFormat="1" applyFont="1" applyFill="1" applyBorder="1" applyAlignment="1">
      <alignment horizontal="center"/>
    </xf>
    <xf numFmtId="0" fontId="29" fillId="6" borderId="74" xfId="0" applyFont="1" applyFill="1" applyBorder="1" applyAlignment="1">
      <alignment horizontal="center"/>
    </xf>
    <xf numFmtId="0" fontId="29" fillId="6" borderId="75" xfId="0" applyFont="1" applyFill="1" applyBorder="1" applyAlignment="1">
      <alignment horizontal="center"/>
    </xf>
    <xf numFmtId="0" fontId="29" fillId="6" borderId="76" xfId="0" applyFont="1" applyFill="1" applyBorder="1" applyAlignment="1">
      <alignment horizontal="center"/>
    </xf>
    <xf numFmtId="0" fontId="29" fillId="6" borderId="77" xfId="0" applyFont="1" applyFill="1" applyBorder="1" applyAlignment="1">
      <alignment horizontal="center"/>
    </xf>
    <xf numFmtId="183" fontId="56" fillId="6" borderId="78" xfId="0" applyNumberFormat="1" applyFont="1" applyFill="1" applyBorder="1" applyAlignment="1">
      <alignment horizontal="center"/>
    </xf>
    <xf numFmtId="180" fontId="56" fillId="6" borderId="79" xfId="0" applyNumberFormat="1" applyFont="1" applyFill="1" applyBorder="1" applyAlignment="1">
      <alignment horizontal="center"/>
    </xf>
    <xf numFmtId="166" fontId="56" fillId="6" borderId="14" xfId="0" applyNumberFormat="1" applyFont="1" applyFill="1" applyBorder="1" applyAlignment="1">
      <alignment horizontal="center"/>
    </xf>
    <xf numFmtId="0" fontId="56" fillId="6" borderId="14" xfId="0" applyFont="1" applyFill="1" applyBorder="1" applyAlignment="1">
      <alignment horizontal="center"/>
    </xf>
    <xf numFmtId="180" fontId="56" fillId="6" borderId="79" xfId="0" applyNumberFormat="1" applyFont="1" applyFill="1" applyBorder="1" applyAlignment="1">
      <alignment horizontal="left"/>
    </xf>
    <xf numFmtId="183" fontId="56" fillId="6" borderId="78" xfId="0" applyNumberFormat="1" applyFont="1" applyFill="1" applyBorder="1" applyAlignment="1">
      <alignment horizontal="right"/>
    </xf>
    <xf numFmtId="0" fontId="56" fillId="6" borderId="19" xfId="0" applyFont="1" applyFill="1" applyBorder="1" applyAlignment="1">
      <alignment horizontal="center"/>
    </xf>
    <xf numFmtId="0" fontId="56" fillId="6" borderId="73" xfId="0" applyFont="1" applyFill="1" applyBorder="1" applyAlignment="1">
      <alignment horizontal="center"/>
    </xf>
    <xf numFmtId="0" fontId="3" fillId="6" borderId="12" xfId="0" applyFont="1" applyFill="1" applyBorder="1" applyAlignment="1" applyProtection="1">
      <alignment horizontal="center"/>
      <protection hidden="1"/>
    </xf>
    <xf numFmtId="0" fontId="3" fillId="6" borderId="12" xfId="0"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protection hidden="1"/>
    </xf>
    <xf numFmtId="1" fontId="3" fillId="6" borderId="12" xfId="0" applyNumberFormat="1" applyFont="1" applyFill="1" applyBorder="1" applyAlignment="1" applyProtection="1">
      <alignment horizontal="center" wrapText="1"/>
      <protection hidden="1"/>
    </xf>
    <xf numFmtId="0" fontId="0" fillId="0" borderId="12" xfId="0" applyBorder="1" applyAlignment="1" applyProtection="1">
      <alignment horizontal="center"/>
      <protection locked="0" hidden="1"/>
    </xf>
    <xf numFmtId="0" fontId="0" fillId="0" borderId="62" xfId="0" applyBorder="1" applyAlignment="1" applyProtection="1">
      <alignment horizontal="center"/>
      <protection locked="0" hidden="1"/>
    </xf>
    <xf numFmtId="0" fontId="0" fillId="0" borderId="63" xfId="0" applyBorder="1" applyAlignment="1" applyProtection="1">
      <alignment horizontal="center"/>
      <protection locked="0" hidden="1"/>
    </xf>
    <xf numFmtId="0" fontId="0" fillId="2" borderId="0" xfId="0" applyFill="1" applyAlignment="1" applyProtection="1">
      <alignment horizontal="center"/>
      <protection locked="0" hidden="1"/>
    </xf>
    <xf numFmtId="0" fontId="28" fillId="2" borderId="0" xfId="0" applyFont="1" applyFill="1" applyAlignment="1">
      <alignment horizontal="center"/>
    </xf>
    <xf numFmtId="0" fontId="3" fillId="0" borderId="0" xfId="0" applyFont="1" applyProtection="1">
      <protection hidden="1"/>
    </xf>
    <xf numFmtId="0" fontId="47" fillId="0" borderId="0" xfId="0" applyFont="1" applyAlignment="1" applyProtection="1">
      <alignment horizontal="center"/>
      <protection hidden="1"/>
    </xf>
    <xf numFmtId="165" fontId="47" fillId="0" borderId="0" xfId="0" applyNumberFormat="1" applyFont="1" applyAlignment="1" applyProtection="1">
      <alignment horizontal="center"/>
      <protection hidden="1"/>
    </xf>
    <xf numFmtId="12" fontId="28" fillId="0" borderId="0" xfId="0" applyNumberFormat="1" applyFont="1" applyAlignment="1" applyProtection="1">
      <alignment horizontal="center"/>
      <protection hidden="1"/>
    </xf>
    <xf numFmtId="165" fontId="28" fillId="0" borderId="0" xfId="0" applyNumberFormat="1" applyFont="1" applyAlignment="1" applyProtection="1">
      <alignment horizontal="center"/>
      <protection hidden="1"/>
    </xf>
    <xf numFmtId="0" fontId="28" fillId="0" borderId="0" xfId="0" applyFont="1" applyAlignment="1" applyProtection="1">
      <alignment horizontal="center"/>
      <protection hidden="1"/>
    </xf>
    <xf numFmtId="13" fontId="28" fillId="0" borderId="0" xfId="0" applyNumberFormat="1" applyFont="1" applyAlignment="1" applyProtection="1">
      <alignment horizontal="center"/>
      <protection hidden="1"/>
    </xf>
    <xf numFmtId="0" fontId="3"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2" borderId="83" xfId="0" applyFill="1" applyBorder="1" applyProtection="1">
      <protection hidden="1"/>
    </xf>
    <xf numFmtId="0" fontId="3" fillId="2" borderId="44" xfId="0" applyFont="1" applyFill="1" applyBorder="1" applyAlignment="1" applyProtection="1">
      <alignment horizontal="center" wrapText="1"/>
      <protection hidden="1"/>
    </xf>
    <xf numFmtId="2" fontId="48" fillId="2" borderId="9" xfId="0" applyNumberFormat="1" applyFont="1" applyFill="1" applyBorder="1" applyAlignment="1" applyProtection="1">
      <alignment horizontal="center"/>
      <protection hidden="1"/>
    </xf>
    <xf numFmtId="12" fontId="47" fillId="2" borderId="25" xfId="0" applyNumberFormat="1" applyFont="1" applyFill="1" applyBorder="1" applyAlignment="1" applyProtection="1">
      <alignment horizontal="center"/>
      <protection hidden="1"/>
    </xf>
    <xf numFmtId="0" fontId="56" fillId="6" borderId="59" xfId="0" applyFont="1" applyFill="1" applyBorder="1" applyAlignment="1" applyProtection="1">
      <alignment horizontal="center"/>
      <protection locked="0"/>
    </xf>
    <xf numFmtId="1" fontId="56" fillId="6" borderId="12" xfId="0" applyNumberFormat="1" applyFont="1" applyFill="1" applyBorder="1" applyAlignment="1" applyProtection="1">
      <alignment horizontal="center"/>
      <protection locked="0"/>
    </xf>
    <xf numFmtId="0" fontId="56" fillId="6" borderId="21" xfId="0" applyFont="1" applyFill="1" applyBorder="1" applyAlignment="1" applyProtection="1">
      <alignment horizontal="center"/>
      <protection locked="0"/>
    </xf>
    <xf numFmtId="175" fontId="56" fillId="6" borderId="60" xfId="0" applyNumberFormat="1" applyFont="1" applyFill="1" applyBorder="1" applyAlignment="1" applyProtection="1">
      <alignment horizontal="right"/>
      <protection locked="0"/>
    </xf>
    <xf numFmtId="171" fontId="56" fillId="6" borderId="61" xfId="0" applyNumberFormat="1" applyFont="1" applyFill="1" applyBorder="1" applyAlignment="1" applyProtection="1">
      <alignment horizontal="left"/>
      <protection locked="0"/>
    </xf>
    <xf numFmtId="171" fontId="56" fillId="6" borderId="62" xfId="0" applyNumberFormat="1" applyFont="1" applyFill="1" applyBorder="1" applyAlignment="1" applyProtection="1">
      <alignment horizontal="center"/>
      <protection locked="0"/>
    </xf>
    <xf numFmtId="171" fontId="56" fillId="6" borderId="63" xfId="0" applyNumberFormat="1" applyFont="1" applyFill="1" applyBorder="1" applyAlignment="1" applyProtection="1">
      <alignment horizontal="center"/>
      <protection locked="0"/>
    </xf>
    <xf numFmtId="166" fontId="56" fillId="6" borderId="12" xfId="0" applyNumberFormat="1" applyFont="1" applyFill="1" applyBorder="1" applyAlignment="1" applyProtection="1">
      <alignment horizontal="center"/>
      <protection locked="0"/>
    </xf>
    <xf numFmtId="166" fontId="56" fillId="6" borderId="64" xfId="0" applyNumberFormat="1" applyFont="1" applyFill="1" applyBorder="1" applyAlignment="1" applyProtection="1">
      <alignment horizontal="center"/>
      <protection locked="0"/>
    </xf>
    <xf numFmtId="2" fontId="56" fillId="6" borderId="65" xfId="0" applyNumberFormat="1" applyFont="1" applyFill="1" applyBorder="1" applyAlignment="1" applyProtection="1">
      <alignment horizontal="center"/>
      <protection locked="0"/>
    </xf>
    <xf numFmtId="182" fontId="29" fillId="6" borderId="60" xfId="0" applyNumberFormat="1" applyFont="1" applyFill="1" applyBorder="1" applyAlignment="1" applyProtection="1">
      <alignment horizontal="center"/>
      <protection locked="0"/>
    </xf>
    <xf numFmtId="183" fontId="56" fillId="6" borderId="60" xfId="0" applyNumberFormat="1" applyFont="1" applyFill="1" applyBorder="1" applyAlignment="1" applyProtection="1">
      <alignment horizontal="center"/>
      <protection locked="0"/>
    </xf>
    <xf numFmtId="180" fontId="56" fillId="6" borderId="22" xfId="0" applyNumberFormat="1" applyFont="1" applyFill="1" applyBorder="1" applyAlignment="1" applyProtection="1">
      <alignment horizontal="right"/>
      <protection locked="0"/>
    </xf>
    <xf numFmtId="183" fontId="56" fillId="6" borderId="10" xfId="0" applyNumberFormat="1" applyFont="1" applyFill="1" applyBorder="1" applyAlignment="1" applyProtection="1">
      <alignment horizontal="center"/>
      <protection locked="0"/>
    </xf>
    <xf numFmtId="180" fontId="56" fillId="6" borderId="40" xfId="0" applyNumberFormat="1" applyFont="1" applyFill="1" applyBorder="1" applyAlignment="1" applyProtection="1">
      <alignment horizontal="center"/>
      <protection locked="0"/>
    </xf>
    <xf numFmtId="166" fontId="53" fillId="6" borderId="86" xfId="0" applyNumberFormat="1" applyFont="1" applyFill="1" applyBorder="1" applyAlignment="1" applyProtection="1">
      <alignment horizontal="center"/>
      <protection locked="0"/>
    </xf>
    <xf numFmtId="0" fontId="29" fillId="6" borderId="28" xfId="0" applyFont="1" applyFill="1" applyBorder="1" applyAlignment="1" applyProtection="1">
      <alignment horizontal="center"/>
      <protection locked="0"/>
    </xf>
    <xf numFmtId="0" fontId="56" fillId="6" borderId="64" xfId="0" applyFont="1" applyFill="1" applyBorder="1" applyAlignment="1" applyProtection="1">
      <alignment horizontal="center"/>
      <protection locked="0"/>
    </xf>
    <xf numFmtId="166" fontId="56" fillId="6" borderId="65" xfId="0" applyNumberFormat="1" applyFont="1" applyFill="1" applyBorder="1" applyAlignment="1" applyProtection="1">
      <alignment horizontal="center"/>
      <protection locked="0"/>
    </xf>
    <xf numFmtId="184" fontId="56" fillId="6" borderId="65" xfId="0" applyNumberFormat="1" applyFont="1" applyFill="1" applyBorder="1" applyAlignment="1" applyProtection="1">
      <alignment horizontal="center"/>
      <protection locked="0"/>
    </xf>
    <xf numFmtId="0" fontId="3" fillId="2" borderId="0" xfId="0" applyFont="1" applyFill="1" applyAlignment="1">
      <alignment horizontal="right"/>
    </xf>
    <xf numFmtId="0" fontId="3" fillId="2" borderId="0" xfId="0" applyFont="1" applyFill="1" applyAlignment="1" applyProtection="1">
      <alignment horizontal="right"/>
      <protection locked="0"/>
    </xf>
    <xf numFmtId="49" fontId="15" fillId="0" borderId="0" xfId="0" applyNumberFormat="1" applyFont="1" applyAlignment="1">
      <alignment horizontal="left" indent="4" shrinkToFit="1"/>
    </xf>
    <xf numFmtId="0" fontId="62" fillId="2" borderId="0" xfId="0" applyFont="1" applyFill="1" applyAlignment="1">
      <alignment horizontal="right"/>
    </xf>
    <xf numFmtId="0" fontId="62" fillId="2" borderId="0" xfId="0" applyFont="1" applyFill="1" applyAlignment="1">
      <alignment horizontal="left"/>
    </xf>
    <xf numFmtId="0" fontId="62" fillId="2" borderId="0" xfId="0" quotePrefix="1" applyFont="1" applyFill="1" applyAlignment="1">
      <alignment horizontal="center"/>
    </xf>
    <xf numFmtId="0" fontId="4" fillId="2" borderId="0" xfId="0" applyFont="1" applyFill="1" applyAlignment="1" applyProtection="1">
      <alignment horizontal="center"/>
      <protection locked="0"/>
    </xf>
    <xf numFmtId="0" fontId="48" fillId="2" borderId="12" xfId="0" applyFont="1" applyFill="1" applyBorder="1" applyAlignment="1">
      <alignment horizontal="center"/>
    </xf>
    <xf numFmtId="0" fontId="15" fillId="0" borderId="10" xfId="0" applyFont="1" applyBorder="1" applyAlignment="1">
      <alignment horizontal="right" vertical="top"/>
    </xf>
    <xf numFmtId="0" fontId="48" fillId="0" borderId="10" xfId="0" applyFont="1" applyBorder="1"/>
    <xf numFmtId="0" fontId="48" fillId="0" borderId="0" xfId="0" applyFont="1" applyProtection="1">
      <protection hidden="1"/>
    </xf>
    <xf numFmtId="0" fontId="48" fillId="2" borderId="0" xfId="0" applyFont="1" applyFill="1" applyAlignment="1" applyProtection="1">
      <alignment horizontal="right"/>
      <protection hidden="1"/>
    </xf>
    <xf numFmtId="0" fontId="48" fillId="2" borderId="0" xfId="0" applyFont="1" applyFill="1" applyAlignment="1" applyProtection="1">
      <alignment horizontal="center"/>
      <protection hidden="1"/>
    </xf>
    <xf numFmtId="0" fontId="28" fillId="0" borderId="0" xfId="0" applyFont="1" applyProtection="1">
      <protection hidden="1"/>
    </xf>
    <xf numFmtId="0" fontId="48" fillId="2" borderId="0" xfId="0" applyFont="1" applyFill="1"/>
    <xf numFmtId="0" fontId="28" fillId="2" borderId="0" xfId="0" applyFont="1" applyFill="1" applyProtection="1">
      <protection hidden="1"/>
    </xf>
    <xf numFmtId="0" fontId="48" fillId="2" borderId="0" xfId="0" applyFont="1" applyFill="1" applyAlignment="1">
      <alignment horizontal="right"/>
    </xf>
    <xf numFmtId="0" fontId="48" fillId="2" borderId="0" xfId="0" applyFont="1" applyFill="1" applyAlignment="1" applyProtection="1">
      <alignment horizontal="left"/>
      <protection hidden="1"/>
    </xf>
    <xf numFmtId="0" fontId="28" fillId="0" borderId="0" xfId="0" applyFont="1" applyAlignment="1" applyProtection="1">
      <alignment horizontal="right"/>
      <protection hidden="1"/>
    </xf>
    <xf numFmtId="0" fontId="28" fillId="2" borderId="0" xfId="0" quotePrefix="1" applyFont="1" applyFill="1" applyAlignment="1" applyProtection="1">
      <alignment horizontal="left"/>
      <protection hidden="1"/>
    </xf>
    <xf numFmtId="0" fontId="28" fillId="2" borderId="0" xfId="0" applyFont="1" applyFill="1" applyAlignment="1" applyProtection="1">
      <alignment horizontal="center"/>
      <protection hidden="1"/>
    </xf>
    <xf numFmtId="3" fontId="74" fillId="0" borderId="0" xfId="0" applyNumberFormat="1" applyFont="1" applyAlignment="1" applyProtection="1">
      <alignment horizontal="center"/>
      <protection hidden="1"/>
    </xf>
    <xf numFmtId="0" fontId="48" fillId="2" borderId="0" xfId="0" quotePrefix="1" applyFont="1" applyFill="1" applyProtection="1">
      <protection hidden="1"/>
    </xf>
    <xf numFmtId="49" fontId="48" fillId="2" borderId="0" xfId="0" applyNumberFormat="1" applyFont="1" applyFill="1" applyAlignment="1" applyProtection="1">
      <alignment horizontal="center"/>
      <protection hidden="1"/>
    </xf>
    <xf numFmtId="0" fontId="75" fillId="2" borderId="0" xfId="0" applyFont="1" applyFill="1" applyAlignment="1" applyProtection="1">
      <alignment horizontal="center"/>
      <protection hidden="1"/>
    </xf>
    <xf numFmtId="0" fontId="28" fillId="2" borderId="0" xfId="0" applyFont="1" applyFill="1" applyAlignment="1">
      <alignment horizontal="right"/>
    </xf>
    <xf numFmtId="0" fontId="28" fillId="2" borderId="0" xfId="0" applyFont="1" applyFill="1" applyAlignment="1">
      <alignment horizontal="left"/>
    </xf>
    <xf numFmtId="0" fontId="80" fillId="2" borderId="0" xfId="0" applyFont="1" applyFill="1" applyProtection="1">
      <protection hidden="1"/>
    </xf>
    <xf numFmtId="2" fontId="81" fillId="2" borderId="0" xfId="0" applyNumberFormat="1" applyFont="1" applyFill="1" applyAlignment="1" applyProtection="1">
      <alignment horizontal="center" vertical="center"/>
      <protection hidden="1"/>
    </xf>
    <xf numFmtId="0" fontId="82" fillId="2" borderId="0" xfId="0" applyFont="1" applyFill="1" applyProtection="1">
      <protection hidden="1"/>
    </xf>
    <xf numFmtId="2" fontId="82" fillId="2" borderId="0" xfId="0" applyNumberFormat="1" applyFont="1" applyFill="1" applyProtection="1">
      <protection hidden="1"/>
    </xf>
    <xf numFmtId="2" fontId="82" fillId="2" borderId="0" xfId="0" applyNumberFormat="1" applyFont="1" applyFill="1" applyAlignment="1" applyProtection="1">
      <alignment horizontal="center" vertical="center"/>
      <protection hidden="1"/>
    </xf>
    <xf numFmtId="178" fontId="84" fillId="2" borderId="20" xfId="0" applyNumberFormat="1" applyFont="1" applyFill="1" applyBorder="1" applyAlignment="1" applyProtection="1">
      <alignment horizontal="center"/>
      <protection hidden="1"/>
    </xf>
    <xf numFmtId="1" fontId="84" fillId="2" borderId="14" xfId="0" applyNumberFormat="1" applyFont="1" applyFill="1" applyBorder="1" applyAlignment="1" applyProtection="1">
      <alignment horizontal="center"/>
      <protection hidden="1"/>
    </xf>
    <xf numFmtId="178" fontId="84" fillId="2" borderId="14" xfId="0" applyNumberFormat="1" applyFont="1" applyFill="1" applyBorder="1" applyAlignment="1" applyProtection="1">
      <alignment horizontal="center"/>
      <protection hidden="1"/>
    </xf>
    <xf numFmtId="0" fontId="84" fillId="2" borderId="14" xfId="0" applyFont="1" applyFill="1" applyBorder="1" applyAlignment="1" applyProtection="1">
      <alignment horizontal="center"/>
      <protection hidden="1"/>
    </xf>
    <xf numFmtId="179" fontId="84" fillId="2" borderId="14" xfId="0" applyNumberFormat="1" applyFont="1" applyFill="1" applyBorder="1" applyAlignment="1" applyProtection="1">
      <alignment horizontal="center"/>
      <protection hidden="1"/>
    </xf>
    <xf numFmtId="1" fontId="84" fillId="2" borderId="19" xfId="0" applyNumberFormat="1" applyFont="1" applyFill="1" applyBorder="1" applyAlignment="1" applyProtection="1">
      <alignment horizontal="center"/>
      <protection hidden="1"/>
    </xf>
    <xf numFmtId="2" fontId="84" fillId="2" borderId="78" xfId="0" applyNumberFormat="1" applyFont="1" applyFill="1" applyBorder="1" applyAlignment="1" applyProtection="1">
      <alignment horizontal="center"/>
      <protection hidden="1"/>
    </xf>
    <xf numFmtId="2" fontId="84" fillId="2" borderId="76" xfId="0" applyNumberFormat="1" applyFont="1" applyFill="1" applyBorder="1" applyAlignment="1" applyProtection="1">
      <alignment horizontal="center"/>
      <protection hidden="1"/>
    </xf>
    <xf numFmtId="2" fontId="84" fillId="2" borderId="72" xfId="0" applyNumberFormat="1" applyFont="1" applyFill="1" applyBorder="1" applyAlignment="1" applyProtection="1">
      <alignment horizontal="center"/>
      <protection hidden="1"/>
    </xf>
    <xf numFmtId="178" fontId="84" fillId="2" borderId="8" xfId="0" applyNumberFormat="1" applyFont="1" applyFill="1" applyBorder="1" applyAlignment="1" applyProtection="1">
      <alignment horizontal="center"/>
      <protection hidden="1"/>
    </xf>
    <xf numFmtId="1" fontId="84" fillId="2" borderId="12" xfId="0" applyNumberFormat="1" applyFont="1" applyFill="1" applyBorder="1" applyAlignment="1" applyProtection="1">
      <alignment horizontal="center"/>
      <protection hidden="1"/>
    </xf>
    <xf numFmtId="178" fontId="84" fillId="2" borderId="12" xfId="0" applyNumberFormat="1" applyFont="1" applyFill="1" applyBorder="1" applyAlignment="1" applyProtection="1">
      <alignment horizontal="center"/>
      <protection hidden="1"/>
    </xf>
    <xf numFmtId="0" fontId="84" fillId="2" borderId="12" xfId="0" applyFont="1" applyFill="1" applyBorder="1" applyAlignment="1" applyProtection="1">
      <alignment horizontal="center"/>
      <protection hidden="1"/>
    </xf>
    <xf numFmtId="179" fontId="84" fillId="2" borderId="12" xfId="0" applyNumberFormat="1" applyFont="1" applyFill="1" applyBorder="1" applyAlignment="1" applyProtection="1">
      <alignment horizontal="center"/>
      <protection hidden="1"/>
    </xf>
    <xf numFmtId="1" fontId="84" fillId="2" borderId="38" xfId="0" applyNumberFormat="1" applyFont="1" applyFill="1" applyBorder="1" applyAlignment="1" applyProtection="1">
      <alignment horizontal="center"/>
      <protection hidden="1"/>
    </xf>
    <xf numFmtId="2" fontId="84" fillId="2" borderId="81" xfId="0" applyNumberFormat="1" applyFont="1" applyFill="1" applyBorder="1" applyAlignment="1" applyProtection="1">
      <alignment horizontal="center"/>
      <protection hidden="1"/>
    </xf>
    <xf numFmtId="2" fontId="84" fillId="2" borderId="80" xfId="0" applyNumberFormat="1" applyFont="1" applyFill="1" applyBorder="1" applyAlignment="1" applyProtection="1">
      <alignment horizontal="center"/>
      <protection hidden="1"/>
    </xf>
    <xf numFmtId="2" fontId="84" fillId="2" borderId="40" xfId="0" applyNumberFormat="1" applyFont="1" applyFill="1" applyBorder="1" applyAlignment="1" applyProtection="1">
      <alignment horizontal="center"/>
      <protection hidden="1"/>
    </xf>
    <xf numFmtId="178" fontId="84" fillId="2" borderId="9" xfId="0" applyNumberFormat="1" applyFont="1" applyFill="1" applyBorder="1" applyAlignment="1" applyProtection="1">
      <alignment horizontal="center"/>
      <protection hidden="1"/>
    </xf>
    <xf numFmtId="1" fontId="84" fillId="2" borderId="25" xfId="0" applyNumberFormat="1" applyFont="1" applyFill="1" applyBorder="1" applyAlignment="1" applyProtection="1">
      <alignment horizontal="center"/>
      <protection hidden="1"/>
    </xf>
    <xf numFmtId="178" fontId="84" fillId="2" borderId="25" xfId="0" applyNumberFormat="1" applyFont="1" applyFill="1" applyBorder="1" applyAlignment="1" applyProtection="1">
      <alignment horizontal="center"/>
      <protection hidden="1"/>
    </xf>
    <xf numFmtId="0" fontId="84" fillId="2" borderId="25" xfId="0" applyFont="1" applyFill="1" applyBorder="1" applyAlignment="1" applyProtection="1">
      <alignment horizontal="center"/>
      <protection hidden="1"/>
    </xf>
    <xf numFmtId="179" fontId="84" fillId="2" borderId="25" xfId="0" applyNumberFormat="1" applyFont="1" applyFill="1" applyBorder="1" applyAlignment="1" applyProtection="1">
      <alignment horizontal="center"/>
      <protection hidden="1"/>
    </xf>
    <xf numFmtId="1" fontId="84" fillId="2" borderId="26" xfId="0" applyNumberFormat="1" applyFont="1" applyFill="1" applyBorder="1" applyAlignment="1" applyProtection="1">
      <alignment horizontal="center"/>
      <protection hidden="1"/>
    </xf>
    <xf numFmtId="2" fontId="84" fillId="2" borderId="88" xfId="0" applyNumberFormat="1" applyFont="1" applyFill="1" applyBorder="1" applyAlignment="1" applyProtection="1">
      <alignment horizontal="center"/>
      <protection hidden="1"/>
    </xf>
    <xf numFmtId="2" fontId="84" fillId="2" borderId="89" xfId="0" applyNumberFormat="1" applyFont="1" applyFill="1" applyBorder="1" applyAlignment="1" applyProtection="1">
      <alignment horizontal="center"/>
      <protection hidden="1"/>
    </xf>
    <xf numFmtId="2" fontId="84" fillId="2" borderId="90" xfId="0" applyNumberFormat="1" applyFont="1" applyFill="1" applyBorder="1" applyAlignment="1" applyProtection="1">
      <alignment horizontal="center"/>
      <protection hidden="1"/>
    </xf>
    <xf numFmtId="0" fontId="83" fillId="2" borderId="0" xfId="0" applyFont="1" applyFill="1" applyProtection="1">
      <protection hidden="1"/>
    </xf>
    <xf numFmtId="0" fontId="83" fillId="2" borderId="0" xfId="0" applyFont="1" applyFill="1" applyAlignment="1" applyProtection="1">
      <alignment horizontal="right"/>
      <protection hidden="1"/>
    </xf>
    <xf numFmtId="0" fontId="83" fillId="2" borderId="0" xfId="0" applyFont="1" applyFill="1" applyAlignment="1" applyProtection="1">
      <alignment horizontal="left"/>
      <protection hidden="1"/>
    </xf>
    <xf numFmtId="0" fontId="84" fillId="2" borderId="0" xfId="0" applyFont="1" applyFill="1" applyProtection="1">
      <protection hidden="1"/>
    </xf>
    <xf numFmtId="0" fontId="84" fillId="2" borderId="0" xfId="0" applyFont="1" applyFill="1" applyAlignment="1" applyProtection="1">
      <alignment horizontal="right"/>
      <protection hidden="1"/>
    </xf>
    <xf numFmtId="0" fontId="84" fillId="7" borderId="0" xfId="0" applyFont="1" applyFill="1" applyProtection="1">
      <protection hidden="1"/>
    </xf>
    <xf numFmtId="187" fontId="84" fillId="7" borderId="0" xfId="0" applyNumberFormat="1" applyFont="1" applyFill="1" applyAlignment="1" applyProtection="1">
      <alignment horizontal="center"/>
      <protection hidden="1"/>
    </xf>
    <xf numFmtId="187" fontId="84" fillId="7" borderId="0" xfId="0" applyNumberFormat="1" applyFont="1" applyFill="1" applyAlignment="1">
      <alignment horizontal="center"/>
    </xf>
    <xf numFmtId="0" fontId="84" fillId="0" borderId="23" xfId="0" applyFont="1" applyBorder="1" applyAlignment="1" applyProtection="1">
      <alignment horizontal="center"/>
      <protection hidden="1"/>
    </xf>
    <xf numFmtId="0" fontId="84" fillId="0" borderId="42" xfId="0" applyFont="1" applyBorder="1" applyAlignment="1" applyProtection="1">
      <alignment horizontal="center"/>
      <protection hidden="1"/>
    </xf>
    <xf numFmtId="0" fontId="84" fillId="0" borderId="33" xfId="0" applyFont="1" applyBorder="1" applyAlignment="1" applyProtection="1">
      <alignment horizontal="center"/>
      <protection hidden="1"/>
    </xf>
    <xf numFmtId="165" fontId="84" fillId="0" borderId="33" xfId="0" applyNumberFormat="1" applyFont="1" applyBorder="1" applyAlignment="1" applyProtection="1">
      <alignment horizontal="center"/>
      <protection hidden="1"/>
    </xf>
    <xf numFmtId="0" fontId="84" fillId="0" borderId="37" xfId="0" applyFont="1" applyBorder="1" applyAlignment="1" applyProtection="1">
      <alignment horizontal="center"/>
      <protection hidden="1"/>
    </xf>
    <xf numFmtId="0" fontId="84" fillId="0" borderId="91" xfId="0" applyFont="1" applyBorder="1" applyAlignment="1" applyProtection="1">
      <alignment horizontal="center"/>
      <protection hidden="1"/>
    </xf>
    <xf numFmtId="171" fontId="84" fillId="7" borderId="92" xfId="0" applyNumberFormat="1" applyFont="1" applyFill="1" applyBorder="1" applyAlignment="1" applyProtection="1">
      <alignment horizontal="center"/>
      <protection hidden="1"/>
    </xf>
    <xf numFmtId="171" fontId="84" fillId="7" borderId="93" xfId="0" applyNumberFormat="1" applyFont="1" applyFill="1" applyBorder="1" applyAlignment="1" applyProtection="1">
      <alignment horizontal="center"/>
      <protection hidden="1"/>
    </xf>
    <xf numFmtId="171" fontId="84" fillId="7" borderId="94" xfId="0" applyNumberFormat="1" applyFont="1" applyFill="1" applyBorder="1" applyAlignment="1" applyProtection="1">
      <alignment horizontal="center"/>
      <protection hidden="1"/>
    </xf>
    <xf numFmtId="173" fontId="84" fillId="7" borderId="94" xfId="0" applyNumberFormat="1" applyFont="1" applyFill="1" applyBorder="1" applyAlignment="1" applyProtection="1">
      <alignment horizontal="center"/>
      <protection hidden="1"/>
    </xf>
    <xf numFmtId="171" fontId="84" fillId="7" borderId="95" xfId="0" applyNumberFormat="1" applyFont="1" applyFill="1" applyBorder="1" applyAlignment="1" applyProtection="1">
      <alignment horizontal="center"/>
      <protection hidden="1"/>
    </xf>
    <xf numFmtId="0" fontId="84" fillId="2" borderId="0" xfId="0" applyFont="1" applyFill="1" applyAlignment="1" applyProtection="1">
      <alignment horizontal="center"/>
      <protection hidden="1"/>
    </xf>
    <xf numFmtId="0" fontId="84" fillId="2" borderId="0" xfId="0" quotePrefix="1" applyFont="1" applyFill="1" applyProtection="1">
      <protection hidden="1"/>
    </xf>
    <xf numFmtId="0" fontId="84" fillId="2" borderId="31" xfId="0" applyFont="1" applyFill="1" applyBorder="1" applyProtection="1">
      <protection hidden="1"/>
    </xf>
    <xf numFmtId="183" fontId="84" fillId="2" borderId="86" xfId="0" applyNumberFormat="1" applyFont="1" applyFill="1" applyBorder="1" applyAlignment="1" applyProtection="1">
      <alignment horizontal="center"/>
      <protection hidden="1"/>
    </xf>
    <xf numFmtId="2" fontId="84" fillId="2" borderId="14" xfId="0" applyNumberFormat="1" applyFont="1" applyFill="1" applyBorder="1" applyAlignment="1" applyProtection="1">
      <alignment horizontal="center"/>
      <protection hidden="1"/>
    </xf>
    <xf numFmtId="178" fontId="84" fillId="2" borderId="19" xfId="0" applyNumberFormat="1" applyFont="1" applyFill="1" applyBorder="1" applyAlignment="1" applyProtection="1">
      <alignment horizontal="center"/>
      <protection hidden="1"/>
    </xf>
    <xf numFmtId="179" fontId="84" fillId="2" borderId="14" xfId="0" applyNumberFormat="1" applyFont="1" applyFill="1" applyBorder="1" applyProtection="1">
      <protection hidden="1"/>
    </xf>
    <xf numFmtId="178" fontId="84" fillId="2" borderId="35" xfId="0" applyNumberFormat="1" applyFont="1" applyFill="1" applyBorder="1" applyAlignment="1" applyProtection="1">
      <alignment horizontal="center"/>
      <protection hidden="1"/>
    </xf>
    <xf numFmtId="0" fontId="84" fillId="2" borderId="78" xfId="0" quotePrefix="1" applyFont="1" applyFill="1" applyBorder="1" applyAlignment="1" applyProtection="1">
      <alignment horizontal="center"/>
      <protection hidden="1"/>
    </xf>
    <xf numFmtId="0" fontId="84" fillId="2" borderId="77" xfId="0" applyFont="1" applyFill="1" applyBorder="1" applyAlignment="1" applyProtection="1">
      <alignment horizontal="center"/>
      <protection hidden="1"/>
    </xf>
    <xf numFmtId="179" fontId="84" fillId="2" borderId="75" xfId="0" applyNumberFormat="1" applyFont="1" applyFill="1" applyBorder="1" applyAlignment="1" applyProtection="1">
      <alignment horizontal="left"/>
      <protection hidden="1"/>
    </xf>
    <xf numFmtId="0" fontId="84" fillId="2" borderId="12" xfId="0" applyFont="1" applyFill="1" applyBorder="1" applyProtection="1">
      <protection hidden="1"/>
    </xf>
    <xf numFmtId="2" fontId="84" fillId="2" borderId="12" xfId="0" applyNumberFormat="1" applyFont="1" applyFill="1" applyBorder="1" applyAlignment="1" applyProtection="1">
      <alignment horizontal="center"/>
      <protection hidden="1"/>
    </xf>
    <xf numFmtId="178" fontId="84" fillId="2" borderId="21" xfId="0" applyNumberFormat="1" applyFont="1" applyFill="1" applyBorder="1" applyAlignment="1" applyProtection="1">
      <alignment horizontal="center"/>
      <protection hidden="1"/>
    </xf>
    <xf numFmtId="179" fontId="84" fillId="2" borderId="12" xfId="0" applyNumberFormat="1" applyFont="1" applyFill="1" applyBorder="1" applyProtection="1">
      <protection hidden="1"/>
    </xf>
    <xf numFmtId="0" fontId="84" fillId="2" borderId="81" xfId="0" quotePrefix="1" applyFont="1" applyFill="1" applyBorder="1" applyAlignment="1" applyProtection="1">
      <alignment horizontal="center"/>
      <protection hidden="1"/>
    </xf>
    <xf numFmtId="0" fontId="84" fillId="2" borderId="87" xfId="0" applyFont="1" applyFill="1" applyBorder="1" applyAlignment="1" applyProtection="1">
      <alignment horizontal="center"/>
      <protection hidden="1"/>
    </xf>
    <xf numFmtId="179" fontId="84" fillId="2" borderId="36" xfId="0" applyNumberFormat="1" applyFont="1" applyFill="1" applyBorder="1" applyAlignment="1" applyProtection="1">
      <alignment horizontal="left"/>
      <protection hidden="1"/>
    </xf>
    <xf numFmtId="0" fontId="84" fillId="2" borderId="25" xfId="0" applyFont="1" applyFill="1" applyBorder="1" applyProtection="1">
      <protection hidden="1"/>
    </xf>
    <xf numFmtId="183" fontId="84" fillId="2" borderId="96" xfId="0" applyNumberFormat="1" applyFont="1" applyFill="1" applyBorder="1" applyAlignment="1" applyProtection="1">
      <alignment horizontal="center"/>
      <protection hidden="1"/>
    </xf>
    <xf numFmtId="2" fontId="84" fillId="2" borderId="25" xfId="0" applyNumberFormat="1" applyFont="1" applyFill="1" applyBorder="1" applyAlignment="1" applyProtection="1">
      <alignment horizontal="center"/>
      <protection hidden="1"/>
    </xf>
    <xf numFmtId="178" fontId="84" fillId="2" borderId="26" xfId="0" applyNumberFormat="1" applyFont="1" applyFill="1" applyBorder="1" applyAlignment="1" applyProtection="1">
      <alignment horizontal="center"/>
      <protection hidden="1"/>
    </xf>
    <xf numFmtId="179" fontId="84" fillId="2" borderId="25" xfId="0" applyNumberFormat="1" applyFont="1" applyFill="1" applyBorder="1" applyProtection="1">
      <protection hidden="1"/>
    </xf>
    <xf numFmtId="178" fontId="84" fillId="2" borderId="97" xfId="0" applyNumberFormat="1" applyFont="1" applyFill="1" applyBorder="1" applyAlignment="1" applyProtection="1">
      <alignment horizontal="center"/>
      <protection hidden="1"/>
    </xf>
    <xf numFmtId="0" fontId="84" fillId="2" borderId="88" xfId="0" quotePrefix="1" applyFont="1" applyFill="1" applyBorder="1" applyAlignment="1" applyProtection="1">
      <alignment horizontal="center"/>
      <protection hidden="1"/>
    </xf>
    <xf numFmtId="0" fontId="84" fillId="2" borderId="98" xfId="0" applyFont="1" applyFill="1" applyBorder="1" applyAlignment="1" applyProtection="1">
      <alignment horizontal="center"/>
      <protection hidden="1"/>
    </xf>
    <xf numFmtId="179" fontId="84" fillId="2" borderId="97" xfId="0" applyNumberFormat="1" applyFont="1" applyFill="1" applyBorder="1" applyAlignment="1" applyProtection="1">
      <alignment horizontal="left"/>
      <protection hidden="1"/>
    </xf>
    <xf numFmtId="0" fontId="84" fillId="2" borderId="0" xfId="0" applyFont="1" applyFill="1" applyAlignment="1" applyProtection="1">
      <alignment horizontal="left"/>
      <protection hidden="1"/>
    </xf>
    <xf numFmtId="0" fontId="84" fillId="2" borderId="46" xfId="0" applyFont="1" applyFill="1" applyBorder="1" applyProtection="1">
      <protection hidden="1"/>
    </xf>
    <xf numFmtId="0" fontId="84" fillId="2" borderId="99" xfId="0" applyFont="1" applyFill="1" applyBorder="1" applyAlignment="1" applyProtection="1">
      <alignment horizontal="centerContinuous"/>
      <protection hidden="1"/>
    </xf>
    <xf numFmtId="0" fontId="84" fillId="2" borderId="100" xfId="0" applyFont="1" applyFill="1" applyBorder="1" applyAlignment="1" applyProtection="1">
      <alignment horizontal="centerContinuous"/>
      <protection hidden="1"/>
    </xf>
    <xf numFmtId="0" fontId="84" fillId="2" borderId="0" xfId="0" applyFont="1" applyFill="1" applyAlignment="1" applyProtection="1">
      <alignment horizontal="centerContinuous"/>
      <protection hidden="1"/>
    </xf>
    <xf numFmtId="0" fontId="84" fillId="2" borderId="100" xfId="0" applyFont="1" applyFill="1" applyBorder="1" applyProtection="1">
      <protection hidden="1"/>
    </xf>
    <xf numFmtId="0" fontId="84" fillId="2" borderId="101" xfId="0" applyFont="1" applyFill="1" applyBorder="1" applyProtection="1">
      <protection hidden="1"/>
    </xf>
    <xf numFmtId="0" fontId="84" fillId="2" borderId="102" xfId="0" applyFont="1" applyFill="1" applyBorder="1" applyAlignment="1" applyProtection="1">
      <alignment horizontal="center"/>
      <protection hidden="1"/>
    </xf>
    <xf numFmtId="0" fontId="84" fillId="2" borderId="33" xfId="0" applyFont="1" applyFill="1" applyBorder="1" applyAlignment="1" applyProtection="1">
      <alignment horizontal="center"/>
      <protection hidden="1"/>
    </xf>
    <xf numFmtId="0" fontId="84" fillId="9" borderId="59" xfId="0" applyFont="1" applyFill="1" applyBorder="1" applyAlignment="1" applyProtection="1">
      <alignment horizontal="center"/>
      <protection hidden="1"/>
    </xf>
    <xf numFmtId="2" fontId="84" fillId="9" borderId="8" xfId="0" applyNumberFormat="1" applyFont="1" applyFill="1" applyBorder="1" applyAlignment="1" applyProtection="1">
      <alignment horizontal="center"/>
      <protection hidden="1"/>
    </xf>
    <xf numFmtId="12" fontId="84" fillId="9" borderId="12" xfId="0" applyNumberFormat="1" applyFont="1" applyFill="1" applyBorder="1" applyAlignment="1" applyProtection="1">
      <alignment horizontal="center"/>
      <protection hidden="1"/>
    </xf>
    <xf numFmtId="180" fontId="84" fillId="9" borderId="21" xfId="0" applyNumberFormat="1" applyFont="1" applyFill="1" applyBorder="1" applyAlignment="1" applyProtection="1">
      <alignment horizontal="center"/>
      <protection hidden="1"/>
    </xf>
    <xf numFmtId="179" fontId="84" fillId="9" borderId="10"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protection hidden="1"/>
    </xf>
    <xf numFmtId="2" fontId="84" fillId="9" borderId="12" xfId="0" applyNumberFormat="1" applyFont="1" applyFill="1" applyBorder="1" applyAlignment="1" applyProtection="1">
      <alignment horizontal="center"/>
      <protection hidden="1"/>
    </xf>
    <xf numFmtId="178" fontId="85" fillId="9" borderId="12" xfId="0" applyNumberFormat="1" applyFont="1" applyFill="1" applyBorder="1" applyAlignment="1" applyProtection="1">
      <alignment horizontal="center"/>
      <protection hidden="1"/>
    </xf>
    <xf numFmtId="0" fontId="84" fillId="9" borderId="12" xfId="0" applyFont="1" applyFill="1" applyBorder="1" applyAlignment="1" applyProtection="1">
      <alignment horizontal="center"/>
      <protection hidden="1"/>
    </xf>
    <xf numFmtId="165" fontId="84" fillId="9" borderId="12" xfId="0" applyNumberFormat="1" applyFont="1" applyFill="1" applyBorder="1" applyAlignment="1" applyProtection="1">
      <alignment horizontal="center"/>
      <protection hidden="1"/>
    </xf>
    <xf numFmtId="0" fontId="84" fillId="9" borderId="14" xfId="0" applyFont="1" applyFill="1" applyBorder="1" applyAlignment="1" applyProtection="1">
      <alignment horizontal="center"/>
      <protection hidden="1"/>
    </xf>
    <xf numFmtId="12" fontId="84" fillId="9" borderId="28" xfId="0" applyNumberFormat="1" applyFont="1" applyFill="1" applyBorder="1" applyAlignment="1" applyProtection="1">
      <alignment horizontal="center"/>
      <protection hidden="1"/>
    </xf>
    <xf numFmtId="166" fontId="84" fillId="9" borderId="75" xfId="0" applyNumberFormat="1" applyFont="1" applyFill="1" applyBorder="1" applyAlignment="1" applyProtection="1">
      <alignment horizontal="center"/>
      <protection hidden="1"/>
    </xf>
    <xf numFmtId="2" fontId="84" fillId="9" borderId="20" xfId="0" applyNumberFormat="1" applyFont="1" applyFill="1" applyBorder="1" applyAlignment="1" applyProtection="1">
      <alignment horizontal="center"/>
      <protection hidden="1"/>
    </xf>
    <xf numFmtId="2" fontId="84" fillId="9" borderId="11" xfId="0" applyNumberFormat="1" applyFont="1" applyFill="1" applyBorder="1" applyAlignment="1" applyProtection="1">
      <alignment horizontal="center"/>
      <protection hidden="1"/>
    </xf>
    <xf numFmtId="178" fontId="84" fillId="9" borderId="14" xfId="0" applyNumberFormat="1" applyFont="1" applyFill="1" applyBorder="1" applyAlignment="1">
      <alignment horizontal="center"/>
    </xf>
    <xf numFmtId="178" fontId="84" fillId="9" borderId="19" xfId="0" applyNumberFormat="1" applyFont="1" applyFill="1" applyBorder="1" applyAlignment="1">
      <alignment horizontal="center"/>
    </xf>
    <xf numFmtId="166" fontId="84" fillId="9" borderId="36" xfId="0" applyNumberFormat="1" applyFont="1" applyFill="1" applyBorder="1" applyAlignment="1" applyProtection="1">
      <alignment horizontal="center"/>
      <protection hidden="1"/>
    </xf>
    <xf numFmtId="178" fontId="84" fillId="9" borderId="12" xfId="0" applyNumberFormat="1" applyFont="1" applyFill="1" applyBorder="1" applyAlignment="1">
      <alignment horizontal="center"/>
    </xf>
    <xf numFmtId="178" fontId="84" fillId="9" borderId="21" xfId="0" applyNumberFormat="1" applyFont="1" applyFill="1" applyBorder="1" applyAlignment="1">
      <alignment horizontal="center"/>
    </xf>
    <xf numFmtId="0" fontId="84" fillId="2" borderId="59" xfId="0" applyFont="1" applyFill="1" applyBorder="1" applyAlignment="1" applyProtection="1">
      <alignment horizontal="center"/>
      <protection hidden="1"/>
    </xf>
    <xf numFmtId="2" fontId="84" fillId="2" borderId="8" xfId="0" applyNumberFormat="1" applyFont="1" applyFill="1" applyBorder="1" applyAlignment="1" applyProtection="1">
      <alignment horizontal="center"/>
      <protection hidden="1"/>
    </xf>
    <xf numFmtId="12" fontId="84" fillId="2" borderId="12" xfId="0" applyNumberFormat="1" applyFont="1" applyFill="1" applyBorder="1" applyAlignment="1" applyProtection="1">
      <alignment horizontal="center"/>
      <protection hidden="1"/>
    </xf>
    <xf numFmtId="180" fontId="84" fillId="2" borderId="21" xfId="0" applyNumberFormat="1" applyFont="1" applyFill="1" applyBorder="1" applyAlignment="1" applyProtection="1">
      <alignment horizontal="center"/>
      <protection hidden="1"/>
    </xf>
    <xf numFmtId="179" fontId="84" fillId="2" borderId="10" xfId="0" applyNumberFormat="1" applyFont="1" applyFill="1" applyBorder="1" applyAlignment="1" applyProtection="1">
      <alignment horizontal="center"/>
      <protection hidden="1"/>
    </xf>
    <xf numFmtId="0" fontId="15" fillId="2" borderId="12" xfId="0" applyFont="1" applyFill="1" applyBorder="1" applyAlignment="1" applyProtection="1">
      <alignment horizontal="center" vertical="center"/>
      <protection hidden="1"/>
    </xf>
    <xf numFmtId="0" fontId="15" fillId="2" borderId="12" xfId="0" applyFont="1" applyFill="1" applyBorder="1" applyAlignment="1">
      <alignment horizontal="center" vertical="center" wrapText="1"/>
    </xf>
    <xf numFmtId="0" fontId="15" fillId="2" borderId="12" xfId="0" applyFont="1" applyFill="1" applyBorder="1" applyAlignment="1">
      <alignment horizontal="center" vertical="center"/>
    </xf>
    <xf numFmtId="0" fontId="87" fillId="0" borderId="0" xfId="0" applyFont="1"/>
    <xf numFmtId="0" fontId="48" fillId="0" borderId="0" xfId="0" applyFont="1"/>
    <xf numFmtId="0" fontId="15" fillId="0" borderId="0" xfId="0" applyFont="1"/>
    <xf numFmtId="0" fontId="88" fillId="2" borderId="0" xfId="0" applyFont="1" applyFill="1" applyAlignment="1">
      <alignment horizontal="right" vertical="center"/>
    </xf>
    <xf numFmtId="0" fontId="28" fillId="2" borderId="0" xfId="0" applyFont="1" applyFill="1" applyAlignment="1" applyProtection="1">
      <alignment horizontal="right"/>
      <protection hidden="1"/>
    </xf>
    <xf numFmtId="0" fontId="48" fillId="2" borderId="0" xfId="0" applyFont="1" applyFill="1" applyAlignment="1">
      <alignment horizontal="center"/>
    </xf>
    <xf numFmtId="0" fontId="88" fillId="2" borderId="0" xfId="0" applyFont="1" applyFill="1" applyAlignment="1">
      <alignment horizontal="left" vertical="center"/>
    </xf>
    <xf numFmtId="0" fontId="28" fillId="7" borderId="0" xfId="0" applyFont="1" applyFill="1" applyProtection="1">
      <protection hidden="1"/>
    </xf>
    <xf numFmtId="0" fontId="48" fillId="2" borderId="0" xfId="0" applyFont="1" applyFill="1" applyAlignment="1">
      <alignment horizontal="left"/>
    </xf>
    <xf numFmtId="0" fontId="65" fillId="0" borderId="0" xfId="0" applyFont="1"/>
    <xf numFmtId="49" fontId="15" fillId="2" borderId="0" xfId="0" applyNumberFormat="1" applyFont="1" applyFill="1"/>
    <xf numFmtId="187" fontId="28" fillId="7" borderId="0" xfId="0" applyNumberFormat="1" applyFont="1" applyFill="1" applyAlignment="1" applyProtection="1">
      <alignment horizontal="center"/>
      <protection hidden="1"/>
    </xf>
    <xf numFmtId="187" fontId="48" fillId="7" borderId="0" xfId="0" applyNumberFormat="1" applyFont="1" applyFill="1" applyAlignment="1">
      <alignment horizontal="center"/>
    </xf>
    <xf numFmtId="0" fontId="28" fillId="0" borderId="42" xfId="0" applyFont="1" applyBorder="1" applyAlignment="1" applyProtection="1">
      <alignment horizontal="center"/>
      <protection hidden="1"/>
    </xf>
    <xf numFmtId="0" fontId="28" fillId="0" borderId="33" xfId="0" applyFont="1" applyBorder="1" applyAlignment="1" applyProtection="1">
      <alignment horizontal="center"/>
      <protection hidden="1"/>
    </xf>
    <xf numFmtId="165" fontId="28" fillId="0" borderId="33" xfId="0" applyNumberFormat="1" applyFont="1" applyBorder="1" applyAlignment="1" applyProtection="1">
      <alignment horizontal="center"/>
      <protection hidden="1"/>
    </xf>
    <xf numFmtId="0" fontId="28" fillId="0" borderId="37" xfId="0" applyFont="1" applyBorder="1" applyAlignment="1" applyProtection="1">
      <alignment horizontal="center"/>
      <protection hidden="1"/>
    </xf>
    <xf numFmtId="0" fontId="28" fillId="0" borderId="0" xfId="0" quotePrefix="1" applyFont="1" applyProtection="1">
      <protection hidden="1"/>
    </xf>
    <xf numFmtId="0" fontId="28" fillId="0" borderId="0" xfId="0" applyFont="1" applyAlignment="1" applyProtection="1">
      <alignment wrapText="1"/>
      <protection hidden="1"/>
    </xf>
    <xf numFmtId="0" fontId="28" fillId="0" borderId="108" xfId="0" applyFont="1" applyBorder="1" applyAlignment="1" applyProtection="1">
      <alignment horizontal="center"/>
      <protection hidden="1"/>
    </xf>
    <xf numFmtId="0" fontId="15" fillId="0" borderId="0" xfId="0" applyFont="1" applyAlignment="1">
      <alignment horizontal="right"/>
    </xf>
    <xf numFmtId="164" fontId="69" fillId="0" borderId="0" xfId="0" applyNumberFormat="1" applyFont="1"/>
    <xf numFmtId="0" fontId="70" fillId="0" borderId="0" xfId="0" applyFont="1" applyAlignment="1">
      <alignment horizontal="left" vertical="center" indent="4"/>
    </xf>
    <xf numFmtId="0" fontId="48" fillId="0" borderId="11" xfId="0" applyFont="1" applyBorder="1"/>
    <xf numFmtId="49" fontId="90" fillId="0" borderId="10" xfId="0" applyNumberFormat="1" applyFont="1" applyBorder="1"/>
    <xf numFmtId="0" fontId="91" fillId="0" borderId="10" xfId="0" applyFont="1" applyBorder="1" applyAlignment="1">
      <alignment horizontal="left" vertical="center"/>
    </xf>
    <xf numFmtId="0" fontId="64" fillId="2" borderId="109" xfId="0" applyFont="1" applyFill="1" applyBorder="1" applyAlignment="1">
      <alignment horizontal="left"/>
    </xf>
    <xf numFmtId="177" fontId="92" fillId="0" borderId="0" xfId="0" applyNumberFormat="1" applyFont="1" applyAlignment="1" applyProtection="1">
      <alignment horizontal="left" vertical="center"/>
      <protection hidden="1"/>
    </xf>
    <xf numFmtId="0" fontId="48" fillId="0" borderId="41" xfId="0" applyFont="1" applyBorder="1"/>
    <xf numFmtId="49" fontId="64" fillId="0" borderId="10" xfId="0" applyNumberFormat="1" applyFont="1" applyBorder="1" applyAlignment="1">
      <alignment horizontal="left"/>
    </xf>
    <xf numFmtId="0" fontId="91" fillId="0" borderId="16" xfId="0" applyFont="1" applyBorder="1" applyAlignment="1">
      <alignment horizontal="left" vertical="center"/>
    </xf>
    <xf numFmtId="178" fontId="28" fillId="2" borderId="0" xfId="0" applyNumberFormat="1" applyFont="1" applyFill="1" applyProtection="1">
      <protection hidden="1"/>
    </xf>
    <xf numFmtId="3" fontId="75" fillId="2" borderId="0" xfId="0" applyNumberFormat="1" applyFont="1" applyFill="1" applyAlignment="1">
      <alignment horizontal="center"/>
    </xf>
    <xf numFmtId="0" fontId="93" fillId="0" borderId="0" xfId="0" applyFont="1" applyProtection="1">
      <protection hidden="1"/>
    </xf>
    <xf numFmtId="0" fontId="28" fillId="0" borderId="0" xfId="0" applyFont="1" applyAlignment="1" applyProtection="1">
      <alignment horizontal="centerContinuous"/>
      <protection hidden="1"/>
    </xf>
    <xf numFmtId="0" fontId="48" fillId="2" borderId="0" xfId="0" applyFont="1" applyFill="1" applyAlignment="1" applyProtection="1">
      <alignment horizontal="center" vertical="center"/>
      <protection hidden="1"/>
    </xf>
    <xf numFmtId="0" fontId="15" fillId="0" borderId="0" xfId="0" applyFont="1" applyAlignment="1">
      <alignment horizontal="left" vertical="top" indent="1"/>
    </xf>
    <xf numFmtId="0" fontId="15" fillId="2" borderId="0" xfId="0" applyFont="1" applyFill="1" applyAlignment="1">
      <alignment horizontal="center" vertical="top"/>
    </xf>
    <xf numFmtId="178" fontId="28" fillId="2" borderId="0" xfId="0" applyNumberFormat="1" applyFont="1" applyFill="1" applyAlignment="1" applyProtection="1">
      <alignment horizontal="center"/>
      <protection hidden="1"/>
    </xf>
    <xf numFmtId="0" fontId="70" fillId="0" borderId="0" xfId="0" applyFont="1" applyAlignment="1">
      <alignment horizontal="left" indent="1"/>
    </xf>
    <xf numFmtId="0" fontId="70" fillId="2" borderId="0" xfId="0" applyFont="1" applyFill="1" applyAlignment="1">
      <alignment horizontal="center"/>
    </xf>
    <xf numFmtId="3" fontId="64" fillId="2" borderId="0" xfId="0" applyNumberFormat="1" applyFont="1" applyFill="1" applyAlignment="1">
      <alignment horizontal="center"/>
    </xf>
    <xf numFmtId="0" fontId="48" fillId="2" borderId="0" xfId="0" applyFont="1" applyFill="1" applyProtection="1">
      <protection locked="0"/>
    </xf>
    <xf numFmtId="12" fontId="28" fillId="2" borderId="0" xfId="0" applyNumberFormat="1" applyFont="1" applyFill="1" applyProtection="1">
      <protection hidden="1"/>
    </xf>
    <xf numFmtId="12" fontId="28" fillId="2" borderId="0" xfId="0" applyNumberFormat="1" applyFont="1" applyFill="1" applyAlignment="1" applyProtection="1">
      <alignment horizontal="left"/>
      <protection hidden="1"/>
    </xf>
    <xf numFmtId="0" fontId="28" fillId="2" borderId="0" xfId="0" applyFont="1" applyFill="1" applyAlignment="1" applyProtection="1">
      <alignment horizontal="left"/>
      <protection hidden="1"/>
    </xf>
    <xf numFmtId="2" fontId="28" fillId="2" borderId="0" xfId="0" applyNumberFormat="1" applyFont="1" applyFill="1" applyProtection="1">
      <protection hidden="1"/>
    </xf>
    <xf numFmtId="1" fontId="28" fillId="2" borderId="0" xfId="0" applyNumberFormat="1" applyFont="1" applyFill="1" applyProtection="1">
      <protection hidden="1"/>
    </xf>
    <xf numFmtId="0" fontId="15" fillId="0" borderId="0" xfId="0" applyFont="1" applyAlignment="1">
      <alignment horizontal="center"/>
    </xf>
    <xf numFmtId="0" fontId="48" fillId="0" borderId="0" xfId="0" applyFont="1" applyAlignment="1">
      <alignment horizontal="center"/>
    </xf>
    <xf numFmtId="0" fontId="28" fillId="2" borderId="0" xfId="0" applyFont="1" applyFill="1" applyAlignment="1" applyProtection="1">
      <alignment wrapText="1"/>
      <protection hidden="1"/>
    </xf>
    <xf numFmtId="0" fontId="28" fillId="2" borderId="100" xfId="0" applyFont="1" applyFill="1" applyBorder="1" applyAlignment="1" applyProtection="1">
      <alignment horizontal="centerContinuous"/>
      <protection hidden="1"/>
    </xf>
    <xf numFmtId="0" fontId="28" fillId="2" borderId="100" xfId="0" applyFont="1" applyFill="1" applyBorder="1" applyProtection="1">
      <protection hidden="1"/>
    </xf>
    <xf numFmtId="0" fontId="15" fillId="2" borderId="0" xfId="0" applyFont="1" applyFill="1" applyAlignment="1">
      <alignment horizontal="center" vertical="center"/>
    </xf>
    <xf numFmtId="1" fontId="15" fillId="4" borderId="7" xfId="0" applyNumberFormat="1" applyFont="1" applyFill="1" applyBorder="1" applyAlignment="1">
      <alignment horizontal="center"/>
    </xf>
    <xf numFmtId="1" fontId="15" fillId="4" borderId="66" xfId="0" applyNumberFormat="1" applyFont="1" applyFill="1" applyBorder="1" applyAlignment="1">
      <alignment horizontal="center"/>
    </xf>
    <xf numFmtId="1" fontId="15" fillId="4" borderId="110" xfId="0" applyNumberFormat="1" applyFont="1" applyFill="1" applyBorder="1" applyAlignment="1">
      <alignment horizontal="center"/>
    </xf>
    <xf numFmtId="0" fontId="15" fillId="2" borderId="8" xfId="0" applyFont="1" applyFill="1" applyBorder="1" applyAlignment="1">
      <alignment horizontal="center" vertical="center"/>
    </xf>
    <xf numFmtId="0" fontId="48" fillId="0" borderId="29" xfId="0" applyFont="1" applyBorder="1" applyAlignment="1" applyProtection="1">
      <alignment horizontal="center" vertical="center" wrapText="1"/>
      <protection hidden="1"/>
    </xf>
    <xf numFmtId="0" fontId="48" fillId="0" borderId="30" xfId="0" applyFont="1" applyBorder="1" applyAlignment="1" applyProtection="1">
      <alignment horizontal="center" vertical="center" wrapText="1"/>
      <protection hidden="1"/>
    </xf>
    <xf numFmtId="0" fontId="48" fillId="8" borderId="111" xfId="0" applyFont="1" applyFill="1" applyBorder="1" applyAlignment="1" applyProtection="1">
      <alignment horizontal="center" vertical="center" wrapText="1"/>
      <protection hidden="1"/>
    </xf>
    <xf numFmtId="0" fontId="48" fillId="8" borderId="112" xfId="0" applyFont="1" applyFill="1" applyBorder="1" applyAlignment="1" applyProtection="1">
      <alignment horizontal="center" vertical="center" wrapText="1"/>
      <protection hidden="1"/>
    </xf>
    <xf numFmtId="0" fontId="28" fillId="8" borderId="113" xfId="0" applyFont="1" applyFill="1" applyBorder="1" applyAlignment="1" applyProtection="1">
      <alignment horizontal="center"/>
      <protection hidden="1"/>
    </xf>
    <xf numFmtId="0" fontId="28" fillId="8" borderId="18" xfId="0" applyFont="1" applyFill="1" applyBorder="1" applyAlignment="1" applyProtection="1">
      <alignment horizontal="center" wrapText="1"/>
      <protection hidden="1"/>
    </xf>
    <xf numFmtId="0" fontId="28" fillId="8" borderId="17" xfId="0" applyFont="1" applyFill="1" applyBorder="1" applyAlignment="1" applyProtection="1">
      <alignment horizontal="center" wrapText="1"/>
      <protection hidden="1"/>
    </xf>
    <xf numFmtId="0" fontId="28" fillId="2" borderId="102" xfId="0" applyFont="1" applyFill="1" applyBorder="1" applyAlignment="1" applyProtection="1">
      <alignment horizontal="center"/>
      <protection hidden="1"/>
    </xf>
    <xf numFmtId="0" fontId="28" fillId="2" borderId="33" xfId="0" applyFont="1" applyFill="1" applyBorder="1" applyAlignment="1">
      <alignment horizontal="center"/>
    </xf>
    <xf numFmtId="0" fontId="28" fillId="2" borderId="33" xfId="0" applyFont="1" applyFill="1" applyBorder="1" applyAlignment="1" applyProtection="1">
      <alignment horizontal="center"/>
      <protection hidden="1"/>
    </xf>
    <xf numFmtId="1" fontId="48" fillId="5" borderId="8" xfId="0" applyNumberFormat="1" applyFont="1" applyFill="1" applyBorder="1" applyAlignment="1">
      <alignment horizontal="center"/>
    </xf>
    <xf numFmtId="1" fontId="48" fillId="5" borderId="12" xfId="0" applyNumberFormat="1" applyFont="1" applyFill="1" applyBorder="1" applyAlignment="1">
      <alignment horizontal="center"/>
    </xf>
    <xf numFmtId="1" fontId="48" fillId="5" borderId="21" xfId="0" applyNumberFormat="1" applyFont="1" applyFill="1" applyBorder="1" applyAlignment="1">
      <alignment horizontal="center"/>
    </xf>
    <xf numFmtId="0" fontId="48" fillId="2" borderId="8" xfId="0" applyFont="1" applyFill="1" applyBorder="1" applyAlignment="1" applyProtection="1">
      <alignment horizontal="center"/>
      <protection locked="0"/>
    </xf>
    <xf numFmtId="1" fontId="49" fillId="8" borderId="8" xfId="0" quotePrefix="1" applyNumberFormat="1" applyFont="1" applyFill="1" applyBorder="1" applyAlignment="1" applyProtection="1">
      <alignment horizontal="center"/>
      <protection hidden="1"/>
    </xf>
    <xf numFmtId="1" fontId="49" fillId="8" borderId="12" xfId="0" applyNumberFormat="1" applyFont="1" applyFill="1" applyBorder="1" applyAlignment="1" applyProtection="1">
      <alignment horizontal="center"/>
      <protection hidden="1"/>
    </xf>
    <xf numFmtId="181" fontId="49" fillId="8" borderId="12" xfId="0" applyNumberFormat="1" applyFont="1" applyFill="1" applyBorder="1" applyAlignment="1" applyProtection="1">
      <alignment horizontal="center"/>
      <protection hidden="1"/>
    </xf>
    <xf numFmtId="0" fontId="49" fillId="8" borderId="21" xfId="0" applyFont="1" applyFill="1" applyBorder="1" applyAlignment="1" applyProtection="1">
      <alignment horizontal="center"/>
      <protection hidden="1"/>
    </xf>
    <xf numFmtId="0" fontId="48" fillId="2" borderId="11" xfId="0" applyFont="1" applyFill="1" applyBorder="1" applyAlignment="1">
      <alignment horizontal="center"/>
    </xf>
    <xf numFmtId="178" fontId="48" fillId="2" borderId="12" xfId="0" applyNumberFormat="1" applyFont="1" applyFill="1" applyBorder="1" applyAlignment="1">
      <alignment horizontal="center"/>
    </xf>
    <xf numFmtId="178" fontId="48" fillId="2" borderId="21" xfId="0" applyNumberFormat="1" applyFont="1" applyFill="1" applyBorder="1" applyAlignment="1">
      <alignment horizontal="center"/>
    </xf>
    <xf numFmtId="1" fontId="15" fillId="6" borderId="118" xfId="0" applyNumberFormat="1" applyFont="1" applyFill="1" applyBorder="1" applyAlignment="1">
      <alignment horizontal="center"/>
    </xf>
    <xf numFmtId="1" fontId="15" fillId="6" borderId="94" xfId="0" applyNumberFormat="1" applyFont="1" applyFill="1" applyBorder="1" applyAlignment="1">
      <alignment horizontal="center"/>
    </xf>
    <xf numFmtId="1" fontId="15" fillId="6" borderId="95" xfId="0" applyNumberFormat="1" applyFont="1" applyFill="1" applyBorder="1" applyAlignment="1">
      <alignment horizontal="center"/>
    </xf>
    <xf numFmtId="0" fontId="48" fillId="2" borderId="45" xfId="0" applyFont="1" applyFill="1" applyBorder="1"/>
    <xf numFmtId="173" fontId="48" fillId="2" borderId="0" xfId="0" applyNumberFormat="1" applyFont="1" applyFill="1" applyAlignment="1">
      <alignment horizontal="center"/>
    </xf>
    <xf numFmtId="172" fontId="48" fillId="2" borderId="0" xfId="0" applyNumberFormat="1" applyFont="1" applyFill="1" applyAlignment="1">
      <alignment horizontal="center"/>
    </xf>
    <xf numFmtId="0" fontId="73" fillId="0" borderId="10" xfId="0" applyFont="1" applyBorder="1" applyAlignment="1">
      <alignment horizontal="right" vertical="top"/>
    </xf>
    <xf numFmtId="0" fontId="73" fillId="0" borderId="16" xfId="0" applyFont="1" applyBorder="1" applyAlignment="1">
      <alignment horizontal="right" vertical="top"/>
    </xf>
    <xf numFmtId="0" fontId="73" fillId="0" borderId="0" xfId="0" applyFont="1" applyAlignment="1">
      <alignment horizontal="right"/>
    </xf>
    <xf numFmtId="0" fontId="72" fillId="0" borderId="121" xfId="0" applyFont="1" applyBorder="1" applyAlignment="1">
      <alignment horizontal="center" vertical="center"/>
    </xf>
    <xf numFmtId="0" fontId="48" fillId="0" borderId="0" xfId="0" applyFont="1" applyAlignment="1">
      <alignment horizontal="right"/>
    </xf>
    <xf numFmtId="49" fontId="15" fillId="0" borderId="0" xfId="0" applyNumberFormat="1" applyFont="1" applyAlignment="1">
      <alignment horizontal="left"/>
    </xf>
    <xf numFmtId="0" fontId="48" fillId="2" borderId="12" xfId="0" applyFont="1" applyFill="1" applyBorder="1"/>
    <xf numFmtId="0" fontId="48" fillId="2" borderId="109" xfId="0" applyFont="1" applyFill="1" applyBorder="1" applyAlignment="1">
      <alignment horizontal="center"/>
    </xf>
    <xf numFmtId="0" fontId="66" fillId="0" borderId="0" xfId="0" applyFont="1" applyAlignment="1">
      <alignment horizontal="left" wrapText="1"/>
    </xf>
    <xf numFmtId="49" fontId="89" fillId="0" borderId="0" xfId="0" applyNumberFormat="1" applyFont="1" applyAlignment="1">
      <alignment horizontal="left"/>
    </xf>
    <xf numFmtId="49" fontId="90" fillId="0" borderId="10" xfId="0" applyNumberFormat="1" applyFont="1" applyBorder="1" applyAlignment="1">
      <alignment horizontal="left"/>
    </xf>
    <xf numFmtId="49" fontId="64" fillId="0" borderId="11" xfId="0" applyNumberFormat="1" applyFont="1" applyBorder="1" applyAlignment="1">
      <alignment horizontal="left"/>
    </xf>
    <xf numFmtId="0" fontId="48" fillId="2" borderId="12" xfId="0" applyFont="1" applyFill="1" applyBorder="1" applyProtection="1">
      <protection locked="0"/>
    </xf>
    <xf numFmtId="0" fontId="73" fillId="0" borderId="11" xfId="0" applyFont="1" applyBorder="1" applyAlignment="1">
      <alignment horizontal="right" vertical="top"/>
    </xf>
    <xf numFmtId="0" fontId="15" fillId="0" borderId="0" xfId="0" applyFont="1" applyAlignment="1">
      <alignment horizontal="left" indent="4"/>
    </xf>
    <xf numFmtId="49" fontId="15" fillId="0" borderId="0" xfId="0" applyNumberFormat="1" applyFont="1" applyAlignment="1">
      <alignment horizontal="left" indent="2"/>
    </xf>
    <xf numFmtId="0" fontId="48" fillId="0" borderId="0" xfId="0" applyFont="1" applyAlignment="1">
      <alignment horizontal="left"/>
    </xf>
    <xf numFmtId="0" fontId="64" fillId="0" borderId="10" xfId="0" applyFont="1" applyBorder="1" applyAlignment="1">
      <alignment horizontal="left"/>
    </xf>
    <xf numFmtId="0" fontId="94" fillId="0" borderId="0" xfId="0" applyFont="1"/>
    <xf numFmtId="49" fontId="64" fillId="0" borderId="22" xfId="0" applyNumberFormat="1" applyFont="1" applyBorder="1" applyAlignment="1">
      <alignment horizontal="left"/>
    </xf>
    <xf numFmtId="0" fontId="48" fillId="2" borderId="0" xfId="0" applyFont="1" applyFill="1" applyAlignment="1">
      <alignment vertical="center"/>
    </xf>
    <xf numFmtId="0" fontId="48" fillId="2" borderId="0" xfId="0" applyFont="1" applyFill="1" applyAlignment="1">
      <alignment horizontal="center" vertical="center"/>
    </xf>
    <xf numFmtId="0" fontId="48" fillId="0" borderId="11" xfId="0" applyFont="1" applyBorder="1" applyAlignment="1">
      <alignment horizontal="right" vertical="top"/>
    </xf>
    <xf numFmtId="0" fontId="64" fillId="0" borderId="11" xfId="0" applyFont="1" applyBorder="1" applyAlignment="1">
      <alignment horizontal="left"/>
    </xf>
    <xf numFmtId="0" fontId="48" fillId="0" borderId="10" xfId="0" applyFont="1" applyBorder="1" applyAlignment="1">
      <alignment horizontal="right" vertical="top"/>
    </xf>
    <xf numFmtId="0" fontId="48" fillId="2" borderId="12" xfId="0" applyFont="1" applyFill="1" applyBorder="1" applyAlignment="1">
      <alignment horizontal="center" vertical="center"/>
    </xf>
    <xf numFmtId="0" fontId="73" fillId="2" borderId="0" xfId="0" applyFont="1" applyFill="1" applyAlignment="1">
      <alignment horizontal="right"/>
    </xf>
    <xf numFmtId="0" fontId="73" fillId="2" borderId="0" xfId="0" quotePrefix="1" applyFont="1" applyFill="1"/>
    <xf numFmtId="0" fontId="73" fillId="2" borderId="0" xfId="0" applyFont="1" applyFill="1" applyAlignment="1">
      <alignment horizontal="left"/>
    </xf>
    <xf numFmtId="0" fontId="73" fillId="2" borderId="0" xfId="0" applyFont="1" applyFill="1" applyAlignment="1" applyProtection="1">
      <alignment horizontal="right"/>
      <protection hidden="1"/>
    </xf>
    <xf numFmtId="0" fontId="73" fillId="2" borderId="0" xfId="0" quotePrefix="1" applyFont="1" applyFill="1" applyProtection="1">
      <protection hidden="1"/>
    </xf>
    <xf numFmtId="0" fontId="73" fillId="2" borderId="0" xfId="0" quotePrefix="1" applyFont="1" applyFill="1" applyAlignment="1">
      <alignment horizontal="left"/>
    </xf>
    <xf numFmtId="0" fontId="73" fillId="2" borderId="0" xfId="0" quotePrefix="1" applyFont="1" applyFill="1" applyAlignment="1" applyProtection="1">
      <alignment horizontal="left"/>
      <protection hidden="1"/>
    </xf>
    <xf numFmtId="0" fontId="83" fillId="2" borderId="0" xfId="0" quotePrefix="1" applyFont="1" applyFill="1" applyAlignment="1" applyProtection="1">
      <alignment horizontal="left"/>
      <protection hidden="1"/>
    </xf>
    <xf numFmtId="0" fontId="83" fillId="2" borderId="0" xfId="0" quotePrefix="1" applyFont="1" applyFill="1"/>
    <xf numFmtId="0" fontId="83" fillId="2" borderId="0" xfId="0" applyFont="1" applyFill="1" applyAlignment="1">
      <alignment horizontal="right"/>
    </xf>
    <xf numFmtId="0" fontId="83" fillId="2" borderId="0" xfId="0" quotePrefix="1" applyFont="1" applyFill="1" applyAlignment="1">
      <alignment horizontal="left"/>
    </xf>
    <xf numFmtId="0" fontId="28" fillId="8" borderId="114" xfId="0" applyFont="1" applyFill="1" applyBorder="1" applyAlignment="1" applyProtection="1">
      <alignment horizontal="center"/>
      <protection hidden="1"/>
    </xf>
    <xf numFmtId="0" fontId="15" fillId="0" borderId="29" xfId="0" applyFont="1" applyBorder="1" applyAlignment="1">
      <alignment horizontal="center" vertical="center"/>
    </xf>
    <xf numFmtId="0" fontId="15" fillId="0" borderId="30" xfId="0" applyFont="1" applyBorder="1" applyAlignment="1">
      <alignment horizontal="center" vertical="center"/>
    </xf>
    <xf numFmtId="0" fontId="48" fillId="8" borderId="126" xfId="0" applyFont="1" applyFill="1" applyBorder="1" applyAlignment="1" applyProtection="1">
      <alignment horizontal="center" vertical="center" wrapText="1"/>
      <protection hidden="1"/>
    </xf>
    <xf numFmtId="0" fontId="15" fillId="8" borderId="29" xfId="0" applyFont="1" applyFill="1" applyBorder="1" applyAlignment="1">
      <alignment horizontal="center" vertical="center"/>
    </xf>
    <xf numFmtId="0" fontId="15" fillId="8" borderId="30" xfId="0" applyFont="1" applyFill="1" applyBorder="1" applyAlignment="1">
      <alignment horizontal="center" vertical="center"/>
    </xf>
    <xf numFmtId="178" fontId="48" fillId="0" borderId="12" xfId="0" applyNumberFormat="1" applyFont="1" applyBorder="1" applyAlignment="1" applyProtection="1">
      <alignment horizontal="center"/>
      <protection hidden="1"/>
    </xf>
    <xf numFmtId="0" fontId="0" fillId="2" borderId="109" xfId="0" applyFill="1" applyBorder="1" applyAlignment="1">
      <alignment horizontal="center"/>
    </xf>
    <xf numFmtId="0" fontId="28" fillId="2" borderId="12" xfId="0" applyFont="1" applyFill="1" applyBorder="1" applyAlignment="1">
      <alignment horizontal="center"/>
    </xf>
    <xf numFmtId="12" fontId="48" fillId="2" borderId="0" xfId="0" applyNumberFormat="1" applyFont="1" applyFill="1"/>
    <xf numFmtId="0" fontId="28" fillId="0" borderId="127" xfId="0" applyFont="1" applyBorder="1" applyAlignment="1" applyProtection="1">
      <alignment horizontal="center"/>
      <protection hidden="1"/>
    </xf>
    <xf numFmtId="0" fontId="28" fillId="0" borderId="129" xfId="0" applyFont="1" applyBorder="1" applyAlignment="1" applyProtection="1">
      <alignment horizontal="center"/>
      <protection hidden="1"/>
    </xf>
    <xf numFmtId="178" fontId="48" fillId="10" borderId="12" xfId="0" quotePrefix="1" applyNumberFormat="1" applyFont="1" applyFill="1" applyBorder="1" applyAlignment="1" applyProtection="1">
      <alignment horizontal="center"/>
      <protection hidden="1"/>
    </xf>
    <xf numFmtId="0" fontId="48" fillId="2" borderId="114" xfId="0" applyFont="1" applyFill="1" applyBorder="1" applyAlignment="1">
      <alignment horizontal="center" vertical="center"/>
    </xf>
    <xf numFmtId="0" fontId="48" fillId="2" borderId="113" xfId="0" applyFont="1" applyFill="1" applyBorder="1" applyAlignment="1">
      <alignment horizontal="center" vertical="center"/>
    </xf>
    <xf numFmtId="179" fontId="48" fillId="2" borderId="0" xfId="0" applyNumberFormat="1" applyFont="1" applyFill="1"/>
    <xf numFmtId="178" fontId="48" fillId="2" borderId="0" xfId="0" applyNumberFormat="1" applyFont="1" applyFill="1"/>
    <xf numFmtId="178" fontId="48" fillId="0" borderId="8" xfId="0" applyNumberFormat="1" applyFont="1" applyBorder="1" applyAlignment="1">
      <alignment horizontal="center"/>
    </xf>
    <xf numFmtId="178" fontId="48" fillId="0" borderId="21" xfId="0" applyNumberFormat="1" applyFont="1" applyBorder="1" applyAlignment="1">
      <alignment horizontal="center"/>
    </xf>
    <xf numFmtId="178" fontId="48" fillId="0" borderId="9" xfId="0" applyNumberFormat="1" applyFont="1" applyBorder="1" applyAlignment="1">
      <alignment horizontal="center"/>
    </xf>
    <xf numFmtId="178" fontId="48" fillId="0" borderId="26" xfId="0" applyNumberFormat="1" applyFont="1" applyBorder="1" applyAlignment="1">
      <alignment horizontal="center"/>
    </xf>
    <xf numFmtId="0" fontId="28" fillId="2" borderId="0" xfId="0" quotePrefix="1" applyFont="1" applyFill="1" applyProtection="1">
      <protection hidden="1"/>
    </xf>
    <xf numFmtId="49" fontId="4" fillId="2" borderId="12" xfId="0" applyNumberFormat="1" applyFont="1" applyFill="1" applyBorder="1" applyAlignment="1" applyProtection="1">
      <alignment horizontal="center" vertical="center"/>
      <protection hidden="1"/>
    </xf>
    <xf numFmtId="0" fontId="4" fillId="2" borderId="12" xfId="0" applyFont="1" applyFill="1" applyBorder="1" applyAlignment="1" applyProtection="1">
      <alignment horizontal="center" vertical="center"/>
      <protection hidden="1"/>
    </xf>
    <xf numFmtId="0" fontId="4" fillId="2" borderId="14" xfId="0" applyFont="1" applyFill="1" applyBorder="1" applyAlignment="1" applyProtection="1">
      <alignment horizontal="center"/>
      <protection hidden="1"/>
    </xf>
    <xf numFmtId="0" fontId="28" fillId="0" borderId="138" xfId="0" applyFont="1" applyBorder="1" applyAlignment="1" applyProtection="1">
      <alignment horizontal="center"/>
      <protection hidden="1"/>
    </xf>
    <xf numFmtId="0" fontId="28" fillId="0" borderId="112" xfId="0" applyFont="1" applyBorder="1" applyAlignment="1" applyProtection="1">
      <alignment horizontal="center"/>
      <protection hidden="1"/>
    </xf>
    <xf numFmtId="0" fontId="48" fillId="8" borderId="44" xfId="0" applyFont="1" applyFill="1" applyBorder="1" applyAlignment="1" applyProtection="1">
      <alignment horizontal="center" vertical="center" wrapText="1"/>
      <protection hidden="1"/>
    </xf>
    <xf numFmtId="178" fontId="48" fillId="9" borderId="20" xfId="0" applyNumberFormat="1" applyFont="1" applyFill="1" applyBorder="1" applyAlignment="1">
      <alignment horizontal="center"/>
    </xf>
    <xf numFmtId="178" fontId="48" fillId="9" borderId="19" xfId="0" applyNumberFormat="1" applyFont="1" applyFill="1" applyBorder="1" applyAlignment="1">
      <alignment horizontal="center"/>
    </xf>
    <xf numFmtId="178" fontId="48" fillId="9" borderId="8" xfId="0" applyNumberFormat="1" applyFont="1" applyFill="1" applyBorder="1" applyAlignment="1">
      <alignment horizontal="center"/>
    </xf>
    <xf numFmtId="178" fontId="48" fillId="9" borderId="21" xfId="0" applyNumberFormat="1" applyFont="1" applyFill="1" applyBorder="1" applyAlignment="1">
      <alignment horizontal="center"/>
    </xf>
    <xf numFmtId="178" fontId="48" fillId="0" borderId="8" xfId="0" applyNumberFormat="1" applyFont="1" applyBorder="1" applyAlignment="1">
      <alignment horizontal="center" vertical="center"/>
    </xf>
    <xf numFmtId="178" fontId="48" fillId="0" borderId="21" xfId="0" applyNumberFormat="1" applyFont="1" applyBorder="1" applyAlignment="1">
      <alignment horizontal="center" vertical="center"/>
    </xf>
    <xf numFmtId="179" fontId="84" fillId="2" borderId="75"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center"/>
      <protection hidden="1"/>
    </xf>
    <xf numFmtId="0" fontId="4" fillId="2" borderId="20" xfId="0" applyFont="1" applyFill="1" applyBorder="1" applyAlignment="1" applyProtection="1">
      <alignment horizontal="center"/>
      <protection hidden="1"/>
    </xf>
    <xf numFmtId="0" fontId="73" fillId="2" borderId="0" xfId="0" applyFont="1" applyFill="1" applyAlignment="1" applyProtection="1">
      <alignment horizontal="center"/>
      <protection hidden="1"/>
    </xf>
    <xf numFmtId="0" fontId="14" fillId="0" borderId="0" xfId="0" applyFont="1" applyAlignment="1">
      <alignment horizontal="right"/>
    </xf>
    <xf numFmtId="0" fontId="103" fillId="0" borderId="0" xfId="0" applyFont="1" applyProtection="1">
      <protection hidden="1"/>
    </xf>
    <xf numFmtId="0" fontId="48" fillId="8" borderId="29" xfId="0" applyFont="1" applyFill="1" applyBorder="1" applyAlignment="1">
      <alignment horizontal="center" vertical="center"/>
    </xf>
    <xf numFmtId="0" fontId="48" fillId="8" borderId="30" xfId="0" applyFont="1" applyFill="1" applyBorder="1" applyAlignment="1">
      <alignment horizontal="center" vertical="center"/>
    </xf>
    <xf numFmtId="0" fontId="28" fillId="8" borderId="18" xfId="0" applyFont="1" applyFill="1" applyBorder="1" applyAlignment="1" applyProtection="1">
      <alignment horizontal="center" vertical="center" wrapText="1"/>
      <protection hidden="1"/>
    </xf>
    <xf numFmtId="0" fontId="28" fillId="8" borderId="17" xfId="0" applyFont="1" applyFill="1" applyBorder="1" applyAlignment="1" applyProtection="1">
      <alignment horizontal="center" vertical="center" wrapText="1"/>
      <protection hidden="1"/>
    </xf>
    <xf numFmtId="0" fontId="105" fillId="0" borderId="0" xfId="0" applyFont="1" applyAlignment="1">
      <alignment horizontal="left" indent="4"/>
    </xf>
    <xf numFmtId="49" fontId="106" fillId="0" borderId="0" xfId="0" applyNumberFormat="1" applyFont="1" applyAlignment="1" applyProtection="1">
      <alignment horizontal="center"/>
      <protection locked="0"/>
    </xf>
    <xf numFmtId="0" fontId="15" fillId="0" borderId="114" xfId="0" applyFont="1" applyBorder="1" applyAlignment="1" applyProtection="1">
      <alignment horizontal="center" vertical="center"/>
      <protection hidden="1"/>
    </xf>
    <xf numFmtId="0" fontId="15" fillId="0" borderId="139" xfId="0" applyFont="1" applyBorder="1" applyAlignment="1" applyProtection="1">
      <alignment horizontal="center" vertical="center"/>
      <protection hidden="1"/>
    </xf>
    <xf numFmtId="0" fontId="28" fillId="0" borderId="0" xfId="0" applyFont="1" applyAlignment="1" applyProtection="1">
      <alignment horizontal="center" vertical="top"/>
      <protection hidden="1"/>
    </xf>
    <xf numFmtId="0" fontId="48" fillId="0" borderId="140" xfId="0" applyFont="1" applyBorder="1" applyAlignment="1" applyProtection="1">
      <alignment horizontal="center"/>
      <protection hidden="1"/>
    </xf>
    <xf numFmtId="0" fontId="28" fillId="0" borderId="141" xfId="0" applyFont="1" applyBorder="1" applyAlignment="1" applyProtection="1">
      <alignment horizontal="center"/>
      <protection hidden="1"/>
    </xf>
    <xf numFmtId="0" fontId="28" fillId="2" borderId="0" xfId="0" applyFont="1" applyFill="1" applyAlignment="1" applyProtection="1">
      <alignment horizontal="center" vertical="center"/>
      <protection hidden="1"/>
    </xf>
    <xf numFmtId="0" fontId="28" fillId="2" borderId="0" xfId="0" applyFont="1" applyFill="1" applyAlignment="1">
      <alignment horizontal="center" vertical="center"/>
    </xf>
    <xf numFmtId="49" fontId="48" fillId="2" borderId="0" xfId="0" applyNumberFormat="1" applyFont="1" applyFill="1" applyAlignment="1" applyProtection="1">
      <alignment horizontal="left"/>
      <protection hidden="1"/>
    </xf>
    <xf numFmtId="49" fontId="48" fillId="2" borderId="0" xfId="0" applyNumberFormat="1" applyFont="1" applyFill="1" applyAlignment="1">
      <alignment horizontal="center"/>
    </xf>
    <xf numFmtId="0" fontId="56" fillId="6" borderId="12" xfId="0" applyFont="1" applyFill="1" applyBorder="1" applyAlignment="1" applyProtection="1">
      <alignment horizontal="center"/>
      <protection locked="0"/>
    </xf>
    <xf numFmtId="0" fontId="48" fillId="8" borderId="12" xfId="0" applyFont="1" applyFill="1" applyBorder="1" applyAlignment="1">
      <alignment horizontal="center"/>
    </xf>
    <xf numFmtId="0" fontId="73" fillId="0" borderId="10" xfId="0" applyFont="1" applyBorder="1"/>
    <xf numFmtId="0" fontId="73" fillId="0" borderId="11" xfId="0" applyFont="1" applyBorder="1"/>
    <xf numFmtId="0" fontId="84" fillId="0" borderId="0" xfId="0" applyFont="1" applyAlignment="1">
      <alignment horizontal="right"/>
    </xf>
    <xf numFmtId="0" fontId="109" fillId="0" borderId="0" xfId="0" applyFont="1" applyAlignment="1">
      <alignment horizontal="left" vertical="center" indent="1"/>
    </xf>
    <xf numFmtId="0" fontId="0" fillId="0" borderId="142" xfId="0" applyBorder="1" applyAlignment="1">
      <alignment wrapText="1"/>
    </xf>
    <xf numFmtId="178" fontId="48" fillId="12" borderId="12" xfId="0" applyNumberFormat="1" applyFont="1" applyFill="1" applyBorder="1" applyAlignment="1">
      <alignment horizontal="center"/>
    </xf>
    <xf numFmtId="178" fontId="48" fillId="12" borderId="21" xfId="0" applyNumberFormat="1" applyFont="1" applyFill="1" applyBorder="1" applyAlignment="1">
      <alignment horizontal="center"/>
    </xf>
    <xf numFmtId="178" fontId="48" fillId="12" borderId="8" xfId="0" applyNumberFormat="1" applyFont="1" applyFill="1" applyBorder="1" applyAlignment="1">
      <alignment horizontal="center" vertical="center"/>
    </xf>
    <xf numFmtId="178" fontId="48" fillId="12" borderId="21" xfId="0" applyNumberFormat="1" applyFont="1" applyFill="1" applyBorder="1" applyAlignment="1">
      <alignment horizontal="center" vertical="center"/>
    </xf>
    <xf numFmtId="12" fontId="48" fillId="2" borderId="0" xfId="0" applyNumberFormat="1" applyFont="1" applyFill="1" applyAlignment="1">
      <alignment horizontal="center"/>
    </xf>
    <xf numFmtId="0" fontId="48" fillId="4" borderId="0" xfId="0" applyFont="1" applyFill="1"/>
    <xf numFmtId="0" fontId="48" fillId="4" borderId="0" xfId="0" applyFont="1" applyFill="1" applyAlignment="1">
      <alignment horizontal="center"/>
    </xf>
    <xf numFmtId="0" fontId="48" fillId="4" borderId="0" xfId="0" applyFont="1" applyFill="1" applyAlignment="1">
      <alignment horizontal="right"/>
    </xf>
    <xf numFmtId="0" fontId="48" fillId="4" borderId="0" xfId="0" applyFont="1" applyFill="1" applyAlignment="1">
      <alignment horizontal="left"/>
    </xf>
    <xf numFmtId="186" fontId="64" fillId="12" borderId="59" xfId="0" applyNumberFormat="1" applyFont="1" applyFill="1" applyBorder="1" applyAlignment="1" applyProtection="1">
      <alignment horizontal="center"/>
      <protection locked="0"/>
    </xf>
    <xf numFmtId="186" fontId="64" fillId="12" borderId="64" xfId="0" applyNumberFormat="1" applyFont="1" applyFill="1" applyBorder="1" applyAlignment="1" applyProtection="1">
      <alignment horizontal="center"/>
      <protection locked="0"/>
    </xf>
    <xf numFmtId="186" fontId="64" fillId="6" borderId="59" xfId="0" applyNumberFormat="1" applyFont="1" applyFill="1" applyBorder="1" applyAlignment="1" applyProtection="1">
      <alignment horizontal="center"/>
      <protection locked="0"/>
    </xf>
    <xf numFmtId="186" fontId="64" fillId="6" borderId="64" xfId="0" applyNumberFormat="1" applyFont="1" applyFill="1" applyBorder="1" applyAlignment="1" applyProtection="1">
      <alignment horizontal="center"/>
      <protection locked="0"/>
    </xf>
    <xf numFmtId="0" fontId="110" fillId="2" borderId="0" xfId="0" applyFont="1" applyFill="1" applyProtection="1">
      <protection hidden="1"/>
    </xf>
    <xf numFmtId="0" fontId="97" fillId="2" borderId="23" xfId="0" applyFont="1" applyFill="1" applyBorder="1" applyAlignment="1" applyProtection="1">
      <alignment horizontal="center"/>
      <protection hidden="1"/>
    </xf>
    <xf numFmtId="0" fontId="110" fillId="2" borderId="42" xfId="0" applyFont="1" applyFill="1" applyBorder="1" applyAlignment="1" applyProtection="1">
      <alignment horizontal="center"/>
      <protection hidden="1"/>
    </xf>
    <xf numFmtId="0" fontId="110" fillId="2" borderId="33" xfId="0" applyFont="1" applyFill="1" applyBorder="1" applyAlignment="1" applyProtection="1">
      <alignment horizontal="center"/>
      <protection hidden="1"/>
    </xf>
    <xf numFmtId="165" fontId="110" fillId="2" borderId="33" xfId="0" applyNumberFormat="1" applyFont="1" applyFill="1" applyBorder="1" applyAlignment="1" applyProtection="1">
      <alignment horizontal="center"/>
      <protection hidden="1"/>
    </xf>
    <xf numFmtId="0" fontId="110" fillId="2" borderId="37" xfId="0" applyFont="1" applyFill="1" applyBorder="1" applyAlignment="1" applyProtection="1">
      <alignment horizontal="center"/>
      <protection hidden="1"/>
    </xf>
    <xf numFmtId="0" fontId="110" fillId="2" borderId="108" xfId="0" applyFont="1" applyFill="1" applyBorder="1" applyAlignment="1" applyProtection="1">
      <alignment horizontal="center"/>
      <protection hidden="1"/>
    </xf>
    <xf numFmtId="0" fontId="110" fillId="2" borderId="127" xfId="0" applyFont="1" applyFill="1" applyBorder="1" applyAlignment="1" applyProtection="1">
      <alignment horizontal="center"/>
      <protection hidden="1"/>
    </xf>
    <xf numFmtId="0" fontId="110" fillId="2" borderId="129" xfId="0" applyFont="1" applyFill="1" applyBorder="1" applyAlignment="1" applyProtection="1">
      <alignment horizontal="center"/>
      <protection hidden="1"/>
    </xf>
    <xf numFmtId="0" fontId="48" fillId="6" borderId="0" xfId="0" applyFont="1" applyFill="1" applyAlignment="1">
      <alignment horizontal="center"/>
    </xf>
    <xf numFmtId="183" fontId="78" fillId="0" borderId="146" xfId="0" applyNumberFormat="1" applyFont="1" applyBorder="1" applyAlignment="1">
      <alignment horizontal="right" vertical="center"/>
    </xf>
    <xf numFmtId="0" fontId="78" fillId="0" borderId="147" xfId="0" applyFont="1" applyBorder="1" applyAlignment="1">
      <alignment horizontal="center" vertical="center"/>
    </xf>
    <xf numFmtId="0" fontId="95" fillId="8" borderId="195" xfId="0" applyFont="1" applyFill="1" applyBorder="1" applyAlignment="1" applyProtection="1">
      <alignment horizontal="left"/>
      <protection hidden="1"/>
    </xf>
    <xf numFmtId="0" fontId="95" fillId="8" borderId="186" xfId="0" applyFont="1" applyFill="1" applyBorder="1" applyAlignment="1" applyProtection="1">
      <alignment horizontal="left"/>
      <protection hidden="1"/>
    </xf>
    <xf numFmtId="0" fontId="95" fillId="8" borderId="155" xfId="0" applyFont="1" applyFill="1" applyBorder="1" applyAlignment="1" applyProtection="1">
      <alignment horizontal="left"/>
      <protection hidden="1"/>
    </xf>
    <xf numFmtId="0" fontId="95" fillId="8" borderId="152" xfId="0" applyFont="1" applyFill="1" applyBorder="1" applyAlignment="1" applyProtection="1">
      <alignment horizontal="left"/>
      <protection hidden="1"/>
    </xf>
    <xf numFmtId="186" fontId="67" fillId="8" borderId="180" xfId="0" applyNumberFormat="1" applyFont="1" applyFill="1" applyBorder="1" applyAlignment="1">
      <alignment horizontal="center"/>
    </xf>
    <xf numFmtId="186" fontId="67" fillId="8" borderId="157" xfId="0" applyNumberFormat="1" applyFont="1" applyFill="1" applyBorder="1" applyAlignment="1">
      <alignment horizontal="center"/>
    </xf>
    <xf numFmtId="2" fontId="96" fillId="8" borderId="196" xfId="0" applyNumberFormat="1" applyFont="1" applyFill="1" applyBorder="1" applyAlignment="1" applyProtection="1">
      <alignment horizontal="center"/>
      <protection hidden="1"/>
    </xf>
    <xf numFmtId="2" fontId="96" fillId="8" borderId="181" xfId="0" applyNumberFormat="1" applyFont="1" applyFill="1" applyBorder="1" applyAlignment="1" applyProtection="1">
      <alignment horizontal="center"/>
      <protection hidden="1"/>
    </xf>
    <xf numFmtId="0" fontId="95" fillId="8" borderId="197" xfId="0" applyFont="1" applyFill="1" applyBorder="1" applyAlignment="1" applyProtection="1">
      <alignment horizontal="left"/>
      <protection hidden="1"/>
    </xf>
    <xf numFmtId="0" fontId="95" fillId="8" borderId="103" xfId="0" applyFont="1" applyFill="1" applyBorder="1" applyAlignment="1" applyProtection="1">
      <alignment horizontal="left"/>
      <protection hidden="1"/>
    </xf>
    <xf numFmtId="0" fontId="95" fillId="8" borderId="163" xfId="0" applyFont="1" applyFill="1" applyBorder="1" applyAlignment="1" applyProtection="1">
      <alignment horizontal="left"/>
      <protection hidden="1"/>
    </xf>
    <xf numFmtId="0" fontId="95" fillId="8" borderId="161" xfId="0" applyFont="1" applyFill="1" applyBorder="1" applyAlignment="1" applyProtection="1">
      <alignment horizontal="left"/>
      <protection hidden="1"/>
    </xf>
    <xf numFmtId="186" fontId="67" fillId="8" borderId="166" xfId="0" applyNumberFormat="1" applyFont="1" applyFill="1" applyBorder="1" applyAlignment="1">
      <alignment horizontal="center"/>
    </xf>
    <xf numFmtId="186" fontId="67" fillId="8" borderId="165" xfId="0" applyNumberFormat="1" applyFont="1" applyFill="1" applyBorder="1" applyAlignment="1">
      <alignment horizontal="center"/>
    </xf>
    <xf numFmtId="2" fontId="96" fillId="8" borderId="198" xfId="0" applyNumberFormat="1" applyFont="1" applyFill="1" applyBorder="1" applyAlignment="1" applyProtection="1">
      <alignment horizontal="center"/>
      <protection hidden="1"/>
    </xf>
    <xf numFmtId="2" fontId="96" fillId="8" borderId="187" xfId="0" applyNumberFormat="1" applyFont="1" applyFill="1" applyBorder="1" applyAlignment="1" applyProtection="1">
      <alignment horizontal="center"/>
      <protection hidden="1"/>
    </xf>
    <xf numFmtId="183" fontId="64" fillId="0" borderId="146" xfId="0" applyNumberFormat="1" applyFont="1" applyBorder="1" applyAlignment="1">
      <alignment horizontal="right"/>
    </xf>
    <xf numFmtId="0" fontId="64" fillId="0" borderId="147" xfId="0" applyFont="1" applyBorder="1" applyAlignment="1">
      <alignment horizontal="center"/>
    </xf>
    <xf numFmtId="0" fontId="95" fillId="8" borderId="193" xfId="0" applyFont="1" applyFill="1" applyBorder="1" applyAlignment="1" applyProtection="1">
      <alignment horizontal="left"/>
      <protection hidden="1"/>
    </xf>
    <xf numFmtId="0" fontId="95" fillId="8" borderId="194" xfId="0" applyFont="1" applyFill="1" applyBorder="1" applyAlignment="1" applyProtection="1">
      <alignment horizontal="left"/>
      <protection hidden="1"/>
    </xf>
    <xf numFmtId="0" fontId="95" fillId="8" borderId="177" xfId="0" applyFont="1" applyFill="1" applyBorder="1" applyAlignment="1" applyProtection="1">
      <alignment horizontal="left"/>
      <protection hidden="1"/>
    </xf>
    <xf numFmtId="0" fontId="95" fillId="8" borderId="173" xfId="0" applyFont="1" applyFill="1" applyBorder="1" applyAlignment="1" applyProtection="1">
      <alignment horizontal="left"/>
      <protection hidden="1"/>
    </xf>
    <xf numFmtId="186" fontId="67" fillId="8" borderId="167" xfId="0" applyNumberFormat="1" applyFont="1" applyFill="1" applyBorder="1" applyAlignment="1">
      <alignment horizontal="center"/>
    </xf>
    <xf numFmtId="186" fontId="67" fillId="8" borderId="179" xfId="0" applyNumberFormat="1" applyFont="1" applyFill="1" applyBorder="1" applyAlignment="1">
      <alignment horizontal="center"/>
    </xf>
    <xf numFmtId="2" fontId="96" fillId="8" borderId="202" xfId="0" applyNumberFormat="1" applyFont="1" applyFill="1" applyBorder="1" applyAlignment="1" applyProtection="1">
      <alignment horizontal="center"/>
      <protection hidden="1"/>
    </xf>
    <xf numFmtId="2" fontId="96" fillId="8" borderId="189" xfId="0" applyNumberFormat="1" applyFont="1" applyFill="1" applyBorder="1" applyAlignment="1" applyProtection="1">
      <alignment horizontal="center"/>
      <protection hidden="1"/>
    </xf>
    <xf numFmtId="2" fontId="111" fillId="8" borderId="196" xfId="0" applyNumberFormat="1" applyFont="1" applyFill="1" applyBorder="1" applyAlignment="1" applyProtection="1">
      <alignment horizontal="center"/>
      <protection hidden="1"/>
    </xf>
    <xf numFmtId="2" fontId="111" fillId="8" borderId="181" xfId="0" applyNumberFormat="1" applyFont="1" applyFill="1" applyBorder="1" applyAlignment="1" applyProtection="1">
      <alignment horizontal="center"/>
      <protection hidden="1"/>
    </xf>
    <xf numFmtId="2" fontId="111" fillId="8" borderId="198" xfId="0" applyNumberFormat="1" applyFont="1" applyFill="1" applyBorder="1" applyAlignment="1" applyProtection="1">
      <alignment horizontal="center"/>
      <protection hidden="1"/>
    </xf>
    <xf numFmtId="2" fontId="111" fillId="8" borderId="187" xfId="0" applyNumberFormat="1" applyFont="1" applyFill="1" applyBorder="1" applyAlignment="1" applyProtection="1">
      <alignment horizontal="center"/>
      <protection hidden="1"/>
    </xf>
    <xf numFmtId="166" fontId="67" fillId="8" borderId="196" xfId="0" applyNumberFormat="1" applyFont="1" applyFill="1" applyBorder="1" applyAlignment="1" applyProtection="1">
      <alignment horizontal="center"/>
      <protection hidden="1"/>
    </xf>
    <xf numFmtId="166" fontId="67" fillId="8" borderId="181" xfId="0" applyNumberFormat="1" applyFont="1" applyFill="1" applyBorder="1" applyAlignment="1" applyProtection="1">
      <alignment horizontal="center"/>
      <protection hidden="1"/>
    </xf>
    <xf numFmtId="166" fontId="67" fillId="8" borderId="198" xfId="0" applyNumberFormat="1" applyFont="1" applyFill="1" applyBorder="1" applyAlignment="1" applyProtection="1">
      <alignment horizontal="center"/>
      <protection hidden="1"/>
    </xf>
    <xf numFmtId="166" fontId="67" fillId="8" borderId="187" xfId="0" applyNumberFormat="1" applyFont="1" applyFill="1" applyBorder="1" applyAlignment="1" applyProtection="1">
      <alignment horizontal="center"/>
      <protection hidden="1"/>
    </xf>
    <xf numFmtId="166" fontId="67" fillId="8" borderId="202" xfId="0" applyNumberFormat="1" applyFont="1" applyFill="1" applyBorder="1" applyAlignment="1" applyProtection="1">
      <alignment horizontal="center"/>
      <protection hidden="1"/>
    </xf>
    <xf numFmtId="166" fontId="67" fillId="8" borderId="189" xfId="0" applyNumberFormat="1" applyFont="1" applyFill="1" applyBorder="1" applyAlignment="1" applyProtection="1">
      <alignment horizontal="center"/>
      <protection hidden="1"/>
    </xf>
    <xf numFmtId="186" fontId="64" fillId="0" borderId="107" xfId="0" applyNumberFormat="1" applyFont="1" applyBorder="1" applyAlignment="1">
      <alignment horizontal="left"/>
    </xf>
    <xf numFmtId="2" fontId="64" fillId="0" borderId="160" xfId="0" applyNumberFormat="1" applyFont="1" applyBorder="1" applyAlignment="1">
      <alignment horizontal="center"/>
    </xf>
    <xf numFmtId="186" fontId="64" fillId="0" borderId="198" xfId="0" applyNumberFormat="1" applyFont="1" applyBorder="1" applyAlignment="1">
      <alignment horizontal="center"/>
    </xf>
    <xf numFmtId="186" fontId="64" fillId="0" borderId="187" xfId="0" applyNumberFormat="1" applyFont="1" applyBorder="1" applyAlignment="1">
      <alignment horizontal="center"/>
    </xf>
    <xf numFmtId="186" fontId="78" fillId="0" borderId="107" xfId="0" applyNumberFormat="1" applyFont="1" applyBorder="1" applyAlignment="1">
      <alignment horizontal="left" vertical="center"/>
    </xf>
    <xf numFmtId="2" fontId="78" fillId="0" borderId="160" xfId="0" applyNumberFormat="1" applyFont="1" applyBorder="1" applyAlignment="1">
      <alignment horizontal="center" vertical="center"/>
    </xf>
    <xf numFmtId="186" fontId="78" fillId="0" borderId="198" xfId="0" applyNumberFormat="1" applyFont="1" applyBorder="1" applyAlignment="1">
      <alignment horizontal="center" vertical="center"/>
    </xf>
    <xf numFmtId="186" fontId="78" fillId="0" borderId="187" xfId="0" applyNumberFormat="1" applyFont="1" applyBorder="1" applyAlignment="1">
      <alignment horizontal="center" vertical="center"/>
    </xf>
    <xf numFmtId="171" fontId="28" fillId="2" borderId="0" xfId="0" applyNumberFormat="1" applyFont="1" applyFill="1" applyAlignment="1" applyProtection="1">
      <alignment horizontal="center"/>
      <protection hidden="1"/>
    </xf>
    <xf numFmtId="49" fontId="28" fillId="2" borderId="0" xfId="0" applyNumberFormat="1" applyFont="1" applyFill="1" applyAlignment="1">
      <alignment horizontal="center"/>
    </xf>
    <xf numFmtId="0" fontId="3" fillId="2" borderId="119" xfId="0" applyFont="1" applyFill="1" applyBorder="1" applyAlignment="1" applyProtection="1">
      <alignment horizontal="center"/>
      <protection hidden="1"/>
    </xf>
    <xf numFmtId="0" fontId="113" fillId="2" borderId="0" xfId="0" applyFont="1" applyFill="1"/>
    <xf numFmtId="0" fontId="114" fillId="2" borderId="0" xfId="0" applyFont="1" applyFill="1"/>
    <xf numFmtId="0" fontId="115" fillId="2" borderId="0" xfId="0" applyFont="1" applyFill="1"/>
    <xf numFmtId="0" fontId="28" fillId="2" borderId="0" xfId="0" applyFont="1" applyFill="1"/>
    <xf numFmtId="179" fontId="10" fillId="2" borderId="0" xfId="0" applyNumberFormat="1" applyFont="1" applyFill="1" applyAlignment="1">
      <alignment horizontal="left"/>
    </xf>
    <xf numFmtId="0" fontId="28" fillId="2" borderId="0" xfId="0" quotePrefix="1" applyFont="1" applyFill="1" applyAlignment="1">
      <alignment horizontal="center"/>
    </xf>
    <xf numFmtId="0" fontId="84" fillId="2" borderId="297" xfId="0" applyFont="1" applyFill="1" applyBorder="1" applyAlignment="1" applyProtection="1">
      <alignment horizontal="center"/>
      <protection hidden="1"/>
    </xf>
    <xf numFmtId="12" fontId="84" fillId="2" borderId="25" xfId="0" applyNumberFormat="1" applyFont="1" applyFill="1" applyBorder="1" applyAlignment="1" applyProtection="1">
      <alignment horizontal="center"/>
      <protection hidden="1"/>
    </xf>
    <xf numFmtId="180" fontId="84" fillId="2" borderId="26" xfId="0" applyNumberFormat="1" applyFont="1" applyFill="1" applyBorder="1" applyAlignment="1" applyProtection="1">
      <alignment horizontal="center"/>
      <protection hidden="1"/>
    </xf>
    <xf numFmtId="179" fontId="84" fillId="2" borderId="298" xfId="0" applyNumberFormat="1" applyFont="1" applyFill="1" applyBorder="1" applyAlignment="1" applyProtection="1">
      <alignment horizontal="center"/>
      <protection hidden="1"/>
    </xf>
    <xf numFmtId="0" fontId="117" fillId="8" borderId="195" xfId="0" applyFont="1" applyFill="1" applyBorder="1" applyAlignment="1" applyProtection="1">
      <alignment horizontal="left"/>
      <protection hidden="1"/>
    </xf>
    <xf numFmtId="0" fontId="117" fillId="8" borderId="186" xfId="0" applyFont="1" applyFill="1" applyBorder="1" applyAlignment="1" applyProtection="1">
      <alignment horizontal="left"/>
      <protection hidden="1"/>
    </xf>
    <xf numFmtId="0" fontId="117" fillId="8" borderId="155" xfId="0" applyFont="1" applyFill="1" applyBorder="1" applyAlignment="1" applyProtection="1">
      <alignment horizontal="left"/>
      <protection hidden="1"/>
    </xf>
    <xf numFmtId="0" fontId="117" fillId="8" borderId="197" xfId="0" applyFont="1" applyFill="1" applyBorder="1" applyAlignment="1" applyProtection="1">
      <alignment horizontal="left"/>
      <protection hidden="1"/>
    </xf>
    <xf numFmtId="0" fontId="117" fillId="8" borderId="103" xfId="0" applyFont="1" applyFill="1" applyBorder="1" applyAlignment="1" applyProtection="1">
      <alignment horizontal="left"/>
      <protection hidden="1"/>
    </xf>
    <xf numFmtId="0" fontId="117" fillId="8" borderId="163" xfId="0" applyFont="1" applyFill="1" applyBorder="1" applyAlignment="1" applyProtection="1">
      <alignment horizontal="left"/>
      <protection hidden="1"/>
    </xf>
    <xf numFmtId="0" fontId="117" fillId="8" borderId="186" xfId="0" applyFont="1" applyFill="1" applyBorder="1" applyAlignment="1">
      <alignment horizontal="left" vertical="center"/>
    </xf>
    <xf numFmtId="0" fontId="117" fillId="8" borderId="155" xfId="0" applyFont="1" applyFill="1" applyBorder="1" applyAlignment="1">
      <alignment horizontal="left" vertical="center"/>
    </xf>
    <xf numFmtId="0" fontId="117" fillId="8" borderId="103" xfId="0" applyFont="1" applyFill="1" applyBorder="1" applyAlignment="1">
      <alignment horizontal="left" vertical="center"/>
    </xf>
    <xf numFmtId="0" fontId="117" fillId="8" borderId="163" xfId="0" applyFont="1" applyFill="1" applyBorder="1" applyAlignment="1">
      <alignment horizontal="left" vertical="center"/>
    </xf>
    <xf numFmtId="0" fontId="117" fillId="8" borderId="194" xfId="0" applyFont="1" applyFill="1" applyBorder="1" applyAlignment="1">
      <alignment horizontal="left" vertical="center"/>
    </xf>
    <xf numFmtId="0" fontId="117" fillId="8" borderId="177" xfId="0" applyFont="1" applyFill="1" applyBorder="1" applyAlignment="1">
      <alignment horizontal="left" vertical="center"/>
    </xf>
    <xf numFmtId="169" fontId="120" fillId="0" borderId="107" xfId="0" applyNumberFormat="1" applyFont="1" applyBorder="1" applyAlignment="1" applyProtection="1">
      <alignment horizontal="center" vertical="center"/>
      <protection locked="0"/>
    </xf>
    <xf numFmtId="49" fontId="121" fillId="0" borderId="0" xfId="0" applyNumberFormat="1" applyFont="1" applyAlignment="1">
      <alignment horizontal="center" vertical="center"/>
    </xf>
    <xf numFmtId="3" fontId="118" fillId="0" borderId="0" xfId="0" applyNumberFormat="1" applyFont="1" applyAlignment="1">
      <alignment horizontal="center" vertical="center"/>
    </xf>
    <xf numFmtId="0" fontId="118" fillId="0" borderId="0" xfId="0" applyFont="1" applyAlignment="1">
      <alignment horizontal="left"/>
    </xf>
    <xf numFmtId="49" fontId="121" fillId="0" borderId="0" xfId="0" applyNumberFormat="1" applyFont="1" applyAlignment="1">
      <alignment horizontal="left"/>
    </xf>
    <xf numFmtId="3" fontId="118" fillId="0" borderId="0" xfId="0" applyNumberFormat="1" applyFont="1" applyAlignment="1">
      <alignment horizontal="left"/>
    </xf>
    <xf numFmtId="0" fontId="123" fillId="0" borderId="0" xfId="0" applyFont="1" applyAlignment="1">
      <alignment horizontal="center"/>
    </xf>
    <xf numFmtId="0" fontId="122" fillId="0" borderId="10" xfId="0" applyFont="1" applyBorder="1" applyAlignment="1">
      <alignment horizontal="left"/>
    </xf>
    <xf numFmtId="0" fontId="122" fillId="0" borderId="10" xfId="0" applyFont="1" applyBorder="1"/>
    <xf numFmtId="0" fontId="122" fillId="0" borderId="22" xfId="0" applyFont="1" applyBorder="1" applyAlignment="1">
      <alignment horizontal="left"/>
    </xf>
    <xf numFmtId="0" fontId="123" fillId="0" borderId="0" xfId="0" applyFont="1" applyAlignment="1">
      <alignment horizontal="left" indent="1"/>
    </xf>
    <xf numFmtId="3" fontId="122" fillId="0" borderId="0" xfId="0" applyNumberFormat="1" applyFont="1" applyAlignment="1">
      <alignment horizontal="left" indent="2"/>
    </xf>
    <xf numFmtId="0" fontId="118" fillId="0" borderId="180" xfId="0" applyFont="1" applyBorder="1" applyAlignment="1" applyProtection="1">
      <alignment horizontal="center" vertical="center"/>
      <protection locked="0"/>
    </xf>
    <xf numFmtId="182" fontId="118" fillId="0" borderId="144" xfId="0" applyNumberFormat="1" applyFont="1" applyBorder="1" applyAlignment="1" applyProtection="1">
      <alignment horizontal="center" vertical="center"/>
      <protection locked="0"/>
    </xf>
    <xf numFmtId="0" fontId="118" fillId="0" borderId="149" xfId="0" applyFont="1" applyBorder="1" applyAlignment="1" applyProtection="1">
      <alignment horizontal="center" vertical="center"/>
      <protection locked="0"/>
    </xf>
    <xf numFmtId="0" fontId="118" fillId="0" borderId="152" xfId="0" applyFont="1" applyBorder="1" applyAlignment="1" applyProtection="1">
      <alignment horizontal="center" vertical="center"/>
      <protection locked="0"/>
    </xf>
    <xf numFmtId="0" fontId="118" fillId="0" borderId="153" xfId="0" applyFont="1" applyBorder="1" applyAlignment="1" applyProtection="1">
      <alignment horizontal="center" vertical="center"/>
      <protection locked="0"/>
    </xf>
    <xf numFmtId="0" fontId="118" fillId="0" borderId="145" xfId="0" applyFont="1" applyBorder="1" applyAlignment="1" applyProtection="1">
      <alignment horizontal="center" vertical="center"/>
      <protection locked="0"/>
    </xf>
    <xf numFmtId="166" fontId="118" fillId="0" borderId="149" xfId="0" applyNumberFormat="1" applyFont="1" applyBorder="1" applyAlignment="1" applyProtection="1">
      <alignment horizontal="center" vertical="center"/>
      <protection locked="0"/>
    </xf>
    <xf numFmtId="0" fontId="118" fillId="0" borderId="157" xfId="0" applyFont="1" applyBorder="1" applyAlignment="1" applyProtection="1">
      <alignment horizontal="center" vertical="center"/>
      <protection locked="0"/>
    </xf>
    <xf numFmtId="0" fontId="118" fillId="0" borderId="166" xfId="0" applyFont="1" applyBorder="1" applyAlignment="1" applyProtection="1">
      <alignment horizontal="center" vertical="center"/>
      <protection locked="0"/>
    </xf>
    <xf numFmtId="182" fontId="118" fillId="0" borderId="146" xfId="0" applyNumberFormat="1" applyFont="1" applyBorder="1" applyAlignment="1" applyProtection="1">
      <alignment horizontal="center" vertical="center"/>
      <protection locked="0"/>
    </xf>
    <xf numFmtId="0" fontId="118" fillId="0" borderId="159" xfId="0" applyFont="1" applyBorder="1" applyAlignment="1" applyProtection="1">
      <alignment horizontal="center" vertical="center"/>
      <protection locked="0"/>
    </xf>
    <xf numFmtId="0" fontId="118" fillId="0" borderId="161" xfId="0" applyFont="1" applyBorder="1" applyAlignment="1" applyProtection="1">
      <alignment horizontal="center" vertical="center"/>
      <protection locked="0"/>
    </xf>
    <xf numFmtId="0" fontId="118" fillId="0" borderId="162" xfId="0" applyFont="1" applyBorder="1" applyAlignment="1" applyProtection="1">
      <alignment horizontal="center" vertical="center"/>
      <protection locked="0"/>
    </xf>
    <xf numFmtId="0" fontId="118" fillId="0" borderId="147" xfId="0" applyFont="1" applyBorder="1" applyAlignment="1" applyProtection="1">
      <alignment horizontal="center" vertical="center"/>
      <protection locked="0"/>
    </xf>
    <xf numFmtId="183" fontId="118" fillId="0" borderId="164" xfId="0" applyNumberFormat="1" applyFont="1" applyBorder="1" applyAlignment="1" applyProtection="1">
      <alignment horizontal="right" vertical="center"/>
      <protection locked="0"/>
    </xf>
    <xf numFmtId="166" fontId="118" fillId="0" borderId="159" xfId="0" applyNumberFormat="1" applyFont="1" applyBorder="1" applyAlignment="1" applyProtection="1">
      <alignment horizontal="center" vertical="center"/>
      <protection locked="0"/>
    </xf>
    <xf numFmtId="0" fontId="118" fillId="0" borderId="165" xfId="0" applyFont="1" applyBorder="1" applyAlignment="1" applyProtection="1">
      <alignment horizontal="center" vertical="center"/>
      <protection locked="0"/>
    </xf>
    <xf numFmtId="0" fontId="118" fillId="0" borderId="167" xfId="0" applyFont="1" applyBorder="1" applyAlignment="1" applyProtection="1">
      <alignment horizontal="center" vertical="center"/>
      <protection locked="0"/>
    </xf>
    <xf numFmtId="182" fontId="118" fillId="0" borderId="168" xfId="0" applyNumberFormat="1" applyFont="1" applyBorder="1" applyAlignment="1" applyProtection="1">
      <alignment horizontal="center" vertical="center"/>
      <protection locked="0"/>
    </xf>
    <xf numFmtId="0" fontId="118" fillId="0" borderId="170" xfId="0" applyFont="1" applyBorder="1" applyAlignment="1" applyProtection="1">
      <alignment horizontal="center" vertical="center"/>
      <protection locked="0"/>
    </xf>
    <xf numFmtId="0" fontId="118" fillId="0" borderId="173" xfId="0" applyFont="1" applyBorder="1" applyAlignment="1" applyProtection="1">
      <alignment horizontal="center" vertical="center"/>
      <protection locked="0"/>
    </xf>
    <xf numFmtId="0" fontId="118" fillId="0" borderId="174" xfId="0" applyFont="1" applyBorder="1" applyAlignment="1" applyProtection="1">
      <alignment horizontal="center" vertical="center"/>
      <protection locked="0"/>
    </xf>
    <xf numFmtId="0" fontId="118" fillId="0" borderId="175" xfId="0" applyFont="1" applyBorder="1" applyAlignment="1" applyProtection="1">
      <alignment horizontal="center" vertical="center"/>
      <protection locked="0"/>
    </xf>
    <xf numFmtId="183" fontId="118" fillId="0" borderId="178" xfId="0" applyNumberFormat="1" applyFont="1" applyBorder="1" applyAlignment="1" applyProtection="1">
      <alignment horizontal="right" vertical="center"/>
      <protection locked="0"/>
    </xf>
    <xf numFmtId="166" fontId="118" fillId="0" borderId="170" xfId="0" applyNumberFormat="1" applyFont="1" applyBorder="1" applyAlignment="1" applyProtection="1">
      <alignment horizontal="center" vertical="center"/>
      <protection locked="0"/>
    </xf>
    <xf numFmtId="0" fontId="118" fillId="0" borderId="179" xfId="0" applyFont="1" applyBorder="1" applyAlignment="1" applyProtection="1">
      <alignment horizontal="center" vertical="center"/>
      <protection locked="0"/>
    </xf>
    <xf numFmtId="183" fontId="124" fillId="0" borderId="144" xfId="0" applyNumberFormat="1" applyFont="1" applyBorder="1" applyAlignment="1" applyProtection="1">
      <alignment horizontal="right" vertical="center"/>
      <protection locked="0"/>
    </xf>
    <xf numFmtId="183" fontId="124" fillId="0" borderId="150" xfId="0" applyNumberFormat="1" applyFont="1" applyBorder="1" applyAlignment="1" applyProtection="1">
      <alignment horizontal="right" vertical="center"/>
      <protection locked="0"/>
    </xf>
    <xf numFmtId="183" fontId="124" fillId="0" borderId="146" xfId="0" applyNumberFormat="1" applyFont="1" applyBorder="1" applyAlignment="1" applyProtection="1">
      <alignment horizontal="right" vertical="center"/>
      <protection locked="0"/>
    </xf>
    <xf numFmtId="183" fontId="124" fillId="0" borderId="107" xfId="0" applyNumberFormat="1" applyFont="1" applyBorder="1" applyAlignment="1" applyProtection="1">
      <alignment horizontal="right" vertical="center"/>
      <protection locked="0"/>
    </xf>
    <xf numFmtId="183" fontId="124" fillId="0" borderId="168" xfId="0" applyNumberFormat="1" applyFont="1" applyBorder="1" applyAlignment="1" applyProtection="1">
      <alignment horizontal="right" vertical="center"/>
      <protection locked="0"/>
    </xf>
    <xf numFmtId="183" fontId="124" fillId="0" borderId="171" xfId="0" applyNumberFormat="1" applyFont="1" applyBorder="1" applyAlignment="1" applyProtection="1">
      <alignment horizontal="right" vertical="center"/>
      <protection locked="0"/>
    </xf>
    <xf numFmtId="0" fontId="124" fillId="0" borderId="181" xfId="0" applyFont="1" applyBorder="1" applyAlignment="1" applyProtection="1">
      <alignment horizontal="center" vertical="center"/>
      <protection locked="0"/>
    </xf>
    <xf numFmtId="175" fontId="124" fillId="0" borderId="144" xfId="0" applyNumberFormat="1" applyFont="1" applyBorder="1" applyAlignment="1" applyProtection="1">
      <alignment horizontal="right" vertical="center"/>
      <protection locked="0"/>
    </xf>
    <xf numFmtId="171" fontId="124" fillId="0" borderId="182" xfId="0" applyNumberFormat="1" applyFont="1" applyBorder="1" applyAlignment="1" applyProtection="1">
      <alignment horizontal="left" vertical="center"/>
      <protection locked="0"/>
    </xf>
    <xf numFmtId="0" fontId="124" fillId="0" borderId="187" xfId="0" applyFont="1" applyBorder="1" applyAlignment="1" applyProtection="1">
      <alignment horizontal="center" vertical="center"/>
      <protection locked="0"/>
    </xf>
    <xf numFmtId="175" fontId="124" fillId="0" borderId="146" xfId="0" applyNumberFormat="1" applyFont="1" applyBorder="1" applyAlignment="1" applyProtection="1">
      <alignment horizontal="right" vertical="center"/>
      <protection locked="0"/>
    </xf>
    <xf numFmtId="171" fontId="124" fillId="0" borderId="188" xfId="0" applyNumberFormat="1" applyFont="1" applyBorder="1" applyAlignment="1" applyProtection="1">
      <alignment horizontal="left" vertical="center"/>
      <protection locked="0"/>
    </xf>
    <xf numFmtId="0" fontId="124" fillId="0" borderId="166" xfId="0" applyFont="1" applyBorder="1" applyAlignment="1" applyProtection="1">
      <alignment horizontal="left" vertical="center"/>
      <protection locked="0"/>
    </xf>
    <xf numFmtId="0" fontId="124" fillId="0" borderId="165" xfId="0" applyFont="1" applyBorder="1" applyAlignment="1" applyProtection="1">
      <alignment horizontal="left" vertical="center"/>
      <protection locked="0"/>
    </xf>
    <xf numFmtId="0" fontId="124" fillId="0" borderId="189" xfId="0" applyFont="1" applyBorder="1" applyAlignment="1" applyProtection="1">
      <alignment horizontal="center" vertical="center"/>
      <protection locked="0"/>
    </xf>
    <xf numFmtId="175" fontId="124" fillId="0" borderId="168" xfId="0" applyNumberFormat="1" applyFont="1" applyBorder="1" applyAlignment="1" applyProtection="1">
      <alignment horizontal="right" vertical="center"/>
      <protection locked="0"/>
    </xf>
    <xf numFmtId="171" fontId="124" fillId="0" borderId="190" xfId="0" applyNumberFormat="1" applyFont="1" applyBorder="1" applyAlignment="1" applyProtection="1">
      <alignment horizontal="left" vertical="center"/>
      <protection locked="0"/>
    </xf>
    <xf numFmtId="0" fontId="124" fillId="0" borderId="167" xfId="0" applyFont="1" applyBorder="1" applyAlignment="1" applyProtection="1">
      <alignment horizontal="left" vertical="center"/>
      <protection locked="0"/>
    </xf>
    <xf numFmtId="0" fontId="124" fillId="0" borderId="179" xfId="0" applyFont="1" applyBorder="1" applyAlignment="1" applyProtection="1">
      <alignment horizontal="left" vertical="center"/>
      <protection locked="0"/>
    </xf>
    <xf numFmtId="171" fontId="118" fillId="0" borderId="183" xfId="0" applyNumberFormat="1" applyFont="1" applyBorder="1" applyAlignment="1" applyProtection="1">
      <alignment horizontal="center" vertical="center"/>
      <protection locked="0"/>
    </xf>
    <xf numFmtId="171" fontId="118" fillId="0" borderId="184" xfId="0" applyNumberFormat="1" applyFont="1" applyBorder="1" applyAlignment="1" applyProtection="1">
      <alignment horizontal="center" vertical="center"/>
      <protection locked="0"/>
    </xf>
    <xf numFmtId="2" fontId="118" fillId="0" borderId="149" xfId="0" applyNumberFormat="1" applyFont="1" applyBorder="1" applyAlignment="1" applyProtection="1">
      <alignment horizontal="center" vertical="center"/>
      <protection locked="0"/>
    </xf>
    <xf numFmtId="2" fontId="118" fillId="0" borderId="152" xfId="0" applyNumberFormat="1" applyFont="1" applyBorder="1" applyAlignment="1" applyProtection="1">
      <alignment horizontal="center" vertical="center"/>
      <protection locked="0"/>
    </xf>
    <xf numFmtId="171" fontId="118" fillId="0" borderId="124" xfId="0" applyNumberFormat="1" applyFont="1" applyBorder="1" applyAlignment="1" applyProtection="1">
      <alignment horizontal="center" vertical="center"/>
      <protection locked="0"/>
    </xf>
    <xf numFmtId="171" fontId="118" fillId="0" borderId="106" xfId="0" applyNumberFormat="1" applyFont="1" applyBorder="1" applyAlignment="1" applyProtection="1">
      <alignment horizontal="center" vertical="center"/>
      <protection locked="0"/>
    </xf>
    <xf numFmtId="2" fontId="118" fillId="0" borderId="159" xfId="0" applyNumberFormat="1" applyFont="1" applyBorder="1" applyAlignment="1" applyProtection="1">
      <alignment horizontal="center" vertical="center"/>
      <protection locked="0"/>
    </xf>
    <xf numFmtId="166" fontId="118" fillId="0" borderId="165" xfId="0" applyNumberFormat="1" applyFont="1" applyBorder="1" applyAlignment="1" applyProtection="1">
      <alignment horizontal="center" vertical="center"/>
      <protection locked="0"/>
    </xf>
    <xf numFmtId="2" fontId="118" fillId="0" borderId="161" xfId="0" applyNumberFormat="1" applyFont="1" applyBorder="1" applyAlignment="1" applyProtection="1">
      <alignment horizontal="center" vertical="center"/>
      <protection locked="0"/>
    </xf>
    <xf numFmtId="171" fontId="118" fillId="0" borderId="191" xfId="0" applyNumberFormat="1" applyFont="1" applyBorder="1" applyAlignment="1" applyProtection="1">
      <alignment horizontal="center" vertical="center"/>
      <protection locked="0"/>
    </xf>
    <xf numFmtId="171" fontId="118" fillId="0" borderId="192" xfId="0" applyNumberFormat="1" applyFont="1" applyBorder="1" applyAlignment="1" applyProtection="1">
      <alignment horizontal="center" vertical="center"/>
      <protection locked="0"/>
    </xf>
    <xf numFmtId="2" fontId="118" fillId="0" borderId="170" xfId="0" applyNumberFormat="1" applyFont="1" applyBorder="1" applyAlignment="1" applyProtection="1">
      <alignment horizontal="center" vertical="center"/>
      <protection locked="0"/>
    </xf>
    <xf numFmtId="166" fontId="118" fillId="0" borderId="179" xfId="0" applyNumberFormat="1" applyFont="1" applyBorder="1" applyAlignment="1" applyProtection="1">
      <alignment horizontal="center" vertical="center"/>
      <protection locked="0"/>
    </xf>
    <xf numFmtId="2" fontId="118" fillId="0" borderId="173" xfId="0" applyNumberFormat="1" applyFont="1" applyBorder="1" applyAlignment="1" applyProtection="1">
      <alignment horizontal="center" vertical="center"/>
      <protection locked="0"/>
    </xf>
    <xf numFmtId="1" fontId="118" fillId="0" borderId="152" xfId="0" applyNumberFormat="1" applyFont="1" applyBorder="1" applyAlignment="1" applyProtection="1">
      <alignment horizontal="center" vertical="center"/>
      <protection locked="0"/>
    </xf>
    <xf numFmtId="171" fontId="118" fillId="0" borderId="152" xfId="0" applyNumberFormat="1" applyFont="1" applyBorder="1" applyAlignment="1" applyProtection="1">
      <alignment horizontal="center" vertical="center"/>
      <protection locked="0"/>
    </xf>
    <xf numFmtId="1" fontId="118" fillId="0" borderId="161" xfId="0" applyNumberFormat="1" applyFont="1" applyBorder="1" applyAlignment="1" applyProtection="1">
      <alignment horizontal="center" vertical="center"/>
      <protection locked="0"/>
    </xf>
    <xf numFmtId="171" fontId="118" fillId="0" borderId="161" xfId="0" applyNumberFormat="1" applyFont="1" applyBorder="1" applyAlignment="1" applyProtection="1">
      <alignment horizontal="center" vertical="center"/>
      <protection locked="0"/>
    </xf>
    <xf numFmtId="1" fontId="118" fillId="0" borderId="173" xfId="0" applyNumberFormat="1" applyFont="1" applyBorder="1" applyAlignment="1" applyProtection="1">
      <alignment horizontal="center" vertical="center"/>
      <protection locked="0"/>
    </xf>
    <xf numFmtId="171" fontId="118" fillId="0" borderId="173" xfId="0" applyNumberFormat="1" applyFont="1" applyBorder="1" applyAlignment="1" applyProtection="1">
      <alignment horizontal="center" vertical="center"/>
      <protection locked="0"/>
    </xf>
    <xf numFmtId="2" fontId="118" fillId="0" borderId="201" xfId="0" applyNumberFormat="1" applyFont="1" applyBorder="1" applyAlignment="1" applyProtection="1">
      <alignment horizontal="center" vertical="center"/>
      <protection locked="0"/>
    </xf>
    <xf numFmtId="49" fontId="124" fillId="0" borderId="199" xfId="0" applyNumberFormat="1" applyFont="1" applyBorder="1" applyAlignment="1" applyProtection="1">
      <alignment horizontal="left" vertical="center"/>
      <protection locked="0"/>
    </xf>
    <xf numFmtId="49" fontId="124" fillId="0" borderId="200" xfId="0" applyNumberFormat="1" applyFont="1" applyBorder="1" applyAlignment="1" applyProtection="1">
      <alignment horizontal="left" vertical="center"/>
      <protection locked="0"/>
    </xf>
    <xf numFmtId="186" fontId="118" fillId="0" borderId="180" xfId="0" applyNumberFormat="1" applyFont="1" applyBorder="1" applyAlignment="1" applyProtection="1">
      <alignment horizontal="center" vertical="center"/>
      <protection locked="0"/>
    </xf>
    <xf numFmtId="0" fontId="118" fillId="0" borderId="187" xfId="0" applyFont="1" applyBorder="1" applyAlignment="1" applyProtection="1">
      <alignment horizontal="center" vertical="center"/>
      <protection locked="0"/>
    </xf>
    <xf numFmtId="175" fontId="118" fillId="0" borderId="146" xfId="0" applyNumberFormat="1" applyFont="1" applyBorder="1" applyAlignment="1" applyProtection="1">
      <alignment horizontal="right" vertical="center"/>
      <protection locked="0"/>
    </xf>
    <xf numFmtId="171" fontId="118" fillId="0" borderId="188" xfId="0" applyNumberFormat="1" applyFont="1" applyBorder="1" applyAlignment="1" applyProtection="1">
      <alignment horizontal="left" vertical="center"/>
      <protection locked="0"/>
    </xf>
    <xf numFmtId="49" fontId="124" fillId="0" borderId="166" xfId="0" applyNumberFormat="1" applyFont="1" applyBorder="1" applyAlignment="1" applyProtection="1">
      <alignment horizontal="left" vertical="center"/>
      <protection locked="0"/>
    </xf>
    <xf numFmtId="49" fontId="124" fillId="0" borderId="165" xfId="0" applyNumberFormat="1" applyFont="1" applyBorder="1" applyAlignment="1" applyProtection="1">
      <alignment horizontal="left" vertical="center"/>
      <protection locked="0"/>
    </xf>
    <xf numFmtId="186" fontId="118" fillId="0" borderId="166" xfId="0" applyNumberFormat="1" applyFont="1" applyBorder="1" applyAlignment="1" applyProtection="1">
      <alignment horizontal="center" vertical="center"/>
      <protection locked="0"/>
    </xf>
    <xf numFmtId="49" fontId="124" fillId="0" borderId="167" xfId="0" applyNumberFormat="1" applyFont="1" applyBorder="1" applyAlignment="1" applyProtection="1">
      <alignment horizontal="left" vertical="center"/>
      <protection locked="0"/>
    </xf>
    <xf numFmtId="49" fontId="124" fillId="0" borderId="179" xfId="0" applyNumberFormat="1" applyFont="1" applyBorder="1" applyAlignment="1" applyProtection="1">
      <alignment horizontal="left" vertical="center"/>
      <protection locked="0"/>
    </xf>
    <xf numFmtId="186" fontId="118" fillId="0" borderId="167" xfId="0" applyNumberFormat="1" applyFont="1" applyBorder="1" applyAlignment="1" applyProtection="1">
      <alignment horizontal="center" vertical="center"/>
      <protection locked="0"/>
    </xf>
    <xf numFmtId="2" fontId="118" fillId="0" borderId="157" xfId="0" applyNumberFormat="1" applyFont="1" applyBorder="1" applyAlignment="1" applyProtection="1">
      <alignment horizontal="center" vertical="center"/>
      <protection locked="0"/>
    </xf>
    <xf numFmtId="2" fontId="118" fillId="0" borderId="165" xfId="0" applyNumberFormat="1" applyFont="1" applyBorder="1" applyAlignment="1" applyProtection="1">
      <alignment horizontal="center" vertical="center"/>
      <protection locked="0"/>
    </xf>
    <xf numFmtId="2" fontId="118" fillId="0" borderId="179" xfId="0" applyNumberFormat="1" applyFont="1" applyBorder="1" applyAlignment="1" applyProtection="1">
      <alignment horizontal="center" vertical="center"/>
      <protection locked="0"/>
    </xf>
    <xf numFmtId="0" fontId="122" fillId="0" borderId="166" xfId="0" applyFont="1" applyBorder="1" applyAlignment="1" applyProtection="1">
      <alignment horizontal="center" vertical="center"/>
      <protection locked="0"/>
    </xf>
    <xf numFmtId="0" fontId="49" fillId="0" borderId="166" xfId="0" applyFont="1" applyBorder="1" applyAlignment="1" applyProtection="1">
      <alignment horizontal="center" vertical="center"/>
      <protection locked="0"/>
    </xf>
    <xf numFmtId="0" fontId="28" fillId="2" borderId="0" xfId="0" applyFont="1" applyFill="1" applyAlignment="1" applyProtection="1">
      <alignment horizontal="center"/>
      <protection locked="0"/>
    </xf>
    <xf numFmtId="12" fontId="49" fillId="13" borderId="196" xfId="0" applyNumberFormat="1" applyFont="1" applyFill="1" applyBorder="1" applyAlignment="1" applyProtection="1">
      <alignment horizontal="center"/>
      <protection hidden="1"/>
    </xf>
    <xf numFmtId="12" fontId="49" fillId="13" borderId="181" xfId="0" applyNumberFormat="1" applyFont="1" applyFill="1" applyBorder="1" applyAlignment="1" applyProtection="1">
      <alignment horizontal="center"/>
      <protection hidden="1"/>
    </xf>
    <xf numFmtId="12" fontId="49" fillId="13" borderId="198" xfId="0" applyNumberFormat="1" applyFont="1" applyFill="1" applyBorder="1" applyAlignment="1" applyProtection="1">
      <alignment horizontal="center"/>
      <protection hidden="1"/>
    </xf>
    <xf numFmtId="12" fontId="49" fillId="13" borderId="187" xfId="0" applyNumberFormat="1" applyFont="1" applyFill="1" applyBorder="1" applyAlignment="1" applyProtection="1">
      <alignment horizontal="center"/>
      <protection hidden="1"/>
    </xf>
    <xf numFmtId="12" fontId="49" fillId="13" borderId="202" xfId="0" applyNumberFormat="1" applyFont="1" applyFill="1" applyBorder="1" applyAlignment="1" applyProtection="1">
      <alignment horizontal="center"/>
      <protection hidden="1"/>
    </xf>
    <xf numFmtId="12" fontId="49" fillId="13" borderId="189" xfId="0" applyNumberFormat="1" applyFont="1" applyFill="1" applyBorder="1" applyAlignment="1" applyProtection="1">
      <alignment horizontal="center"/>
      <protection hidden="1"/>
    </xf>
    <xf numFmtId="0" fontId="24" fillId="2" borderId="12" xfId="0" applyFont="1" applyFill="1" applyBorder="1" applyProtection="1">
      <protection hidden="1"/>
    </xf>
    <xf numFmtId="0" fontId="24" fillId="2" borderId="12" xfId="0" applyFont="1" applyFill="1" applyBorder="1" applyAlignment="1" applyProtection="1">
      <alignment horizontal="center" vertical="center"/>
      <protection hidden="1"/>
    </xf>
    <xf numFmtId="0" fontId="15" fillId="2" borderId="0" xfId="0" applyFont="1" applyFill="1" applyAlignment="1">
      <alignment horizontal="center"/>
    </xf>
    <xf numFmtId="0" fontId="73" fillId="2" borderId="0" xfId="0" applyFont="1" applyFill="1" applyAlignment="1">
      <alignment horizontal="center" wrapText="1"/>
    </xf>
    <xf numFmtId="14" fontId="28" fillId="2" borderId="0" xfId="0" applyNumberFormat="1" applyFont="1" applyFill="1" applyAlignment="1">
      <alignment horizontal="left"/>
    </xf>
    <xf numFmtId="0" fontId="28" fillId="2" borderId="0" xfId="0" applyFont="1" applyFill="1" applyProtection="1">
      <protection locked="0"/>
    </xf>
    <xf numFmtId="0" fontId="28" fillId="2" borderId="0" xfId="0" applyFont="1" applyFill="1" applyProtection="1">
      <protection locked="0" hidden="1"/>
    </xf>
    <xf numFmtId="0" fontId="0" fillId="14" borderId="0" xfId="0" applyFill="1" applyProtection="1">
      <protection locked="0"/>
    </xf>
    <xf numFmtId="0" fontId="128" fillId="4" borderId="0" xfId="0" applyFont="1" applyFill="1"/>
    <xf numFmtId="3" fontId="75" fillId="2" borderId="0" xfId="0" applyNumberFormat="1" applyFont="1" applyFill="1" applyAlignment="1">
      <alignment horizontal="left"/>
    </xf>
    <xf numFmtId="3" fontId="70" fillId="2" borderId="0" xfId="0" applyNumberFormat="1" applyFont="1" applyFill="1" applyAlignment="1">
      <alignment horizontal="center"/>
    </xf>
    <xf numFmtId="0" fontId="28" fillId="2" borderId="0" xfId="0" applyFont="1" applyFill="1" applyAlignment="1">
      <alignment horizontal="right" vertical="top"/>
    </xf>
    <xf numFmtId="171" fontId="0" fillId="0" borderId="0" xfId="0" applyNumberFormat="1"/>
    <xf numFmtId="1" fontId="0" fillId="0" borderId="0" xfId="0" applyNumberFormat="1"/>
    <xf numFmtId="171" fontId="133" fillId="0" borderId="0" xfId="0" applyNumberFormat="1" applyFont="1" applyAlignment="1">
      <alignment horizontal="center" vertical="top"/>
    </xf>
    <xf numFmtId="171" fontId="5" fillId="0" borderId="0" xfId="0" applyNumberFormat="1" applyFont="1" applyAlignment="1">
      <alignment horizontal="left"/>
    </xf>
    <xf numFmtId="0" fontId="5" fillId="0" borderId="0" xfId="0" applyFont="1" applyAlignment="1">
      <alignment horizontal="right"/>
    </xf>
    <xf numFmtId="0" fontId="50" fillId="0" borderId="0" xfId="0" applyFont="1" applyAlignment="1">
      <alignment horizontal="center"/>
    </xf>
    <xf numFmtId="0" fontId="51" fillId="0" borderId="0" xfId="0" applyFont="1" applyAlignment="1">
      <alignment horizontal="center"/>
    </xf>
    <xf numFmtId="0" fontId="84" fillId="0" borderId="14" xfId="0" applyFont="1" applyBorder="1" applyAlignment="1" applyProtection="1">
      <alignment horizontal="center"/>
      <protection hidden="1"/>
    </xf>
    <xf numFmtId="0" fontId="84" fillId="0" borderId="19" xfId="0" applyFont="1" applyBorder="1" applyAlignment="1" applyProtection="1">
      <alignment horizontal="center"/>
      <protection hidden="1"/>
    </xf>
    <xf numFmtId="185" fontId="84" fillId="7" borderId="25" xfId="0" applyNumberFormat="1" applyFont="1" applyFill="1" applyBorder="1" applyAlignment="1" applyProtection="1">
      <alignment horizontal="center"/>
      <protection hidden="1"/>
    </xf>
    <xf numFmtId="185" fontId="84" fillId="7" borderId="26" xfId="0" applyNumberFormat="1" applyFont="1" applyFill="1" applyBorder="1" applyAlignment="1" applyProtection="1">
      <alignment horizontal="center"/>
      <protection hidden="1"/>
    </xf>
    <xf numFmtId="177" fontId="71" fillId="0" borderId="0" xfId="0" applyNumberFormat="1" applyFont="1" applyAlignment="1" applyProtection="1">
      <alignment horizontal="left"/>
      <protection locked="0"/>
    </xf>
    <xf numFmtId="0" fontId="3" fillId="2" borderId="0" xfId="0" applyFont="1" applyFill="1"/>
    <xf numFmtId="14" fontId="3" fillId="2" borderId="0" xfId="0" applyNumberFormat="1" applyFont="1" applyFill="1"/>
    <xf numFmtId="0" fontId="134" fillId="2" borderId="0" xfId="0" quotePrefix="1" applyFont="1" applyFill="1" applyAlignment="1" applyProtection="1">
      <alignment horizontal="center"/>
      <protection hidden="1"/>
    </xf>
    <xf numFmtId="0" fontId="134" fillId="2" borderId="0" xfId="0" applyFont="1" applyFill="1" applyAlignment="1" applyProtection="1">
      <alignment horizontal="center"/>
      <protection hidden="1"/>
    </xf>
    <xf numFmtId="0" fontId="113" fillId="2" borderId="0" xfId="0" applyFont="1" applyFill="1" applyAlignment="1" applyProtection="1">
      <alignment horizontal="right"/>
      <protection hidden="1"/>
    </xf>
    <xf numFmtId="0" fontId="3" fillId="0" borderId="12" xfId="0" applyFont="1" applyBorder="1" applyAlignment="1" applyProtection="1">
      <alignment horizontal="center"/>
      <protection locked="0" hidden="1"/>
    </xf>
    <xf numFmtId="0" fontId="7" fillId="2" borderId="0" xfId="0" applyFont="1" applyFill="1"/>
    <xf numFmtId="0" fontId="7" fillId="15" borderId="0" xfId="0" applyFont="1" applyFill="1"/>
    <xf numFmtId="0" fontId="7" fillId="0" borderId="304" xfId="0" applyFont="1" applyBorder="1"/>
    <xf numFmtId="0" fontId="7" fillId="0" borderId="306" xfId="0" applyFont="1" applyBorder="1" applyAlignment="1">
      <alignment horizontal="left"/>
    </xf>
    <xf numFmtId="0" fontId="7" fillId="0" borderId="307" xfId="0" applyFont="1" applyBorder="1" applyAlignment="1">
      <alignment horizontal="left"/>
    </xf>
    <xf numFmtId="0" fontId="7" fillId="0" borderId="309" xfId="0" applyFont="1" applyBorder="1" applyAlignment="1">
      <alignment horizontal="left"/>
    </xf>
    <xf numFmtId="0" fontId="73" fillId="0" borderId="303" xfId="0" applyFont="1" applyBorder="1"/>
    <xf numFmtId="0" fontId="73" fillId="0" borderId="304" xfId="0" applyFont="1" applyBorder="1"/>
    <xf numFmtId="0" fontId="73" fillId="0" borderId="305" xfId="0" applyFont="1" applyBorder="1" applyAlignment="1">
      <alignment horizontal="left"/>
    </xf>
    <xf numFmtId="0" fontId="73" fillId="0" borderId="306" xfId="0" applyFont="1" applyBorder="1" applyAlignment="1">
      <alignment horizontal="left"/>
    </xf>
    <xf numFmtId="0" fontId="73" fillId="0" borderId="158" xfId="0" applyFont="1" applyBorder="1" applyAlignment="1">
      <alignment horizontal="left"/>
    </xf>
    <xf numFmtId="0" fontId="73" fillId="0" borderId="307" xfId="0" applyFont="1" applyBorder="1" applyAlignment="1">
      <alignment horizontal="left"/>
    </xf>
    <xf numFmtId="0" fontId="73" fillId="0" borderId="308" xfId="0" applyFont="1" applyBorder="1" applyAlignment="1">
      <alignment horizontal="left"/>
    </xf>
    <xf numFmtId="0" fontId="73" fillId="0" borderId="309" xfId="0" applyFont="1" applyBorder="1" applyAlignment="1">
      <alignment horizontal="left"/>
    </xf>
    <xf numFmtId="0" fontId="0" fillId="16" borderId="0" xfId="0" applyFill="1"/>
    <xf numFmtId="171" fontId="0" fillId="16" borderId="0" xfId="0" applyNumberFormat="1" applyFill="1"/>
    <xf numFmtId="1" fontId="0" fillId="16" borderId="0" xfId="0" applyNumberFormat="1" applyFill="1"/>
    <xf numFmtId="0" fontId="117" fillId="8" borderId="193" xfId="0" applyFont="1" applyFill="1" applyBorder="1" applyAlignment="1" applyProtection="1">
      <alignment horizontal="left"/>
      <protection hidden="1"/>
    </xf>
    <xf numFmtId="0" fontId="117" fillId="8" borderId="194" xfId="0" applyFont="1" applyFill="1" applyBorder="1" applyAlignment="1" applyProtection="1">
      <alignment horizontal="left"/>
      <protection hidden="1"/>
    </xf>
    <xf numFmtId="0" fontId="117" fillId="8" borderId="177" xfId="0" applyFont="1" applyFill="1" applyBorder="1" applyAlignment="1" applyProtection="1">
      <alignment horizontal="left"/>
      <protection hidden="1"/>
    </xf>
    <xf numFmtId="2" fontId="111" fillId="8" borderId="202" xfId="0" applyNumberFormat="1" applyFont="1" applyFill="1" applyBorder="1" applyAlignment="1" applyProtection="1">
      <alignment horizontal="center"/>
      <protection hidden="1"/>
    </xf>
    <xf numFmtId="2" fontId="111" fillId="8" borderId="189" xfId="0" applyNumberFormat="1" applyFont="1" applyFill="1" applyBorder="1" applyAlignment="1" applyProtection="1">
      <alignment horizontal="center"/>
      <protection hidden="1"/>
    </xf>
    <xf numFmtId="0" fontId="3" fillId="2" borderId="0" xfId="0" applyFont="1" applyFill="1" applyAlignment="1" applyProtection="1">
      <alignment horizontal="center"/>
      <protection locked="0" hidden="1"/>
    </xf>
    <xf numFmtId="0" fontId="118" fillId="0" borderId="189" xfId="0" applyFont="1" applyBorder="1" applyAlignment="1" applyProtection="1">
      <alignment horizontal="center" vertical="center"/>
      <protection locked="0"/>
    </xf>
    <xf numFmtId="175" fontId="118" fillId="0" borderId="168" xfId="0" applyNumberFormat="1" applyFont="1" applyBorder="1" applyAlignment="1" applyProtection="1">
      <alignment horizontal="right" vertical="center"/>
      <protection locked="0"/>
    </xf>
    <xf numFmtId="171" fontId="118" fillId="0" borderId="190" xfId="0" applyNumberFormat="1" applyFont="1" applyBorder="1" applyAlignment="1" applyProtection="1">
      <alignment horizontal="left" vertical="center"/>
      <protection locked="0"/>
    </xf>
    <xf numFmtId="0" fontId="48" fillId="0" borderId="29" xfId="0" applyFont="1" applyBorder="1" applyAlignment="1">
      <alignment horizontal="center" vertical="center"/>
    </xf>
    <xf numFmtId="0" fontId="48" fillId="0" borderId="30" xfId="0" applyFont="1" applyBorder="1" applyAlignment="1">
      <alignment horizontal="center" vertical="center"/>
    </xf>
    <xf numFmtId="0" fontId="117" fillId="8" borderId="156" xfId="0" applyFont="1" applyFill="1" applyBorder="1" applyAlignment="1">
      <alignment horizontal="center" vertical="center"/>
    </xf>
    <xf numFmtId="0" fontId="117" fillId="8" borderId="164" xfId="0" applyFont="1" applyFill="1" applyBorder="1" applyAlignment="1">
      <alignment horizontal="center" vertical="center"/>
    </xf>
    <xf numFmtId="0" fontId="117" fillId="8" borderId="178" xfId="0" applyFont="1" applyFill="1" applyBorder="1" applyAlignment="1">
      <alignment horizontal="center" vertical="center"/>
    </xf>
    <xf numFmtId="12" fontId="47" fillId="16" borderId="12" xfId="0" applyNumberFormat="1" applyFont="1" applyFill="1" applyBorder="1" applyAlignment="1" applyProtection="1">
      <alignment horizontal="center"/>
      <protection hidden="1"/>
    </xf>
    <xf numFmtId="180" fontId="47" fillId="16" borderId="21" xfId="0" applyNumberFormat="1" applyFont="1" applyFill="1" applyBorder="1" applyAlignment="1" applyProtection="1">
      <alignment horizontal="center"/>
      <protection hidden="1"/>
    </xf>
    <xf numFmtId="2" fontId="48" fillId="16" borderId="8" xfId="0" applyNumberFormat="1" applyFont="1" applyFill="1" applyBorder="1" applyAlignment="1" applyProtection="1">
      <alignment horizontal="center"/>
      <protection hidden="1"/>
    </xf>
    <xf numFmtId="2" fontId="48" fillId="16" borderId="28" xfId="0" applyNumberFormat="1" applyFont="1" applyFill="1" applyBorder="1" applyAlignment="1" applyProtection="1">
      <alignment horizontal="center"/>
      <protection hidden="1"/>
    </xf>
    <xf numFmtId="178" fontId="48" fillId="16" borderId="14" xfId="0" applyNumberFormat="1" applyFont="1" applyFill="1" applyBorder="1" applyAlignment="1" applyProtection="1">
      <alignment horizontal="center"/>
      <protection hidden="1"/>
    </xf>
    <xf numFmtId="2" fontId="48" fillId="16" borderId="14" xfId="0" applyNumberFormat="1" applyFont="1" applyFill="1" applyBorder="1" applyAlignment="1" applyProtection="1">
      <alignment horizontal="center"/>
      <protection hidden="1"/>
    </xf>
    <xf numFmtId="2" fontId="48" fillId="16" borderId="12" xfId="0" applyNumberFormat="1" applyFont="1" applyFill="1" applyBorder="1" applyAlignment="1" applyProtection="1">
      <alignment horizontal="center"/>
      <protection hidden="1"/>
    </xf>
    <xf numFmtId="178"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protection hidden="1"/>
    </xf>
    <xf numFmtId="165" fontId="48" fillId="16" borderId="12" xfId="0" applyNumberFormat="1" applyFont="1" applyFill="1" applyBorder="1" applyAlignment="1" applyProtection="1">
      <alignment horizontal="center"/>
      <protection hidden="1"/>
    </xf>
    <xf numFmtId="0" fontId="48" fillId="16" borderId="14" xfId="0" applyFont="1" applyFill="1" applyBorder="1" applyAlignment="1">
      <alignment horizontal="center"/>
    </xf>
    <xf numFmtId="0" fontId="48" fillId="16" borderId="116" xfId="0" applyFont="1" applyFill="1" applyBorder="1" applyAlignment="1">
      <alignment horizontal="center"/>
    </xf>
    <xf numFmtId="178" fontId="48" fillId="16" borderId="14" xfId="0" applyNumberFormat="1" applyFont="1" applyFill="1" applyBorder="1" applyAlignment="1">
      <alignment horizontal="center"/>
    </xf>
    <xf numFmtId="178" fontId="48" fillId="16" borderId="19" xfId="0" applyNumberFormat="1" applyFont="1" applyFill="1" applyBorder="1" applyAlignment="1">
      <alignment horizontal="center"/>
    </xf>
    <xf numFmtId="0" fontId="48" fillId="16" borderId="12" xfId="0" applyFont="1" applyFill="1" applyBorder="1" applyAlignment="1" applyProtection="1">
      <alignment horizontal="center"/>
      <protection hidden="1"/>
    </xf>
    <xf numFmtId="0" fontId="48" fillId="16" borderId="12" xfId="0" applyFont="1" applyFill="1" applyBorder="1" applyAlignment="1">
      <alignment horizontal="center"/>
    </xf>
    <xf numFmtId="0" fontId="48" fillId="16" borderId="11" xfId="0" applyFont="1" applyFill="1" applyBorder="1" applyAlignment="1">
      <alignment horizontal="center"/>
    </xf>
    <xf numFmtId="178" fontId="48" fillId="16" borderId="12" xfId="0" applyNumberFormat="1" applyFont="1" applyFill="1" applyBorder="1" applyAlignment="1">
      <alignment horizontal="center"/>
    </xf>
    <xf numFmtId="178" fontId="48" fillId="16" borderId="21" xfId="0" applyNumberFormat="1" applyFont="1" applyFill="1" applyBorder="1" applyAlignment="1">
      <alignment horizontal="center"/>
    </xf>
    <xf numFmtId="12" fontId="47" fillId="16" borderId="25" xfId="0" applyNumberFormat="1" applyFont="1" applyFill="1" applyBorder="1" applyAlignment="1" applyProtection="1">
      <alignment horizontal="center"/>
      <protection hidden="1"/>
    </xf>
    <xf numFmtId="180" fontId="47" fillId="16" borderId="26" xfId="0" applyNumberFormat="1" applyFont="1" applyFill="1" applyBorder="1" applyAlignment="1" applyProtection="1">
      <alignment horizontal="center"/>
      <protection hidden="1"/>
    </xf>
    <xf numFmtId="2" fontId="48" fillId="16" borderId="9" xfId="0" applyNumberFormat="1" applyFont="1" applyFill="1" applyBorder="1" applyAlignment="1" applyProtection="1">
      <alignment horizontal="center"/>
      <protection hidden="1"/>
    </xf>
    <xf numFmtId="2" fontId="48" fillId="16" borderId="85" xfId="0" applyNumberFormat="1" applyFont="1" applyFill="1" applyBorder="1" applyAlignment="1" applyProtection="1">
      <alignment horizontal="center"/>
      <protection hidden="1"/>
    </xf>
    <xf numFmtId="178" fontId="48" fillId="16" borderId="25" xfId="0" applyNumberFormat="1" applyFont="1" applyFill="1" applyBorder="1" applyAlignment="1" applyProtection="1">
      <alignment horizontal="center"/>
      <protection hidden="1"/>
    </xf>
    <xf numFmtId="2" fontId="48" fillId="16" borderId="25" xfId="0" applyNumberFormat="1" applyFont="1" applyFill="1" applyBorder="1" applyAlignment="1" applyProtection="1">
      <alignment horizontal="center"/>
      <protection hidden="1"/>
    </xf>
    <xf numFmtId="0" fontId="48" fillId="16" borderId="25" xfId="0" applyFont="1" applyFill="1" applyBorder="1" applyAlignment="1" applyProtection="1">
      <alignment horizontal="center"/>
      <protection hidden="1"/>
    </xf>
    <xf numFmtId="0" fontId="48" fillId="16" borderId="25" xfId="0" applyFont="1" applyFill="1" applyBorder="1" applyAlignment="1">
      <alignment horizontal="center"/>
    </xf>
    <xf numFmtId="0" fontId="48" fillId="16" borderId="117" xfId="0" applyFont="1" applyFill="1" applyBorder="1" applyAlignment="1">
      <alignment horizontal="center"/>
    </xf>
    <xf numFmtId="178" fontId="48" fillId="16" borderId="25" xfId="0" applyNumberFormat="1" applyFont="1" applyFill="1" applyBorder="1" applyAlignment="1">
      <alignment horizontal="center"/>
    </xf>
    <xf numFmtId="178" fontId="48" fillId="16" borderId="26" xfId="0" applyNumberFormat="1" applyFont="1" applyFill="1" applyBorder="1" applyAlignment="1">
      <alignment horizontal="center"/>
    </xf>
    <xf numFmtId="186" fontId="135" fillId="8" borderId="180" xfId="0" applyNumberFormat="1" applyFont="1" applyFill="1" applyBorder="1" applyAlignment="1">
      <alignment horizontal="center"/>
    </xf>
    <xf numFmtId="186" fontId="135" fillId="8" borderId="157" xfId="0" applyNumberFormat="1" applyFont="1" applyFill="1" applyBorder="1" applyAlignment="1">
      <alignment horizontal="center"/>
    </xf>
    <xf numFmtId="186" fontId="135" fillId="8" borderId="166" xfId="0" applyNumberFormat="1" applyFont="1" applyFill="1" applyBorder="1" applyAlignment="1">
      <alignment horizontal="center"/>
    </xf>
    <xf numFmtId="186" fontId="135" fillId="8" borderId="165" xfId="0" applyNumberFormat="1" applyFont="1" applyFill="1" applyBorder="1" applyAlignment="1">
      <alignment horizontal="center"/>
    </xf>
    <xf numFmtId="186" fontId="135" fillId="8" borderId="167" xfId="0" applyNumberFormat="1" applyFont="1" applyFill="1" applyBorder="1" applyAlignment="1">
      <alignment horizontal="center"/>
    </xf>
    <xf numFmtId="186" fontId="135" fillId="8" borderId="179" xfId="0" applyNumberFormat="1" applyFont="1" applyFill="1" applyBorder="1" applyAlignment="1">
      <alignment horizontal="center"/>
    </xf>
    <xf numFmtId="0" fontId="117" fillId="8" borderId="152" xfId="0" applyFont="1" applyFill="1" applyBorder="1" applyAlignment="1" applyProtection="1">
      <alignment horizontal="left"/>
      <protection hidden="1"/>
    </xf>
    <xf numFmtId="0" fontId="117" fillId="8" borderId="161" xfId="0" applyFont="1" applyFill="1" applyBorder="1" applyAlignment="1" applyProtection="1">
      <alignment horizontal="left"/>
      <protection hidden="1"/>
    </xf>
    <xf numFmtId="0" fontId="117" fillId="8" borderId="173" xfId="0" applyFont="1" applyFill="1" applyBorder="1" applyAlignment="1" applyProtection="1">
      <alignment horizontal="left"/>
      <protection hidden="1"/>
    </xf>
    <xf numFmtId="189" fontId="137" fillId="2" borderId="0" xfId="0" applyNumberFormat="1" applyFont="1" applyFill="1" applyAlignment="1">
      <alignment horizontal="left"/>
    </xf>
    <xf numFmtId="0" fontId="136" fillId="2" borderId="0" xfId="0" applyFont="1" applyFill="1" applyAlignment="1">
      <alignment horizontal="left"/>
    </xf>
    <xf numFmtId="178" fontId="48" fillId="15" borderId="12" xfId="0" applyNumberFormat="1" applyFont="1" applyFill="1" applyBorder="1" applyAlignment="1" applyProtection="1">
      <alignment horizontal="center"/>
      <protection hidden="1"/>
    </xf>
    <xf numFmtId="2" fontId="48" fillId="16" borderId="32" xfId="0" applyNumberFormat="1" applyFont="1" applyFill="1" applyBorder="1" applyAlignment="1" applyProtection="1">
      <alignment horizontal="center"/>
      <protection hidden="1"/>
    </xf>
    <xf numFmtId="12" fontId="47" fillId="16" borderId="31" xfId="0" applyNumberFormat="1" applyFont="1" applyFill="1" applyBorder="1" applyAlignment="1" applyProtection="1">
      <alignment horizontal="center"/>
      <protection hidden="1"/>
    </xf>
    <xf numFmtId="180" fontId="47" fillId="16" borderId="38" xfId="0" applyNumberFormat="1" applyFont="1" applyFill="1" applyBorder="1" applyAlignment="1" applyProtection="1">
      <alignment horizontal="center"/>
      <protection hidden="1"/>
    </xf>
    <xf numFmtId="2" fontId="48" fillId="16" borderId="134" xfId="0" applyNumberFormat="1" applyFont="1" applyFill="1" applyBorder="1" applyAlignment="1" applyProtection="1">
      <alignment horizontal="center"/>
      <protection hidden="1"/>
    </xf>
    <xf numFmtId="178" fontId="48" fillId="16" borderId="31" xfId="0" applyNumberFormat="1" applyFont="1" applyFill="1" applyBorder="1" applyAlignment="1" applyProtection="1">
      <alignment horizontal="center"/>
      <protection hidden="1"/>
    </xf>
    <xf numFmtId="2" fontId="48" fillId="16" borderId="31" xfId="0" applyNumberFormat="1" applyFont="1" applyFill="1" applyBorder="1" applyAlignment="1" applyProtection="1">
      <alignment horizontal="center"/>
      <protection hidden="1"/>
    </xf>
    <xf numFmtId="0" fontId="48" fillId="16" borderId="31" xfId="0" applyFont="1" applyFill="1" applyBorder="1" applyAlignment="1" applyProtection="1">
      <alignment horizontal="center"/>
      <protection hidden="1"/>
    </xf>
    <xf numFmtId="0" fontId="48" fillId="16" borderId="31" xfId="0" applyFont="1" applyFill="1" applyBorder="1" applyAlignment="1">
      <alignment horizontal="center"/>
    </xf>
    <xf numFmtId="0" fontId="48" fillId="16" borderId="41" xfId="0" applyFont="1" applyFill="1" applyBorder="1" applyAlignment="1">
      <alignment horizontal="center"/>
    </xf>
    <xf numFmtId="178" fontId="48" fillId="16" borderId="31" xfId="0" applyNumberFormat="1" applyFont="1" applyFill="1" applyBorder="1" applyAlignment="1">
      <alignment horizontal="center"/>
    </xf>
    <xf numFmtId="178" fontId="48" fillId="16" borderId="38" xfId="0" applyNumberFormat="1" applyFont="1" applyFill="1" applyBorder="1" applyAlignment="1">
      <alignment horizontal="center"/>
    </xf>
    <xf numFmtId="178" fontId="48" fillId="16" borderId="32" xfId="0" applyNumberFormat="1" applyFont="1" applyFill="1" applyBorder="1" applyAlignment="1">
      <alignment horizontal="center" vertical="center"/>
    </xf>
    <xf numFmtId="178" fontId="48" fillId="16" borderId="38" xfId="0" applyNumberFormat="1" applyFont="1" applyFill="1" applyBorder="1" applyAlignment="1">
      <alignment horizontal="center" vertical="center"/>
    </xf>
    <xf numFmtId="178" fontId="48" fillId="16" borderId="8" xfId="0" applyNumberFormat="1" applyFont="1" applyFill="1" applyBorder="1" applyAlignment="1">
      <alignment horizontal="center" vertical="center"/>
    </xf>
    <xf numFmtId="178" fontId="48" fillId="16" borderId="21" xfId="0" applyNumberFormat="1" applyFont="1" applyFill="1" applyBorder="1" applyAlignment="1">
      <alignment horizontal="center" vertical="center"/>
    </xf>
    <xf numFmtId="178" fontId="48" fillId="15" borderId="31"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protection hidden="1"/>
    </xf>
    <xf numFmtId="2" fontId="84" fillId="16" borderId="12" xfId="0" applyNumberFormat="1" applyFont="1" applyFill="1" applyBorder="1" applyAlignment="1" applyProtection="1">
      <alignment horizontal="center"/>
      <protection hidden="1"/>
    </xf>
    <xf numFmtId="178" fontId="85" fillId="16" borderId="12" xfId="0" applyNumberFormat="1" applyFont="1" applyFill="1" applyBorder="1" applyAlignment="1" applyProtection="1">
      <alignment horizontal="center"/>
      <protection hidden="1"/>
    </xf>
    <xf numFmtId="0" fontId="84" fillId="16" borderId="12" xfId="0" applyFont="1" applyFill="1" applyBorder="1" applyAlignment="1" applyProtection="1">
      <alignment horizontal="center"/>
      <protection hidden="1"/>
    </xf>
    <xf numFmtId="165" fontId="84" fillId="16" borderId="12" xfId="0" applyNumberFormat="1" applyFont="1" applyFill="1" applyBorder="1" applyAlignment="1" applyProtection="1">
      <alignment horizontal="center"/>
      <protection hidden="1"/>
    </xf>
    <xf numFmtId="12" fontId="84" fillId="16" borderId="28" xfId="0" applyNumberFormat="1" applyFont="1" applyFill="1" applyBorder="1" applyAlignment="1" applyProtection="1">
      <alignment horizontal="center"/>
      <protection hidden="1"/>
    </xf>
    <xf numFmtId="166" fontId="84" fillId="16" borderId="36" xfId="0" applyNumberFormat="1" applyFont="1" applyFill="1" applyBorder="1" applyAlignment="1" applyProtection="1">
      <alignment horizontal="center"/>
      <protection hidden="1"/>
    </xf>
    <xf numFmtId="178" fontId="84" fillId="16" borderId="12" xfId="0" applyNumberFormat="1" applyFont="1" applyFill="1" applyBorder="1" applyAlignment="1">
      <alignment horizontal="center"/>
    </xf>
    <xf numFmtId="178" fontId="84" fillId="16" borderId="21" xfId="0" applyNumberFormat="1" applyFont="1" applyFill="1" applyBorder="1" applyAlignment="1">
      <alignment horizontal="center"/>
    </xf>
    <xf numFmtId="178" fontId="84" fillId="16" borderId="25" xfId="0" applyNumberFormat="1" applyFont="1" applyFill="1" applyBorder="1" applyAlignment="1" applyProtection="1">
      <alignment horizontal="center"/>
      <protection hidden="1"/>
    </xf>
    <xf numFmtId="2" fontId="84" fillId="16" borderId="25" xfId="0" applyNumberFormat="1" applyFont="1" applyFill="1" applyBorder="1" applyAlignment="1" applyProtection="1">
      <alignment horizontal="center"/>
      <protection hidden="1"/>
    </xf>
    <xf numFmtId="0" fontId="84" fillId="16" borderId="25" xfId="0" applyFont="1" applyFill="1" applyBorder="1" applyAlignment="1" applyProtection="1">
      <alignment horizontal="center"/>
      <protection hidden="1"/>
    </xf>
    <xf numFmtId="165" fontId="84" fillId="16" borderId="25" xfId="0" applyNumberFormat="1" applyFont="1" applyFill="1" applyBorder="1" applyAlignment="1" applyProtection="1">
      <alignment horizontal="center"/>
      <protection hidden="1"/>
    </xf>
    <xf numFmtId="166" fontId="84" fillId="16" borderId="97" xfId="0" applyNumberFormat="1" applyFont="1" applyFill="1" applyBorder="1" applyAlignment="1" applyProtection="1">
      <alignment horizontal="center"/>
      <protection hidden="1"/>
    </xf>
    <xf numFmtId="178" fontId="84" fillId="16" borderId="25" xfId="0" applyNumberFormat="1" applyFont="1" applyFill="1" applyBorder="1" applyAlignment="1">
      <alignment horizontal="center"/>
    </xf>
    <xf numFmtId="178" fontId="84" fillId="16" borderId="26" xfId="0" applyNumberFormat="1" applyFont="1" applyFill="1" applyBorder="1" applyAlignment="1">
      <alignment horizontal="center"/>
    </xf>
    <xf numFmtId="178" fontId="84" fillId="15" borderId="12" xfId="0" applyNumberFormat="1" applyFont="1" applyFill="1" applyBorder="1" applyAlignment="1" applyProtection="1">
      <alignment horizontal="center"/>
      <protection hidden="1"/>
    </xf>
    <xf numFmtId="178" fontId="48" fillId="16" borderId="8" xfId="0" applyNumberFormat="1" applyFont="1" applyFill="1" applyBorder="1" applyAlignment="1">
      <alignment horizontal="center"/>
    </xf>
    <xf numFmtId="178" fontId="84" fillId="15" borderId="25" xfId="0" applyNumberFormat="1" applyFont="1" applyFill="1" applyBorder="1" applyAlignment="1" applyProtection="1">
      <alignment horizontal="center"/>
      <protection hidden="1"/>
    </xf>
    <xf numFmtId="0" fontId="73" fillId="17" borderId="0" xfId="0" applyFont="1" applyFill="1" applyProtection="1">
      <protection hidden="1"/>
    </xf>
    <xf numFmtId="0" fontId="73" fillId="17" borderId="0" xfId="0" applyFont="1" applyFill="1"/>
    <xf numFmtId="0" fontId="73" fillId="17" borderId="0" xfId="0" applyFont="1" applyFill="1" applyProtection="1">
      <protection locked="0"/>
    </xf>
    <xf numFmtId="0" fontId="28" fillId="15" borderId="0" xfId="0" applyFont="1" applyFill="1" applyAlignment="1">
      <alignment horizontal="center"/>
    </xf>
    <xf numFmtId="0" fontId="141" fillId="0" borderId="0" xfId="0" applyFont="1"/>
    <xf numFmtId="0" fontId="141" fillId="0" borderId="0" xfId="0" applyFont="1" applyAlignment="1">
      <alignment horizontal="center"/>
    </xf>
    <xf numFmtId="178" fontId="141" fillId="0" borderId="0" xfId="0" applyNumberFormat="1" applyFont="1" applyAlignment="1">
      <alignment horizontal="center"/>
    </xf>
    <xf numFmtId="0" fontId="141" fillId="2" borderId="0" xfId="0" applyFont="1" applyFill="1"/>
    <xf numFmtId="188" fontId="0" fillId="0" borderId="0" xfId="0" applyNumberFormat="1"/>
    <xf numFmtId="188" fontId="0" fillId="16" borderId="0" xfId="0" applyNumberFormat="1" applyFill="1"/>
    <xf numFmtId="188" fontId="0" fillId="2" borderId="0" xfId="0" applyNumberFormat="1" applyFill="1"/>
    <xf numFmtId="170" fontId="0" fillId="0" borderId="0" xfId="0" applyNumberFormat="1"/>
    <xf numFmtId="170" fontId="0" fillId="16" borderId="0" xfId="0" applyNumberFormat="1" applyFill="1"/>
    <xf numFmtId="170" fontId="0" fillId="2" borderId="0" xfId="0" applyNumberFormat="1" applyFill="1"/>
    <xf numFmtId="1" fontId="48" fillId="2" borderId="0" xfId="0" applyNumberFormat="1" applyFont="1" applyFill="1"/>
    <xf numFmtId="0" fontId="73" fillId="2" borderId="0" xfId="0" applyFont="1" applyFill="1"/>
    <xf numFmtId="0" fontId="28" fillId="0" borderId="0" xfId="0" applyFont="1" applyAlignment="1" applyProtection="1">
      <alignment horizontal="left"/>
      <protection hidden="1"/>
    </xf>
    <xf numFmtId="171" fontId="118" fillId="0" borderId="157" xfId="0" applyNumberFormat="1" applyFont="1" applyBorder="1" applyAlignment="1" applyProtection="1">
      <alignment horizontal="center" vertical="center"/>
      <protection locked="0"/>
    </xf>
    <xf numFmtId="171" fontId="118" fillId="0" borderId="165" xfId="0" applyNumberFormat="1" applyFont="1" applyBorder="1" applyAlignment="1" applyProtection="1">
      <alignment horizontal="center" vertical="center"/>
      <protection locked="0"/>
    </xf>
    <xf numFmtId="171" fontId="118" fillId="0" borderId="179" xfId="0" applyNumberFormat="1" applyFont="1" applyBorder="1" applyAlignment="1" applyProtection="1">
      <alignment horizontal="center" vertical="center"/>
      <protection locked="0"/>
    </xf>
    <xf numFmtId="0" fontId="48" fillId="2" borderId="119" xfId="0" applyFont="1" applyFill="1" applyBorder="1"/>
    <xf numFmtId="0" fontId="28" fillId="15" borderId="159" xfId="0" applyFont="1" applyFill="1" applyBorder="1" applyAlignment="1">
      <alignment horizontal="center"/>
    </xf>
    <xf numFmtId="0" fontId="28" fillId="15" borderId="312" xfId="0" applyFont="1" applyFill="1" applyBorder="1" applyAlignment="1">
      <alignment horizontal="center"/>
    </xf>
    <xf numFmtId="0" fontId="73" fillId="2" borderId="13" xfId="0" applyFont="1" applyFill="1" applyBorder="1" applyAlignment="1">
      <alignment horizontal="center" wrapText="1"/>
    </xf>
    <xf numFmtId="0" fontId="28" fillId="15" borderId="149" xfId="0" applyFont="1" applyFill="1" applyBorder="1" applyAlignment="1">
      <alignment horizontal="center"/>
    </xf>
    <xf numFmtId="0" fontId="24" fillId="2" borderId="11" xfId="0" applyFont="1" applyFill="1" applyBorder="1" applyProtection="1">
      <protection hidden="1"/>
    </xf>
    <xf numFmtId="0" fontId="24" fillId="2" borderId="11" xfId="0" applyFont="1" applyFill="1" applyBorder="1" applyAlignment="1" applyProtection="1">
      <alignment horizontal="center" vertical="center"/>
      <protection hidden="1"/>
    </xf>
    <xf numFmtId="0" fontId="4" fillId="2" borderId="22" xfId="0" applyFont="1" applyFill="1" applyBorder="1" applyAlignment="1" applyProtection="1">
      <alignment horizontal="center"/>
      <protection hidden="1"/>
    </xf>
    <xf numFmtId="0" fontId="113" fillId="2" borderId="12" xfId="0" applyFont="1" applyFill="1" applyBorder="1" applyAlignment="1" applyProtection="1">
      <alignment horizontal="right"/>
      <protection hidden="1"/>
    </xf>
    <xf numFmtId="0" fontId="143" fillId="2" borderId="0" xfId="0" applyFont="1" applyFill="1" applyAlignment="1" applyProtection="1">
      <alignment horizontal="right"/>
      <protection hidden="1"/>
    </xf>
    <xf numFmtId="0" fontId="4" fillId="2" borderId="143" xfId="0" applyFont="1" applyFill="1" applyBorder="1" applyAlignment="1" applyProtection="1">
      <alignment horizontal="center"/>
      <protection hidden="1"/>
    </xf>
    <xf numFmtId="0" fontId="73" fillId="0" borderId="0" xfId="0" applyFont="1" applyAlignment="1" applyProtection="1">
      <alignment horizontal="right"/>
      <protection hidden="1"/>
    </xf>
    <xf numFmtId="0" fontId="84" fillId="0" borderId="0" xfId="0" applyFont="1" applyProtection="1">
      <protection hidden="1"/>
    </xf>
    <xf numFmtId="0" fontId="83" fillId="0" borderId="0" xfId="0" applyFont="1" applyAlignment="1" applyProtection="1">
      <alignment horizontal="right"/>
      <protection hidden="1"/>
    </xf>
    <xf numFmtId="0" fontId="48" fillId="0" borderId="0" xfId="0" applyFont="1" applyAlignment="1" applyProtection="1">
      <alignment horizontal="center"/>
      <protection hidden="1"/>
    </xf>
    <xf numFmtId="0" fontId="84" fillId="0" borderId="0" xfId="0" applyFont="1" applyAlignment="1" applyProtection="1">
      <alignment horizontal="center"/>
      <protection hidden="1"/>
    </xf>
    <xf numFmtId="0" fontId="4" fillId="0" borderId="0" xfId="0" applyFont="1" applyAlignment="1" applyProtection="1">
      <alignment horizontal="center"/>
      <protection hidden="1"/>
    </xf>
    <xf numFmtId="0" fontId="24" fillId="0" borderId="0" xfId="0" applyFont="1" applyAlignment="1" applyProtection="1">
      <alignment horizontal="right"/>
      <protection hidden="1"/>
    </xf>
    <xf numFmtId="0" fontId="126" fillId="0" borderId="0" xfId="0" applyFont="1" applyAlignment="1" applyProtection="1">
      <alignment horizontal="center"/>
      <protection hidden="1"/>
    </xf>
    <xf numFmtId="0" fontId="126" fillId="0" borderId="0" xfId="0" applyFont="1" applyProtection="1">
      <protection hidden="1"/>
    </xf>
    <xf numFmtId="0" fontId="28" fillId="8" borderId="29" xfId="0" applyFont="1" applyFill="1" applyBorder="1" applyAlignment="1" applyProtection="1">
      <alignment horizontal="center"/>
      <protection hidden="1"/>
    </xf>
    <xf numFmtId="0" fontId="28" fillId="0" borderId="53" xfId="0" applyFont="1" applyBorder="1" applyProtection="1">
      <protection hidden="1"/>
    </xf>
    <xf numFmtId="0" fontId="28" fillId="0" borderId="100" xfId="0" applyFont="1" applyBorder="1" applyProtection="1">
      <protection hidden="1"/>
    </xf>
    <xf numFmtId="0" fontId="28" fillId="0" borderId="136" xfId="0" applyFont="1" applyBorder="1" applyProtection="1">
      <protection hidden="1"/>
    </xf>
    <xf numFmtId="0" fontId="48" fillId="0" borderId="53" xfId="0" applyFont="1" applyBorder="1"/>
    <xf numFmtId="0" fontId="48" fillId="0" borderId="100" xfId="0" applyFont="1" applyBorder="1"/>
    <xf numFmtId="0" fontId="48" fillId="0" borderId="136" xfId="0" applyFont="1" applyBorder="1"/>
    <xf numFmtId="0" fontId="24" fillId="2" borderId="12" xfId="0" applyFont="1" applyFill="1" applyBorder="1" applyAlignment="1" applyProtection="1">
      <alignment horizontal="center" vertical="center" wrapText="1"/>
      <protection hidden="1"/>
    </xf>
    <xf numFmtId="0" fontId="28" fillId="15" borderId="12" xfId="0" applyFont="1" applyFill="1" applyBorder="1" applyAlignment="1" applyProtection="1">
      <alignment horizontal="center"/>
      <protection hidden="1"/>
    </xf>
    <xf numFmtId="0" fontId="28" fillId="2" borderId="12" xfId="0" applyFont="1" applyFill="1" applyBorder="1" applyAlignment="1" applyProtection="1">
      <alignment horizontal="center" vertical="center" wrapText="1"/>
      <protection hidden="1"/>
    </xf>
    <xf numFmtId="178" fontId="84" fillId="16" borderId="28" xfId="0" applyNumberFormat="1" applyFont="1" applyFill="1" applyBorder="1" applyAlignment="1" applyProtection="1">
      <alignment horizontal="center"/>
      <protection hidden="1"/>
    </xf>
    <xf numFmtId="178" fontId="84" fillId="16" borderId="85" xfId="0" applyNumberFormat="1" applyFont="1" applyFill="1" applyBorder="1" applyAlignment="1" applyProtection="1">
      <alignment horizontal="center"/>
      <protection hidden="1"/>
    </xf>
    <xf numFmtId="0" fontId="28" fillId="15" borderId="12" xfId="0" applyFont="1" applyFill="1" applyBorder="1" applyAlignment="1">
      <alignment horizontal="center" vertical="center"/>
    </xf>
    <xf numFmtId="0" fontId="28" fillId="15" borderId="12" xfId="0" applyFont="1" applyFill="1" applyBorder="1" applyAlignment="1">
      <alignment horizontal="center"/>
    </xf>
    <xf numFmtId="0" fontId="48" fillId="15" borderId="12" xfId="0" applyFont="1" applyFill="1" applyBorder="1" applyAlignment="1">
      <alignment horizontal="center"/>
    </xf>
    <xf numFmtId="0" fontId="4" fillId="2" borderId="313" xfId="0" applyFont="1" applyFill="1" applyBorder="1" applyProtection="1">
      <protection hidden="1"/>
    </xf>
    <xf numFmtId="0" fontId="4" fillId="2" borderId="314" xfId="0" applyFont="1" applyFill="1" applyBorder="1" applyProtection="1">
      <protection hidden="1"/>
    </xf>
    <xf numFmtId="0" fontId="137" fillId="0" borderId="0" xfId="0" applyFont="1" applyAlignment="1" applyProtection="1">
      <alignment horizontal="center"/>
      <protection hidden="1"/>
    </xf>
    <xf numFmtId="0" fontId="137" fillId="0" borderId="0" xfId="0" applyFont="1" applyAlignment="1">
      <alignment horizontal="center"/>
    </xf>
    <xf numFmtId="0" fontId="137" fillId="0" borderId="0" xfId="0" applyFont="1" applyProtection="1">
      <protection hidden="1"/>
    </xf>
    <xf numFmtId="12" fontId="28" fillId="0" borderId="0" xfId="0" applyNumberFormat="1" applyFont="1" applyProtection="1">
      <protection hidden="1"/>
    </xf>
    <xf numFmtId="166" fontId="28" fillId="0" borderId="0" xfId="0" applyNumberFormat="1" applyFont="1" applyProtection="1">
      <protection hidden="1"/>
    </xf>
    <xf numFmtId="0" fontId="124" fillId="0" borderId="180" xfId="0" applyFont="1" applyBorder="1" applyAlignment="1" applyProtection="1">
      <alignment horizontal="left" vertical="center"/>
      <protection locked="0"/>
    </xf>
    <xf numFmtId="0" fontId="124" fillId="0" borderId="157" xfId="0" applyFont="1" applyBorder="1" applyAlignment="1" applyProtection="1">
      <alignment horizontal="left" vertical="center"/>
      <protection locked="0"/>
    </xf>
    <xf numFmtId="165" fontId="48" fillId="16" borderId="25" xfId="0" applyNumberFormat="1" applyFont="1" applyFill="1" applyBorder="1" applyAlignment="1" applyProtection="1">
      <alignment horizontal="center"/>
      <protection hidden="1"/>
    </xf>
    <xf numFmtId="0" fontId="3" fillId="2" borderId="12" xfId="0" applyFont="1" applyFill="1" applyBorder="1" applyAlignment="1" applyProtection="1">
      <alignment horizontal="center"/>
      <protection hidden="1"/>
    </xf>
    <xf numFmtId="0" fontId="28" fillId="2" borderId="12" xfId="0" applyFont="1" applyFill="1" applyBorder="1" applyProtection="1">
      <protection hidden="1"/>
    </xf>
    <xf numFmtId="2" fontId="84" fillId="15" borderId="8" xfId="0" applyNumberFormat="1" applyFont="1" applyFill="1" applyBorder="1" applyAlignment="1" applyProtection="1">
      <alignment horizontal="center"/>
      <protection hidden="1"/>
    </xf>
    <xf numFmtId="2" fontId="84" fillId="15" borderId="11" xfId="0" applyNumberFormat="1" applyFont="1" applyFill="1" applyBorder="1" applyAlignment="1" applyProtection="1">
      <alignment horizontal="center"/>
      <protection hidden="1"/>
    </xf>
    <xf numFmtId="2" fontId="84" fillId="15" borderId="9" xfId="0" applyNumberFormat="1" applyFont="1" applyFill="1" applyBorder="1" applyAlignment="1" applyProtection="1">
      <alignment horizontal="center"/>
      <protection hidden="1"/>
    </xf>
    <xf numFmtId="2" fontId="84" fillId="15" borderId="117" xfId="0" applyNumberFormat="1" applyFont="1" applyFill="1" applyBorder="1" applyAlignment="1" applyProtection="1">
      <alignment horizontal="center"/>
      <protection hidden="1"/>
    </xf>
    <xf numFmtId="0" fontId="147" fillId="2" borderId="0" xfId="0" applyFont="1" applyFill="1" applyAlignment="1">
      <alignment horizontal="center" vertical="center"/>
    </xf>
    <xf numFmtId="0" fontId="147" fillId="2" borderId="0" xfId="0" applyFont="1" applyFill="1"/>
    <xf numFmtId="0" fontId="28" fillId="5" borderId="20" xfId="0" applyFont="1" applyFill="1" applyBorder="1"/>
    <xf numFmtId="171" fontId="28" fillId="0" borderId="14" xfId="0" applyNumberFormat="1" applyFont="1" applyBorder="1" applyAlignment="1" applyProtection="1">
      <alignment horizontal="center"/>
      <protection locked="0"/>
    </xf>
    <xf numFmtId="173" fontId="28" fillId="0" borderId="14" xfId="0" applyNumberFormat="1" applyFont="1" applyBorder="1" applyAlignment="1" applyProtection="1">
      <alignment horizontal="center"/>
      <protection locked="0"/>
    </xf>
    <xf numFmtId="171" fontId="28" fillId="0" borderId="19" xfId="0" applyNumberFormat="1" applyFont="1" applyBorder="1" applyAlignment="1" applyProtection="1">
      <alignment horizontal="center"/>
      <protection locked="0"/>
    </xf>
    <xf numFmtId="0" fontId="28" fillId="5" borderId="8" xfId="0" applyFont="1" applyFill="1" applyBorder="1"/>
    <xf numFmtId="171" fontId="28" fillId="0" borderId="12" xfId="0" applyNumberFormat="1" applyFont="1" applyBorder="1" applyAlignment="1" applyProtection="1">
      <alignment horizontal="center"/>
      <protection locked="0"/>
    </xf>
    <xf numFmtId="173" fontId="28" fillId="0" borderId="12" xfId="0" applyNumberFormat="1" applyFont="1" applyBorder="1" applyAlignment="1" applyProtection="1">
      <alignment horizontal="center"/>
      <protection locked="0"/>
    </xf>
    <xf numFmtId="171" fontId="28" fillId="0" borderId="21" xfId="0" applyNumberFormat="1" applyFont="1" applyBorder="1" applyAlignment="1" applyProtection="1">
      <alignment horizontal="center"/>
      <protection locked="0"/>
    </xf>
    <xf numFmtId="0" fontId="28" fillId="5" borderId="9" xfId="0" applyFont="1" applyFill="1" applyBorder="1"/>
    <xf numFmtId="171" fontId="28" fillId="0" borderId="25" xfId="0" applyNumberFormat="1" applyFont="1" applyBorder="1" applyAlignment="1" applyProtection="1">
      <alignment horizontal="center"/>
      <protection locked="0"/>
    </xf>
    <xf numFmtId="173" fontId="28" fillId="0" borderId="25" xfId="0" applyNumberFormat="1" applyFont="1" applyBorder="1" applyAlignment="1" applyProtection="1">
      <alignment horizontal="center"/>
      <protection locked="0"/>
    </xf>
    <xf numFmtId="171" fontId="28" fillId="0" borderId="26" xfId="0" applyNumberFormat="1" applyFont="1" applyBorder="1" applyAlignment="1" applyProtection="1">
      <alignment horizontal="center"/>
      <protection locked="0"/>
    </xf>
    <xf numFmtId="185" fontId="67" fillId="0" borderId="84" xfId="0" applyNumberFormat="1" applyFont="1" applyBorder="1" applyAlignment="1" applyProtection="1">
      <alignment horizontal="center"/>
      <protection locked="0"/>
    </xf>
    <xf numFmtId="0" fontId="28" fillId="5" borderId="24" xfId="0" quotePrefix="1" applyFont="1" applyFill="1" applyBorder="1"/>
    <xf numFmtId="185" fontId="67" fillId="0" borderId="24" xfId="0" applyNumberFormat="1" applyFont="1" applyBorder="1" applyAlignment="1" applyProtection="1">
      <alignment horizontal="center"/>
      <protection locked="0"/>
    </xf>
    <xf numFmtId="0" fontId="77" fillId="0" borderId="23" xfId="0" applyFont="1" applyBorder="1" applyAlignment="1" applyProtection="1">
      <alignment horizontal="center"/>
      <protection hidden="1"/>
    </xf>
    <xf numFmtId="185" fontId="48" fillId="7" borderId="0" xfId="0" applyNumberFormat="1" applyFont="1" applyFill="1" applyAlignment="1">
      <alignment horizontal="left"/>
    </xf>
    <xf numFmtId="171" fontId="124" fillId="0" borderId="124" xfId="0" applyNumberFormat="1" applyFont="1" applyBorder="1" applyAlignment="1" applyProtection="1">
      <alignment horizontal="center" vertical="center"/>
      <protection locked="0"/>
    </xf>
    <xf numFmtId="171" fontId="124" fillId="0" borderId="106" xfId="0" applyNumberFormat="1" applyFont="1" applyBorder="1" applyAlignment="1" applyProtection="1">
      <alignment horizontal="center" vertical="center"/>
      <protection locked="0"/>
    </xf>
    <xf numFmtId="49" fontId="124" fillId="0" borderId="157" xfId="0" applyNumberFormat="1" applyFont="1" applyBorder="1" applyAlignment="1" applyProtection="1">
      <alignment horizontal="left" vertical="center"/>
      <protection locked="0"/>
    </xf>
    <xf numFmtId="171" fontId="124" fillId="0" borderId="191" xfId="0" applyNumberFormat="1" applyFont="1" applyBorder="1" applyAlignment="1" applyProtection="1">
      <alignment horizontal="center" vertical="center"/>
      <protection locked="0"/>
    </xf>
    <xf numFmtId="171" fontId="124" fillId="0" borderId="192" xfId="0" applyNumberFormat="1" applyFont="1" applyBorder="1" applyAlignment="1" applyProtection="1">
      <alignment horizontal="center" vertical="center"/>
      <protection locked="0"/>
    </xf>
    <xf numFmtId="0" fontId="73" fillId="0" borderId="0" xfId="0" quotePrefix="1" applyFont="1" applyProtection="1">
      <protection hidden="1"/>
    </xf>
    <xf numFmtId="0" fontId="24" fillId="2" borderId="12" xfId="0" applyFont="1" applyFill="1" applyBorder="1" applyAlignment="1">
      <alignment horizontal="center" vertical="center"/>
    </xf>
    <xf numFmtId="0" fontId="24" fillId="2" borderId="12" xfId="0" applyFont="1" applyFill="1" applyBorder="1" applyAlignment="1" applyProtection="1">
      <alignment horizontal="center"/>
      <protection hidden="1"/>
    </xf>
    <xf numFmtId="0" fontId="24" fillId="15" borderId="12" xfId="0" applyFont="1" applyFill="1" applyBorder="1" applyAlignment="1" applyProtection="1">
      <alignment horizontal="center"/>
      <protection hidden="1"/>
    </xf>
    <xf numFmtId="0" fontId="24" fillId="2" borderId="12" xfId="0" applyFont="1" applyFill="1" applyBorder="1" applyAlignment="1">
      <alignment horizontal="center"/>
    </xf>
    <xf numFmtId="0" fontId="24" fillId="18" borderId="12" xfId="0" applyFont="1" applyFill="1" applyBorder="1" applyAlignment="1">
      <alignment horizontal="center"/>
    </xf>
    <xf numFmtId="0" fontId="24" fillId="2" borderId="12" xfId="0" applyFont="1" applyFill="1" applyBorder="1"/>
    <xf numFmtId="49" fontId="24" fillId="2" borderId="12" xfId="0" applyNumberFormat="1" applyFont="1" applyFill="1" applyBorder="1" applyAlignment="1">
      <alignment horizontal="center"/>
    </xf>
    <xf numFmtId="0" fontId="24" fillId="19" borderId="12" xfId="0" applyFont="1" applyFill="1" applyBorder="1" applyAlignment="1">
      <alignment horizontal="center" vertical="center"/>
    </xf>
    <xf numFmtId="0" fontId="7" fillId="2" borderId="12" xfId="0" applyFont="1" applyFill="1" applyBorder="1" applyAlignment="1">
      <alignment horizontal="center"/>
    </xf>
    <xf numFmtId="0" fontId="124" fillId="0" borderId="103" xfId="0" applyFont="1" applyBorder="1" applyAlignment="1">
      <alignment horizontal="center"/>
    </xf>
    <xf numFmtId="188" fontId="124" fillId="0" borderId="104" xfId="0" applyNumberFormat="1" applyFont="1" applyBorder="1" applyAlignment="1">
      <alignment horizontal="right"/>
    </xf>
    <xf numFmtId="170" fontId="124" fillId="0" borderId="105" xfId="0" applyNumberFormat="1" applyFont="1" applyBorder="1" applyAlignment="1">
      <alignment horizontal="left"/>
    </xf>
    <xf numFmtId="188" fontId="124" fillId="0" borderId="107" xfId="0" applyNumberFormat="1" applyFont="1" applyBorder="1" applyAlignment="1">
      <alignment horizontal="right"/>
    </xf>
    <xf numFmtId="0" fontId="118" fillId="0" borderId="124" xfId="0" applyFont="1" applyBorder="1" applyAlignment="1">
      <alignment horizontal="center"/>
    </xf>
    <xf numFmtId="0" fontId="118" fillId="0" borderId="103" xfId="0" applyFont="1" applyBorder="1" applyAlignment="1">
      <alignment horizontal="center"/>
    </xf>
    <xf numFmtId="12" fontId="124" fillId="0" borderId="103" xfId="0" applyNumberFormat="1" applyFont="1" applyBorder="1" applyAlignment="1">
      <alignment horizontal="center"/>
    </xf>
    <xf numFmtId="0" fontId="126" fillId="0" borderId="0" xfId="0" applyFont="1"/>
    <xf numFmtId="178" fontId="15" fillId="16" borderId="14" xfId="0" applyNumberFormat="1" applyFont="1" applyFill="1" applyBorder="1" applyAlignment="1" applyProtection="1">
      <alignment horizontal="center"/>
      <protection hidden="1"/>
    </xf>
    <xf numFmtId="178" fontId="15" fillId="16" borderId="12" xfId="0" applyNumberFormat="1" applyFont="1" applyFill="1" applyBorder="1" applyAlignment="1" applyProtection="1">
      <alignment horizontal="center"/>
      <protection hidden="1"/>
    </xf>
    <xf numFmtId="178" fontId="15" fillId="16" borderId="25" xfId="0" applyNumberFormat="1" applyFont="1" applyFill="1" applyBorder="1" applyAlignment="1" applyProtection="1">
      <alignment horizontal="center"/>
      <protection hidden="1"/>
    </xf>
    <xf numFmtId="0" fontId="48" fillId="16" borderId="0" xfId="0" applyFont="1" applyFill="1"/>
    <xf numFmtId="178" fontId="48" fillId="16" borderId="20" xfId="0" applyNumberFormat="1" applyFont="1" applyFill="1" applyBorder="1" applyAlignment="1">
      <alignment horizontal="center" vertical="center"/>
    </xf>
    <xf numFmtId="178" fontId="48" fillId="16" borderId="19" xfId="0" applyNumberFormat="1" applyFont="1" applyFill="1" applyBorder="1" applyAlignment="1">
      <alignment horizontal="center" vertical="center"/>
    </xf>
    <xf numFmtId="178" fontId="48" fillId="16" borderId="9" xfId="0" applyNumberFormat="1" applyFont="1" applyFill="1" applyBorder="1" applyAlignment="1">
      <alignment horizontal="center" vertical="center"/>
    </xf>
    <xf numFmtId="178" fontId="48" fillId="16" borderId="26" xfId="0" applyNumberFormat="1" applyFont="1" applyFill="1" applyBorder="1" applyAlignment="1">
      <alignment horizontal="center" vertical="center"/>
    </xf>
    <xf numFmtId="0" fontId="143" fillId="2" borderId="0" xfId="0" quotePrefix="1" applyFont="1" applyFill="1"/>
    <xf numFmtId="0" fontId="3" fillId="2" borderId="12" xfId="0" applyFont="1" applyFill="1" applyBorder="1"/>
    <xf numFmtId="0" fontId="0" fillId="2" borderId="12" xfId="0" applyFill="1" applyBorder="1"/>
    <xf numFmtId="0" fontId="3" fillId="2" borderId="0" xfId="0" applyFont="1" applyFill="1" applyAlignment="1">
      <alignment horizontal="centerContinuous"/>
    </xf>
    <xf numFmtId="0" fontId="0" fillId="2" borderId="0" xfId="0" applyFill="1" applyAlignment="1">
      <alignment horizontal="centerContinuous"/>
    </xf>
    <xf numFmtId="0" fontId="3" fillId="2" borderId="31" xfId="0" applyFont="1" applyFill="1" applyBorder="1"/>
    <xf numFmtId="0" fontId="3" fillId="2" borderId="13" xfId="0" applyFont="1" applyFill="1" applyBorder="1"/>
    <xf numFmtId="0" fontId="0" fillId="2" borderId="13" xfId="0" applyFill="1" applyBorder="1"/>
    <xf numFmtId="2" fontId="0" fillId="2" borderId="31" xfId="0" applyNumberFormat="1" applyFill="1" applyBorder="1"/>
    <xf numFmtId="2" fontId="0" fillId="2" borderId="12" xfId="0" applyNumberFormat="1" applyFill="1" applyBorder="1"/>
    <xf numFmtId="0" fontId="9" fillId="2" borderId="12" xfId="0" applyFont="1" applyFill="1" applyBorder="1"/>
    <xf numFmtId="2" fontId="9" fillId="2" borderId="12" xfId="0" applyNumberFormat="1" applyFont="1" applyFill="1" applyBorder="1"/>
    <xf numFmtId="0" fontId="84" fillId="0" borderId="55" xfId="0" applyFont="1" applyBorder="1" applyAlignment="1" applyProtection="1">
      <alignment horizontal="center"/>
      <protection hidden="1"/>
    </xf>
    <xf numFmtId="0" fontId="84" fillId="20" borderId="58" xfId="0" applyFont="1" applyFill="1" applyBorder="1" applyAlignment="1" applyProtection="1">
      <alignment horizontal="center"/>
      <protection hidden="1"/>
    </xf>
    <xf numFmtId="0" fontId="28" fillId="2" borderId="13" xfId="0" applyFont="1" applyFill="1" applyBorder="1"/>
    <xf numFmtId="0" fontId="28" fillId="2" borderId="0" xfId="0" quotePrefix="1" applyFont="1" applyFill="1"/>
    <xf numFmtId="0" fontId="15" fillId="0" borderId="321" xfId="0" applyFont="1" applyBorder="1" applyAlignment="1" applyProtection="1">
      <alignment horizontal="right" vertical="center"/>
      <protection hidden="1"/>
    </xf>
    <xf numFmtId="0" fontId="15" fillId="0" borderId="322" xfId="0" applyFont="1" applyBorder="1" applyAlignment="1" applyProtection="1">
      <alignment horizontal="left" vertical="center"/>
      <protection hidden="1"/>
    </xf>
    <xf numFmtId="0" fontId="15" fillId="0" borderId="18" xfId="0" applyFont="1" applyBorder="1" applyAlignment="1" applyProtection="1">
      <alignment horizontal="center" vertical="center"/>
      <protection hidden="1"/>
    </xf>
    <xf numFmtId="0" fontId="15" fillId="0" borderId="322" xfId="0" applyFont="1" applyBorder="1" applyAlignment="1" applyProtection="1">
      <alignment horizontal="center" vertical="center"/>
      <protection hidden="1"/>
    </xf>
    <xf numFmtId="0" fontId="15" fillId="0" borderId="299" xfId="0" applyFont="1" applyBorder="1" applyAlignment="1">
      <alignment horizontal="right" vertical="center"/>
    </xf>
    <xf numFmtId="0" fontId="15" fillId="0" borderId="323" xfId="0" applyFont="1" applyBorder="1" applyAlignment="1">
      <alignment horizontal="left" vertical="center"/>
    </xf>
    <xf numFmtId="0" fontId="15" fillId="0" borderId="321" xfId="0" applyFont="1" applyBorder="1" applyAlignment="1">
      <alignment horizontal="right" vertical="center"/>
    </xf>
    <xf numFmtId="0" fontId="15" fillId="0" borderId="322" xfId="0" applyFont="1" applyBorder="1" applyAlignment="1">
      <alignment horizontal="left" vertical="center"/>
    </xf>
    <xf numFmtId="0" fontId="0" fillId="0" borderId="0" xfId="0" applyProtection="1">
      <protection locked="0"/>
    </xf>
    <xf numFmtId="0" fontId="28" fillId="16" borderId="12" xfId="0" applyFont="1" applyFill="1" applyBorder="1" applyAlignment="1">
      <alignment horizontal="center"/>
    </xf>
    <xf numFmtId="0" fontId="48" fillId="16" borderId="12" xfId="0" applyFont="1" applyFill="1" applyBorder="1"/>
    <xf numFmtId="49" fontId="28" fillId="2" borderId="0" xfId="0" applyNumberFormat="1" applyFont="1" applyFill="1"/>
    <xf numFmtId="49" fontId="48" fillId="2" borderId="0" xfId="0" applyNumberFormat="1" applyFont="1" applyFill="1"/>
    <xf numFmtId="49" fontId="4" fillId="2" borderId="0" xfId="0" applyNumberFormat="1" applyFont="1" applyFill="1"/>
    <xf numFmtId="49" fontId="4" fillId="2" borderId="0" xfId="0" applyNumberFormat="1" applyFont="1" applyFill="1" applyAlignment="1">
      <alignment vertical="center"/>
    </xf>
    <xf numFmtId="0" fontId="143" fillId="2" borderId="12" xfId="0" applyFont="1" applyFill="1" applyBorder="1"/>
    <xf numFmtId="170" fontId="124" fillId="0" borderId="124" xfId="0" applyNumberFormat="1" applyFont="1" applyBorder="1" applyAlignment="1">
      <alignment horizontal="center"/>
    </xf>
    <xf numFmtId="188" fontId="124" fillId="0" borderId="307" xfId="0" applyNumberFormat="1" applyFont="1" applyBorder="1" applyAlignment="1">
      <alignment horizontal="right"/>
    </xf>
    <xf numFmtId="170" fontId="124" fillId="0" borderId="106" xfId="0" applyNumberFormat="1" applyFont="1" applyBorder="1" applyAlignment="1">
      <alignment horizontal="center"/>
    </xf>
    <xf numFmtId="168" fontId="123" fillId="0" borderId="0" xfId="0" applyNumberFormat="1" applyFont="1" applyAlignment="1">
      <alignment horizontal="left"/>
    </xf>
    <xf numFmtId="0" fontId="15" fillId="0" borderId="125" xfId="0" applyFont="1" applyBorder="1" applyAlignment="1">
      <alignment horizontal="center" vertical="center"/>
    </xf>
    <xf numFmtId="0" fontId="15" fillId="0" borderId="120" xfId="0" applyFont="1" applyBorder="1" applyAlignment="1">
      <alignment horizontal="center" vertical="center"/>
    </xf>
    <xf numFmtId="49" fontId="118" fillId="0" borderId="325" xfId="0" applyNumberFormat="1" applyFont="1" applyBorder="1" applyAlignment="1" applyProtection="1">
      <alignment horizontal="center"/>
      <protection locked="0"/>
    </xf>
    <xf numFmtId="49" fontId="118" fillId="0" borderId="159" xfId="0" applyNumberFormat="1" applyFont="1" applyBorder="1" applyAlignment="1" applyProtection="1">
      <alignment horizontal="center"/>
      <protection locked="0"/>
    </xf>
    <xf numFmtId="49" fontId="118" fillId="0" borderId="312" xfId="0" applyNumberFormat="1" applyFont="1" applyBorder="1" applyAlignment="1" applyProtection="1">
      <alignment horizontal="center"/>
      <protection locked="0"/>
    </xf>
    <xf numFmtId="0" fontId="15" fillId="0" borderId="11" xfId="0" applyFont="1" applyBorder="1" applyAlignment="1">
      <alignment horizontal="center" vertical="center"/>
    </xf>
    <xf numFmtId="168" fontId="123" fillId="16" borderId="0" xfId="0" applyNumberFormat="1" applyFont="1" applyFill="1" applyAlignment="1">
      <alignment horizontal="left"/>
    </xf>
    <xf numFmtId="0" fontId="122" fillId="16" borderId="0" xfId="0" applyFont="1" applyFill="1" applyAlignment="1">
      <alignment horizontal="left"/>
    </xf>
    <xf numFmtId="169" fontId="120" fillId="0" borderId="221" xfId="0" applyNumberFormat="1" applyFont="1" applyBorder="1" applyAlignment="1" applyProtection="1">
      <alignment horizontal="center" vertical="center"/>
      <protection locked="0"/>
    </xf>
    <xf numFmtId="169" fontId="120" fillId="0" borderId="333" xfId="0" applyNumberFormat="1" applyFont="1" applyBorder="1" applyAlignment="1" applyProtection="1">
      <alignment horizontal="center" vertical="center"/>
      <protection locked="0"/>
    </xf>
    <xf numFmtId="0" fontId="72" fillId="0" borderId="68" xfId="0" applyFont="1" applyBorder="1" applyAlignment="1">
      <alignment horizontal="center" vertical="center"/>
    </xf>
    <xf numFmtId="0" fontId="72" fillId="0" borderId="31" xfId="0" applyFont="1" applyBorder="1" applyAlignment="1">
      <alignment horizontal="center" vertical="center"/>
    </xf>
    <xf numFmtId="170" fontId="124" fillId="0" borderId="107" xfId="0" applyNumberFormat="1" applyFont="1" applyBorder="1" applyAlignment="1">
      <alignment horizontal="left"/>
    </xf>
    <xf numFmtId="0" fontId="72" fillId="0" borderId="80" xfId="0" applyFont="1" applyBorder="1" applyAlignment="1">
      <alignment horizontal="center" vertical="center" wrapText="1"/>
    </xf>
    <xf numFmtId="0" fontId="72" fillId="0" borderId="63" xfId="0" applyFont="1" applyBorder="1" applyAlignment="1">
      <alignment horizontal="center" vertical="center" wrapText="1"/>
    </xf>
    <xf numFmtId="12" fontId="124" fillId="0" borderId="106" xfId="0" applyNumberFormat="1" applyFont="1" applyBorder="1" applyAlignment="1">
      <alignment horizontal="center"/>
    </xf>
    <xf numFmtId="0" fontId="72" fillId="0" borderId="330" xfId="0" applyFont="1" applyBorder="1" applyAlignment="1">
      <alignment horizontal="center" vertical="center"/>
    </xf>
    <xf numFmtId="0" fontId="72" fillId="0" borderId="295" xfId="0" applyFont="1" applyBorder="1" applyAlignment="1">
      <alignment horizontal="center" vertical="center" wrapText="1"/>
    </xf>
    <xf numFmtId="0" fontId="124" fillId="0" borderId="104" xfId="0" applyFont="1" applyBorder="1" applyAlignment="1">
      <alignment horizontal="center"/>
    </xf>
    <xf numFmtId="0" fontId="124" fillId="0" borderId="158" xfId="0" applyFont="1" applyBorder="1" applyAlignment="1">
      <alignment horizontal="left"/>
    </xf>
    <xf numFmtId="167" fontId="124" fillId="0" borderId="124" xfId="0" applyNumberFormat="1" applyFont="1" applyBorder="1" applyAlignment="1">
      <alignment horizontal="center"/>
    </xf>
    <xf numFmtId="167" fontId="124" fillId="0" borderId="106" xfId="0" applyNumberFormat="1" applyFont="1" applyBorder="1" applyAlignment="1">
      <alignment horizontal="center"/>
    </xf>
    <xf numFmtId="0" fontId="72" fillId="0" borderId="310" xfId="0" applyFont="1" applyBorder="1" applyAlignment="1">
      <alignment horizontal="center" vertical="center" wrapText="1"/>
    </xf>
    <xf numFmtId="49" fontId="119" fillId="0" borderId="307" xfId="0" applyNumberFormat="1" applyFont="1" applyBorder="1" applyAlignment="1" applyProtection="1">
      <alignment horizontal="center" vertical="center"/>
      <protection locked="0"/>
    </xf>
    <xf numFmtId="49" fontId="119" fillId="0" borderId="309" xfId="0" applyNumberFormat="1" applyFont="1" applyBorder="1" applyAlignment="1" applyProtection="1">
      <alignment horizontal="center" vertical="center"/>
      <protection locked="0"/>
    </xf>
    <xf numFmtId="49" fontId="120" fillId="0" borderId="307" xfId="0" applyNumberFormat="1" applyFont="1" applyBorder="1" applyAlignment="1" applyProtection="1">
      <alignment horizontal="right" vertical="center"/>
      <protection locked="0"/>
    </xf>
    <xf numFmtId="169" fontId="120" fillId="0" borderId="158" xfId="0" applyNumberFormat="1" applyFont="1" applyBorder="1" applyAlignment="1" applyProtection="1">
      <alignment horizontal="left" vertical="center"/>
      <protection locked="0"/>
    </xf>
    <xf numFmtId="49" fontId="120" fillId="0" borderId="309" xfId="0" applyNumberFormat="1" applyFont="1" applyBorder="1" applyAlignment="1" applyProtection="1">
      <alignment horizontal="right" vertical="center"/>
      <protection locked="0"/>
    </xf>
    <xf numFmtId="169" fontId="120" fillId="0" borderId="308" xfId="0" applyNumberFormat="1" applyFont="1" applyBorder="1" applyAlignment="1" applyProtection="1">
      <alignment horizontal="left" vertical="center"/>
      <protection locked="0"/>
    </xf>
    <xf numFmtId="49" fontId="119" fillId="0" borderId="345" xfId="0" applyNumberFormat="1" applyFont="1" applyBorder="1" applyAlignment="1" applyProtection="1">
      <alignment horizontal="center" vertical="center"/>
      <protection locked="0"/>
    </xf>
    <xf numFmtId="49" fontId="120" fillId="0" borderId="345" xfId="0" applyNumberFormat="1" applyFont="1" applyBorder="1" applyAlignment="1" applyProtection="1">
      <alignment horizontal="right" vertical="center"/>
      <protection locked="0"/>
    </xf>
    <xf numFmtId="169" fontId="120" fillId="0" borderId="346" xfId="0" applyNumberFormat="1" applyFont="1" applyBorder="1" applyAlignment="1" applyProtection="1">
      <alignment horizontal="left" vertical="center"/>
      <protection locked="0"/>
    </xf>
    <xf numFmtId="0" fontId="15" fillId="0" borderId="12" xfId="0" applyFont="1" applyBorder="1" applyAlignment="1">
      <alignment horizontal="center" vertical="center"/>
    </xf>
    <xf numFmtId="177" fontId="149" fillId="0" borderId="0" xfId="0" applyNumberFormat="1" applyFont="1" applyAlignment="1" applyProtection="1">
      <alignment horizontal="left"/>
      <protection locked="0"/>
    </xf>
    <xf numFmtId="0" fontId="48" fillId="2" borderId="12" xfId="0" applyFont="1" applyFill="1" applyBorder="1" applyAlignment="1" applyProtection="1">
      <alignment horizontal="center"/>
      <protection locked="0"/>
    </xf>
    <xf numFmtId="0" fontId="129" fillId="2" borderId="12" xfId="0" applyFont="1" applyFill="1" applyBorder="1" applyAlignment="1" applyProtection="1">
      <alignment horizontal="center"/>
      <protection locked="0"/>
    </xf>
    <xf numFmtId="0" fontId="48" fillId="16" borderId="0" xfId="0" applyFont="1" applyFill="1" applyAlignment="1">
      <alignment horizontal="center"/>
    </xf>
    <xf numFmtId="0" fontId="48" fillId="0" borderId="0" xfId="0" applyFont="1" applyProtection="1">
      <protection locked="0"/>
    </xf>
    <xf numFmtId="0" fontId="4" fillId="0" borderId="0" xfId="0" applyFont="1" applyProtection="1">
      <protection locked="0"/>
    </xf>
    <xf numFmtId="0" fontId="15" fillId="0" borderId="0" xfId="0" applyFont="1" applyAlignment="1">
      <alignment horizontal="center" vertical="top"/>
    </xf>
    <xf numFmtId="164" fontId="68" fillId="0" borderId="0" xfId="0" applyNumberFormat="1" applyFont="1" applyAlignment="1">
      <alignment horizontal="left"/>
    </xf>
    <xf numFmtId="164" fontId="69" fillId="0" borderId="0" xfId="0" applyNumberFormat="1" applyFont="1" applyAlignment="1">
      <alignment horizontal="left"/>
    </xf>
    <xf numFmtId="0" fontId="70" fillId="0" borderId="0" xfId="0" applyFont="1" applyAlignment="1">
      <alignment horizontal="left" vertical="center" indent="3"/>
    </xf>
    <xf numFmtId="0" fontId="67" fillId="0" borderId="0" xfId="0" applyFont="1"/>
    <xf numFmtId="0" fontId="73" fillId="0" borderId="0" xfId="0" applyFont="1"/>
    <xf numFmtId="0" fontId="15" fillId="0" borderId="0" xfId="0" applyFont="1" applyAlignment="1">
      <alignment horizontal="right" vertical="top"/>
    </xf>
    <xf numFmtId="170" fontId="124" fillId="0" borderId="104" xfId="0" applyNumberFormat="1" applyFont="1" applyBorder="1" applyAlignment="1">
      <alignment horizontal="center"/>
    </xf>
    <xf numFmtId="0" fontId="124" fillId="0" borderId="106" xfId="0" applyFont="1" applyBorder="1" applyAlignment="1">
      <alignment horizontal="center"/>
    </xf>
    <xf numFmtId="170" fontId="124" fillId="0" borderId="158" xfId="0" applyNumberFormat="1" applyFont="1" applyBorder="1" applyAlignment="1">
      <alignment horizontal="left"/>
    </xf>
    <xf numFmtId="12" fontId="124" fillId="0" borderId="104" xfId="0" applyNumberFormat="1" applyFont="1" applyBorder="1" applyAlignment="1">
      <alignment horizontal="center"/>
    </xf>
    <xf numFmtId="0" fontId="123" fillId="0" borderId="0" xfId="0" applyFont="1" applyAlignment="1">
      <alignment horizontal="left"/>
    </xf>
    <xf numFmtId="0" fontId="15" fillId="0" borderId="0" xfId="0" applyFont="1" applyAlignment="1">
      <alignment horizontal="left"/>
    </xf>
    <xf numFmtId="0" fontId="72" fillId="0" borderId="324" xfId="0" applyFont="1" applyBorder="1" applyAlignment="1">
      <alignment horizontal="center" vertical="center"/>
    </xf>
    <xf numFmtId="0" fontId="72" fillId="0" borderId="120" xfId="0" applyFont="1" applyBorder="1" applyAlignment="1">
      <alignment horizontal="center" vertical="center"/>
    </xf>
    <xf numFmtId="0" fontId="72" fillId="0" borderId="120"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125" xfId="0" applyFont="1" applyBorder="1" applyAlignment="1">
      <alignment horizontal="center" vertical="center" wrapText="1"/>
    </xf>
    <xf numFmtId="0" fontId="72" fillId="0" borderId="125" xfId="0" applyFont="1" applyBorder="1" applyAlignment="1">
      <alignment horizontal="center" vertical="center"/>
    </xf>
    <xf numFmtId="0" fontId="72" fillId="0" borderId="330" xfId="0" applyFont="1" applyBorder="1" applyAlignment="1">
      <alignment horizontal="center" vertical="center" wrapText="1"/>
    </xf>
    <xf numFmtId="0" fontId="6" fillId="0" borderId="0" xfId="0" applyFont="1" applyAlignment="1">
      <alignment horizontal="left" indent="1"/>
    </xf>
    <xf numFmtId="0" fontId="6" fillId="0" borderId="0" xfId="0" applyFont="1" applyAlignment="1">
      <alignment horizontal="center"/>
    </xf>
    <xf numFmtId="0" fontId="72" fillId="0" borderId="262" xfId="0" applyFont="1" applyBorder="1" applyAlignment="1">
      <alignment horizontal="center" vertical="center" wrapText="1"/>
    </xf>
    <xf numFmtId="0" fontId="72" fillId="0" borderId="254" xfId="0" applyFont="1" applyBorder="1" applyAlignment="1">
      <alignment horizontal="center" vertical="center" wrapText="1"/>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7" fillId="0" borderId="0" xfId="0" applyFont="1" applyAlignment="1">
      <alignment vertical="center"/>
    </xf>
    <xf numFmtId="0" fontId="48" fillId="0" borderId="206" xfId="0" applyFont="1" applyBorder="1"/>
    <xf numFmtId="0" fontId="72" fillId="0" borderId="68" xfId="0" applyFont="1" applyBorder="1" applyAlignment="1">
      <alignment horizontal="center" vertical="center" wrapText="1"/>
    </xf>
    <xf numFmtId="0" fontId="72" fillId="0" borderId="31" xfId="0" applyFont="1" applyBorder="1" applyAlignment="1">
      <alignment horizontal="center" vertical="center" wrapText="1"/>
    </xf>
    <xf numFmtId="0" fontId="72" fillId="0" borderId="341" xfId="0" applyFont="1" applyBorder="1" applyAlignment="1">
      <alignment horizontal="center" vertical="center" wrapText="1"/>
    </xf>
    <xf numFmtId="0" fontId="72" fillId="0" borderId="342" xfId="0" applyFont="1" applyBorder="1" applyAlignment="1">
      <alignment horizontal="center" vertical="center" wrapText="1"/>
    </xf>
    <xf numFmtId="0" fontId="79" fillId="0" borderId="120" xfId="0" applyFont="1" applyBorder="1" applyAlignment="1">
      <alignment horizontal="center" vertical="center" wrapText="1"/>
    </xf>
    <xf numFmtId="0" fontId="79" fillId="0" borderId="121" xfId="0" applyFont="1" applyBorder="1" applyAlignment="1">
      <alignment horizontal="center" vertical="center" wrapText="1"/>
    </xf>
    <xf numFmtId="1" fontId="47" fillId="16" borderId="12" xfId="0" applyNumberFormat="1" applyFont="1" applyFill="1" applyBorder="1" applyAlignment="1" applyProtection="1">
      <alignment horizontal="center"/>
      <protection hidden="1"/>
    </xf>
    <xf numFmtId="1" fontId="47" fillId="16" borderId="25" xfId="0" applyNumberFormat="1" applyFont="1" applyFill="1" applyBorder="1" applyAlignment="1" applyProtection="1">
      <alignment horizontal="center"/>
      <protection hidden="1"/>
    </xf>
    <xf numFmtId="2" fontId="48" fillId="2" borderId="0" xfId="0" applyNumberFormat="1" applyFont="1" applyFill="1" applyAlignment="1">
      <alignment horizontal="center"/>
    </xf>
    <xf numFmtId="2" fontId="28" fillId="2" borderId="0" xfId="0" applyNumberFormat="1" applyFont="1" applyFill="1" applyAlignment="1">
      <alignment horizontal="center"/>
    </xf>
    <xf numFmtId="1" fontId="47" fillId="16" borderId="31" xfId="0" applyNumberFormat="1" applyFont="1" applyFill="1" applyBorder="1" applyAlignment="1" applyProtection="1">
      <alignment horizontal="center"/>
      <protection hidden="1"/>
    </xf>
    <xf numFmtId="178" fontId="48" fillId="15" borderId="14" xfId="0" applyNumberFormat="1" applyFont="1" applyFill="1" applyBorder="1" applyAlignment="1" applyProtection="1">
      <alignment horizontal="center"/>
      <protection hidden="1"/>
    </xf>
    <xf numFmtId="178" fontId="48" fillId="15" borderId="25" xfId="0" applyNumberFormat="1" applyFont="1" applyFill="1" applyBorder="1" applyAlignment="1" applyProtection="1">
      <alignment horizontal="center"/>
      <protection hidden="1"/>
    </xf>
    <xf numFmtId="178" fontId="15" fillId="16" borderId="31" xfId="0" applyNumberFormat="1" applyFont="1" applyFill="1" applyBorder="1" applyAlignment="1" applyProtection="1">
      <alignment horizontal="center"/>
      <protection hidden="1"/>
    </xf>
    <xf numFmtId="183" fontId="118" fillId="0" borderId="146" xfId="0" applyNumberFormat="1" applyFont="1" applyBorder="1" applyAlignment="1" applyProtection="1">
      <alignment horizontal="right"/>
      <protection locked="0"/>
    </xf>
    <xf numFmtId="186" fontId="118" fillId="0" borderId="160" xfId="0" applyNumberFormat="1" applyFont="1" applyBorder="1" applyAlignment="1" applyProtection="1">
      <alignment horizontal="left"/>
      <protection locked="0"/>
    </xf>
    <xf numFmtId="183" fontId="118" fillId="0" borderId="350" xfId="0" applyNumberFormat="1" applyFont="1" applyBorder="1" applyAlignment="1" applyProtection="1">
      <alignment horizontal="right"/>
      <protection locked="0"/>
    </xf>
    <xf numFmtId="186" fontId="118" fillId="0" borderId="351" xfId="0" applyNumberFormat="1" applyFont="1" applyBorder="1" applyAlignment="1" applyProtection="1">
      <alignment horizontal="left"/>
      <protection locked="0"/>
    </xf>
    <xf numFmtId="186" fontId="124" fillId="0" borderId="151" xfId="0" applyNumberFormat="1" applyFont="1" applyBorder="1" applyAlignment="1" applyProtection="1">
      <alignment horizontal="left" vertical="center"/>
      <protection locked="0"/>
    </xf>
    <xf numFmtId="186" fontId="124" fillId="0" borderId="160" xfId="0" applyNumberFormat="1" applyFont="1" applyBorder="1" applyAlignment="1" applyProtection="1">
      <alignment horizontal="left" vertical="center"/>
      <protection locked="0"/>
    </xf>
    <xf numFmtId="183" fontId="124" fillId="0" borderId="350" xfId="0" applyNumberFormat="1" applyFont="1" applyBorder="1" applyAlignment="1" applyProtection="1">
      <alignment horizontal="right" vertical="center"/>
      <protection locked="0"/>
    </xf>
    <xf numFmtId="186" fontId="124" fillId="0" borderId="351" xfId="0" applyNumberFormat="1" applyFont="1" applyBorder="1" applyAlignment="1" applyProtection="1">
      <alignment horizontal="left" vertical="center"/>
      <protection locked="0"/>
    </xf>
    <xf numFmtId="0" fontId="4" fillId="2" borderId="45" xfId="0" applyFont="1" applyFill="1" applyBorder="1" applyProtection="1">
      <protection hidden="1"/>
    </xf>
    <xf numFmtId="2" fontId="144" fillId="2" borderId="206" xfId="0" applyNumberFormat="1" applyFont="1" applyFill="1" applyBorder="1" applyAlignment="1" applyProtection="1">
      <alignment horizontal="left" vertical="center"/>
      <protection hidden="1"/>
    </xf>
    <xf numFmtId="0" fontId="4" fillId="2" borderId="221" xfId="0" applyFont="1" applyFill="1" applyBorder="1" applyProtection="1">
      <protection hidden="1"/>
    </xf>
    <xf numFmtId="0" fontId="4" fillId="2" borderId="349" xfId="0" applyFont="1" applyFill="1" applyBorder="1" applyProtection="1">
      <protection hidden="1"/>
    </xf>
    <xf numFmtId="2" fontId="81" fillId="2" borderId="206" xfId="0" applyNumberFormat="1" applyFont="1" applyFill="1" applyBorder="1" applyAlignment="1" applyProtection="1">
      <alignment horizontal="center" vertical="center"/>
      <protection hidden="1"/>
    </xf>
    <xf numFmtId="2" fontId="82" fillId="2" borderId="206" xfId="0" applyNumberFormat="1" applyFont="1" applyFill="1" applyBorder="1" applyAlignment="1">
      <alignment horizontal="center"/>
    </xf>
    <xf numFmtId="0" fontId="48" fillId="2" borderId="221" xfId="0" applyFont="1" applyFill="1" applyBorder="1"/>
    <xf numFmtId="0" fontId="48" fillId="2" borderId="349" xfId="0" applyFont="1" applyFill="1" applyBorder="1"/>
    <xf numFmtId="0" fontId="48" fillId="2" borderId="206" xfId="0" applyFont="1" applyFill="1" applyBorder="1"/>
    <xf numFmtId="0" fontId="97" fillId="6" borderId="195" xfId="0" applyFont="1" applyFill="1" applyBorder="1" applyAlignment="1" applyProtection="1">
      <alignment horizontal="center"/>
      <protection locked="0"/>
    </xf>
    <xf numFmtId="0" fontId="97" fillId="6" borderId="186" xfId="0" applyFont="1" applyFill="1" applyBorder="1" applyAlignment="1" applyProtection="1">
      <alignment horizontal="center"/>
      <protection locked="0"/>
    </xf>
    <xf numFmtId="0" fontId="97" fillId="6" borderId="197" xfId="0" applyFont="1" applyFill="1" applyBorder="1" applyAlignment="1" applyProtection="1">
      <alignment horizontal="center"/>
      <protection locked="0"/>
    </xf>
    <xf numFmtId="0" fontId="97" fillId="6" borderId="103" xfId="0" applyFont="1" applyFill="1" applyBorder="1" applyAlignment="1" applyProtection="1">
      <alignment horizontal="center"/>
      <protection locked="0"/>
    </xf>
    <xf numFmtId="0" fontId="97" fillId="6" borderId="193" xfId="0" applyFont="1" applyFill="1" applyBorder="1" applyAlignment="1" applyProtection="1">
      <alignment horizontal="center"/>
      <protection locked="0"/>
    </xf>
    <xf numFmtId="0" fontId="97" fillId="6" borderId="194" xfId="0" applyFont="1" applyFill="1" applyBorder="1" applyAlignment="1" applyProtection="1">
      <alignment horizontal="center"/>
      <protection locked="0"/>
    </xf>
    <xf numFmtId="0" fontId="97" fillId="6" borderId="186" xfId="0" applyFont="1" applyFill="1" applyBorder="1" applyAlignment="1" applyProtection="1">
      <alignment horizontal="right"/>
      <protection locked="0"/>
    </xf>
    <xf numFmtId="0" fontId="97" fillId="6" borderId="186" xfId="0" applyFont="1" applyFill="1" applyBorder="1" applyAlignment="1" applyProtection="1">
      <alignment horizontal="left"/>
      <protection locked="0"/>
    </xf>
    <xf numFmtId="0" fontId="98" fillId="6" borderId="186" xfId="0" applyFont="1" applyFill="1" applyBorder="1" applyAlignment="1" applyProtection="1">
      <alignment horizontal="center"/>
      <protection locked="0"/>
    </xf>
    <xf numFmtId="0" fontId="97" fillId="6" borderId="155" xfId="0" applyFont="1" applyFill="1" applyBorder="1" applyAlignment="1" applyProtection="1">
      <alignment horizontal="center"/>
      <protection locked="0"/>
    </xf>
    <xf numFmtId="0" fontId="97" fillId="6" borderId="103" xfId="0" applyFont="1" applyFill="1" applyBorder="1" applyAlignment="1" applyProtection="1">
      <alignment horizontal="right"/>
      <protection locked="0"/>
    </xf>
    <xf numFmtId="0" fontId="97" fillId="6" borderId="103" xfId="0" applyFont="1" applyFill="1" applyBorder="1" applyAlignment="1" applyProtection="1">
      <alignment horizontal="left"/>
      <protection locked="0"/>
    </xf>
    <xf numFmtId="0" fontId="98" fillId="6" borderId="103" xfId="0" applyFont="1" applyFill="1" applyBorder="1" applyAlignment="1" applyProtection="1">
      <alignment horizontal="center"/>
      <protection locked="0"/>
    </xf>
    <xf numFmtId="0" fontId="97" fillId="6" borderId="163" xfId="0" applyFont="1" applyFill="1" applyBorder="1" applyAlignment="1" applyProtection="1">
      <alignment horizontal="center"/>
      <protection locked="0"/>
    </xf>
    <xf numFmtId="0" fontId="97" fillId="6" borderId="194" xfId="0" applyFont="1" applyFill="1" applyBorder="1" applyAlignment="1" applyProtection="1">
      <alignment horizontal="right"/>
      <protection locked="0"/>
    </xf>
    <xf numFmtId="0" fontId="97" fillId="6" borderId="194" xfId="0" applyFont="1" applyFill="1" applyBorder="1" applyAlignment="1" applyProtection="1">
      <alignment horizontal="left"/>
      <protection locked="0"/>
    </xf>
    <xf numFmtId="0" fontId="98" fillId="6" borderId="194" xfId="0" applyFont="1" applyFill="1" applyBorder="1" applyAlignment="1" applyProtection="1">
      <alignment horizontal="center"/>
      <protection locked="0"/>
    </xf>
    <xf numFmtId="0" fontId="97" fillId="6" borderId="177" xfId="0" applyFont="1" applyFill="1" applyBorder="1" applyAlignment="1" applyProtection="1">
      <alignment horizontal="center"/>
      <protection locked="0"/>
    </xf>
    <xf numFmtId="0" fontId="141" fillId="2" borderId="0" xfId="0" applyFont="1" applyFill="1" applyAlignment="1" applyProtection="1">
      <alignment horizontal="right"/>
      <protection hidden="1"/>
    </xf>
    <xf numFmtId="0" fontId="150" fillId="2" borderId="0" xfId="0" applyFont="1" applyFill="1" applyAlignment="1" applyProtection="1">
      <alignment horizontal="center"/>
      <protection hidden="1"/>
    </xf>
    <xf numFmtId="0" fontId="150" fillId="15" borderId="0" xfId="0" applyFont="1" applyFill="1" applyAlignment="1" applyProtection="1">
      <alignment horizontal="center"/>
      <protection hidden="1"/>
    </xf>
    <xf numFmtId="0" fontId="150" fillId="16" borderId="0" xfId="0" applyFont="1" applyFill="1" applyAlignment="1" applyProtection="1">
      <alignment horizontal="center"/>
      <protection hidden="1"/>
    </xf>
    <xf numFmtId="0" fontId="75" fillId="2" borderId="0" xfId="0" quotePrefix="1" applyFont="1" applyFill="1" applyAlignment="1" applyProtection="1">
      <alignment horizontal="center"/>
      <protection hidden="1"/>
    </xf>
    <xf numFmtId="0" fontId="134" fillId="2" borderId="379" xfId="0" quotePrefix="1" applyFont="1" applyFill="1" applyBorder="1" applyAlignment="1" applyProtection="1">
      <alignment horizontal="center"/>
      <protection hidden="1"/>
    </xf>
    <xf numFmtId="0" fontId="134" fillId="2" borderId="379" xfId="0" applyFont="1" applyFill="1" applyBorder="1" applyAlignment="1" applyProtection="1">
      <alignment horizontal="center"/>
      <protection hidden="1"/>
    </xf>
    <xf numFmtId="0" fontId="134" fillId="2" borderId="361" xfId="0" applyFont="1" applyFill="1" applyBorder="1" applyAlignment="1" applyProtection="1">
      <alignment horizontal="center"/>
      <protection hidden="1"/>
    </xf>
    <xf numFmtId="0" fontId="4" fillId="2" borderId="0" xfId="0" applyFont="1" applyFill="1" applyProtection="1">
      <protection locked="0"/>
    </xf>
    <xf numFmtId="0" fontId="11" fillId="2" borderId="0" xfId="0" applyFont="1" applyFill="1" applyAlignment="1" applyProtection="1">
      <alignment horizontal="center" vertical="center"/>
      <protection locked="0"/>
    </xf>
    <xf numFmtId="0" fontId="123" fillId="0" borderId="0" xfId="0" applyFont="1" applyAlignment="1" applyProtection="1">
      <alignment horizontal="left"/>
      <protection locked="0"/>
    </xf>
    <xf numFmtId="1" fontId="123" fillId="0" borderId="0" xfId="0" applyNumberFormat="1" applyFont="1" applyAlignment="1" applyProtection="1">
      <alignment horizontal="center"/>
      <protection locked="0"/>
    </xf>
    <xf numFmtId="0" fontId="123" fillId="0" borderId="0" xfId="0" applyFont="1" applyAlignment="1" applyProtection="1">
      <alignment horizontal="center"/>
      <protection locked="0"/>
    </xf>
    <xf numFmtId="0" fontId="48" fillId="16" borderId="0" xfId="0" applyFont="1" applyFill="1" applyProtection="1">
      <protection hidden="1"/>
    </xf>
    <xf numFmtId="0" fontId="48" fillId="16" borderId="0" xfId="0" applyFont="1" applyFill="1" applyAlignment="1" applyProtection="1">
      <alignment horizontal="center"/>
      <protection hidden="1"/>
    </xf>
    <xf numFmtId="0" fontId="48" fillId="16" borderId="0" xfId="0" applyFont="1" applyFill="1" applyAlignment="1" applyProtection="1">
      <alignment horizontal="right"/>
      <protection hidden="1"/>
    </xf>
    <xf numFmtId="0" fontId="48" fillId="16" borderId="0" xfId="0" applyFont="1" applyFill="1" applyAlignment="1" applyProtection="1">
      <alignment horizontal="left"/>
      <protection hidden="1"/>
    </xf>
    <xf numFmtId="0" fontId="11" fillId="16" borderId="0" xfId="0" applyFont="1" applyFill="1" applyAlignment="1" applyProtection="1">
      <alignment horizontal="center" vertical="center"/>
      <protection hidden="1"/>
    </xf>
    <xf numFmtId="0" fontId="0" fillId="16" borderId="0" xfId="0" applyFill="1" applyProtection="1">
      <protection hidden="1"/>
    </xf>
    <xf numFmtId="0" fontId="55" fillId="16" borderId="0" xfId="0" applyFont="1" applyFill="1" applyAlignment="1" applyProtection="1">
      <alignment horizontal="center" textRotation="90"/>
      <protection hidden="1"/>
    </xf>
    <xf numFmtId="0" fontId="29" fillId="16" borderId="0" xfId="0" applyFont="1" applyFill="1" applyAlignment="1" applyProtection="1">
      <alignment horizontal="center"/>
      <protection hidden="1"/>
    </xf>
    <xf numFmtId="0" fontId="55" fillId="16" borderId="0" xfId="0" applyFont="1" applyFill="1" applyAlignment="1">
      <alignment horizontal="center" textRotation="90"/>
    </xf>
    <xf numFmtId="0" fontId="4" fillId="16" borderId="0" xfId="0" applyFont="1" applyFill="1" applyAlignment="1" applyProtection="1">
      <alignment horizontal="center"/>
      <protection hidden="1"/>
    </xf>
    <xf numFmtId="0" fontId="4" fillId="16" borderId="0" xfId="0" applyFont="1" applyFill="1" applyAlignment="1" applyProtection="1">
      <alignment horizontal="right"/>
      <protection hidden="1"/>
    </xf>
    <xf numFmtId="0" fontId="4" fillId="16" borderId="0" xfId="0" applyFont="1" applyFill="1" applyAlignment="1" applyProtection="1">
      <alignment horizontal="left"/>
      <protection hidden="1"/>
    </xf>
    <xf numFmtId="0" fontId="75" fillId="16" borderId="0" xfId="0" applyFont="1" applyFill="1" applyAlignment="1" applyProtection="1">
      <alignment horizontal="center"/>
      <protection hidden="1"/>
    </xf>
    <xf numFmtId="0" fontId="17" fillId="16" borderId="0" xfId="0" applyFont="1" applyFill="1" applyAlignment="1" applyProtection="1">
      <alignment horizontal="center" vertical="center"/>
      <protection hidden="1"/>
    </xf>
    <xf numFmtId="0" fontId="0" fillId="16" borderId="0" xfId="0" applyFill="1" applyAlignment="1" applyProtection="1">
      <alignment horizontal="center"/>
      <protection hidden="1"/>
    </xf>
    <xf numFmtId="0" fontId="4" fillId="16" borderId="0" xfId="0" applyFont="1" applyFill="1" applyProtection="1">
      <protection hidden="1"/>
    </xf>
    <xf numFmtId="0" fontId="128" fillId="16" borderId="0" xfId="0" applyFont="1" applyFill="1"/>
    <xf numFmtId="0" fontId="48" fillId="16" borderId="0" xfId="0" applyFont="1" applyFill="1" applyAlignment="1">
      <alignment horizontal="right"/>
    </xf>
    <xf numFmtId="0" fontId="48" fillId="16" borderId="0" xfId="0" applyFont="1" applyFill="1" applyAlignment="1">
      <alignment horizontal="left"/>
    </xf>
    <xf numFmtId="0" fontId="134" fillId="2" borderId="12" xfId="0" applyFont="1" applyFill="1" applyBorder="1"/>
    <xf numFmtId="0" fontId="3" fillId="0" borderId="21" xfId="0" applyFont="1" applyBorder="1" applyAlignment="1">
      <alignment horizontal="right"/>
    </xf>
    <xf numFmtId="0" fontId="151" fillId="0" borderId="12" xfId="0" applyFont="1" applyBorder="1" applyAlignment="1">
      <alignment horizontal="right" vertical="center"/>
    </xf>
    <xf numFmtId="0" fontId="13" fillId="0" borderId="0" xfId="0" applyFont="1" applyAlignment="1">
      <alignment horizontal="left"/>
    </xf>
    <xf numFmtId="0" fontId="0" fillId="2" borderId="0" xfId="0" applyFill="1" applyAlignment="1">
      <alignment horizontal="center" vertical="center"/>
    </xf>
    <xf numFmtId="168" fontId="0" fillId="2" borderId="11" xfId="0" applyNumberFormat="1" applyFill="1" applyBorder="1" applyAlignment="1">
      <alignment horizontal="center"/>
    </xf>
    <xf numFmtId="0" fontId="150" fillId="2" borderId="0" xfId="0" applyFont="1" applyFill="1" applyAlignment="1">
      <alignment horizontal="right"/>
    </xf>
    <xf numFmtId="0" fontId="0" fillId="2" borderId="384" xfId="0" applyFill="1" applyBorder="1" applyAlignment="1">
      <alignment horizontal="left"/>
    </xf>
    <xf numFmtId="168" fontId="0" fillId="2" borderId="384" xfId="0" applyNumberFormat="1" applyFill="1" applyBorder="1" applyAlignment="1">
      <alignment horizontal="center"/>
    </xf>
    <xf numFmtId="0" fontId="0" fillId="2" borderId="384" xfId="0" applyFill="1" applyBorder="1" applyAlignment="1">
      <alignment horizontal="center" vertical="center"/>
    </xf>
    <xf numFmtId="0" fontId="28" fillId="2" borderId="384" xfId="0" applyFont="1" applyFill="1" applyBorder="1" applyAlignment="1">
      <alignment horizontal="center" vertical="center"/>
    </xf>
    <xf numFmtId="0" fontId="3" fillId="2" borderId="384" xfId="0" applyFont="1" applyFill="1" applyBorder="1" applyAlignment="1">
      <alignment horizontal="center" vertical="center"/>
    </xf>
    <xf numFmtId="22" fontId="28" fillId="2" borderId="384" xfId="0" applyNumberFormat="1" applyFont="1" applyFill="1" applyBorder="1" applyAlignment="1">
      <alignment horizontal="center" vertical="center"/>
    </xf>
    <xf numFmtId="0" fontId="0" fillId="2" borderId="385" xfId="0" applyFill="1" applyBorder="1" applyAlignment="1">
      <alignment horizontal="center" vertical="center"/>
    </xf>
    <xf numFmtId="190" fontId="28" fillId="2" borderId="385" xfId="0" applyNumberFormat="1" applyFont="1" applyFill="1" applyBorder="1" applyAlignment="1">
      <alignment horizontal="center" vertical="center"/>
    </xf>
    <xf numFmtId="0" fontId="24" fillId="2" borderId="22" xfId="0" applyFont="1" applyFill="1" applyBorder="1" applyAlignment="1">
      <alignment horizontal="left"/>
    </xf>
    <xf numFmtId="0" fontId="0" fillId="2" borderId="386" xfId="0" applyFill="1" applyBorder="1" applyAlignment="1">
      <alignment horizontal="center"/>
    </xf>
    <xf numFmtId="0" fontId="118" fillId="0" borderId="124" xfId="0" applyFont="1" applyBorder="1" applyAlignment="1">
      <alignment horizontal="center" vertical="center"/>
    </xf>
    <xf numFmtId="0" fontId="118" fillId="0" borderId="103" xfId="0" applyFont="1" applyBorder="1" applyAlignment="1">
      <alignment horizontal="center" vertical="center"/>
    </xf>
    <xf numFmtId="188" fontId="124" fillId="0" borderId="104" xfId="0" applyNumberFormat="1" applyFont="1" applyBorder="1" applyAlignment="1">
      <alignment horizontal="right" vertical="center"/>
    </xf>
    <xf numFmtId="170" fontId="124" fillId="0" borderId="107" xfId="0" applyNumberFormat="1" applyFont="1" applyBorder="1" applyAlignment="1">
      <alignment horizontal="left" vertical="center"/>
    </xf>
    <xf numFmtId="170" fontId="124" fillId="0" borderId="159" xfId="0" applyNumberFormat="1" applyFont="1" applyBorder="1" applyAlignment="1">
      <alignment horizontal="center" vertical="center"/>
    </xf>
    <xf numFmtId="188" fontId="124" fillId="0" borderId="107" xfId="0" applyNumberFormat="1" applyFont="1" applyBorder="1" applyAlignment="1">
      <alignment horizontal="right" vertical="center"/>
    </xf>
    <xf numFmtId="170" fontId="124" fillId="0" borderId="105" xfId="0" applyNumberFormat="1" applyFont="1" applyBorder="1" applyAlignment="1">
      <alignment horizontal="left" vertical="center"/>
    </xf>
    <xf numFmtId="0" fontId="124" fillId="0" borderId="103" xfId="0" applyFont="1" applyBorder="1" applyAlignment="1">
      <alignment horizontal="center" vertical="center"/>
    </xf>
    <xf numFmtId="0" fontId="124" fillId="0" borderId="104" xfId="0" applyFont="1" applyBorder="1" applyAlignment="1">
      <alignment horizontal="center" vertical="center"/>
    </xf>
    <xf numFmtId="170" fontId="124" fillId="0" borderId="124" xfId="0" applyNumberFormat="1" applyFont="1" applyBorder="1" applyAlignment="1">
      <alignment horizontal="center" vertical="center"/>
    </xf>
    <xf numFmtId="170" fontId="124" fillId="0" borderId="106" xfId="0" applyNumberFormat="1" applyFont="1" applyBorder="1" applyAlignment="1">
      <alignment horizontal="center" vertical="center"/>
    </xf>
    <xf numFmtId="188" fontId="124" fillId="0" borderId="307" xfId="0" applyNumberFormat="1" applyFont="1" applyBorder="1" applyAlignment="1">
      <alignment horizontal="right" vertical="center"/>
    </xf>
    <xf numFmtId="167" fontId="124" fillId="0" borderId="105" xfId="0" applyNumberFormat="1" applyFont="1" applyBorder="1" applyAlignment="1">
      <alignment horizontal="center" vertical="center"/>
    </xf>
    <xf numFmtId="167" fontId="124" fillId="0" borderId="104" xfId="0" applyNumberFormat="1" applyFont="1" applyBorder="1" applyAlignment="1">
      <alignment horizontal="center" vertical="center"/>
    </xf>
    <xf numFmtId="166" fontId="124" fillId="0" borderId="104" xfId="0" applyNumberFormat="1" applyFont="1" applyBorder="1" applyAlignment="1">
      <alignment horizontal="center"/>
    </xf>
    <xf numFmtId="0" fontId="124" fillId="0" borderId="339" xfId="0" applyFont="1" applyBorder="1" applyAlignment="1">
      <alignment horizontal="center"/>
    </xf>
    <xf numFmtId="170" fontId="124" fillId="0" borderId="103" xfId="0" applyNumberFormat="1" applyFont="1" applyBorder="1" applyAlignment="1">
      <alignment horizontal="center"/>
    </xf>
    <xf numFmtId="170" fontId="124" fillId="0" borderId="340" xfId="0" applyNumberFormat="1" applyFont="1" applyBorder="1" applyAlignment="1">
      <alignment horizontal="center"/>
    </xf>
    <xf numFmtId="166" fontId="124" fillId="0" borderId="103" xfId="0" applyNumberFormat="1" applyFont="1" applyBorder="1" applyAlignment="1">
      <alignment horizontal="center"/>
    </xf>
    <xf numFmtId="0" fontId="124" fillId="0" borderId="103" xfId="0" applyFont="1" applyBorder="1" applyAlignment="1">
      <alignment horizontal="left" vertical="center"/>
    </xf>
    <xf numFmtId="1" fontId="124" fillId="0" borderId="158" xfId="0" applyNumberFormat="1" applyFont="1" applyBorder="1" applyAlignment="1">
      <alignment horizontal="center" vertical="center"/>
    </xf>
    <xf numFmtId="49" fontId="141" fillId="17" borderId="185"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right"/>
      <protection locked="0"/>
    </xf>
    <xf numFmtId="49" fontId="141" fillId="17" borderId="186" xfId="0" applyNumberFormat="1" applyFont="1" applyFill="1" applyBorder="1" applyAlignment="1" applyProtection="1">
      <alignment horizontal="left"/>
      <protection locked="0"/>
    </xf>
    <xf numFmtId="49" fontId="141" fillId="17" borderId="186" xfId="0" applyNumberFormat="1" applyFont="1" applyFill="1" applyBorder="1" applyAlignment="1" applyProtection="1">
      <alignment horizontal="center"/>
      <protection hidden="1"/>
    </xf>
    <xf numFmtId="49" fontId="141" fillId="17" borderId="376" xfId="0" applyNumberFormat="1" applyFont="1" applyFill="1" applyBorder="1" applyAlignment="1" applyProtection="1">
      <alignment horizontal="center"/>
      <protection hidden="1"/>
    </xf>
    <xf numFmtId="49" fontId="141" fillId="17" borderId="2"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right"/>
      <protection locked="0"/>
    </xf>
    <xf numFmtId="49" fontId="141" fillId="17" borderId="103" xfId="0" applyNumberFormat="1" applyFont="1" applyFill="1" applyBorder="1" applyAlignment="1" applyProtection="1">
      <alignment horizontal="left"/>
      <protection locked="0"/>
    </xf>
    <xf numFmtId="49" fontId="141" fillId="17" borderId="103" xfId="0" applyNumberFormat="1" applyFont="1" applyFill="1" applyBorder="1" applyProtection="1">
      <protection hidden="1"/>
    </xf>
    <xf numFmtId="49" fontId="141" fillId="17" borderId="103" xfId="0" applyNumberFormat="1" applyFont="1" applyFill="1" applyBorder="1" applyAlignment="1" applyProtection="1">
      <alignment horizontal="center"/>
      <protection hidden="1"/>
    </xf>
    <xf numFmtId="49" fontId="141" fillId="17" borderId="104" xfId="0" applyNumberFormat="1" applyFont="1" applyFill="1" applyBorder="1" applyAlignment="1" applyProtection="1">
      <alignment horizontal="center"/>
      <protection hidden="1"/>
    </xf>
    <xf numFmtId="49" fontId="152" fillId="17" borderId="103" xfId="0" applyNumberFormat="1" applyFont="1" applyFill="1" applyBorder="1" applyAlignment="1" applyProtection="1">
      <alignment horizontal="center" vertical="center"/>
      <protection hidden="1"/>
    </xf>
    <xf numFmtId="49" fontId="141" fillId="17" borderId="3"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right"/>
      <protection locked="0"/>
    </xf>
    <xf numFmtId="49" fontId="141" fillId="17" borderId="360" xfId="0" applyNumberFormat="1" applyFont="1" applyFill="1" applyBorder="1" applyAlignment="1" applyProtection="1">
      <alignment horizontal="left"/>
      <protection locked="0"/>
    </xf>
    <xf numFmtId="49" fontId="141" fillId="17" borderId="360" xfId="0" applyNumberFormat="1" applyFont="1" applyFill="1" applyBorder="1" applyAlignment="1" applyProtection="1">
      <alignment horizontal="center"/>
      <protection hidden="1"/>
    </xf>
    <xf numFmtId="49" fontId="141" fillId="17" borderId="377" xfId="0" applyNumberFormat="1" applyFont="1" applyFill="1" applyBorder="1" applyAlignment="1" applyProtection="1">
      <alignment horizontal="center"/>
      <protection hidden="1"/>
    </xf>
    <xf numFmtId="49" fontId="141" fillId="17" borderId="360" xfId="0" applyNumberFormat="1" applyFont="1" applyFill="1" applyBorder="1" applyProtection="1">
      <protection hidden="1"/>
    </xf>
    <xf numFmtId="49" fontId="141" fillId="17" borderId="361"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right"/>
      <protection locked="0"/>
    </xf>
    <xf numFmtId="49" fontId="141" fillId="17" borderId="219" xfId="0" applyNumberFormat="1" applyFont="1" applyFill="1" applyBorder="1" applyAlignment="1" applyProtection="1">
      <alignment horizontal="left"/>
      <protection locked="0"/>
    </xf>
    <xf numFmtId="49" fontId="141" fillId="17" borderId="219" xfId="0" applyNumberFormat="1" applyFont="1" applyFill="1" applyBorder="1" applyProtection="1">
      <protection hidden="1"/>
    </xf>
    <xf numFmtId="49" fontId="141" fillId="17" borderId="5" xfId="0" applyNumberFormat="1" applyFont="1" applyFill="1" applyBorder="1" applyAlignment="1" applyProtection="1">
      <alignment horizontal="center"/>
      <protection hidden="1"/>
    </xf>
    <xf numFmtId="49" fontId="141" fillId="17" borderId="6" xfId="0" applyNumberFormat="1" applyFont="1" applyFill="1" applyBorder="1" applyAlignment="1" applyProtection="1">
      <alignment horizontal="center"/>
      <protection hidden="1"/>
    </xf>
    <xf numFmtId="49" fontId="141" fillId="6" borderId="185"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right"/>
      <protection locked="0"/>
    </xf>
    <xf numFmtId="49" fontId="141" fillId="6" borderId="186" xfId="0" applyNumberFormat="1" applyFont="1" applyFill="1" applyBorder="1" applyAlignment="1" applyProtection="1">
      <alignment horizontal="left"/>
      <protection locked="0"/>
    </xf>
    <xf numFmtId="49" fontId="152" fillId="6" borderId="186" xfId="0" applyNumberFormat="1" applyFont="1" applyFill="1" applyBorder="1" applyAlignment="1" applyProtection="1">
      <alignment horizontal="center"/>
      <protection locked="0"/>
    </xf>
    <xf numFmtId="49" fontId="141" fillId="6" borderId="366" xfId="0" applyNumberFormat="1" applyFont="1" applyFill="1" applyBorder="1" applyAlignment="1" applyProtection="1">
      <alignment horizontal="left"/>
      <protection locked="0"/>
    </xf>
    <xf numFmtId="49" fontId="141" fillId="6" borderId="361"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right"/>
      <protection locked="0"/>
    </xf>
    <xf numFmtId="49" fontId="141" fillId="6" borderId="219" xfId="0" applyNumberFormat="1" applyFont="1" applyFill="1" applyBorder="1" applyAlignment="1" applyProtection="1">
      <alignment horizontal="left"/>
      <protection locked="0"/>
    </xf>
    <xf numFmtId="49" fontId="152" fillId="6" borderId="219" xfId="0" applyNumberFormat="1" applyFont="1" applyFill="1" applyBorder="1" applyAlignment="1" applyProtection="1">
      <alignment horizontal="center"/>
      <protection locked="0"/>
    </xf>
    <xf numFmtId="49" fontId="141" fillId="6" borderId="362" xfId="0" applyNumberFormat="1" applyFont="1" applyFill="1" applyBorder="1" applyAlignment="1" applyProtection="1">
      <alignment horizontal="left"/>
      <protection locked="0"/>
    </xf>
    <xf numFmtId="49" fontId="141" fillId="6" borderId="367"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right"/>
      <protection locked="0"/>
    </xf>
    <xf numFmtId="49" fontId="141" fillId="6" borderId="368" xfId="0" applyNumberFormat="1" applyFont="1" applyFill="1" applyBorder="1" applyAlignment="1" applyProtection="1">
      <alignment horizontal="left"/>
      <protection locked="0"/>
    </xf>
    <xf numFmtId="49" fontId="152" fillId="6" borderId="368" xfId="0" applyNumberFormat="1" applyFont="1" applyFill="1" applyBorder="1" applyAlignment="1" applyProtection="1">
      <alignment horizontal="center"/>
      <protection locked="0"/>
    </xf>
    <xf numFmtId="49" fontId="141" fillId="6" borderId="369" xfId="0" applyNumberFormat="1" applyFont="1" applyFill="1" applyBorder="1" applyAlignment="1" applyProtection="1">
      <alignment horizontal="left"/>
      <protection locked="0"/>
    </xf>
    <xf numFmtId="0" fontId="0" fillId="2" borderId="12" xfId="0" applyFill="1" applyBorder="1" applyAlignment="1">
      <alignment horizontal="center"/>
    </xf>
    <xf numFmtId="0" fontId="118" fillId="0" borderId="166" xfId="0" applyFont="1" applyBorder="1" applyAlignment="1">
      <alignment horizontal="center" vertical="center"/>
    </xf>
    <xf numFmtId="0" fontId="24" fillId="2" borderId="12" xfId="0" applyFont="1" applyFill="1" applyBorder="1" applyAlignment="1">
      <alignment horizontal="center" vertical="center" wrapText="1"/>
    </xf>
    <xf numFmtId="0" fontId="24" fillId="2" borderId="12" xfId="0" applyFont="1" applyFill="1" applyBorder="1" applyAlignment="1" applyProtection="1">
      <alignment horizontal="center" wrapText="1"/>
      <protection hidden="1"/>
    </xf>
    <xf numFmtId="0" fontId="3" fillId="2" borderId="0" xfId="0" quotePrefix="1" applyFont="1" applyFill="1"/>
    <xf numFmtId="12" fontId="47" fillId="15" borderId="12" xfId="0" applyNumberFormat="1" applyFont="1" applyFill="1" applyBorder="1" applyAlignment="1" applyProtection="1">
      <alignment horizontal="center"/>
      <protection hidden="1"/>
    </xf>
    <xf numFmtId="12" fontId="47" fillId="15" borderId="25" xfId="0" applyNumberFormat="1" applyFont="1" applyFill="1" applyBorder="1" applyAlignment="1" applyProtection="1">
      <alignment horizontal="center"/>
      <protection hidden="1"/>
    </xf>
    <xf numFmtId="12" fontId="47" fillId="15" borderId="31" xfId="0" applyNumberFormat="1" applyFont="1" applyFill="1" applyBorder="1" applyAlignment="1" applyProtection="1">
      <alignment horizontal="center"/>
      <protection hidden="1"/>
    </xf>
    <xf numFmtId="1" fontId="124" fillId="0" borderId="106" xfId="0" applyNumberFormat="1" applyFont="1" applyBorder="1" applyAlignment="1">
      <alignment horizontal="center" vertical="center"/>
    </xf>
    <xf numFmtId="0" fontId="28" fillId="23" borderId="12" xfId="0" applyFont="1" applyFill="1" applyBorder="1" applyAlignment="1">
      <alignment horizontal="center"/>
    </xf>
    <xf numFmtId="0" fontId="48" fillId="23" borderId="12" xfId="0" applyFont="1" applyFill="1" applyBorder="1" applyAlignment="1">
      <alignment horizontal="center"/>
    </xf>
    <xf numFmtId="178" fontId="48" fillId="24" borderId="14" xfId="0" applyNumberFormat="1" applyFont="1" applyFill="1" applyBorder="1" applyAlignment="1" applyProtection="1">
      <alignment horizontal="center"/>
      <protection hidden="1"/>
    </xf>
    <xf numFmtId="178" fontId="48" fillId="24" borderId="12" xfId="0" applyNumberFormat="1" applyFont="1" applyFill="1" applyBorder="1" applyAlignment="1" applyProtection="1">
      <alignment horizontal="center"/>
      <protection hidden="1"/>
    </xf>
    <xf numFmtId="178" fontId="48" fillId="24" borderId="25" xfId="0" applyNumberFormat="1" applyFont="1" applyFill="1" applyBorder="1" applyAlignment="1" applyProtection="1">
      <alignment horizontal="center"/>
      <protection hidden="1"/>
    </xf>
    <xf numFmtId="178" fontId="28" fillId="2" borderId="0" xfId="0" quotePrefix="1" applyNumberFormat="1" applyFont="1" applyFill="1" applyProtection="1">
      <protection hidden="1"/>
    </xf>
    <xf numFmtId="172" fontId="28" fillId="0" borderId="14" xfId="0" applyNumberFormat="1" applyFont="1" applyBorder="1" applyAlignment="1" applyProtection="1">
      <alignment horizontal="center"/>
      <protection locked="0"/>
    </xf>
    <xf numFmtId="172" fontId="28" fillId="0" borderId="12" xfId="0" applyNumberFormat="1" applyFont="1" applyBorder="1" applyAlignment="1" applyProtection="1">
      <alignment horizontal="center"/>
      <protection locked="0"/>
    </xf>
    <xf numFmtId="172" fontId="28" fillId="0" borderId="25" xfId="0" applyNumberFormat="1" applyFont="1" applyBorder="1" applyAlignment="1" applyProtection="1">
      <alignment horizontal="center"/>
      <protection locked="0"/>
    </xf>
    <xf numFmtId="185" fontId="48" fillId="7" borderId="58" xfId="0" applyNumberFormat="1" applyFont="1" applyFill="1" applyBorder="1" applyAlignment="1">
      <alignment horizontal="left"/>
    </xf>
    <xf numFmtId="0" fontId="28" fillId="22" borderId="55" xfId="0" applyFont="1" applyFill="1" applyBorder="1" applyAlignment="1" applyProtection="1">
      <alignment horizontal="right"/>
      <protection hidden="1"/>
    </xf>
    <xf numFmtId="0" fontId="24" fillId="24" borderId="12" xfId="0" applyFont="1" applyFill="1" applyBorder="1" applyAlignment="1">
      <alignment horizontal="center" vertical="center"/>
    </xf>
    <xf numFmtId="0" fontId="24" fillId="24" borderId="12" xfId="0" applyFont="1" applyFill="1" applyBorder="1" applyAlignment="1" applyProtection="1">
      <alignment horizontal="center"/>
      <protection hidden="1"/>
    </xf>
    <xf numFmtId="0" fontId="24" fillId="24" borderId="12" xfId="0" applyFont="1" applyFill="1" applyBorder="1" applyAlignment="1">
      <alignment horizontal="center"/>
    </xf>
    <xf numFmtId="2" fontId="84" fillId="24" borderId="8" xfId="0" applyNumberFormat="1" applyFont="1" applyFill="1" applyBorder="1" applyAlignment="1" applyProtection="1">
      <alignment horizontal="center"/>
      <protection hidden="1"/>
    </xf>
    <xf numFmtId="12" fontId="84" fillId="24" borderId="12" xfId="0" applyNumberFormat="1" applyFont="1" applyFill="1" applyBorder="1" applyAlignment="1" applyProtection="1">
      <alignment horizontal="center"/>
      <protection hidden="1"/>
    </xf>
    <xf numFmtId="180" fontId="84" fillId="24" borderId="21" xfId="0" applyNumberFormat="1" applyFont="1" applyFill="1" applyBorder="1" applyAlignment="1" applyProtection="1">
      <alignment horizontal="center"/>
      <protection hidden="1"/>
    </xf>
    <xf numFmtId="2" fontId="84" fillId="24" borderId="9" xfId="0" applyNumberFormat="1" applyFont="1" applyFill="1" applyBorder="1" applyAlignment="1" applyProtection="1">
      <alignment horizontal="center"/>
      <protection hidden="1"/>
    </xf>
    <xf numFmtId="12" fontId="84" fillId="24" borderId="25" xfId="0" applyNumberFormat="1" applyFont="1" applyFill="1" applyBorder="1" applyAlignment="1" applyProtection="1">
      <alignment horizontal="center"/>
      <protection hidden="1"/>
    </xf>
    <xf numFmtId="180" fontId="84" fillId="24" borderId="26" xfId="0" applyNumberFormat="1" applyFont="1" applyFill="1" applyBorder="1" applyAlignment="1" applyProtection="1">
      <alignment horizontal="center"/>
      <protection hidden="1"/>
    </xf>
    <xf numFmtId="178" fontId="84" fillId="24" borderId="12" xfId="0" applyNumberFormat="1" applyFont="1" applyFill="1" applyBorder="1" applyAlignment="1" applyProtection="1">
      <alignment horizontal="center"/>
      <protection hidden="1"/>
    </xf>
    <xf numFmtId="178" fontId="85" fillId="24" borderId="12" xfId="0" applyNumberFormat="1" applyFont="1" applyFill="1" applyBorder="1" applyAlignment="1" applyProtection="1">
      <alignment horizontal="center"/>
      <protection hidden="1"/>
    </xf>
    <xf numFmtId="2" fontId="84" fillId="24" borderId="12" xfId="0" applyNumberFormat="1" applyFont="1" applyFill="1" applyBorder="1" applyAlignment="1" applyProtection="1">
      <alignment horizontal="center"/>
      <protection hidden="1"/>
    </xf>
    <xf numFmtId="178" fontId="84" fillId="24" borderId="25" xfId="0" applyNumberFormat="1" applyFont="1" applyFill="1" applyBorder="1" applyAlignment="1" applyProtection="1">
      <alignment horizontal="center"/>
      <protection hidden="1"/>
    </xf>
    <xf numFmtId="178" fontId="85" fillId="24" borderId="25" xfId="0" applyNumberFormat="1" applyFont="1" applyFill="1" applyBorder="1" applyAlignment="1" applyProtection="1">
      <alignment horizontal="center"/>
      <protection hidden="1"/>
    </xf>
    <xf numFmtId="2" fontId="84" fillId="24" borderId="25" xfId="0" applyNumberFormat="1" applyFont="1" applyFill="1" applyBorder="1" applyAlignment="1" applyProtection="1">
      <alignment horizontal="center"/>
      <protection hidden="1"/>
    </xf>
    <xf numFmtId="179" fontId="84" fillId="24" borderId="10" xfId="0" applyNumberFormat="1" applyFont="1" applyFill="1" applyBorder="1" applyAlignment="1" applyProtection="1">
      <alignment horizontal="center"/>
      <protection hidden="1"/>
    </xf>
    <xf numFmtId="0" fontId="124" fillId="15" borderId="103" xfId="0" applyFont="1" applyFill="1" applyBorder="1" applyAlignment="1">
      <alignment horizontal="center"/>
    </xf>
    <xf numFmtId="0" fontId="124" fillId="15" borderId="106" xfId="0" applyFont="1" applyFill="1" applyBorder="1" applyAlignment="1">
      <alignment horizontal="center"/>
    </xf>
    <xf numFmtId="0" fontId="4" fillId="15" borderId="0" xfId="0" applyFont="1" applyFill="1" applyProtection="1">
      <protection hidden="1"/>
    </xf>
    <xf numFmtId="0" fontId="48" fillId="15" borderId="0" xfId="0" applyFont="1" applyFill="1"/>
    <xf numFmtId="2" fontId="24" fillId="15" borderId="0" xfId="0" applyNumberFormat="1" applyFont="1" applyFill="1" applyProtection="1">
      <protection hidden="1"/>
    </xf>
    <xf numFmtId="0" fontId="28" fillId="2" borderId="124" xfId="0" applyFont="1" applyFill="1" applyBorder="1" applyAlignment="1">
      <alignment horizontal="center"/>
    </xf>
    <xf numFmtId="0" fontId="28" fillId="2" borderId="103" xfId="0" applyFont="1" applyFill="1" applyBorder="1"/>
    <xf numFmtId="0" fontId="28" fillId="2" borderId="125" xfId="0" applyFont="1" applyFill="1" applyBorder="1" applyAlignment="1">
      <alignment horizontal="center"/>
    </xf>
    <xf numFmtId="0" fontId="28" fillId="2" borderId="120" xfId="0" applyFont="1" applyFill="1" applyBorder="1"/>
    <xf numFmtId="0" fontId="15" fillId="25" borderId="330" xfId="0" applyFont="1" applyFill="1" applyBorder="1" applyAlignment="1">
      <alignment horizontal="center" vertical="center"/>
    </xf>
    <xf numFmtId="172" fontId="124" fillId="0" borderId="182" xfId="0" applyNumberFormat="1" applyFont="1" applyBorder="1" applyAlignment="1" applyProtection="1">
      <alignment horizontal="left" vertical="center"/>
      <protection locked="0"/>
    </xf>
    <xf numFmtId="172" fontId="124" fillId="0" borderId="188" xfId="0" applyNumberFormat="1" applyFont="1" applyBorder="1" applyAlignment="1" applyProtection="1">
      <alignment horizontal="left" vertical="center"/>
      <protection locked="0"/>
    </xf>
    <xf numFmtId="172" fontId="124" fillId="0" borderId="190" xfId="0" applyNumberFormat="1" applyFont="1" applyBorder="1" applyAlignment="1" applyProtection="1">
      <alignment horizontal="left" vertical="center"/>
      <protection locked="0"/>
    </xf>
    <xf numFmtId="172" fontId="124" fillId="0" borderId="148" xfId="0" applyNumberFormat="1" applyFont="1" applyBorder="1" applyAlignment="1" applyProtection="1">
      <alignment horizontal="left" vertical="center"/>
      <protection locked="0"/>
    </xf>
    <xf numFmtId="172" fontId="124" fillId="0" borderId="158" xfId="0" applyNumberFormat="1" applyFont="1" applyBorder="1" applyAlignment="1" applyProtection="1">
      <alignment horizontal="left" vertical="center"/>
      <protection locked="0"/>
    </xf>
    <xf numFmtId="172" fontId="124" fillId="0" borderId="169" xfId="0" applyNumberFormat="1" applyFont="1" applyBorder="1" applyAlignment="1" applyProtection="1">
      <alignment horizontal="left" vertical="center"/>
      <protection locked="0"/>
    </xf>
    <xf numFmtId="172" fontId="124" fillId="0" borderId="151" xfId="0" applyNumberFormat="1" applyFont="1" applyBorder="1" applyAlignment="1" applyProtection="1">
      <alignment horizontal="left" vertical="center"/>
      <protection locked="0"/>
    </xf>
    <xf numFmtId="172" fontId="124" fillId="0" borderId="160" xfId="0" applyNumberFormat="1" applyFont="1" applyBorder="1" applyAlignment="1" applyProtection="1">
      <alignment horizontal="left" vertical="center"/>
      <protection locked="0"/>
    </xf>
    <xf numFmtId="172" fontId="124" fillId="0" borderId="172" xfId="0" applyNumberFormat="1" applyFont="1" applyBorder="1" applyAlignment="1" applyProtection="1">
      <alignment horizontal="left" vertical="center"/>
      <protection locked="0"/>
    </xf>
    <xf numFmtId="172" fontId="118" fillId="0" borderId="158" xfId="0" applyNumberFormat="1" applyFont="1" applyBorder="1" applyAlignment="1" applyProtection="1">
      <alignment horizontal="left" vertical="center"/>
      <protection locked="0"/>
    </xf>
    <xf numFmtId="172" fontId="118" fillId="0" borderId="169" xfId="0" applyNumberFormat="1" applyFont="1" applyBorder="1" applyAlignment="1" applyProtection="1">
      <alignment horizontal="left" vertical="center"/>
      <protection locked="0"/>
    </xf>
    <xf numFmtId="172" fontId="118" fillId="0" borderId="148" xfId="0" applyNumberFormat="1" applyFont="1" applyBorder="1" applyAlignment="1" applyProtection="1">
      <alignment horizontal="left" vertical="center"/>
      <protection locked="0"/>
    </xf>
    <xf numFmtId="178" fontId="48" fillId="24" borderId="31" xfId="0" applyNumberFormat="1" applyFont="1" applyFill="1" applyBorder="1" applyAlignment="1" applyProtection="1">
      <alignment horizontal="center"/>
      <protection hidden="1"/>
    </xf>
    <xf numFmtId="0" fontId="28" fillId="2" borderId="0" xfId="0" applyFont="1" applyFill="1" applyAlignment="1">
      <alignment vertical="center"/>
    </xf>
    <xf numFmtId="0" fontId="28" fillId="2" borderId="289" xfId="0" applyFont="1" applyFill="1" applyBorder="1" applyAlignment="1">
      <alignment horizontal="center" vertical="center"/>
    </xf>
    <xf numFmtId="0" fontId="28" fillId="2" borderId="219" xfId="0" applyFont="1" applyFill="1" applyBorder="1" applyAlignment="1">
      <alignment vertical="center"/>
    </xf>
    <xf numFmtId="0" fontId="28" fillId="2" borderId="288" xfId="0" applyFont="1" applyFill="1" applyBorder="1" applyAlignment="1">
      <alignment vertical="center"/>
    </xf>
    <xf numFmtId="0" fontId="3" fillId="0" borderId="0" xfId="2" applyAlignment="1" applyProtection="1">
      <alignment horizontal="right" wrapText="1"/>
      <protection hidden="1"/>
    </xf>
    <xf numFmtId="0" fontId="3" fillId="0" borderId="0" xfId="2" applyAlignment="1" applyProtection="1">
      <alignment horizontal="center"/>
      <protection hidden="1"/>
    </xf>
    <xf numFmtId="0" fontId="3" fillId="0" borderId="0" xfId="2" applyProtection="1">
      <protection hidden="1"/>
    </xf>
    <xf numFmtId="0" fontId="3" fillId="0" borderId="0" xfId="0" applyFont="1" applyAlignment="1">
      <alignment horizontal="left" wrapText="1"/>
    </xf>
    <xf numFmtId="0" fontId="3" fillId="0" borderId="0" xfId="2" applyAlignment="1" applyProtection="1">
      <alignment horizontal="left" wrapText="1"/>
      <protection hidden="1"/>
    </xf>
    <xf numFmtId="0" fontId="3" fillId="0" borderId="0" xfId="2" applyAlignment="1" applyProtection="1">
      <alignment horizontal="left"/>
      <protection hidden="1"/>
    </xf>
    <xf numFmtId="0" fontId="3" fillId="0" borderId="0" xfId="2" applyAlignment="1" applyProtection="1">
      <alignment horizontal="right"/>
      <protection hidden="1"/>
    </xf>
    <xf numFmtId="0" fontId="28" fillId="0" borderId="0" xfId="2" applyFont="1" applyAlignment="1" applyProtection="1">
      <alignment horizontal="center" vertical="center" wrapText="1"/>
      <protection hidden="1"/>
    </xf>
    <xf numFmtId="0" fontId="47" fillId="0" borderId="0" xfId="2" applyFont="1" applyAlignment="1" applyProtection="1">
      <alignment horizontal="center" vertical="center" wrapText="1"/>
      <protection hidden="1"/>
    </xf>
    <xf numFmtId="0" fontId="3" fillId="0" borderId="0" xfId="2" applyAlignment="1">
      <alignment horizontal="center" vertical="center" wrapText="1"/>
    </xf>
    <xf numFmtId="0" fontId="3" fillId="0" borderId="0" xfId="2" applyAlignment="1">
      <alignment horizontal="center" vertical="center"/>
    </xf>
    <xf numFmtId="0" fontId="28" fillId="0" borderId="0" xfId="2" applyFont="1" applyAlignment="1" applyProtection="1">
      <alignment horizontal="center" wrapText="1"/>
      <protection hidden="1"/>
    </xf>
    <xf numFmtId="0" fontId="154" fillId="0" borderId="0" xfId="2" applyFont="1" applyAlignment="1" applyProtection="1">
      <alignment horizontal="center"/>
      <protection locked="0"/>
    </xf>
    <xf numFmtId="1" fontId="154" fillId="0" borderId="0" xfId="2" applyNumberFormat="1" applyFont="1" applyAlignment="1" applyProtection="1">
      <alignment horizontal="center"/>
      <protection locked="0"/>
    </xf>
    <xf numFmtId="1" fontId="154" fillId="0" borderId="0" xfId="2" applyNumberFormat="1" applyFont="1" applyAlignment="1" applyProtection="1">
      <alignment horizontal="right"/>
      <protection locked="0"/>
    </xf>
    <xf numFmtId="2" fontId="154" fillId="0" borderId="0" xfId="2" applyNumberFormat="1" applyFont="1" applyAlignment="1" applyProtection="1">
      <alignment horizontal="left"/>
      <protection locked="0"/>
    </xf>
    <xf numFmtId="2" fontId="154" fillId="0" borderId="0" xfId="2" applyNumberFormat="1" applyFont="1" applyAlignment="1" applyProtection="1">
      <alignment horizontal="center"/>
      <protection locked="0"/>
    </xf>
    <xf numFmtId="49" fontId="154" fillId="0" borderId="0" xfId="2" applyNumberFormat="1" applyFont="1" applyAlignment="1" applyProtection="1">
      <alignment horizontal="center"/>
      <protection locked="0"/>
    </xf>
    <xf numFmtId="49" fontId="154" fillId="0" borderId="0" xfId="2" applyNumberFormat="1" applyFont="1" applyAlignment="1" applyProtection="1">
      <alignment horizontal="left"/>
      <protection locked="0"/>
    </xf>
    <xf numFmtId="0" fontId="154" fillId="0" borderId="0" xfId="2" applyFont="1" applyProtection="1">
      <protection locked="0"/>
    </xf>
    <xf numFmtId="1" fontId="154" fillId="0" borderId="0" xfId="2" applyNumberFormat="1" applyFont="1" applyProtection="1">
      <protection locked="0"/>
    </xf>
    <xf numFmtId="2" fontId="154" fillId="0" borderId="0" xfId="2" applyNumberFormat="1" applyFont="1" applyProtection="1">
      <protection locked="0"/>
    </xf>
    <xf numFmtId="49" fontId="154" fillId="0" borderId="0" xfId="2" applyNumberFormat="1" applyFont="1" applyProtection="1">
      <protection locked="0"/>
    </xf>
    <xf numFmtId="0" fontId="3" fillId="0" borderId="0" xfId="2" applyProtection="1">
      <protection locked="0"/>
    </xf>
    <xf numFmtId="1" fontId="3" fillId="0" borderId="0" xfId="2" applyNumberFormat="1" applyProtection="1">
      <protection locked="0"/>
    </xf>
    <xf numFmtId="2" fontId="3" fillId="0" borderId="0" xfId="2" applyNumberFormat="1" applyProtection="1">
      <protection locked="0"/>
    </xf>
    <xf numFmtId="49" fontId="3" fillId="0" borderId="0" xfId="2" applyNumberFormat="1" applyProtection="1">
      <protection locked="0"/>
    </xf>
    <xf numFmtId="0" fontId="3" fillId="0" borderId="0" xfId="2" applyAlignment="1" applyProtection="1">
      <alignment horizontal="center" wrapText="1"/>
      <protection hidden="1"/>
    </xf>
    <xf numFmtId="0" fontId="7" fillId="0" borderId="0" xfId="2" applyFont="1" applyAlignment="1" applyProtection="1">
      <alignment horizontal="center" wrapText="1"/>
      <protection hidden="1"/>
    </xf>
    <xf numFmtId="0" fontId="28" fillId="0" borderId="0" xfId="2" applyFont="1" applyAlignment="1">
      <alignment horizontal="right" wrapText="1"/>
    </xf>
    <xf numFmtId="0" fontId="3" fillId="0" borderId="0" xfId="2"/>
    <xf numFmtId="0" fontId="3" fillId="0" borderId="0" xfId="2" applyAlignment="1" applyProtection="1">
      <alignment horizontal="center"/>
      <protection locked="0"/>
    </xf>
    <xf numFmtId="191" fontId="3" fillId="0" borderId="0" xfId="2" applyNumberFormat="1" applyAlignment="1" applyProtection="1">
      <alignment horizontal="right"/>
      <protection locked="0"/>
    </xf>
    <xf numFmtId="171" fontId="3" fillId="0" borderId="0" xfId="2" applyNumberFormat="1" applyAlignment="1" applyProtection="1">
      <alignment horizontal="left"/>
      <protection locked="0"/>
    </xf>
    <xf numFmtId="171" fontId="3" fillId="0" borderId="0" xfId="2" applyNumberFormat="1" applyAlignment="1" applyProtection="1">
      <alignment horizontal="center"/>
      <protection locked="0"/>
    </xf>
    <xf numFmtId="0" fontId="3" fillId="0" borderId="0" xfId="2" applyAlignment="1" applyProtection="1">
      <alignment horizontal="left"/>
      <protection locked="0"/>
    </xf>
    <xf numFmtId="191" fontId="3" fillId="0" borderId="0" xfId="2" applyNumberFormat="1" applyAlignment="1" applyProtection="1">
      <alignment horizontal="center"/>
      <protection locked="0"/>
    </xf>
    <xf numFmtId="171" fontId="3" fillId="0" borderId="0" xfId="2" applyNumberFormat="1" applyAlignment="1" applyProtection="1">
      <alignment horizontal="right"/>
      <protection locked="0"/>
    </xf>
    <xf numFmtId="1" fontId="3" fillId="0" borderId="0" xfId="2" applyNumberFormat="1" applyAlignment="1" applyProtection="1">
      <alignment horizontal="center"/>
      <protection locked="0"/>
    </xf>
    <xf numFmtId="0" fontId="3" fillId="0" borderId="0" xfId="2" applyAlignment="1">
      <alignment horizontal="right"/>
    </xf>
    <xf numFmtId="0" fontId="3" fillId="0" borderId="0" xfId="2" applyAlignment="1">
      <alignment horizontal="center"/>
    </xf>
    <xf numFmtId="0" fontId="84" fillId="15" borderId="12" xfId="0" applyFont="1" applyFill="1" applyBorder="1" applyAlignment="1" applyProtection="1">
      <alignment horizontal="center"/>
      <protection hidden="1"/>
    </xf>
    <xf numFmtId="0" fontId="28" fillId="15" borderId="14" xfId="0" applyFont="1" applyFill="1" applyBorder="1" applyAlignment="1" applyProtection="1">
      <alignment horizontal="center"/>
      <protection hidden="1"/>
    </xf>
    <xf numFmtId="0" fontId="28" fillId="15" borderId="25" xfId="0" applyFont="1" applyFill="1" applyBorder="1" applyAlignment="1" applyProtection="1">
      <alignment horizontal="center"/>
      <protection hidden="1"/>
    </xf>
    <xf numFmtId="0" fontId="28" fillId="15" borderId="31" xfId="0" applyFont="1" applyFill="1" applyBorder="1" applyAlignment="1" applyProtection="1">
      <alignment horizontal="center"/>
      <protection hidden="1"/>
    </xf>
    <xf numFmtId="0" fontId="70" fillId="0" borderId="0" xfId="0" applyFont="1" applyAlignment="1">
      <alignment horizontal="left" indent="4"/>
    </xf>
    <xf numFmtId="49" fontId="123" fillId="0" borderId="0" xfId="0" applyNumberFormat="1" applyFont="1" applyAlignment="1" applyProtection="1">
      <alignment horizontal="center"/>
      <protection locked="0"/>
    </xf>
    <xf numFmtId="49" fontId="141" fillId="6" borderId="2"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right"/>
      <protection locked="0"/>
    </xf>
    <xf numFmtId="49" fontId="141" fillId="6" borderId="103" xfId="0" applyNumberFormat="1" applyFont="1" applyFill="1" applyBorder="1" applyAlignment="1" applyProtection="1">
      <alignment horizontal="left"/>
      <protection locked="0"/>
    </xf>
    <xf numFmtId="49" fontId="152" fillId="6" borderId="103" xfId="0" applyNumberFormat="1" applyFont="1" applyFill="1" applyBorder="1" applyAlignment="1" applyProtection="1">
      <alignment horizontal="center"/>
      <protection locked="0"/>
    </xf>
    <xf numFmtId="49" fontId="141" fillId="6" borderId="5" xfId="0" applyNumberFormat="1" applyFont="1" applyFill="1" applyBorder="1" applyAlignment="1" applyProtection="1">
      <alignment horizontal="left"/>
      <protection locked="0"/>
    </xf>
    <xf numFmtId="49" fontId="141" fillId="6" borderId="3"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right"/>
      <protection locked="0"/>
    </xf>
    <xf numFmtId="49" fontId="141" fillId="6" borderId="360" xfId="0" applyNumberFormat="1" applyFont="1" applyFill="1" applyBorder="1" applyAlignment="1" applyProtection="1">
      <alignment horizontal="left"/>
      <protection locked="0"/>
    </xf>
    <xf numFmtId="49" fontId="152" fillId="6" borderId="360" xfId="0" applyNumberFormat="1" applyFont="1" applyFill="1" applyBorder="1" applyAlignment="1" applyProtection="1">
      <alignment horizontal="center"/>
      <protection locked="0"/>
    </xf>
    <xf numFmtId="49" fontId="141" fillId="6" borderId="6" xfId="0" applyNumberFormat="1" applyFont="1" applyFill="1" applyBorder="1" applyAlignment="1" applyProtection="1">
      <alignment horizontal="left"/>
      <protection locked="0"/>
    </xf>
    <xf numFmtId="0" fontId="3" fillId="2" borderId="0" xfId="0" quotePrefix="1" applyFont="1" applyFill="1" applyProtection="1">
      <protection hidden="1"/>
    </xf>
    <xf numFmtId="0" fontId="72" fillId="0" borderId="62" xfId="0" applyFont="1" applyBorder="1" applyAlignment="1">
      <alignment horizontal="center" vertical="center" wrapText="1"/>
    </xf>
    <xf numFmtId="0" fontId="72" fillId="0" borderId="331" xfId="0" applyFont="1" applyBorder="1" applyAlignment="1">
      <alignment horizontal="center" vertical="center" wrapText="1"/>
    </xf>
    <xf numFmtId="0" fontId="4" fillId="2" borderId="206" xfId="0" applyFont="1" applyFill="1" applyBorder="1"/>
    <xf numFmtId="0" fontId="4" fillId="2" borderId="109" xfId="0" applyFont="1" applyFill="1" applyBorder="1"/>
    <xf numFmtId="0" fontId="146" fillId="2" borderId="109" xfId="0" applyFont="1" applyFill="1" applyBorder="1" applyAlignment="1">
      <alignment horizontal="center" vertical="center"/>
    </xf>
    <xf numFmtId="0" fontId="146" fillId="2" borderId="109" xfId="0" applyFont="1" applyFill="1" applyBorder="1"/>
    <xf numFmtId="0" fontId="11" fillId="2" borderId="109" xfId="0" applyFont="1" applyFill="1" applyBorder="1" applyAlignment="1">
      <alignment horizontal="center" vertical="center"/>
    </xf>
    <xf numFmtId="0" fontId="70" fillId="2" borderId="109" xfId="0" applyFont="1" applyFill="1" applyBorder="1" applyAlignment="1">
      <alignment horizontal="center"/>
    </xf>
    <xf numFmtId="3" fontId="64" fillId="2" borderId="109" xfId="0" applyNumberFormat="1" applyFont="1" applyFill="1" applyBorder="1" applyAlignment="1">
      <alignment horizontal="center"/>
    </xf>
    <xf numFmtId="0" fontId="48" fillId="2" borderId="109" xfId="0" applyFont="1" applyFill="1" applyBorder="1"/>
    <xf numFmtId="0" fontId="15" fillId="2" borderId="109" xfId="0" applyFont="1" applyFill="1" applyBorder="1" applyAlignment="1">
      <alignment horizontal="center" vertical="center"/>
    </xf>
    <xf numFmtId="0" fontId="28" fillId="2" borderId="109" xfId="0" applyFont="1" applyFill="1" applyBorder="1" applyAlignment="1">
      <alignment horizontal="right"/>
    </xf>
    <xf numFmtId="2" fontId="82" fillId="2" borderId="109" xfId="0" applyNumberFormat="1" applyFont="1" applyFill="1" applyBorder="1" applyProtection="1">
      <protection hidden="1"/>
    </xf>
    <xf numFmtId="0" fontId="73" fillId="0" borderId="16" xfId="0" applyFont="1" applyBorder="1"/>
    <xf numFmtId="172" fontId="118" fillId="0" borderId="145" xfId="0" applyNumberFormat="1" applyFont="1" applyBorder="1" applyAlignment="1" applyProtection="1">
      <alignment horizontal="center" vertical="center"/>
      <protection locked="0"/>
    </xf>
    <xf numFmtId="172" fontId="118" fillId="0" borderId="147" xfId="0" applyNumberFormat="1" applyFont="1" applyBorder="1" applyAlignment="1" applyProtection="1">
      <alignment horizontal="center" vertical="center"/>
      <protection locked="0"/>
    </xf>
    <xf numFmtId="172" fontId="118" fillId="0" borderId="175" xfId="0" applyNumberFormat="1" applyFont="1" applyBorder="1" applyAlignment="1" applyProtection="1">
      <alignment horizontal="center" vertical="center"/>
      <protection locked="0"/>
    </xf>
    <xf numFmtId="172" fontId="118" fillId="0" borderId="105" xfId="0" applyNumberFormat="1" applyFont="1" applyBorder="1" applyAlignment="1" applyProtection="1">
      <alignment horizontal="center" vertical="center"/>
      <protection locked="0"/>
    </xf>
    <xf numFmtId="172" fontId="118" fillId="0" borderId="163" xfId="0" applyNumberFormat="1" applyFont="1" applyBorder="1" applyAlignment="1" applyProtection="1">
      <alignment horizontal="center" vertical="center"/>
      <protection locked="0"/>
    </xf>
    <xf numFmtId="172" fontId="118" fillId="0" borderId="176" xfId="0" applyNumberFormat="1" applyFont="1" applyBorder="1" applyAlignment="1" applyProtection="1">
      <alignment horizontal="center" vertical="center"/>
      <protection locked="0"/>
    </xf>
    <xf numFmtId="172" fontId="118" fillId="0" borderId="177" xfId="0" applyNumberFormat="1" applyFont="1" applyBorder="1" applyAlignment="1" applyProtection="1">
      <alignment horizontal="center" vertical="center"/>
      <protection locked="0"/>
    </xf>
    <xf numFmtId="0" fontId="117" fillId="8" borderId="185" xfId="0" applyFont="1" applyFill="1" applyBorder="1" applyAlignment="1">
      <alignment horizontal="left"/>
    </xf>
    <xf numFmtId="0" fontId="117" fillId="8" borderId="186" xfId="0" applyFont="1" applyFill="1" applyBorder="1" applyAlignment="1">
      <alignment horizontal="left"/>
    </xf>
    <xf numFmtId="0" fontId="117" fillId="8" borderId="155" xfId="0" applyFont="1" applyFill="1" applyBorder="1" applyAlignment="1">
      <alignment horizontal="left"/>
    </xf>
    <xf numFmtId="0" fontId="117" fillId="8" borderId="2" xfId="0" applyFont="1" applyFill="1" applyBorder="1" applyAlignment="1">
      <alignment horizontal="left"/>
    </xf>
    <xf numFmtId="0" fontId="117" fillId="8" borderId="103" xfId="0" applyFont="1" applyFill="1" applyBorder="1" applyAlignment="1">
      <alignment horizontal="left"/>
    </xf>
    <xf numFmtId="0" fontId="117" fillId="8" borderId="163" xfId="0" applyFont="1" applyFill="1" applyBorder="1" applyAlignment="1">
      <alignment horizontal="left"/>
    </xf>
    <xf numFmtId="0" fontId="117" fillId="8" borderId="194" xfId="0" applyFont="1" applyFill="1" applyBorder="1" applyAlignment="1">
      <alignment horizontal="left"/>
    </xf>
    <xf numFmtId="0" fontId="117" fillId="8" borderId="177" xfId="0" applyFont="1" applyFill="1" applyBorder="1" applyAlignment="1">
      <alignment horizontal="left"/>
    </xf>
    <xf numFmtId="0" fontId="117" fillId="8" borderId="153" xfId="0" applyFont="1" applyFill="1" applyBorder="1" applyAlignment="1">
      <alignment horizontal="center"/>
    </xf>
    <xf numFmtId="0" fontId="117" fillId="8" borderId="162" xfId="0" applyFont="1" applyFill="1" applyBorder="1" applyAlignment="1">
      <alignment horizontal="center"/>
    </xf>
    <xf numFmtId="0" fontId="117" fillId="8" borderId="174" xfId="0" applyFont="1" applyFill="1" applyBorder="1" applyAlignment="1">
      <alignment horizontal="center"/>
    </xf>
    <xf numFmtId="186" fontId="135" fillId="8" borderId="180" xfId="0" applyNumberFormat="1" applyFont="1" applyFill="1" applyBorder="1" applyAlignment="1" applyProtection="1">
      <alignment horizontal="center" vertical="center"/>
      <protection hidden="1"/>
    </xf>
    <xf numFmtId="186" fontId="135" fillId="8" borderId="157" xfId="0" applyNumberFormat="1" applyFont="1" applyFill="1" applyBorder="1" applyAlignment="1" applyProtection="1">
      <alignment horizontal="center" vertical="center"/>
      <protection hidden="1"/>
    </xf>
    <xf numFmtId="166" fontId="135" fillId="8" borderId="180" xfId="0" applyNumberFormat="1" applyFont="1" applyFill="1" applyBorder="1" applyAlignment="1">
      <alignment horizontal="center"/>
    </xf>
    <xf numFmtId="166" fontId="135" fillId="8" borderId="181" xfId="0" applyNumberFormat="1" applyFont="1" applyFill="1" applyBorder="1" applyAlignment="1">
      <alignment horizontal="center"/>
    </xf>
    <xf numFmtId="186" fontId="135" fillId="8" borderId="166" xfId="0" applyNumberFormat="1" applyFont="1" applyFill="1" applyBorder="1" applyAlignment="1" applyProtection="1">
      <alignment horizontal="center" vertical="center"/>
      <protection hidden="1"/>
    </xf>
    <xf numFmtId="186" fontId="135" fillId="8" borderId="165" xfId="0" applyNumberFormat="1" applyFont="1" applyFill="1" applyBorder="1" applyAlignment="1" applyProtection="1">
      <alignment horizontal="center" vertical="center"/>
      <protection hidden="1"/>
    </xf>
    <xf numFmtId="166" fontId="135" fillId="8" borderId="166" xfId="0" applyNumberFormat="1" applyFont="1" applyFill="1" applyBorder="1" applyAlignment="1">
      <alignment horizontal="center"/>
    </xf>
    <xf numFmtId="166" fontId="135" fillId="8" borderId="187" xfId="0" applyNumberFormat="1" applyFont="1" applyFill="1" applyBorder="1" applyAlignment="1">
      <alignment horizontal="center"/>
    </xf>
    <xf numFmtId="186" fontId="135" fillId="8" borderId="167" xfId="0" applyNumberFormat="1" applyFont="1" applyFill="1" applyBorder="1" applyAlignment="1" applyProtection="1">
      <alignment horizontal="center" vertical="center"/>
      <protection hidden="1"/>
    </xf>
    <xf numFmtId="186" fontId="135" fillId="8" borderId="179" xfId="0" applyNumberFormat="1" applyFont="1" applyFill="1" applyBorder="1" applyAlignment="1" applyProtection="1">
      <alignment horizontal="center" vertical="center"/>
      <protection hidden="1"/>
    </xf>
    <xf numFmtId="166" fontId="135" fillId="8" borderId="167" xfId="0" applyNumberFormat="1" applyFont="1" applyFill="1" applyBorder="1" applyAlignment="1">
      <alignment horizontal="center"/>
    </xf>
    <xf numFmtId="166" fontId="135" fillId="8" borderId="189" xfId="0" applyNumberFormat="1" applyFont="1" applyFill="1" applyBorder="1" applyAlignment="1">
      <alignment horizontal="center"/>
    </xf>
    <xf numFmtId="0" fontId="118" fillId="0" borderId="124" xfId="0" applyFont="1" applyBorder="1" applyAlignment="1" applyProtection="1">
      <alignment horizontal="center" vertical="center"/>
      <protection locked="0"/>
    </xf>
    <xf numFmtId="0" fontId="118" fillId="0" borderId="103" xfId="0" applyFont="1" applyBorder="1" applyAlignment="1" applyProtection="1">
      <alignment horizontal="center" vertical="center"/>
      <protection locked="0"/>
    </xf>
    <xf numFmtId="0" fontId="118" fillId="0" borderId="104" xfId="0" applyFont="1" applyBorder="1" applyAlignment="1" applyProtection="1">
      <alignment horizontal="center" vertical="center"/>
      <protection locked="0"/>
    </xf>
    <xf numFmtId="0" fontId="118" fillId="0" borderId="106" xfId="0" applyFont="1" applyBorder="1" applyAlignment="1" applyProtection="1">
      <alignment horizontal="center" vertical="center"/>
      <protection locked="0"/>
    </xf>
    <xf numFmtId="0" fontId="118" fillId="0" borderId="105" xfId="0" applyFont="1" applyBorder="1" applyAlignment="1" applyProtection="1">
      <alignment horizontal="center" vertical="center"/>
      <protection locked="0"/>
    </xf>
    <xf numFmtId="171" fontId="118" fillId="0" borderId="104" xfId="0" applyNumberFormat="1" applyFont="1" applyBorder="1" applyAlignment="1" applyProtection="1">
      <alignment horizontal="center" vertical="center"/>
      <protection locked="0"/>
    </xf>
    <xf numFmtId="183" fontId="118" fillId="0" borderId="307" xfId="0" applyNumberFormat="1" applyFont="1" applyBorder="1" applyAlignment="1" applyProtection="1">
      <alignment horizontal="right" vertical="center"/>
      <protection locked="0"/>
    </xf>
    <xf numFmtId="171" fontId="118" fillId="0" borderId="158" xfId="0" applyNumberFormat="1" applyFont="1" applyBorder="1" applyAlignment="1" applyProtection="1">
      <alignment horizontal="left" vertical="center"/>
      <protection locked="0"/>
    </xf>
    <xf numFmtId="186" fontId="118" fillId="0" borderId="105" xfId="0" applyNumberFormat="1" applyFont="1" applyBorder="1" applyAlignment="1" applyProtection="1">
      <alignment horizontal="center" vertical="center"/>
      <protection locked="0"/>
    </xf>
    <xf numFmtId="186" fontId="118" fillId="0" borderId="103" xfId="0" applyNumberFormat="1" applyFont="1" applyBorder="1" applyAlignment="1" applyProtection="1">
      <alignment horizontal="center" vertical="center"/>
      <protection locked="0"/>
    </xf>
    <xf numFmtId="186" fontId="118" fillId="0" borderId="106" xfId="0" applyNumberFormat="1" applyFont="1" applyBorder="1" applyAlignment="1" applyProtection="1">
      <alignment horizontal="center" vertical="center"/>
      <protection locked="0"/>
    </xf>
    <xf numFmtId="0" fontId="118" fillId="0" borderId="159" xfId="0" applyFont="1" applyBorder="1" applyAlignment="1" applyProtection="1">
      <alignment horizontal="left" vertical="center"/>
      <protection locked="0"/>
    </xf>
    <xf numFmtId="0" fontId="118" fillId="0" borderId="125" xfId="0" applyFont="1" applyBorder="1" applyAlignment="1" applyProtection="1">
      <alignment horizontal="center" vertical="center"/>
      <protection locked="0"/>
    </xf>
    <xf numFmtId="0" fontId="118" fillId="0" borderId="120" xfId="0" applyFont="1" applyBorder="1" applyAlignment="1" applyProtection="1">
      <alignment horizontal="center" vertical="center"/>
      <protection locked="0"/>
    </xf>
    <xf numFmtId="0" fontId="118" fillId="0" borderId="330" xfId="0" applyFont="1" applyBorder="1" applyAlignment="1" applyProtection="1">
      <alignment horizontal="center" vertical="center"/>
      <protection locked="0"/>
    </xf>
    <xf numFmtId="0" fontId="118" fillId="0" borderId="121" xfId="0" applyFont="1" applyBorder="1" applyAlignment="1" applyProtection="1">
      <alignment horizontal="center" vertical="center"/>
      <protection locked="0"/>
    </xf>
    <xf numFmtId="171" fontId="118" fillId="0" borderId="121" xfId="0" applyNumberFormat="1" applyFont="1" applyBorder="1" applyAlignment="1" applyProtection="1">
      <alignment horizontal="center" vertical="center"/>
      <protection locked="0"/>
    </xf>
    <xf numFmtId="0" fontId="118" fillId="0" borderId="324" xfId="0" applyFont="1" applyBorder="1" applyAlignment="1" applyProtection="1">
      <alignment horizontal="center" vertical="center"/>
      <protection locked="0"/>
    </xf>
    <xf numFmtId="171" fontId="118" fillId="0" borderId="330" xfId="0" applyNumberFormat="1" applyFont="1" applyBorder="1" applyAlignment="1" applyProtection="1">
      <alignment horizontal="center" vertical="center"/>
      <protection locked="0"/>
    </xf>
    <xf numFmtId="183" fontId="118" fillId="0" borderId="309" xfId="0" applyNumberFormat="1" applyFont="1" applyBorder="1" applyAlignment="1" applyProtection="1">
      <alignment horizontal="right" vertical="center"/>
      <protection locked="0"/>
    </xf>
    <xf numFmtId="171" fontId="118" fillId="0" borderId="308" xfId="0" applyNumberFormat="1" applyFont="1" applyBorder="1" applyAlignment="1" applyProtection="1">
      <alignment horizontal="left" vertical="center"/>
      <protection locked="0"/>
    </xf>
    <xf numFmtId="186" fontId="118" fillId="0" borderId="324" xfId="0" applyNumberFormat="1" applyFont="1" applyBorder="1" applyAlignment="1" applyProtection="1">
      <alignment horizontal="center" vertical="center"/>
      <protection locked="0"/>
    </xf>
    <xf numFmtId="186" fontId="118" fillId="0" borderId="120" xfId="0" applyNumberFormat="1" applyFont="1" applyBorder="1" applyAlignment="1" applyProtection="1">
      <alignment horizontal="center" vertical="center"/>
      <protection locked="0"/>
    </xf>
    <xf numFmtId="186" fontId="118" fillId="0" borderId="121" xfId="0" applyNumberFormat="1" applyFont="1" applyBorder="1" applyAlignment="1" applyProtection="1">
      <alignment horizontal="center" vertical="center"/>
      <protection locked="0"/>
    </xf>
    <xf numFmtId="0" fontId="118" fillId="0" borderId="312" xfId="0" applyFont="1" applyBorder="1" applyAlignment="1" applyProtection="1">
      <alignment horizontal="left" vertical="center"/>
      <protection locked="0"/>
    </xf>
    <xf numFmtId="0" fontId="118" fillId="0" borderId="328" xfId="0" applyFont="1" applyBorder="1" applyAlignment="1" applyProtection="1">
      <alignment horizontal="center" vertical="center"/>
      <protection locked="0"/>
    </xf>
    <xf numFmtId="0" fontId="118" fillId="0" borderId="123" xfId="0" applyFont="1" applyBorder="1" applyAlignment="1" applyProtection="1">
      <alignment horizontal="center" vertical="center"/>
      <protection locked="0"/>
    </xf>
    <xf numFmtId="0" fontId="118" fillId="0" borderId="326" xfId="0" applyFont="1" applyBorder="1" applyAlignment="1" applyProtection="1">
      <alignment horizontal="center" vertical="center"/>
      <protection locked="0"/>
    </xf>
    <xf numFmtId="0" fontId="118" fillId="0" borderId="329" xfId="0" applyFont="1" applyBorder="1" applyAlignment="1" applyProtection="1">
      <alignment horizontal="center" vertical="center"/>
      <protection locked="0"/>
    </xf>
    <xf numFmtId="171" fontId="118" fillId="0" borderId="329" xfId="0" applyNumberFormat="1" applyFont="1" applyBorder="1" applyAlignment="1" applyProtection="1">
      <alignment horizontal="center" vertical="center"/>
      <protection locked="0"/>
    </xf>
    <xf numFmtId="0" fontId="118" fillId="0" borderId="327" xfId="0" applyFont="1" applyBorder="1" applyAlignment="1" applyProtection="1">
      <alignment horizontal="center" vertical="center"/>
      <protection locked="0"/>
    </xf>
    <xf numFmtId="171" fontId="118" fillId="0" borderId="326" xfId="0" applyNumberFormat="1" applyFont="1" applyBorder="1" applyAlignment="1" applyProtection="1">
      <alignment horizontal="center" vertical="center"/>
      <protection locked="0"/>
    </xf>
    <xf numFmtId="183" fontId="118" fillId="0" borderId="335" xfId="0" applyNumberFormat="1" applyFont="1" applyBorder="1" applyAlignment="1" applyProtection="1">
      <alignment horizontal="right" vertical="center"/>
      <protection locked="0"/>
    </xf>
    <xf numFmtId="171" fontId="118" fillId="0" borderId="336" xfId="0" applyNumberFormat="1" applyFont="1" applyBorder="1" applyAlignment="1" applyProtection="1">
      <alignment horizontal="left" vertical="center"/>
      <protection locked="0"/>
    </xf>
    <xf numFmtId="186" fontId="118" fillId="0" borderId="327" xfId="0" applyNumberFormat="1" applyFont="1" applyBorder="1" applyAlignment="1" applyProtection="1">
      <alignment horizontal="center" vertical="center"/>
      <protection locked="0"/>
    </xf>
    <xf numFmtId="186" fontId="118" fillId="0" borderId="123" xfId="0" applyNumberFormat="1" applyFont="1" applyBorder="1" applyAlignment="1" applyProtection="1">
      <alignment horizontal="center" vertical="center"/>
      <protection locked="0"/>
    </xf>
    <xf numFmtId="186" fontId="118" fillId="0" borderId="326" xfId="0" applyNumberFormat="1" applyFont="1" applyBorder="1" applyAlignment="1" applyProtection="1">
      <alignment horizontal="center" vertical="center"/>
      <protection locked="0"/>
    </xf>
    <xf numFmtId="0" fontId="118" fillId="0" borderId="334" xfId="0" applyFont="1" applyBorder="1" applyAlignment="1" applyProtection="1">
      <alignment horizontal="left" vertical="center"/>
      <protection locked="0"/>
    </xf>
    <xf numFmtId="186" fontId="118" fillId="0" borderId="104" xfId="0" applyNumberFormat="1" applyFont="1" applyBorder="1" applyAlignment="1" applyProtection="1">
      <alignment horizontal="center" vertical="center"/>
      <protection locked="0"/>
    </xf>
    <xf numFmtId="186" fontId="118" fillId="0" borderId="330" xfId="0" applyNumberFormat="1" applyFont="1" applyBorder="1" applyAlignment="1" applyProtection="1">
      <alignment horizontal="center" vertical="center"/>
      <protection locked="0"/>
    </xf>
    <xf numFmtId="49" fontId="119" fillId="0" borderId="325" xfId="0" applyNumberFormat="1" applyFont="1" applyBorder="1" applyAlignment="1" applyProtection="1">
      <alignment horizontal="center" vertical="center"/>
      <protection locked="0"/>
    </xf>
    <xf numFmtId="1" fontId="119" fillId="0" borderId="222" xfId="0" applyNumberFormat="1" applyFont="1" applyBorder="1" applyAlignment="1" applyProtection="1">
      <alignment horizontal="center" vertical="center"/>
      <protection locked="0"/>
    </xf>
    <xf numFmtId="1" fontId="119" fillId="0" borderId="219" xfId="0" applyNumberFormat="1" applyFont="1" applyBorder="1" applyAlignment="1" applyProtection="1">
      <alignment horizontal="center" vertical="center"/>
      <protection locked="0"/>
    </xf>
    <xf numFmtId="1" fontId="119" fillId="0" borderId="288" xfId="0" applyNumberFormat="1" applyFont="1" applyBorder="1" applyAlignment="1" applyProtection="1">
      <alignment horizontal="center" vertical="center"/>
      <protection locked="0"/>
    </xf>
    <xf numFmtId="49" fontId="119" fillId="0" borderId="159" xfId="0" applyNumberFormat="1" applyFont="1" applyBorder="1" applyAlignment="1" applyProtection="1">
      <alignment horizontal="center" vertical="center"/>
      <protection locked="0"/>
    </xf>
    <xf numFmtId="1" fontId="119" fillId="0" borderId="105" xfId="0" applyNumberFormat="1" applyFont="1" applyBorder="1" applyAlignment="1" applyProtection="1">
      <alignment horizontal="center" vertical="center"/>
      <protection locked="0"/>
    </xf>
    <xf numFmtId="1" fontId="119" fillId="0" borderId="103" xfId="0" applyNumberFormat="1" applyFont="1" applyBorder="1" applyAlignment="1" applyProtection="1">
      <alignment horizontal="center" vertical="center"/>
      <protection locked="0"/>
    </xf>
    <xf numFmtId="1" fontId="119" fillId="0" borderId="106" xfId="0" applyNumberFormat="1" applyFont="1" applyBorder="1" applyAlignment="1" applyProtection="1">
      <alignment horizontal="center" vertical="center"/>
      <protection locked="0"/>
    </xf>
    <xf numFmtId="49" fontId="119" fillId="0" borderId="312" xfId="0" applyNumberFormat="1" applyFont="1" applyBorder="1" applyAlignment="1" applyProtection="1">
      <alignment horizontal="center" vertical="center"/>
      <protection locked="0"/>
    </xf>
    <xf numFmtId="1" fontId="119" fillId="0" borderId="324" xfId="0" applyNumberFormat="1" applyFont="1" applyBorder="1" applyAlignment="1" applyProtection="1">
      <alignment horizontal="center" vertical="center"/>
      <protection locked="0"/>
    </xf>
    <xf numFmtId="1" fontId="119" fillId="0" borderId="120" xfId="0" applyNumberFormat="1" applyFont="1" applyBorder="1" applyAlignment="1" applyProtection="1">
      <alignment horizontal="center" vertical="center"/>
      <protection locked="0"/>
    </xf>
    <xf numFmtId="1" fontId="119" fillId="0" borderId="121" xfId="0" applyNumberFormat="1" applyFont="1" applyBorder="1" applyAlignment="1" applyProtection="1">
      <alignment horizontal="center" vertical="center"/>
      <protection locked="0"/>
    </xf>
    <xf numFmtId="49" fontId="119" fillId="0" borderId="62" xfId="0" applyNumberFormat="1" applyFont="1" applyBorder="1" applyAlignment="1" applyProtection="1">
      <alignment horizontal="center" vertical="center"/>
      <protection locked="0"/>
    </xf>
    <xf numFmtId="49" fontId="119" fillId="0" borderId="82" xfId="0" applyNumberFormat="1" applyFont="1" applyBorder="1" applyAlignment="1" applyProtection="1">
      <alignment horizontal="center" vertical="center"/>
      <protection locked="0"/>
    </xf>
    <xf numFmtId="49" fontId="119" fillId="0" borderId="63" xfId="0" applyNumberFormat="1" applyFont="1" applyBorder="1" applyAlignment="1" applyProtection="1">
      <alignment horizontal="center" vertical="center"/>
      <protection locked="0"/>
    </xf>
    <xf numFmtId="49" fontId="118" fillId="0" borderId="289" xfId="0" applyNumberFormat="1" applyFont="1" applyBorder="1" applyAlignment="1" applyProtection="1">
      <alignment horizontal="center" vertical="center"/>
      <protection locked="0"/>
    </xf>
    <xf numFmtId="49" fontId="118" fillId="0" borderId="219" xfId="0" applyNumberFormat="1" applyFont="1" applyBorder="1" applyAlignment="1" applyProtection="1">
      <alignment horizontal="center" vertical="center"/>
      <protection locked="0"/>
    </xf>
    <xf numFmtId="1" fontId="118" fillId="0" borderId="289" xfId="0" applyNumberFormat="1" applyFont="1" applyBorder="1" applyAlignment="1" applyProtection="1">
      <alignment horizontal="center" vertical="center"/>
      <protection locked="0"/>
    </xf>
    <xf numFmtId="188" fontId="118" fillId="0" borderId="220" xfId="0" applyNumberFormat="1" applyFont="1" applyBorder="1" applyAlignment="1" applyProtection="1">
      <alignment horizontal="right" vertical="center"/>
      <protection locked="0"/>
    </xf>
    <xf numFmtId="186" fontId="118" fillId="0" borderId="346"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center" vertical="center"/>
      <protection locked="0"/>
    </xf>
    <xf numFmtId="49" fontId="115" fillId="0" borderId="325" xfId="0" applyNumberFormat="1" applyFont="1" applyBorder="1" applyAlignment="1" applyProtection="1">
      <alignment horizontal="center" vertical="center"/>
      <protection locked="0"/>
    </xf>
    <xf numFmtId="49" fontId="118" fillId="0" borderId="124" xfId="0" applyNumberFormat="1" applyFont="1" applyBorder="1" applyAlignment="1" applyProtection="1">
      <alignment horizontal="center" vertical="center"/>
      <protection locked="0"/>
    </xf>
    <xf numFmtId="49" fontId="118" fillId="0" borderId="103" xfId="0" applyNumberFormat="1" applyFont="1" applyBorder="1" applyAlignment="1" applyProtection="1">
      <alignment horizontal="center" vertical="center"/>
      <protection locked="0"/>
    </xf>
    <xf numFmtId="49" fontId="118" fillId="25" borderId="104" xfId="0" applyNumberFormat="1" applyFont="1" applyFill="1" applyBorder="1" applyAlignment="1" applyProtection="1">
      <alignment horizontal="center" vertical="center"/>
      <protection locked="0"/>
    </xf>
    <xf numFmtId="1" fontId="118" fillId="0" borderId="124" xfId="0" applyNumberFormat="1" applyFont="1" applyBorder="1" applyAlignment="1" applyProtection="1">
      <alignment horizontal="center" vertical="center"/>
      <protection locked="0"/>
    </xf>
    <xf numFmtId="188" fontId="118" fillId="0" borderId="104" xfId="0" applyNumberFormat="1" applyFont="1" applyBorder="1" applyAlignment="1" applyProtection="1">
      <alignment horizontal="right" vertical="center"/>
      <protection locked="0"/>
    </xf>
    <xf numFmtId="186" fontId="118" fillId="0" borderId="158" xfId="0" applyNumberFormat="1" applyFont="1" applyBorder="1" applyAlignment="1" applyProtection="1">
      <alignment horizontal="left" vertical="center"/>
      <protection locked="0"/>
    </xf>
    <xf numFmtId="49" fontId="118" fillId="0" borderId="159" xfId="0" applyNumberFormat="1" applyFont="1" applyBorder="1" applyAlignment="1" applyProtection="1">
      <alignment horizontal="center" vertical="center"/>
      <protection locked="0"/>
    </xf>
    <xf numFmtId="49" fontId="115" fillId="0" borderId="159" xfId="0" applyNumberFormat="1" applyFont="1" applyBorder="1" applyAlignment="1" applyProtection="1">
      <alignment horizontal="center" vertical="center"/>
      <protection locked="0"/>
    </xf>
    <xf numFmtId="49" fontId="118" fillId="0" borderId="159" xfId="2" applyNumberFormat="1" applyFont="1" applyBorder="1" applyAlignment="1" applyProtection="1">
      <alignment horizontal="left" vertical="center"/>
      <protection locked="0"/>
    </xf>
    <xf numFmtId="49" fontId="118" fillId="0" borderId="125" xfId="0" applyNumberFormat="1" applyFont="1" applyBorder="1" applyAlignment="1" applyProtection="1">
      <alignment horizontal="center" vertical="center"/>
      <protection locked="0"/>
    </xf>
    <xf numFmtId="49" fontId="118" fillId="0" borderId="120" xfId="0" applyNumberFormat="1" applyFont="1" applyBorder="1" applyAlignment="1" applyProtection="1">
      <alignment horizontal="center" vertical="center"/>
      <protection locked="0"/>
    </xf>
    <xf numFmtId="49" fontId="118" fillId="25" borderId="330" xfId="0" applyNumberFormat="1" applyFont="1" applyFill="1" applyBorder="1" applyAlignment="1" applyProtection="1">
      <alignment horizontal="center" vertical="center"/>
      <protection locked="0"/>
    </xf>
    <xf numFmtId="1" fontId="118" fillId="0" borderId="125" xfId="0" applyNumberFormat="1" applyFont="1" applyBorder="1" applyAlignment="1" applyProtection="1">
      <alignment horizontal="center" vertical="center"/>
      <protection locked="0"/>
    </xf>
    <xf numFmtId="188" fontId="118" fillId="0" borderId="330" xfId="0" applyNumberFormat="1" applyFont="1" applyBorder="1" applyAlignment="1" applyProtection="1">
      <alignment horizontal="right" vertical="center"/>
      <protection locked="0"/>
    </xf>
    <xf numFmtId="186" fontId="118" fillId="0" borderId="308"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center" vertical="center"/>
      <protection locked="0"/>
    </xf>
    <xf numFmtId="192" fontId="0" fillId="5" borderId="0" xfId="0" applyNumberFormat="1" applyFill="1" applyAlignment="1">
      <alignment horizontal="left" vertical="center"/>
    </xf>
    <xf numFmtId="0" fontId="24" fillId="2" borderId="0" xfId="0" applyFont="1" applyFill="1" applyAlignment="1">
      <alignment vertical="center"/>
    </xf>
    <xf numFmtId="0" fontId="24" fillId="2" borderId="0" xfId="0" applyFont="1" applyFill="1"/>
    <xf numFmtId="0" fontId="28" fillId="16" borderId="0" xfId="0" applyFont="1" applyFill="1" applyAlignment="1">
      <alignment horizontal="center"/>
    </xf>
    <xf numFmtId="49" fontId="48" fillId="2" borderId="0" xfId="0" applyNumberFormat="1" applyFont="1" applyFill="1" applyAlignment="1">
      <alignment vertical="center"/>
    </xf>
    <xf numFmtId="0" fontId="24" fillId="2" borderId="0" xfId="0" quotePrefix="1" applyFont="1" applyFill="1"/>
    <xf numFmtId="49" fontId="28" fillId="2" borderId="103" xfId="0" applyNumberFormat="1" applyFont="1" applyFill="1" applyBorder="1"/>
    <xf numFmtId="49" fontId="28" fillId="2" borderId="106" xfId="0" applyNumberFormat="1" applyFont="1" applyFill="1" applyBorder="1"/>
    <xf numFmtId="49" fontId="28" fillId="2" borderId="120" xfId="0" applyNumberFormat="1" applyFont="1" applyFill="1" applyBorder="1"/>
    <xf numFmtId="49" fontId="28" fillId="2" borderId="121" xfId="0" applyNumberFormat="1" applyFont="1" applyFill="1" applyBorder="1"/>
    <xf numFmtId="0" fontId="24" fillId="2" borderId="22" xfId="0" applyFont="1" applyFill="1" applyBorder="1" applyAlignment="1" applyProtection="1">
      <alignment horizontal="left"/>
      <protection locked="0"/>
    </xf>
    <xf numFmtId="0" fontId="24" fillId="15" borderId="12" xfId="0" applyFont="1" applyFill="1" applyBorder="1" applyAlignment="1">
      <alignment horizontal="center"/>
    </xf>
    <xf numFmtId="16" fontId="28" fillId="2" borderId="384" xfId="0" applyNumberFormat="1" applyFont="1" applyFill="1" applyBorder="1" applyAlignment="1">
      <alignment horizontal="center" vertical="center"/>
    </xf>
    <xf numFmtId="0" fontId="24" fillId="24" borderId="0" xfId="0" applyFont="1" applyFill="1"/>
    <xf numFmtId="0" fontId="118" fillId="0" borderId="181" xfId="0" applyFont="1" applyBorder="1" applyAlignment="1" applyProtection="1">
      <alignment horizontal="center" vertical="center"/>
      <protection locked="0"/>
    </xf>
    <xf numFmtId="175" fontId="118" fillId="0" borderId="144" xfId="0" applyNumberFormat="1" applyFont="1" applyBorder="1" applyAlignment="1" applyProtection="1">
      <alignment horizontal="right" vertical="center"/>
      <protection locked="0"/>
    </xf>
    <xf numFmtId="171" fontId="118" fillId="0" borderId="388" xfId="0" applyNumberFormat="1" applyFont="1" applyBorder="1" applyAlignment="1" applyProtection="1">
      <alignment horizontal="left" vertical="center"/>
      <protection locked="0"/>
    </xf>
    <xf numFmtId="171" fontId="124" fillId="0" borderId="183" xfId="0" applyNumberFormat="1" applyFont="1" applyBorder="1" applyAlignment="1" applyProtection="1">
      <alignment horizontal="center" vertical="center"/>
      <protection locked="0"/>
    </xf>
    <xf numFmtId="171" fontId="124" fillId="0" borderId="184" xfId="0" applyNumberFormat="1" applyFont="1" applyBorder="1" applyAlignment="1" applyProtection="1">
      <alignment horizontal="center" vertical="center"/>
      <protection locked="0"/>
    </xf>
    <xf numFmtId="49" fontId="124" fillId="0" borderId="180" xfId="0" applyNumberFormat="1" applyFont="1" applyBorder="1" applyAlignment="1" applyProtection="1">
      <alignment horizontal="left" vertical="center"/>
      <protection locked="0"/>
    </xf>
    <xf numFmtId="0" fontId="28" fillId="0" borderId="303" xfId="0" applyFont="1" applyBorder="1" applyAlignment="1">
      <alignment horizontal="center" vertical="center" wrapText="1"/>
    </xf>
    <xf numFmtId="0" fontId="28" fillId="0" borderId="319" xfId="0" applyFont="1" applyBorder="1" applyAlignment="1">
      <alignment horizontal="center" vertical="center"/>
    </xf>
    <xf numFmtId="0" fontId="47" fillId="0" borderId="390" xfId="0" applyFont="1" applyBorder="1" applyAlignment="1">
      <alignment horizontal="center" vertical="center"/>
    </xf>
    <xf numFmtId="0" fontId="28" fillId="0" borderId="390" xfId="0" applyFont="1" applyBorder="1" applyAlignment="1" applyProtection="1">
      <alignment horizontal="center" vertical="center" wrapText="1"/>
      <protection hidden="1"/>
    </xf>
    <xf numFmtId="186" fontId="118" fillId="0" borderId="149" xfId="0" applyNumberFormat="1" applyFont="1" applyBorder="1" applyAlignment="1" applyProtection="1">
      <alignment horizontal="center" vertical="center"/>
      <protection locked="0"/>
    </xf>
    <xf numFmtId="186" fontId="118" fillId="0" borderId="159" xfId="0" applyNumberFormat="1" applyFont="1" applyBorder="1" applyAlignment="1" applyProtection="1">
      <alignment horizontal="center" vertical="center"/>
      <protection locked="0"/>
    </xf>
    <xf numFmtId="186" fontId="118" fillId="0" borderId="170" xfId="0" applyNumberFormat="1" applyFont="1" applyBorder="1" applyAlignment="1" applyProtection="1">
      <alignment horizontal="center" vertical="center"/>
      <protection locked="0"/>
    </xf>
    <xf numFmtId="0" fontId="28" fillId="0" borderId="0" xfId="0" applyFont="1" applyAlignment="1">
      <alignment horizontal="center" vertical="center" wrapText="1"/>
    </xf>
    <xf numFmtId="0" fontId="28" fillId="0" borderId="29" xfId="0" applyFont="1" applyBorder="1" applyAlignment="1" applyProtection="1">
      <alignment horizontal="center" vertical="center" wrapText="1"/>
      <protection hidden="1"/>
    </xf>
    <xf numFmtId="0" fontId="0" fillId="0" borderId="0" xfId="0" applyAlignment="1">
      <alignment wrapText="1"/>
    </xf>
    <xf numFmtId="0" fontId="0" fillId="14" borderId="0" xfId="0" applyFill="1" applyAlignment="1">
      <alignment horizontal="centerContinuous" wrapText="1"/>
    </xf>
    <xf numFmtId="0" fontId="0" fillId="14" borderId="119" xfId="0" applyFill="1" applyBorder="1" applyAlignment="1">
      <alignment horizontal="centerContinuous" wrapText="1"/>
    </xf>
    <xf numFmtId="186" fontId="124" fillId="0" borderId="180" xfId="0" applyNumberFormat="1" applyFont="1" applyBorder="1" applyAlignment="1" applyProtection="1">
      <alignment horizontal="center" vertical="center"/>
      <protection locked="0"/>
    </xf>
    <xf numFmtId="186" fontId="124" fillId="0" borderId="149" xfId="0" applyNumberFormat="1" applyFont="1" applyBorder="1" applyAlignment="1" applyProtection="1">
      <alignment horizontal="center" vertical="center"/>
      <protection locked="0"/>
    </xf>
    <xf numFmtId="171" fontId="124" fillId="0" borderId="157" xfId="0" applyNumberFormat="1" applyFont="1" applyBorder="1" applyAlignment="1" applyProtection="1">
      <alignment horizontal="center" vertical="center"/>
      <protection locked="0"/>
    </xf>
    <xf numFmtId="186" fontId="124" fillId="0" borderId="166" xfId="0" applyNumberFormat="1" applyFont="1" applyBorder="1" applyAlignment="1" applyProtection="1">
      <alignment horizontal="center" vertical="center"/>
      <protection locked="0"/>
    </xf>
    <xf numFmtId="186" fontId="124" fillId="0" borderId="159" xfId="0" applyNumberFormat="1" applyFont="1" applyBorder="1" applyAlignment="1" applyProtection="1">
      <alignment horizontal="center" vertical="center"/>
      <protection locked="0"/>
    </xf>
    <xf numFmtId="171" fontId="124" fillId="0" borderId="165" xfId="0" applyNumberFormat="1" applyFont="1" applyBorder="1" applyAlignment="1" applyProtection="1">
      <alignment horizontal="center" vertical="center"/>
      <protection locked="0"/>
    </xf>
    <xf numFmtId="186" fontId="124" fillId="0" borderId="167" xfId="0" applyNumberFormat="1" applyFont="1" applyBorder="1" applyAlignment="1" applyProtection="1">
      <alignment horizontal="center" vertical="center"/>
      <protection locked="0"/>
    </xf>
    <xf numFmtId="186" fontId="124" fillId="0" borderId="170" xfId="0" applyNumberFormat="1" applyFont="1" applyBorder="1" applyAlignment="1" applyProtection="1">
      <alignment horizontal="center" vertical="center"/>
      <protection locked="0"/>
    </xf>
    <xf numFmtId="171" fontId="124" fillId="0" borderId="179" xfId="0" applyNumberFormat="1" applyFont="1" applyBorder="1" applyAlignment="1" applyProtection="1">
      <alignment horizontal="center" vertical="center"/>
      <protection locked="0"/>
    </xf>
    <xf numFmtId="2" fontId="124" fillId="0" borderId="149" xfId="0" applyNumberFormat="1" applyFont="1" applyBorder="1" applyAlignment="1" applyProtection="1">
      <alignment horizontal="center" vertical="center"/>
      <protection locked="0"/>
    </xf>
    <xf numFmtId="166" fontId="124" fillId="0" borderId="149" xfId="0" applyNumberFormat="1" applyFont="1" applyBorder="1" applyAlignment="1" applyProtection="1">
      <alignment horizontal="center" vertical="center"/>
      <protection locked="0"/>
    </xf>
    <xf numFmtId="2" fontId="124" fillId="0" borderId="159" xfId="0" applyNumberFormat="1" applyFont="1" applyBorder="1" applyAlignment="1" applyProtection="1">
      <alignment horizontal="center" vertical="center"/>
      <protection locked="0"/>
    </xf>
    <xf numFmtId="166" fontId="124" fillId="0" borderId="159" xfId="0" applyNumberFormat="1" applyFont="1" applyBorder="1" applyAlignment="1" applyProtection="1">
      <alignment horizontal="center" vertical="center"/>
      <protection locked="0"/>
    </xf>
    <xf numFmtId="2" fontId="124" fillId="0" borderId="170" xfId="0" applyNumberFormat="1" applyFont="1" applyBorder="1" applyAlignment="1" applyProtection="1">
      <alignment horizontal="center" vertical="center"/>
      <protection locked="0"/>
    </xf>
    <xf numFmtId="166" fontId="124" fillId="0" borderId="170" xfId="0" applyNumberFormat="1" applyFont="1" applyBorder="1" applyAlignment="1" applyProtection="1">
      <alignment horizontal="center" vertical="center"/>
      <protection locked="0"/>
    </xf>
    <xf numFmtId="2" fontId="124" fillId="0" borderId="152" xfId="0" applyNumberFormat="1" applyFont="1" applyBorder="1" applyAlignment="1" applyProtection="1">
      <alignment horizontal="center" vertical="center"/>
      <protection locked="0"/>
    </xf>
    <xf numFmtId="2" fontId="124" fillId="0" borderId="161" xfId="0" applyNumberFormat="1" applyFont="1" applyBorder="1" applyAlignment="1" applyProtection="1">
      <alignment horizontal="center" vertical="center"/>
      <protection locked="0"/>
    </xf>
    <xf numFmtId="2" fontId="124" fillId="0" borderId="173" xfId="0" applyNumberFormat="1" applyFont="1" applyBorder="1" applyAlignment="1" applyProtection="1">
      <alignment horizontal="center" vertical="center"/>
      <protection locked="0"/>
    </xf>
    <xf numFmtId="0" fontId="4" fillId="14" borderId="0" xfId="0" applyFont="1" applyFill="1" applyProtection="1">
      <protection hidden="1"/>
    </xf>
    <xf numFmtId="186" fontId="118" fillId="0" borderId="411" xfId="0" applyNumberFormat="1" applyFont="1" applyBorder="1" applyAlignment="1" applyProtection="1">
      <alignment horizontal="center" vertical="center"/>
      <protection locked="0"/>
    </xf>
    <xf numFmtId="186" fontId="118" fillId="0" borderId="412" xfId="0" applyNumberFormat="1" applyFont="1" applyBorder="1" applyAlignment="1" applyProtection="1">
      <alignment horizontal="center" vertical="center"/>
      <protection locked="0"/>
    </xf>
    <xf numFmtId="171" fontId="118" fillId="0" borderId="413" xfId="0" applyNumberFormat="1" applyFont="1" applyBorder="1" applyAlignment="1" applyProtection="1">
      <alignment horizontal="center" vertical="center"/>
      <protection locked="0"/>
    </xf>
    <xf numFmtId="0" fontId="47" fillId="0" borderId="140" xfId="0" applyFont="1" applyBorder="1" applyAlignment="1" applyProtection="1">
      <alignment horizontal="center"/>
      <protection hidden="1"/>
    </xf>
    <xf numFmtId="0" fontId="47" fillId="0" borderId="141" xfId="0" applyFont="1" applyBorder="1" applyAlignment="1" applyProtection="1">
      <alignment horizontal="center"/>
      <protection hidden="1"/>
    </xf>
    <xf numFmtId="186" fontId="117" fillId="8" borderId="180" xfId="0" applyNumberFormat="1" applyFont="1" applyFill="1" applyBorder="1" applyAlignment="1">
      <alignment horizontal="center" vertical="center"/>
    </xf>
    <xf numFmtId="186" fontId="117" fillId="8" borderId="157" xfId="0" applyNumberFormat="1" applyFont="1" applyFill="1" applyBorder="1" applyAlignment="1">
      <alignment horizontal="center" vertical="center"/>
    </xf>
    <xf numFmtId="166" fontId="158" fillId="8" borderId="180" xfId="0" applyNumberFormat="1" applyFont="1" applyFill="1" applyBorder="1" applyAlignment="1">
      <alignment horizontal="center"/>
    </xf>
    <xf numFmtId="166" fontId="158" fillId="8" borderId="181" xfId="0" applyNumberFormat="1" applyFont="1" applyFill="1" applyBorder="1" applyAlignment="1">
      <alignment horizontal="center"/>
    </xf>
    <xf numFmtId="186" fontId="117" fillId="8" borderId="166" xfId="0" applyNumberFormat="1" applyFont="1" applyFill="1" applyBorder="1" applyAlignment="1">
      <alignment horizontal="center" vertical="center"/>
    </xf>
    <xf numFmtId="186" fontId="117" fillId="8" borderId="165" xfId="0" applyNumberFormat="1" applyFont="1" applyFill="1" applyBorder="1" applyAlignment="1">
      <alignment horizontal="center" vertical="center"/>
    </xf>
    <xf numFmtId="166" fontId="158" fillId="8" borderId="166" xfId="0" applyNumberFormat="1" applyFont="1" applyFill="1" applyBorder="1" applyAlignment="1">
      <alignment horizontal="center"/>
    </xf>
    <xf numFmtId="166" fontId="158" fillId="8" borderId="187" xfId="0" applyNumberFormat="1" applyFont="1" applyFill="1" applyBorder="1" applyAlignment="1">
      <alignment horizontal="center"/>
    </xf>
    <xf numFmtId="186" fontId="159" fillId="8" borderId="166" xfId="0" applyNumberFormat="1" applyFont="1" applyFill="1" applyBorder="1" applyAlignment="1">
      <alignment horizontal="center" vertical="center"/>
    </xf>
    <xf numFmtId="186" fontId="159" fillId="8" borderId="165" xfId="0" applyNumberFormat="1" applyFont="1" applyFill="1" applyBorder="1" applyAlignment="1">
      <alignment horizontal="center" vertical="center"/>
    </xf>
    <xf numFmtId="186" fontId="117" fillId="8" borderId="167" xfId="0" applyNumberFormat="1" applyFont="1" applyFill="1" applyBorder="1" applyAlignment="1">
      <alignment horizontal="center" vertical="center"/>
    </xf>
    <xf numFmtId="186" fontId="117" fillId="8" borderId="179" xfId="0" applyNumberFormat="1" applyFont="1" applyFill="1" applyBorder="1" applyAlignment="1">
      <alignment horizontal="center" vertical="center"/>
    </xf>
    <xf numFmtId="166" fontId="158" fillId="8" borderId="167" xfId="0" applyNumberFormat="1" applyFont="1" applyFill="1" applyBorder="1" applyAlignment="1">
      <alignment horizontal="center"/>
    </xf>
    <xf numFmtId="166" fontId="158" fillId="8" borderId="189" xfId="0" applyNumberFormat="1" applyFont="1" applyFill="1" applyBorder="1" applyAlignment="1">
      <alignment horizontal="center"/>
    </xf>
    <xf numFmtId="1" fontId="124" fillId="0" borderId="152" xfId="0" applyNumberFormat="1" applyFont="1" applyBorder="1" applyAlignment="1" applyProtection="1">
      <alignment horizontal="center" vertical="center"/>
      <protection locked="0"/>
    </xf>
    <xf numFmtId="171" fontId="124" fillId="0" borderId="152" xfId="0" applyNumberFormat="1" applyFont="1" applyBorder="1" applyAlignment="1" applyProtection="1">
      <alignment horizontal="center" vertical="center"/>
      <protection locked="0"/>
    </xf>
    <xf numFmtId="1" fontId="124" fillId="0" borderId="161" xfId="0" applyNumberFormat="1" applyFont="1" applyBorder="1" applyAlignment="1" applyProtection="1">
      <alignment horizontal="center" vertical="center"/>
      <protection locked="0"/>
    </xf>
    <xf numFmtId="171" fontId="124" fillId="0" borderId="161" xfId="0" applyNumberFormat="1" applyFont="1" applyBorder="1" applyAlignment="1" applyProtection="1">
      <alignment horizontal="center" vertical="center"/>
      <protection locked="0"/>
    </xf>
    <xf numFmtId="1" fontId="124" fillId="0" borderId="173" xfId="0" applyNumberFormat="1" applyFont="1" applyBorder="1" applyAlignment="1" applyProtection="1">
      <alignment horizontal="center" vertical="center"/>
      <protection locked="0"/>
    </xf>
    <xf numFmtId="171" fontId="124" fillId="0" borderId="173" xfId="0" applyNumberFormat="1" applyFont="1" applyBorder="1" applyAlignment="1" applyProtection="1">
      <alignment horizontal="center" vertical="center"/>
      <protection locked="0"/>
    </xf>
    <xf numFmtId="0" fontId="47" fillId="0" borderId="138" xfId="0" applyFont="1" applyBorder="1" applyAlignment="1" applyProtection="1">
      <alignment horizontal="center"/>
      <protection hidden="1"/>
    </xf>
    <xf numFmtId="0" fontId="47" fillId="0" borderId="112" xfId="0" applyFont="1" applyBorder="1" applyAlignment="1" applyProtection="1">
      <alignment horizontal="center"/>
      <protection hidden="1"/>
    </xf>
    <xf numFmtId="172" fontId="124" fillId="0" borderId="154" xfId="0" applyNumberFormat="1" applyFont="1" applyBorder="1" applyAlignment="1" applyProtection="1">
      <alignment horizontal="center" vertical="center"/>
      <protection locked="0"/>
    </xf>
    <xf numFmtId="172" fontId="124" fillId="0" borderId="155" xfId="0" applyNumberFormat="1" applyFont="1" applyBorder="1" applyAlignment="1" applyProtection="1">
      <alignment horizontal="center" vertical="center"/>
      <protection locked="0"/>
    </xf>
    <xf numFmtId="172" fontId="124" fillId="0" borderId="105" xfId="0" applyNumberFormat="1" applyFont="1" applyBorder="1" applyAlignment="1" applyProtection="1">
      <alignment horizontal="center" vertical="center"/>
      <protection locked="0"/>
    </xf>
    <xf numFmtId="172" fontId="124" fillId="0" borderId="163" xfId="0" applyNumberFormat="1" applyFont="1" applyBorder="1" applyAlignment="1" applyProtection="1">
      <alignment horizontal="center" vertical="center"/>
      <protection locked="0"/>
    </xf>
    <xf numFmtId="172" fontId="124" fillId="0" borderId="176" xfId="0" applyNumberFormat="1" applyFont="1" applyBorder="1" applyAlignment="1" applyProtection="1">
      <alignment horizontal="center" vertical="center"/>
      <protection locked="0"/>
    </xf>
    <xf numFmtId="172" fontId="124" fillId="0" borderId="177" xfId="0" applyNumberFormat="1" applyFont="1" applyBorder="1" applyAlignment="1" applyProtection="1">
      <alignment horizontal="center" vertical="center"/>
      <protection locked="0"/>
    </xf>
    <xf numFmtId="172" fontId="124" fillId="0" borderId="145" xfId="0" applyNumberFormat="1" applyFont="1" applyBorder="1" applyAlignment="1" applyProtection="1">
      <alignment horizontal="center" vertical="center"/>
      <protection locked="0"/>
    </xf>
    <xf numFmtId="172" fontId="124" fillId="0" borderId="147" xfId="0" applyNumberFormat="1" applyFont="1" applyBorder="1" applyAlignment="1" applyProtection="1">
      <alignment horizontal="center" vertical="center"/>
      <protection locked="0"/>
    </xf>
    <xf numFmtId="172" fontId="124" fillId="0" borderId="175" xfId="0" applyNumberFormat="1" applyFont="1" applyBorder="1" applyAlignment="1" applyProtection="1">
      <alignment horizontal="center" vertical="center"/>
      <protection locked="0"/>
    </xf>
    <xf numFmtId="186" fontId="118" fillId="0" borderId="414" xfId="0" applyNumberFormat="1" applyFont="1" applyBorder="1" applyAlignment="1" applyProtection="1">
      <alignment horizontal="center" vertical="center"/>
      <protection locked="0"/>
    </xf>
    <xf numFmtId="186" fontId="118" fillId="0" borderId="415" xfId="0" applyNumberFormat="1" applyFont="1" applyBorder="1" applyAlignment="1" applyProtection="1">
      <alignment horizontal="center" vertical="center"/>
      <protection locked="0"/>
    </xf>
    <xf numFmtId="171" fontId="118" fillId="0" borderId="416" xfId="0" applyNumberFormat="1" applyFont="1" applyBorder="1" applyAlignment="1" applyProtection="1">
      <alignment horizontal="center" vertical="center"/>
      <protection locked="0"/>
    </xf>
    <xf numFmtId="2" fontId="124" fillId="0" borderId="157" xfId="0" applyNumberFormat="1" applyFont="1" applyBorder="1" applyAlignment="1" applyProtection="1">
      <alignment horizontal="center" vertical="center"/>
      <protection locked="0"/>
    </xf>
    <xf numFmtId="2" fontId="124" fillId="0" borderId="165" xfId="0" applyNumberFormat="1" applyFont="1" applyBorder="1" applyAlignment="1" applyProtection="1">
      <alignment horizontal="center" vertical="center"/>
      <protection locked="0"/>
    </xf>
    <xf numFmtId="2" fontId="124" fillId="0" borderId="179" xfId="0" applyNumberFormat="1" applyFont="1" applyBorder="1" applyAlignment="1" applyProtection="1">
      <alignment horizontal="center" vertical="center"/>
      <protection locked="0"/>
    </xf>
    <xf numFmtId="0" fontId="28" fillId="8" borderId="12" xfId="0" applyFont="1" applyFill="1" applyBorder="1" applyAlignment="1">
      <alignment horizontal="center"/>
    </xf>
    <xf numFmtId="0" fontId="28" fillId="13" borderId="12" xfId="0" applyFont="1" applyFill="1" applyBorder="1" applyAlignment="1">
      <alignment horizontal="center" vertical="center"/>
    </xf>
    <xf numFmtId="0" fontId="28" fillId="13" borderId="12" xfId="0" applyFont="1" applyFill="1" applyBorder="1" applyAlignment="1">
      <alignment horizontal="center"/>
    </xf>
    <xf numFmtId="0" fontId="161" fillId="0" borderId="0" xfId="0" applyFont="1" applyAlignment="1" applyProtection="1">
      <alignment horizontal="center" vertical="center"/>
      <protection hidden="1"/>
    </xf>
    <xf numFmtId="0" fontId="161" fillId="0" borderId="0" xfId="0" applyFont="1" applyAlignment="1">
      <alignment horizontal="center" vertical="center"/>
    </xf>
    <xf numFmtId="2" fontId="118" fillId="0" borderId="389" xfId="0" applyNumberFormat="1" applyFont="1" applyBorder="1" applyAlignment="1" applyProtection="1">
      <alignment horizontal="center" vertical="center"/>
      <protection locked="0"/>
    </xf>
    <xf numFmtId="2" fontId="118" fillId="0" borderId="158" xfId="0" applyNumberFormat="1" applyFont="1" applyBorder="1" applyAlignment="1" applyProtection="1">
      <alignment horizontal="center" vertical="center"/>
      <protection locked="0"/>
    </xf>
    <xf numFmtId="2" fontId="118" fillId="0" borderId="169" xfId="0" applyNumberFormat="1" applyFont="1" applyBorder="1" applyAlignment="1" applyProtection="1">
      <alignment horizontal="center" vertical="center"/>
      <protection locked="0"/>
    </xf>
    <xf numFmtId="0" fontId="3" fillId="5" borderId="0" xfId="0" applyFont="1" applyFill="1" applyAlignment="1" applyProtection="1">
      <alignment horizontal="left" vertical="center"/>
      <protection locked="0"/>
    </xf>
    <xf numFmtId="0" fontId="3" fillId="2" borderId="12" xfId="0" applyFont="1" applyFill="1" applyBorder="1" applyProtection="1">
      <protection locked="0"/>
    </xf>
    <xf numFmtId="0" fontId="4" fillId="13" borderId="153" xfId="0" applyFont="1" applyFill="1" applyBorder="1" applyProtection="1">
      <protection hidden="1"/>
    </xf>
    <xf numFmtId="0" fontId="117" fillId="8" borderId="185" xfId="0" applyFont="1" applyFill="1" applyBorder="1" applyAlignment="1">
      <alignment horizontal="left" vertical="center"/>
    </xf>
    <xf numFmtId="0" fontId="4" fillId="13" borderId="162" xfId="0" applyFont="1" applyFill="1" applyBorder="1" applyProtection="1">
      <protection hidden="1"/>
    </xf>
    <xf numFmtId="0" fontId="117" fillId="8" borderId="2" xfId="0" applyFont="1" applyFill="1" applyBorder="1" applyAlignment="1">
      <alignment horizontal="left" vertical="center"/>
    </xf>
    <xf numFmtId="0" fontId="4" fillId="13" borderId="174" xfId="0" applyFont="1" applyFill="1" applyBorder="1" applyProtection="1">
      <protection hidden="1"/>
    </xf>
    <xf numFmtId="0" fontId="117" fillId="8" borderId="417" xfId="0" applyFont="1" applyFill="1" applyBorder="1" applyAlignment="1">
      <alignment horizontal="left" vertical="center"/>
    </xf>
    <xf numFmtId="0" fontId="117" fillId="8" borderId="417" xfId="0" applyFont="1" applyFill="1" applyBorder="1" applyAlignment="1">
      <alignment horizontal="left"/>
    </xf>
    <xf numFmtId="2" fontId="48" fillId="2" borderId="43" xfId="0" applyNumberFormat="1" applyFont="1" applyFill="1" applyBorder="1"/>
    <xf numFmtId="179" fontId="48" fillId="2" borderId="43" xfId="0" applyNumberFormat="1" applyFont="1" applyFill="1" applyBorder="1"/>
    <xf numFmtId="2" fontId="48" fillId="2" borderId="31" xfId="0" applyNumberFormat="1" applyFont="1" applyFill="1" applyBorder="1"/>
    <xf numFmtId="183" fontId="124" fillId="0" borderId="146" xfId="0" applyNumberFormat="1" applyFont="1" applyBorder="1" applyAlignment="1">
      <alignment horizontal="right" vertical="center"/>
    </xf>
    <xf numFmtId="2" fontId="73" fillId="2" borderId="43" xfId="0" applyNumberFormat="1" applyFont="1" applyFill="1" applyBorder="1"/>
    <xf numFmtId="179" fontId="73" fillId="2" borderId="43" xfId="0" applyNumberFormat="1" applyFont="1" applyFill="1" applyBorder="1"/>
    <xf numFmtId="186" fontId="124" fillId="0" borderId="160" xfId="0" applyNumberFormat="1" applyFont="1" applyBorder="1" applyAlignment="1">
      <alignment horizontal="left" vertical="center"/>
    </xf>
    <xf numFmtId="2" fontId="73" fillId="2" borderId="31" xfId="0" applyNumberFormat="1" applyFont="1" applyFill="1" applyBorder="1"/>
    <xf numFmtId="49" fontId="118" fillId="16" borderId="0" xfId="0" applyNumberFormat="1" applyFont="1" applyFill="1" applyAlignment="1">
      <alignment horizontal="left"/>
    </xf>
    <xf numFmtId="49" fontId="118" fillId="16" borderId="0" xfId="2" applyNumberFormat="1" applyFont="1" applyFill="1" applyAlignment="1">
      <alignment horizontal="left"/>
    </xf>
    <xf numFmtId="183" fontId="118" fillId="0" borderId="146" xfId="0" applyNumberFormat="1" applyFont="1" applyBorder="1" applyAlignment="1">
      <alignment horizontal="right"/>
    </xf>
    <xf numFmtId="186" fontId="118" fillId="0" borderId="160" xfId="0" applyNumberFormat="1" applyFont="1" applyBorder="1" applyAlignment="1">
      <alignment horizontal="left"/>
    </xf>
    <xf numFmtId="171" fontId="47" fillId="7" borderId="27" xfId="0" applyNumberFormat="1" applyFont="1" applyFill="1" applyBorder="1" applyAlignment="1">
      <alignment horizontal="center"/>
    </xf>
    <xf numFmtId="171" fontId="28" fillId="7" borderId="70" xfId="0" applyNumberFormat="1" applyFont="1" applyFill="1" applyBorder="1" applyAlignment="1">
      <alignment horizontal="center"/>
    </xf>
    <xf numFmtId="171" fontId="28" fillId="7" borderId="14" xfId="0" applyNumberFormat="1" applyFont="1" applyFill="1" applyBorder="1" applyAlignment="1">
      <alignment horizontal="center"/>
    </xf>
    <xf numFmtId="173" fontId="28" fillId="7" borderId="14" xfId="0" applyNumberFormat="1" applyFont="1" applyFill="1" applyBorder="1" applyAlignment="1">
      <alignment horizontal="center"/>
    </xf>
    <xf numFmtId="172" fontId="28" fillId="7" borderId="14" xfId="0" applyNumberFormat="1" applyFont="1" applyFill="1" applyBorder="1" applyAlignment="1">
      <alignment horizontal="center"/>
    </xf>
    <xf numFmtId="171" fontId="47" fillId="7" borderId="19" xfId="0" applyNumberFormat="1" applyFont="1" applyFill="1" applyBorder="1" applyAlignment="1">
      <alignment horizontal="center"/>
    </xf>
    <xf numFmtId="171" fontId="47" fillId="7" borderId="128" xfId="0" applyNumberFormat="1" applyFont="1" applyFill="1" applyBorder="1" applyAlignment="1">
      <alignment horizontal="center"/>
    </xf>
    <xf numFmtId="171" fontId="28" fillId="7" borderId="22" xfId="0" applyNumberFormat="1" applyFont="1" applyFill="1" applyBorder="1" applyAlignment="1">
      <alignment horizontal="center"/>
    </xf>
    <xf numFmtId="171" fontId="28" fillId="7" borderId="12" xfId="0" applyNumberFormat="1" applyFont="1" applyFill="1" applyBorder="1" applyAlignment="1">
      <alignment horizontal="center"/>
    </xf>
    <xf numFmtId="173" fontId="28" fillId="7" borderId="12" xfId="0" applyNumberFormat="1" applyFont="1" applyFill="1" applyBorder="1" applyAlignment="1">
      <alignment horizontal="center"/>
    </xf>
    <xf numFmtId="172" fontId="28" fillId="7" borderId="12" xfId="0" applyNumberFormat="1" applyFont="1" applyFill="1" applyBorder="1" applyAlignment="1">
      <alignment horizontal="center"/>
    </xf>
    <xf numFmtId="171" fontId="47" fillId="7" borderId="21" xfId="0" applyNumberFormat="1" applyFont="1" applyFill="1" applyBorder="1" applyAlignment="1">
      <alignment horizontal="center"/>
    </xf>
    <xf numFmtId="171" fontId="97" fillId="2" borderId="27" xfId="0" applyNumberFormat="1" applyFont="1" applyFill="1" applyBorder="1" applyAlignment="1">
      <alignment horizontal="center"/>
    </xf>
    <xf numFmtId="171" fontId="110" fillId="2" borderId="70" xfId="0" applyNumberFormat="1" applyFont="1" applyFill="1" applyBorder="1" applyAlignment="1">
      <alignment horizontal="center"/>
    </xf>
    <xf numFmtId="171" fontId="110" fillId="2" borderId="14" xfId="0" applyNumberFormat="1" applyFont="1" applyFill="1" applyBorder="1" applyAlignment="1">
      <alignment horizontal="center"/>
    </xf>
    <xf numFmtId="173" fontId="110" fillId="2" borderId="14" xfId="0" applyNumberFormat="1" applyFont="1" applyFill="1" applyBorder="1" applyAlignment="1">
      <alignment horizontal="center"/>
    </xf>
    <xf numFmtId="171" fontId="97" fillId="2" borderId="19" xfId="0" applyNumberFormat="1" applyFont="1" applyFill="1" applyBorder="1" applyAlignment="1">
      <alignment horizontal="center"/>
    </xf>
    <xf numFmtId="171" fontId="97" fillId="2" borderId="128" xfId="0" applyNumberFormat="1" applyFont="1" applyFill="1" applyBorder="1" applyAlignment="1">
      <alignment horizontal="center"/>
    </xf>
    <xf numFmtId="171" fontId="110" fillId="2" borderId="12" xfId="0" applyNumberFormat="1" applyFont="1" applyFill="1" applyBorder="1" applyAlignment="1">
      <alignment horizontal="center"/>
    </xf>
    <xf numFmtId="173" fontId="110" fillId="2" borderId="12" xfId="0" applyNumberFormat="1" applyFont="1" applyFill="1" applyBorder="1" applyAlignment="1">
      <alignment horizontal="center"/>
    </xf>
    <xf numFmtId="171" fontId="97" fillId="2" borderId="21" xfId="0" applyNumberFormat="1" applyFont="1" applyFill="1" applyBorder="1" applyAlignment="1">
      <alignment horizontal="center"/>
    </xf>
    <xf numFmtId="171" fontId="97" fillId="2" borderId="130" xfId="0" applyNumberFormat="1" applyFont="1" applyFill="1" applyBorder="1" applyAlignment="1">
      <alignment horizontal="center"/>
    </xf>
    <xf numFmtId="171" fontId="110" fillId="2" borderId="25" xfId="0" applyNumberFormat="1" applyFont="1" applyFill="1" applyBorder="1" applyAlignment="1">
      <alignment horizontal="center"/>
    </xf>
    <xf numFmtId="173" fontId="110" fillId="2" borderId="25" xfId="0" applyNumberFormat="1" applyFont="1" applyFill="1" applyBorder="1" applyAlignment="1">
      <alignment horizontal="center"/>
    </xf>
    <xf numFmtId="171" fontId="97" fillId="2" borderId="26" xfId="0" applyNumberFormat="1" applyFont="1" applyFill="1" applyBorder="1" applyAlignment="1">
      <alignment horizontal="center"/>
    </xf>
    <xf numFmtId="171" fontId="47" fillId="7" borderId="130" xfId="0" applyNumberFormat="1" applyFont="1" applyFill="1" applyBorder="1" applyAlignment="1">
      <alignment horizontal="center"/>
    </xf>
    <xf numFmtId="171" fontId="28" fillId="7" borderId="25" xfId="0" applyNumberFormat="1" applyFont="1" applyFill="1" applyBorder="1" applyAlignment="1">
      <alignment horizontal="center"/>
    </xf>
    <xf numFmtId="173" fontId="28" fillId="7" borderId="25" xfId="0" applyNumberFormat="1" applyFont="1" applyFill="1" applyBorder="1" applyAlignment="1">
      <alignment horizontal="center"/>
    </xf>
    <xf numFmtId="172" fontId="28" fillId="7" borderId="25" xfId="0" applyNumberFormat="1" applyFont="1" applyFill="1" applyBorder="1" applyAlignment="1">
      <alignment horizontal="center"/>
    </xf>
    <xf numFmtId="171" fontId="47" fillId="7" borderId="26" xfId="0" applyNumberFormat="1" applyFont="1" applyFill="1" applyBorder="1" applyAlignment="1">
      <alignment horizontal="center"/>
    </xf>
    <xf numFmtId="193" fontId="118" fillId="0" borderId="103" xfId="0" applyNumberFormat="1" applyFont="1" applyBorder="1" applyAlignment="1">
      <alignment horizontal="center" vertical="center"/>
    </xf>
    <xf numFmtId="193" fontId="118" fillId="0" borderId="103" xfId="0" applyNumberFormat="1" applyFont="1" applyBorder="1" applyAlignment="1">
      <alignment horizontal="center"/>
    </xf>
    <xf numFmtId="194" fontId="118" fillId="0" borderId="123" xfId="0" applyNumberFormat="1" applyFont="1" applyBorder="1" applyAlignment="1" applyProtection="1">
      <alignment horizontal="center" vertical="center"/>
      <protection locked="0"/>
    </xf>
    <xf numFmtId="194" fontId="118" fillId="0" borderId="103" xfId="0" applyNumberFormat="1" applyFont="1" applyBorder="1" applyAlignment="1" applyProtection="1">
      <alignment horizontal="center" vertical="center"/>
      <protection locked="0"/>
    </xf>
    <xf numFmtId="194" fontId="118" fillId="0" borderId="120" xfId="0" applyNumberFormat="1" applyFont="1" applyBorder="1" applyAlignment="1" applyProtection="1">
      <alignment horizontal="center" vertical="center"/>
      <protection locked="0"/>
    </xf>
    <xf numFmtId="194" fontId="118" fillId="0" borderId="149" xfId="0" applyNumberFormat="1" applyFont="1" applyBorder="1" applyAlignment="1" applyProtection="1">
      <alignment horizontal="center" vertical="center"/>
      <protection locked="0"/>
    </xf>
    <xf numFmtId="194" fontId="118" fillId="0" borderId="159" xfId="0" applyNumberFormat="1" applyFont="1" applyBorder="1" applyAlignment="1" applyProtection="1">
      <alignment horizontal="center" vertical="center"/>
      <protection locked="0"/>
    </xf>
    <xf numFmtId="194" fontId="118" fillId="0" borderId="170" xfId="0" applyNumberFormat="1" applyFont="1" applyBorder="1" applyAlignment="1" applyProtection="1">
      <alignment horizontal="center" vertical="center"/>
      <protection locked="0"/>
    </xf>
    <xf numFmtId="0" fontId="0" fillId="2" borderId="0" xfId="0" quotePrefix="1" applyFill="1"/>
    <xf numFmtId="49" fontId="118" fillId="0" borderId="220" xfId="0" applyNumberFormat="1" applyFont="1" applyBorder="1" applyAlignment="1" applyProtection="1">
      <alignment horizontal="center" vertical="center"/>
      <protection locked="0"/>
    </xf>
    <xf numFmtId="49" fontId="118" fillId="0" borderId="325" xfId="0" applyNumberFormat="1" applyFont="1" applyBorder="1" applyAlignment="1" applyProtection="1">
      <alignment horizontal="left" vertical="center"/>
      <protection locked="0"/>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188" fontId="124" fillId="0" borderId="326" xfId="0" applyNumberFormat="1" applyFont="1" applyBorder="1" applyAlignment="1" applyProtection="1">
      <alignment horizontal="right" vertical="center"/>
      <protection locked="0"/>
    </xf>
    <xf numFmtId="170" fontId="124" fillId="0" borderId="332" xfId="0" applyNumberFormat="1" applyFont="1" applyBorder="1" applyAlignment="1" applyProtection="1">
      <alignment horizontal="left" vertical="center"/>
      <protection locked="0"/>
    </xf>
    <xf numFmtId="170" fontId="124" fillId="0" borderId="334" xfId="0" applyNumberFormat="1" applyFont="1" applyBorder="1" applyAlignment="1" applyProtection="1">
      <alignment horizontal="center" vertical="center"/>
      <protection locked="0"/>
    </xf>
    <xf numFmtId="188" fontId="124" fillId="0" borderId="332" xfId="0" applyNumberFormat="1" applyFont="1" applyBorder="1" applyAlignment="1" applyProtection="1">
      <alignment horizontal="right" vertical="center"/>
      <protection locked="0"/>
    </xf>
    <xf numFmtId="170" fontId="124" fillId="0" borderId="327" xfId="0" applyNumberFormat="1" applyFont="1" applyBorder="1" applyAlignment="1" applyProtection="1">
      <alignment horizontal="left" vertical="center"/>
      <protection locked="0"/>
    </xf>
    <xf numFmtId="0" fontId="124" fillId="0" borderId="123" xfId="0" applyFont="1" applyBorder="1" applyAlignment="1" applyProtection="1">
      <alignment horizontal="center" vertical="center"/>
      <protection locked="0"/>
    </xf>
    <xf numFmtId="0" fontId="124" fillId="0" borderId="326" xfId="0" applyFont="1" applyBorder="1" applyAlignment="1" applyProtection="1">
      <alignment horizontal="center" vertical="center"/>
      <protection locked="0"/>
    </xf>
    <xf numFmtId="170" fontId="124" fillId="0" borderId="328" xfId="0" applyNumberFormat="1" applyFont="1" applyBorder="1" applyAlignment="1" applyProtection="1">
      <alignment horizontal="center" vertical="center"/>
      <protection locked="0"/>
    </xf>
    <xf numFmtId="170" fontId="124" fillId="0" borderId="329" xfId="0" applyNumberFormat="1" applyFont="1" applyBorder="1" applyAlignment="1" applyProtection="1">
      <alignment horizontal="center" vertical="center"/>
      <protection locked="0"/>
    </xf>
    <xf numFmtId="188" fontId="124" fillId="0" borderId="335" xfId="0" applyNumberFormat="1" applyFont="1" applyBorder="1" applyAlignment="1" applyProtection="1">
      <alignment horizontal="right" vertical="center"/>
      <protection locked="0"/>
    </xf>
    <xf numFmtId="167" fontId="124" fillId="0" borderId="327" xfId="0" applyNumberFormat="1" applyFont="1" applyBorder="1" applyAlignment="1" applyProtection="1">
      <alignment horizontal="center" vertical="center"/>
      <protection locked="0"/>
    </xf>
    <xf numFmtId="167" fontId="124" fillId="0" borderId="326" xfId="0" applyNumberFormat="1" applyFont="1" applyBorder="1" applyAlignment="1" applyProtection="1">
      <alignment horizontal="center" vertical="center"/>
      <protection locked="0"/>
    </xf>
    <xf numFmtId="49" fontId="124" fillId="0" borderId="123" xfId="0" applyNumberFormat="1" applyFont="1" applyBorder="1" applyAlignment="1" applyProtection="1">
      <alignment horizontal="left" vertical="center"/>
      <protection locked="0"/>
    </xf>
    <xf numFmtId="1" fontId="124" fillId="0" borderId="329" xfId="0" applyNumberFormat="1" applyFont="1" applyBorder="1" applyAlignment="1" applyProtection="1">
      <alignment horizontal="center" vertical="center"/>
      <protection locked="0"/>
    </xf>
    <xf numFmtId="188" fontId="124" fillId="0" borderId="104" xfId="0" applyNumberFormat="1" applyFont="1" applyBorder="1" applyAlignment="1" applyProtection="1">
      <alignment horizontal="right" vertical="center"/>
      <protection locked="0"/>
    </xf>
    <xf numFmtId="170" fontId="124" fillId="0" borderId="107" xfId="0" applyNumberFormat="1" applyFont="1" applyBorder="1" applyAlignment="1" applyProtection="1">
      <alignment horizontal="left" vertical="center"/>
      <protection locked="0"/>
    </xf>
    <xf numFmtId="170" fontId="124" fillId="0" borderId="159" xfId="0" applyNumberFormat="1" applyFont="1" applyBorder="1" applyAlignment="1" applyProtection="1">
      <alignment horizontal="center" vertical="center"/>
      <protection locked="0"/>
    </xf>
    <xf numFmtId="188" fontId="124" fillId="0" borderId="107" xfId="0" applyNumberFormat="1" applyFont="1" applyBorder="1" applyAlignment="1" applyProtection="1">
      <alignment horizontal="right" vertical="center"/>
      <protection locked="0"/>
    </xf>
    <xf numFmtId="170" fontId="124" fillId="0" borderId="105" xfId="0" applyNumberFormat="1" applyFont="1" applyBorder="1" applyAlignment="1" applyProtection="1">
      <alignment horizontal="left" vertical="center"/>
      <protection locked="0"/>
    </xf>
    <xf numFmtId="0" fontId="124" fillId="0" borderId="103" xfId="0" applyFont="1" applyBorder="1" applyAlignment="1" applyProtection="1">
      <alignment horizontal="center" vertical="center"/>
      <protection locked="0"/>
    </xf>
    <xf numFmtId="0" fontId="124" fillId="0" borderId="104" xfId="0" applyFont="1" applyBorder="1" applyAlignment="1" applyProtection="1">
      <alignment horizontal="center" vertical="center"/>
      <protection locked="0"/>
    </xf>
    <xf numFmtId="170" fontId="124" fillId="0" borderId="124" xfId="0" applyNumberFormat="1" applyFont="1" applyBorder="1" applyAlignment="1" applyProtection="1">
      <alignment horizontal="center" vertical="center"/>
      <protection locked="0"/>
    </xf>
    <xf numFmtId="170" fontId="124" fillId="0" borderId="106" xfId="0" applyNumberFormat="1" applyFont="1" applyBorder="1" applyAlignment="1" applyProtection="1">
      <alignment horizontal="center" vertical="center"/>
      <protection locked="0"/>
    </xf>
    <xf numFmtId="188" fontId="124" fillId="0" borderId="307" xfId="0" applyNumberFormat="1" applyFont="1" applyBorder="1" applyAlignment="1" applyProtection="1">
      <alignment horizontal="right" vertical="center"/>
      <protection locked="0"/>
    </xf>
    <xf numFmtId="167" fontId="124" fillId="0" borderId="105" xfId="0" applyNumberFormat="1" applyFont="1" applyBorder="1" applyAlignment="1" applyProtection="1">
      <alignment horizontal="center" vertical="center"/>
      <protection locked="0"/>
    </xf>
    <xf numFmtId="167" fontId="124" fillId="0" borderId="104" xfId="0" applyNumberFormat="1" applyFont="1" applyBorder="1" applyAlignment="1" applyProtection="1">
      <alignment horizontal="center" vertical="center"/>
      <protection locked="0"/>
    </xf>
    <xf numFmtId="49" fontId="124" fillId="0" borderId="103" xfId="0" applyNumberFormat="1" applyFont="1" applyBorder="1" applyAlignment="1" applyProtection="1">
      <alignment horizontal="left" vertical="center"/>
      <protection locked="0"/>
    </xf>
    <xf numFmtId="1" fontId="124" fillId="0" borderId="106" xfId="0" applyNumberFormat="1" applyFont="1" applyBorder="1" applyAlignment="1" applyProtection="1">
      <alignment horizontal="center" vertical="center"/>
      <protection locked="0"/>
    </xf>
    <xf numFmtId="188" fontId="124" fillId="0" borderId="330" xfId="0" applyNumberFormat="1" applyFont="1" applyBorder="1" applyAlignment="1" applyProtection="1">
      <alignment horizontal="right" vertical="center"/>
      <protection locked="0"/>
    </xf>
    <xf numFmtId="170" fontId="124" fillId="0" borderId="333" xfId="0" applyNumberFormat="1" applyFont="1" applyBorder="1" applyAlignment="1" applyProtection="1">
      <alignment horizontal="left" vertical="center"/>
      <protection locked="0"/>
    </xf>
    <xf numFmtId="170" fontId="124" fillId="0" borderId="312" xfId="0" applyNumberFormat="1" applyFont="1" applyBorder="1" applyAlignment="1" applyProtection="1">
      <alignment horizontal="center" vertical="center"/>
      <protection locked="0"/>
    </xf>
    <xf numFmtId="188" fontId="124" fillId="0" borderId="333" xfId="0" applyNumberFormat="1" applyFont="1" applyBorder="1" applyAlignment="1" applyProtection="1">
      <alignment horizontal="right" vertical="center"/>
      <protection locked="0"/>
    </xf>
    <xf numFmtId="170" fontId="124" fillId="0" borderId="324" xfId="0" applyNumberFormat="1" applyFont="1" applyBorder="1" applyAlignment="1" applyProtection="1">
      <alignment horizontal="left" vertical="center"/>
      <protection locked="0"/>
    </xf>
    <xf numFmtId="0" fontId="124" fillId="0" borderId="120" xfId="0" applyFont="1" applyBorder="1" applyAlignment="1" applyProtection="1">
      <alignment horizontal="center" vertical="center"/>
      <protection locked="0"/>
    </xf>
    <xf numFmtId="0" fontId="124" fillId="0" borderId="330" xfId="0" applyFont="1" applyBorder="1" applyAlignment="1" applyProtection="1">
      <alignment horizontal="center" vertical="center"/>
      <protection locked="0"/>
    </xf>
    <xf numFmtId="170" fontId="124" fillId="0" borderId="125" xfId="0" applyNumberFormat="1" applyFont="1" applyBorder="1" applyAlignment="1" applyProtection="1">
      <alignment horizontal="center" vertical="center"/>
      <protection locked="0"/>
    </xf>
    <xf numFmtId="170" fontId="124" fillId="0" borderId="121" xfId="0" applyNumberFormat="1" applyFont="1" applyBorder="1" applyAlignment="1" applyProtection="1">
      <alignment horizontal="center" vertical="center"/>
      <protection locked="0"/>
    </xf>
    <xf numFmtId="188" fontId="124" fillId="0" borderId="309" xfId="0" applyNumberFormat="1" applyFont="1" applyBorder="1" applyAlignment="1" applyProtection="1">
      <alignment horizontal="right" vertical="center"/>
      <protection locked="0"/>
    </xf>
    <xf numFmtId="167" fontId="124" fillId="0" borderId="324" xfId="0" applyNumberFormat="1" applyFont="1" applyBorder="1" applyAlignment="1" applyProtection="1">
      <alignment horizontal="center" vertical="center"/>
      <protection locked="0"/>
    </xf>
    <xf numFmtId="167" fontId="124" fillId="0" borderId="330" xfId="0" applyNumberFormat="1" applyFont="1" applyBorder="1" applyAlignment="1" applyProtection="1">
      <alignment horizontal="center" vertical="center"/>
      <protection locked="0"/>
    </xf>
    <xf numFmtId="49" fontId="124" fillId="0" borderId="120" xfId="0" applyNumberFormat="1" applyFont="1" applyBorder="1" applyAlignment="1" applyProtection="1">
      <alignment horizontal="left" vertical="center"/>
      <protection locked="0"/>
    </xf>
    <xf numFmtId="1" fontId="124" fillId="0" borderId="121" xfId="0" applyNumberFormat="1" applyFont="1" applyBorder="1" applyAlignment="1" applyProtection="1">
      <alignment horizontal="center" vertical="center"/>
      <protection locked="0"/>
    </xf>
    <xf numFmtId="0" fontId="118" fillId="0" borderId="289" xfId="0" applyFont="1" applyBorder="1" applyAlignment="1" applyProtection="1">
      <alignment horizontal="center" vertical="center"/>
      <protection locked="0"/>
    </xf>
    <xf numFmtId="0" fontId="124" fillId="0" borderId="219" xfId="0" applyFont="1" applyBorder="1" applyAlignment="1" applyProtection="1">
      <alignment horizontal="center" vertical="center"/>
      <protection locked="0"/>
    </xf>
    <xf numFmtId="188" fontId="124" fillId="0" borderId="220" xfId="0" applyNumberFormat="1" applyFont="1" applyBorder="1" applyAlignment="1" applyProtection="1">
      <alignment horizontal="right" vertical="center"/>
      <protection locked="0"/>
    </xf>
    <xf numFmtId="170" fontId="124" fillId="0" borderId="222" xfId="0" applyNumberFormat="1" applyFont="1" applyBorder="1" applyAlignment="1" applyProtection="1">
      <alignment horizontal="left" vertical="center"/>
      <protection locked="0"/>
    </xf>
    <xf numFmtId="166" fontId="124" fillId="0" borderId="220" xfId="0" applyNumberFormat="1" applyFont="1" applyBorder="1" applyAlignment="1" applyProtection="1">
      <alignment horizontal="center" vertical="center"/>
      <protection locked="0"/>
    </xf>
    <xf numFmtId="0" fontId="124" fillId="0" borderId="343" xfId="0" applyFont="1" applyBorder="1" applyAlignment="1" applyProtection="1">
      <alignment horizontal="center" vertical="center"/>
      <protection locked="0"/>
    </xf>
    <xf numFmtId="170" fontId="124" fillId="0" borderId="219" xfId="0" applyNumberFormat="1" applyFont="1" applyBorder="1" applyAlignment="1" applyProtection="1">
      <alignment horizontal="center" vertical="center"/>
      <protection locked="0"/>
    </xf>
    <xf numFmtId="170" fontId="124" fillId="0" borderId="220" xfId="0" applyNumberFormat="1" applyFont="1" applyBorder="1" applyAlignment="1" applyProtection="1">
      <alignment horizontal="center" vertical="center"/>
      <protection locked="0"/>
    </xf>
    <xf numFmtId="170" fontId="124" fillId="0" borderId="289" xfId="0" applyNumberFormat="1" applyFont="1" applyBorder="1" applyAlignment="1" applyProtection="1">
      <alignment horizontal="center" vertical="center"/>
      <protection locked="0"/>
    </xf>
    <xf numFmtId="170" fontId="124" fillId="0" borderId="344" xfId="0" applyNumberFormat="1" applyFont="1" applyBorder="1" applyAlignment="1" applyProtection="1">
      <alignment horizontal="center" vertical="center"/>
      <protection locked="0"/>
    </xf>
    <xf numFmtId="188" fontId="124" fillId="0" borderId="221" xfId="0" applyNumberFormat="1" applyFont="1" applyBorder="1" applyAlignment="1" applyProtection="1">
      <alignment horizontal="right" vertical="center"/>
      <protection locked="0"/>
    </xf>
    <xf numFmtId="166" fontId="124" fillId="0" borderId="219" xfId="0" applyNumberFormat="1" applyFont="1" applyBorder="1" applyAlignment="1" applyProtection="1">
      <alignment horizontal="center" vertical="center"/>
      <protection locked="0"/>
    </xf>
    <xf numFmtId="0" fontId="124" fillId="0" borderId="329" xfId="0" applyFont="1" applyBorder="1" applyAlignment="1" applyProtection="1">
      <alignment horizontal="center" vertical="center"/>
      <protection locked="0"/>
    </xf>
    <xf numFmtId="0" fontId="124" fillId="0" borderId="288" xfId="0" applyFont="1" applyBorder="1" applyAlignment="1" applyProtection="1">
      <alignment horizontal="center" vertical="center"/>
      <protection locked="0"/>
    </xf>
    <xf numFmtId="166" fontId="124" fillId="0" borderId="104" xfId="0" applyNumberFormat="1" applyFont="1" applyBorder="1" applyAlignment="1" applyProtection="1">
      <alignment horizontal="center" vertical="center"/>
      <protection locked="0"/>
    </xf>
    <xf numFmtId="0" fontId="124" fillId="0" borderId="339" xfId="0" applyFont="1" applyBorder="1" applyAlignment="1" applyProtection="1">
      <alignment horizontal="center" vertical="center"/>
      <protection locked="0"/>
    </xf>
    <xf numFmtId="170" fontId="124" fillId="0" borderId="103" xfId="0" applyNumberFormat="1" applyFont="1" applyBorder="1" applyAlignment="1" applyProtection="1">
      <alignment horizontal="center" vertical="center"/>
      <protection locked="0"/>
    </xf>
    <xf numFmtId="170" fontId="124" fillId="0" borderId="104" xfId="0" applyNumberFormat="1" applyFont="1" applyBorder="1" applyAlignment="1" applyProtection="1">
      <alignment horizontal="center" vertical="center"/>
      <protection locked="0"/>
    </xf>
    <xf numFmtId="170" fontId="124" fillId="0" borderId="340" xfId="0" applyNumberFormat="1" applyFont="1" applyBorder="1" applyAlignment="1" applyProtection="1">
      <alignment horizontal="center" vertical="center"/>
      <protection locked="0"/>
    </xf>
    <xf numFmtId="166" fontId="124" fillId="0" borderId="103" xfId="0" applyNumberFormat="1" applyFont="1" applyBorder="1" applyAlignment="1" applyProtection="1">
      <alignment horizontal="center" vertical="center"/>
      <protection locked="0"/>
    </xf>
    <xf numFmtId="0" fontId="124" fillId="0" borderId="106" xfId="0" applyFont="1" applyBorder="1" applyAlignment="1" applyProtection="1">
      <alignment horizontal="center" vertical="center"/>
      <protection locked="0"/>
    </xf>
    <xf numFmtId="166" fontId="124" fillId="0" borderId="330" xfId="0" applyNumberFormat="1" applyFont="1" applyBorder="1" applyAlignment="1" applyProtection="1">
      <alignment horizontal="center" vertical="center"/>
      <protection locked="0"/>
    </xf>
    <xf numFmtId="0" fontId="124" fillId="0" borderId="341" xfId="0" applyFont="1" applyBorder="1" applyAlignment="1" applyProtection="1">
      <alignment horizontal="center" vertical="center"/>
      <protection locked="0"/>
    </xf>
    <xf numFmtId="170" fontId="124" fillId="0" borderId="120" xfId="0" applyNumberFormat="1" applyFont="1" applyBorder="1" applyAlignment="1" applyProtection="1">
      <alignment horizontal="center" vertical="center"/>
      <protection locked="0"/>
    </xf>
    <xf numFmtId="170" fontId="124" fillId="0" borderId="330" xfId="0" applyNumberFormat="1" applyFont="1" applyBorder="1" applyAlignment="1" applyProtection="1">
      <alignment horizontal="center" vertical="center"/>
      <protection locked="0"/>
    </xf>
    <xf numFmtId="170" fontId="124" fillId="0" borderId="342" xfId="0" applyNumberFormat="1" applyFont="1" applyBorder="1" applyAlignment="1" applyProtection="1">
      <alignment horizontal="center" vertical="center"/>
      <protection locked="0"/>
    </xf>
    <xf numFmtId="166" fontId="124" fillId="0" borderId="120" xfId="0" applyNumberFormat="1" applyFont="1" applyBorder="1" applyAlignment="1" applyProtection="1">
      <alignment horizontal="center" vertical="center"/>
      <protection locked="0"/>
    </xf>
    <xf numFmtId="0" fontId="124" fillId="0" borderId="121" xfId="0" applyFont="1" applyBorder="1" applyAlignment="1" applyProtection="1">
      <alignment horizontal="center" vertical="center"/>
      <protection locked="0"/>
    </xf>
    <xf numFmtId="183" fontId="78" fillId="0" borderId="146" xfId="0" applyNumberFormat="1" applyFont="1" applyBorder="1" applyAlignment="1" applyProtection="1">
      <alignment horizontal="right" vertical="center"/>
      <protection locked="0"/>
    </xf>
    <xf numFmtId="186" fontId="78" fillId="0" borderId="107" xfId="0" applyNumberFormat="1" applyFont="1" applyBorder="1" applyAlignment="1" applyProtection="1">
      <alignment horizontal="left" vertical="center"/>
      <protection locked="0"/>
    </xf>
    <xf numFmtId="186" fontId="78" fillId="0" borderId="198" xfId="0" applyNumberFormat="1" applyFont="1" applyBorder="1" applyAlignment="1" applyProtection="1">
      <alignment horizontal="center" vertical="center"/>
      <protection locked="0"/>
    </xf>
    <xf numFmtId="186" fontId="78" fillId="0" borderId="187" xfId="0" applyNumberFormat="1" applyFont="1" applyBorder="1" applyAlignment="1" applyProtection="1">
      <alignment horizontal="center" vertical="center"/>
      <protection locked="0"/>
    </xf>
    <xf numFmtId="2" fontId="78" fillId="0" borderId="160" xfId="0" applyNumberFormat="1" applyFont="1" applyBorder="1" applyAlignment="1" applyProtection="1">
      <alignment horizontal="center" vertical="center"/>
      <protection locked="0"/>
    </xf>
    <xf numFmtId="194" fontId="118" fillId="0" borderId="219" xfId="0" applyNumberFormat="1" applyFont="1" applyBorder="1" applyAlignment="1" applyProtection="1">
      <alignment horizontal="center" vertical="center"/>
      <protection locked="0"/>
    </xf>
    <xf numFmtId="0" fontId="118" fillId="0" borderId="219" xfId="0" applyFont="1" applyBorder="1" applyAlignment="1" applyProtection="1">
      <alignment horizontal="center" vertical="center"/>
      <protection locked="0"/>
    </xf>
    <xf numFmtId="170" fontId="124" fillId="0" borderId="221" xfId="0" applyNumberFormat="1" applyFont="1" applyBorder="1" applyAlignment="1" applyProtection="1">
      <alignment horizontal="left" vertical="center"/>
      <protection locked="0"/>
    </xf>
    <xf numFmtId="170" fontId="124" fillId="0" borderId="325" xfId="0" applyNumberFormat="1" applyFont="1" applyBorder="1" applyAlignment="1" applyProtection="1">
      <alignment horizontal="center" vertical="center"/>
      <protection locked="0"/>
    </xf>
    <xf numFmtId="0" fontId="124" fillId="0" borderId="220" xfId="0" applyFont="1" applyBorder="1" applyAlignment="1" applyProtection="1">
      <alignment horizontal="center" vertical="center"/>
      <protection locked="0"/>
    </xf>
    <xf numFmtId="170" fontId="124" fillId="0" borderId="288" xfId="0" applyNumberFormat="1" applyFont="1" applyBorder="1" applyAlignment="1" applyProtection="1">
      <alignment horizontal="center" vertical="center"/>
      <protection locked="0"/>
    </xf>
    <xf numFmtId="188" fontId="124" fillId="0" borderId="345" xfId="0" applyNumberFormat="1" applyFont="1" applyBorder="1" applyAlignment="1" applyProtection="1">
      <alignment horizontal="right" vertical="center"/>
      <protection locked="0"/>
    </xf>
    <xf numFmtId="167" fontId="124" fillId="0" borderId="222" xfId="0" applyNumberFormat="1" applyFont="1" applyBorder="1" applyAlignment="1" applyProtection="1">
      <alignment horizontal="center" vertical="center"/>
      <protection locked="0"/>
    </xf>
    <xf numFmtId="167" fontId="124" fillId="0" borderId="220" xfId="0" applyNumberFormat="1" applyFont="1" applyBorder="1" applyAlignment="1" applyProtection="1">
      <alignment horizontal="center" vertical="center"/>
      <protection locked="0"/>
    </xf>
    <xf numFmtId="1" fontId="124" fillId="0" borderId="346" xfId="0" applyNumberFormat="1" applyFont="1" applyBorder="1" applyAlignment="1" applyProtection="1">
      <alignment horizontal="center" vertical="center"/>
      <protection locked="0"/>
    </xf>
    <xf numFmtId="1" fontId="124" fillId="0" borderId="158" xfId="0" applyNumberFormat="1" applyFont="1" applyBorder="1" applyAlignment="1" applyProtection="1">
      <alignment horizontal="center" vertical="center"/>
      <protection locked="0"/>
    </xf>
    <xf numFmtId="1" fontId="124" fillId="0" borderId="308" xfId="0" applyNumberFormat="1" applyFont="1" applyBorder="1" applyAlignment="1" applyProtection="1">
      <alignment horizontal="center" vertical="center"/>
      <protection locked="0"/>
    </xf>
    <xf numFmtId="170" fontId="124" fillId="0" borderId="158" xfId="0" applyNumberFormat="1" applyFont="1" applyBorder="1" applyAlignment="1" applyProtection="1">
      <alignment horizontal="left" vertical="center"/>
      <protection locked="0"/>
    </xf>
    <xf numFmtId="12" fontId="124" fillId="0" borderId="103" xfId="0" applyNumberFormat="1" applyFont="1" applyBorder="1" applyAlignment="1" applyProtection="1">
      <alignment horizontal="center" vertical="center"/>
      <protection locked="0"/>
    </xf>
    <xf numFmtId="12" fontId="124" fillId="0" borderId="104" xfId="0" applyNumberFormat="1" applyFont="1" applyBorder="1" applyAlignment="1" applyProtection="1">
      <alignment horizontal="center" vertical="center"/>
      <protection locked="0"/>
    </xf>
    <xf numFmtId="167" fontId="124" fillId="0" borderId="124" xfId="0" applyNumberFormat="1" applyFont="1" applyBorder="1" applyAlignment="1" applyProtection="1">
      <alignment horizontal="center" vertical="center"/>
      <protection locked="0"/>
    </xf>
    <xf numFmtId="167" fontId="124" fillId="0" borderId="106" xfId="0" applyNumberFormat="1" applyFont="1" applyBorder="1" applyAlignment="1" applyProtection="1">
      <alignment horizontal="center" vertical="center"/>
      <protection locked="0"/>
    </xf>
    <xf numFmtId="49" fontId="124" fillId="0" borderId="159" xfId="0" applyNumberFormat="1" applyFont="1" applyBorder="1" applyAlignment="1" applyProtection="1">
      <alignment horizontal="left" vertical="center"/>
      <protection locked="0"/>
    </xf>
    <xf numFmtId="170" fontId="124" fillId="0" borderId="308" xfId="0" applyNumberFormat="1" applyFont="1" applyBorder="1" applyAlignment="1" applyProtection="1">
      <alignment horizontal="left" vertical="center"/>
      <protection locked="0"/>
    </xf>
    <xf numFmtId="12" fontId="124" fillId="0" borderId="120" xfId="0" applyNumberFormat="1" applyFont="1" applyBorder="1" applyAlignment="1" applyProtection="1">
      <alignment horizontal="center" vertical="center"/>
      <protection locked="0"/>
    </xf>
    <xf numFmtId="12" fontId="124" fillId="0" borderId="330" xfId="0" applyNumberFormat="1" applyFont="1" applyBorder="1" applyAlignment="1" applyProtection="1">
      <alignment horizontal="center" vertical="center"/>
      <protection locked="0"/>
    </xf>
    <xf numFmtId="167" fontId="124" fillId="0" borderId="125" xfId="0" applyNumberFormat="1" applyFont="1" applyBorder="1" applyAlignment="1" applyProtection="1">
      <alignment horizontal="center" vertical="center"/>
      <protection locked="0"/>
    </xf>
    <xf numFmtId="167" fontId="124" fillId="0" borderId="121" xfId="0" applyNumberFormat="1" applyFont="1" applyBorder="1" applyAlignment="1" applyProtection="1">
      <alignment horizontal="center" vertical="center"/>
      <protection locked="0"/>
    </xf>
    <xf numFmtId="49" fontId="124" fillId="0" borderId="312" xfId="0" applyNumberFormat="1" applyFont="1" applyBorder="1" applyAlignment="1" applyProtection="1">
      <alignment horizontal="left" vertical="center"/>
      <protection locked="0"/>
    </xf>
    <xf numFmtId="3" fontId="118" fillId="0" borderId="0" xfId="0" applyNumberFormat="1" applyFont="1" applyAlignment="1" applyProtection="1">
      <alignment horizontal="left" indent="2"/>
      <protection locked="0"/>
    </xf>
    <xf numFmtId="183" fontId="64" fillId="0" borderId="146" xfId="0" applyNumberFormat="1" applyFont="1" applyBorder="1" applyAlignment="1" applyProtection="1">
      <alignment horizontal="right"/>
      <protection locked="0"/>
    </xf>
    <xf numFmtId="186" fontId="64" fillId="0" borderId="107" xfId="0" applyNumberFormat="1" applyFont="1" applyBorder="1" applyAlignment="1" applyProtection="1">
      <alignment horizontal="left"/>
      <protection locked="0"/>
    </xf>
    <xf numFmtId="186" fontId="64" fillId="0" borderId="198" xfId="0" applyNumberFormat="1" applyFont="1" applyBorder="1" applyAlignment="1" applyProtection="1">
      <alignment horizontal="center"/>
      <protection locked="0"/>
    </xf>
    <xf numFmtId="186" fontId="64" fillId="0" borderId="187" xfId="0" applyNumberFormat="1" applyFont="1" applyBorder="1" applyAlignment="1" applyProtection="1">
      <alignment horizontal="center"/>
      <protection locked="0"/>
    </xf>
    <xf numFmtId="2" fontId="64" fillId="0" borderId="160" xfId="0" applyNumberFormat="1" applyFont="1" applyBorder="1" applyAlignment="1" applyProtection="1">
      <alignment horizontal="center"/>
      <protection locked="0"/>
    </xf>
    <xf numFmtId="12" fontId="124" fillId="0" borderId="106" xfId="0" applyNumberFormat="1" applyFont="1" applyBorder="1" applyAlignment="1" applyProtection="1">
      <alignment horizontal="center" vertical="center"/>
      <protection locked="0"/>
    </xf>
    <xf numFmtId="12" fontId="124" fillId="0" borderId="121" xfId="0" applyNumberFormat="1" applyFont="1" applyBorder="1" applyAlignment="1" applyProtection="1">
      <alignment horizontal="center" vertical="center"/>
      <protection locked="0"/>
    </xf>
    <xf numFmtId="0" fontId="132" fillId="0" borderId="8" xfId="0" applyFont="1" applyBorder="1" applyAlignment="1" applyProtection="1">
      <alignment horizontal="center" vertical="center"/>
      <protection locked="0"/>
    </xf>
    <xf numFmtId="0" fontId="132" fillId="0" borderId="12" xfId="0" applyFont="1" applyBorder="1" applyAlignment="1" applyProtection="1">
      <alignment horizontal="center" vertical="center"/>
      <protection locked="0"/>
    </xf>
    <xf numFmtId="188" fontId="132" fillId="0" borderId="11" xfId="0" applyNumberFormat="1" applyFont="1" applyBorder="1" applyAlignment="1" applyProtection="1">
      <alignment horizontal="right" vertical="center"/>
      <protection locked="0"/>
    </xf>
    <xf numFmtId="170" fontId="132" fillId="0" borderId="22" xfId="0" applyNumberFormat="1" applyFont="1" applyBorder="1" applyAlignment="1" applyProtection="1">
      <alignment horizontal="left" vertical="center"/>
      <protection locked="0"/>
    </xf>
    <xf numFmtId="165" fontId="132" fillId="0" borderId="12" xfId="0" applyNumberFormat="1" applyFont="1" applyBorder="1" applyAlignment="1" applyProtection="1">
      <alignment horizontal="center" vertical="center"/>
      <protection locked="0"/>
    </xf>
    <xf numFmtId="171" fontId="132" fillId="0" borderId="12" xfId="0" applyNumberFormat="1" applyFont="1" applyBorder="1" applyAlignment="1" applyProtection="1">
      <alignment horizontal="center" vertical="center"/>
      <protection locked="0"/>
    </xf>
    <xf numFmtId="1" fontId="132" fillId="0" borderId="21" xfId="0" applyNumberFormat="1" applyFont="1" applyBorder="1" applyAlignment="1" applyProtection="1">
      <alignment horizontal="center" vertical="center"/>
      <protection locked="0"/>
    </xf>
    <xf numFmtId="0" fontId="132" fillId="0" borderId="9" xfId="0" applyFont="1" applyBorder="1" applyAlignment="1" applyProtection="1">
      <alignment horizontal="center" vertical="center"/>
      <protection locked="0"/>
    </xf>
    <xf numFmtId="0" fontId="132" fillId="0" borderId="25" xfId="0" applyFont="1" applyBorder="1" applyAlignment="1" applyProtection="1">
      <alignment horizontal="center" vertical="center"/>
      <protection locked="0"/>
    </xf>
    <xf numFmtId="188" fontId="132" fillId="0" borderId="117" xfId="0" applyNumberFormat="1" applyFont="1" applyBorder="1" applyAlignment="1" applyProtection="1">
      <alignment horizontal="right" vertical="center"/>
      <protection locked="0"/>
    </xf>
    <xf numFmtId="170" fontId="132" fillId="0" borderId="143" xfId="0" applyNumberFormat="1" applyFont="1" applyBorder="1" applyAlignment="1" applyProtection="1">
      <alignment horizontal="left" vertical="center"/>
      <protection locked="0"/>
    </xf>
    <xf numFmtId="165" fontId="132" fillId="0" borderId="25" xfId="0" applyNumberFormat="1" applyFont="1" applyBorder="1" applyAlignment="1" applyProtection="1">
      <alignment horizontal="center" vertical="center"/>
      <protection locked="0"/>
    </xf>
    <xf numFmtId="171" fontId="132" fillId="0" borderId="25" xfId="0" applyNumberFormat="1" applyFont="1" applyBorder="1" applyAlignment="1" applyProtection="1">
      <alignment horizontal="center" vertical="center"/>
      <protection locked="0"/>
    </xf>
    <xf numFmtId="1" fontId="132" fillId="0" borderId="26" xfId="0" applyNumberFormat="1" applyFont="1" applyBorder="1" applyAlignment="1" applyProtection="1">
      <alignment horizontal="center" vertical="center"/>
      <protection locked="0"/>
    </xf>
    <xf numFmtId="183" fontId="118" fillId="26" borderId="307" xfId="0" applyNumberFormat="1" applyFont="1" applyFill="1" applyBorder="1" applyAlignment="1" applyProtection="1">
      <alignment horizontal="right" vertical="center"/>
      <protection locked="0"/>
    </xf>
    <xf numFmtId="171" fontId="118" fillId="26" borderId="158" xfId="0" applyNumberFormat="1" applyFont="1" applyFill="1" applyBorder="1" applyAlignment="1" applyProtection="1">
      <alignment horizontal="left" vertical="center"/>
      <protection locked="0"/>
    </xf>
    <xf numFmtId="49" fontId="118" fillId="16" borderId="0" xfId="0" applyNumberFormat="1" applyFont="1" applyFill="1" applyAlignment="1" applyProtection="1">
      <alignment horizontal="left"/>
      <protection locked="0"/>
    </xf>
    <xf numFmtId="49" fontId="118" fillId="16" borderId="0" xfId="2" applyNumberFormat="1" applyFont="1" applyFill="1" applyAlignment="1" applyProtection="1">
      <alignment horizontal="left"/>
      <protection locked="0"/>
    </xf>
    <xf numFmtId="49" fontId="118" fillId="26" borderId="103" xfId="0" applyNumberFormat="1" applyFont="1" applyFill="1" applyBorder="1" applyAlignment="1" applyProtection="1">
      <alignment horizontal="center" vertical="center"/>
      <protection locked="0"/>
    </xf>
    <xf numFmtId="0" fontId="0" fillId="0" borderId="0" xfId="0" applyAlignment="1">
      <alignment horizontal="center"/>
    </xf>
    <xf numFmtId="0" fontId="3" fillId="0" borderId="0" xfId="2" applyAlignment="1" applyProtection="1">
      <alignment horizontal="center" wrapText="1"/>
      <protection hidden="1"/>
    </xf>
    <xf numFmtId="0" fontId="3" fillId="0" borderId="0" xfId="2" applyAlignment="1">
      <alignment horizontal="center" wrapText="1"/>
    </xf>
    <xf numFmtId="0" fontId="153" fillId="0" borderId="0" xfId="2" applyFont="1" applyAlignment="1" applyProtection="1">
      <alignment horizontal="center" vertical="center" textRotation="90"/>
      <protection hidden="1"/>
    </xf>
    <xf numFmtId="0" fontId="153" fillId="0" borderId="0" xfId="2" applyFont="1" applyAlignment="1">
      <alignment horizontal="center" vertical="center" textRotation="90"/>
    </xf>
    <xf numFmtId="168" fontId="86" fillId="0" borderId="0" xfId="0" applyNumberFormat="1" applyFont="1" applyAlignment="1">
      <alignment horizontal="left"/>
    </xf>
    <xf numFmtId="0" fontId="15" fillId="0" borderId="12" xfId="0" applyFont="1" applyBorder="1" applyAlignment="1">
      <alignment horizontal="center" vertical="center"/>
    </xf>
    <xf numFmtId="0" fontId="122" fillId="0" borderId="10" xfId="0" applyFont="1" applyBorder="1" applyAlignment="1">
      <alignment horizontal="left"/>
    </xf>
    <xf numFmtId="0" fontId="122" fillId="0" borderId="22" xfId="0" applyFont="1" applyBorder="1" applyAlignment="1">
      <alignment horizontal="left"/>
    </xf>
    <xf numFmtId="49" fontId="118" fillId="0" borderId="312" xfId="0" applyNumberFormat="1" applyFont="1" applyBorder="1" applyAlignment="1" applyProtection="1">
      <alignment horizontal="left"/>
      <protection locked="0"/>
    </xf>
    <xf numFmtId="49" fontId="118" fillId="0" borderId="159" xfId="0" applyNumberFormat="1" applyFont="1" applyBorder="1" applyAlignment="1" applyProtection="1">
      <alignment horizontal="left"/>
      <protection locked="0"/>
    </xf>
    <xf numFmtId="49" fontId="118" fillId="0" borderId="325" xfId="0" applyNumberFormat="1" applyFont="1" applyBorder="1" applyAlignment="1" applyProtection="1">
      <alignment horizontal="left"/>
      <protection locked="0"/>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left" vertical="center"/>
      <protection locked="0"/>
    </xf>
    <xf numFmtId="168" fontId="123" fillId="0" borderId="0" xfId="0" applyNumberFormat="1" applyFont="1" applyAlignment="1">
      <alignment horizontal="left"/>
    </xf>
    <xf numFmtId="49" fontId="119" fillId="0" borderId="105" xfId="0" applyNumberFormat="1" applyFont="1" applyBorder="1" applyAlignment="1" applyProtection="1">
      <alignment horizontal="left" vertical="center"/>
      <protection locked="0"/>
    </xf>
    <xf numFmtId="49" fontId="119" fillId="0" borderId="103" xfId="0" applyNumberFormat="1" applyFont="1" applyBorder="1" applyAlignment="1" applyProtection="1">
      <alignment horizontal="left" vertical="center"/>
      <protection locked="0"/>
    </xf>
    <xf numFmtId="49" fontId="119" fillId="0" borderId="106" xfId="0" applyNumberFormat="1" applyFont="1" applyBorder="1" applyAlignment="1" applyProtection="1">
      <alignment horizontal="left" vertical="center"/>
      <protection locked="0"/>
    </xf>
    <xf numFmtId="49" fontId="119" fillId="0" borderId="324" xfId="0" applyNumberFormat="1" applyFont="1" applyBorder="1" applyAlignment="1" applyProtection="1">
      <alignment horizontal="left" vertical="center"/>
      <protection locked="0"/>
    </xf>
    <xf numFmtId="49" fontId="119" fillId="0" borderId="120" xfId="0" applyNumberFormat="1" applyFont="1" applyBorder="1" applyAlignment="1" applyProtection="1">
      <alignment horizontal="left" vertical="center"/>
      <protection locked="0"/>
    </xf>
    <xf numFmtId="49" fontId="119" fillId="0" borderId="121" xfId="0" applyNumberFormat="1" applyFont="1" applyBorder="1" applyAlignment="1" applyProtection="1">
      <alignment horizontal="left" vertical="center"/>
      <protection locked="0"/>
    </xf>
    <xf numFmtId="49" fontId="119" fillId="0" borderId="222" xfId="0" applyNumberFormat="1" applyFont="1" applyBorder="1" applyAlignment="1" applyProtection="1">
      <alignment horizontal="left" vertical="center"/>
      <protection locked="0"/>
    </xf>
    <xf numFmtId="49" fontId="119" fillId="0" borderId="219" xfId="0" applyNumberFormat="1" applyFont="1" applyBorder="1" applyAlignment="1" applyProtection="1">
      <alignment horizontal="left" vertical="center"/>
      <protection locked="0"/>
    </xf>
    <xf numFmtId="49" fontId="119" fillId="0" borderId="288" xfId="0" applyNumberFormat="1" applyFont="1" applyBorder="1" applyAlignment="1" applyProtection="1">
      <alignment horizontal="left" vertical="center"/>
      <protection locked="0"/>
    </xf>
    <xf numFmtId="0" fontId="15" fillId="0" borderId="80" xfId="0" applyFont="1" applyBorder="1" applyAlignment="1">
      <alignment horizontal="center" vertical="center"/>
    </xf>
    <xf numFmtId="0" fontId="15" fillId="0" borderId="82" xfId="0" applyFont="1" applyBorder="1" applyAlignment="1">
      <alignment horizontal="center" vertical="center"/>
    </xf>
    <xf numFmtId="0" fontId="15" fillId="0" borderId="63" xfId="0" applyFont="1" applyBorder="1" applyAlignment="1">
      <alignment horizontal="center" vertical="center"/>
    </xf>
    <xf numFmtId="49" fontId="119" fillId="0" borderId="347" xfId="0" applyNumberFormat="1" applyFont="1" applyBorder="1" applyAlignment="1" applyProtection="1">
      <alignment horizontal="left" vertical="center"/>
      <protection locked="0"/>
    </xf>
    <xf numFmtId="49" fontId="119" fillId="0" borderId="122" xfId="0" applyNumberFormat="1" applyFont="1" applyBorder="1" applyAlignment="1" applyProtection="1">
      <alignment horizontal="left" vertical="center"/>
      <protection locked="0"/>
    </xf>
    <xf numFmtId="49" fontId="119" fillId="0" borderId="348" xfId="0" applyNumberFormat="1" applyFont="1" applyBorder="1" applyAlignment="1" applyProtection="1">
      <alignment horizontal="left" vertical="center"/>
      <protection locked="0"/>
    </xf>
    <xf numFmtId="0" fontId="9" fillId="0" borderId="0" xfId="0" applyFont="1" applyAlignment="1">
      <alignment horizontal="center"/>
    </xf>
    <xf numFmtId="0" fontId="15" fillId="0" borderId="0" xfId="0" applyFont="1" applyAlignment="1">
      <alignment horizontal="left" indent="1"/>
    </xf>
    <xf numFmtId="0" fontId="48" fillId="2" borderId="0" xfId="0" applyFont="1" applyFill="1" applyAlignment="1">
      <alignment horizontal="left" indent="1"/>
    </xf>
    <xf numFmtId="49" fontId="15" fillId="0" borderId="0" xfId="0" applyNumberFormat="1" applyFont="1" applyAlignment="1">
      <alignment horizontal="left"/>
    </xf>
    <xf numFmtId="0" fontId="48" fillId="0" borderId="0" xfId="0" applyFont="1"/>
    <xf numFmtId="0" fontId="46" fillId="0" borderId="315" xfId="0" applyFont="1" applyBorder="1" applyAlignment="1">
      <alignment horizontal="center" vertical="center" wrapText="1"/>
    </xf>
    <xf numFmtId="0" fontId="46" fillId="0" borderId="316" xfId="0" applyFont="1" applyBorder="1" applyAlignment="1">
      <alignment horizontal="center" vertical="center" wrapText="1"/>
    </xf>
    <xf numFmtId="0" fontId="46" fillId="0" borderId="317" xfId="0" applyFont="1" applyBorder="1" applyAlignment="1">
      <alignment horizontal="center" vertical="center" wrapText="1"/>
    </xf>
    <xf numFmtId="0" fontId="46" fillId="0" borderId="210" xfId="0" applyFont="1" applyBorder="1" applyAlignment="1">
      <alignment horizontal="center" vertical="center" wrapText="1"/>
    </xf>
    <xf numFmtId="0" fontId="46" fillId="0" borderId="0" xfId="0" applyFont="1" applyAlignment="1">
      <alignment horizontal="center" vertical="center" wrapText="1"/>
    </xf>
    <xf numFmtId="0" fontId="46" fillId="0" borderId="211" xfId="0" applyFont="1" applyBorder="1" applyAlignment="1">
      <alignment horizontal="center" vertical="center" wrapText="1"/>
    </xf>
    <xf numFmtId="168" fontId="46" fillId="0" borderId="212" xfId="0" applyNumberFormat="1" applyFont="1" applyBorder="1" applyAlignment="1">
      <alignment horizontal="center"/>
    </xf>
    <xf numFmtId="168" fontId="46" fillId="0" borderId="213" xfId="0" applyNumberFormat="1" applyFont="1" applyBorder="1" applyAlignment="1">
      <alignment horizontal="center"/>
    </xf>
    <xf numFmtId="168" fontId="46" fillId="0" borderId="214" xfId="0" applyNumberFormat="1" applyFont="1" applyBorder="1" applyAlignment="1">
      <alignment horizontal="center"/>
    </xf>
    <xf numFmtId="49" fontId="15" fillId="0" borderId="0" xfId="0" applyNumberFormat="1" applyFont="1" applyAlignment="1">
      <alignment horizontal="left" indent="4" shrinkToFit="1"/>
    </xf>
    <xf numFmtId="164" fontId="123" fillId="0" borderId="0" xfId="0" applyNumberFormat="1" applyFont="1" applyAlignment="1">
      <alignment horizontal="left"/>
    </xf>
    <xf numFmtId="0" fontId="15" fillId="0" borderId="328" xfId="0" applyFont="1" applyBorder="1" applyAlignment="1">
      <alignment horizontal="center" vertical="center"/>
    </xf>
    <xf numFmtId="0" fontId="15" fillId="0" borderId="123" xfId="0" applyFont="1" applyBorder="1" applyAlignment="1">
      <alignment horizontal="center" vertical="center"/>
    </xf>
    <xf numFmtId="0" fontId="15" fillId="0" borderId="326" xfId="0" applyFont="1" applyBorder="1" applyAlignment="1">
      <alignment horizontal="center" vertical="center"/>
    </xf>
    <xf numFmtId="0" fontId="15" fillId="0" borderId="68" xfId="0" applyFont="1" applyBorder="1" applyAlignment="1">
      <alignment horizontal="center"/>
    </xf>
    <xf numFmtId="0" fontId="48" fillId="2" borderId="31" xfId="0" applyFont="1" applyFill="1" applyBorder="1" applyAlignment="1">
      <alignment horizontal="center"/>
    </xf>
    <xf numFmtId="0" fontId="15" fillId="0" borderId="120" xfId="0" applyFont="1" applyBorder="1" applyAlignment="1">
      <alignment horizontal="center" vertical="center"/>
    </xf>
    <xf numFmtId="0" fontId="15" fillId="0" borderId="121" xfId="0" applyFont="1" applyBorder="1" applyAlignment="1">
      <alignment horizontal="center" vertical="center"/>
    </xf>
    <xf numFmtId="0" fontId="15" fillId="0" borderId="329" xfId="0" applyFont="1" applyBorder="1" applyAlignment="1">
      <alignment horizontal="center" vertical="center"/>
    </xf>
    <xf numFmtId="0" fontId="15" fillId="0" borderId="0" xfId="0" applyFont="1" applyAlignment="1">
      <alignment horizontal="left" indent="4" shrinkToFit="1"/>
    </xf>
    <xf numFmtId="0" fontId="73" fillId="0" borderId="10" xfId="0" applyFont="1" applyBorder="1" applyAlignment="1">
      <alignment horizontal="right" vertical="top"/>
    </xf>
    <xf numFmtId="0" fontId="0" fillId="0" borderId="10" xfId="0" applyBorder="1" applyAlignment="1">
      <alignment horizontal="left"/>
    </xf>
    <xf numFmtId="0" fontId="0" fillId="0" borderId="22" xfId="0" applyBorder="1" applyAlignment="1">
      <alignment horizontal="left"/>
    </xf>
    <xf numFmtId="0" fontId="28" fillId="2" borderId="11" xfId="0" applyFont="1" applyFill="1" applyBorder="1" applyAlignment="1">
      <alignment horizontal="center" vertical="center"/>
    </xf>
    <xf numFmtId="0" fontId="0" fillId="0" borderId="10" xfId="0" applyBorder="1" applyAlignment="1">
      <alignment horizontal="center" vertical="center"/>
    </xf>
    <xf numFmtId="0" fontId="0" fillId="0" borderId="10" xfId="0" applyBorder="1" applyAlignment="1">
      <alignment vertical="center"/>
    </xf>
    <xf numFmtId="0" fontId="0" fillId="0" borderId="22" xfId="0" applyBorder="1" applyAlignment="1">
      <alignment vertical="center"/>
    </xf>
    <xf numFmtId="0" fontId="15" fillId="0" borderId="68" xfId="0" applyFont="1" applyBorder="1" applyAlignment="1">
      <alignment horizontal="center" wrapText="1"/>
    </xf>
    <xf numFmtId="0" fontId="48" fillId="2" borderId="31" xfId="0" applyFont="1" applyFill="1" applyBorder="1" applyAlignment="1">
      <alignment horizontal="center" wrapText="1"/>
    </xf>
    <xf numFmtId="0" fontId="0" fillId="0" borderId="31" xfId="0" applyBorder="1" applyAlignment="1">
      <alignment horizontal="center"/>
    </xf>
    <xf numFmtId="0" fontId="9" fillId="2" borderId="0" xfId="0" applyFont="1" applyFill="1" applyAlignment="1">
      <alignment horizontal="center" vertical="center" wrapText="1"/>
    </xf>
    <xf numFmtId="0" fontId="0" fillId="0" borderId="0" xfId="0" applyAlignment="1">
      <alignment wrapText="1"/>
    </xf>
    <xf numFmtId="0" fontId="0" fillId="0" borderId="16" xfId="0" applyBorder="1" applyAlignment="1">
      <alignment wrapText="1"/>
    </xf>
    <xf numFmtId="0" fontId="119" fillId="0" borderId="105" xfId="0" applyFont="1" applyBorder="1" applyAlignment="1" applyProtection="1">
      <alignment horizontal="left" vertical="center"/>
      <protection locked="0"/>
    </xf>
    <xf numFmtId="0" fontId="119" fillId="0" borderId="103" xfId="0" applyFont="1" applyBorder="1" applyAlignment="1" applyProtection="1">
      <alignment horizontal="left" vertical="center"/>
      <protection locked="0"/>
    </xf>
    <xf numFmtId="0" fontId="119" fillId="0" borderId="106" xfId="0" applyFont="1" applyBorder="1" applyAlignment="1" applyProtection="1">
      <alignment horizontal="left" vertical="center"/>
      <protection locked="0"/>
    </xf>
    <xf numFmtId="0" fontId="119" fillId="0" borderId="307" xfId="0" applyFont="1" applyBorder="1" applyAlignment="1" applyProtection="1">
      <alignment horizontal="left" vertical="center"/>
      <protection locked="0"/>
    </xf>
    <xf numFmtId="0" fontId="119" fillId="0" borderId="107" xfId="0" applyFont="1" applyBorder="1" applyAlignment="1" applyProtection="1">
      <alignment horizontal="left" vertical="center"/>
      <protection locked="0"/>
    </xf>
    <xf numFmtId="0" fontId="119" fillId="0" borderId="158" xfId="0" applyFont="1" applyBorder="1" applyAlignment="1" applyProtection="1">
      <alignment horizontal="left" vertical="center"/>
      <protection locked="0"/>
    </xf>
    <xf numFmtId="0" fontId="119" fillId="0" borderId="324" xfId="0" applyFont="1" applyBorder="1" applyAlignment="1" applyProtection="1">
      <alignment horizontal="left" vertical="center"/>
      <protection locked="0"/>
    </xf>
    <xf numFmtId="0" fontId="119" fillId="0" borderId="120" xfId="0" applyFont="1" applyBorder="1" applyAlignment="1" applyProtection="1">
      <alignment horizontal="left" vertical="center"/>
      <protection locked="0"/>
    </xf>
    <xf numFmtId="0" fontId="119" fillId="0" borderId="121" xfId="0" applyFont="1" applyBorder="1" applyAlignment="1" applyProtection="1">
      <alignment horizontal="left" vertical="center"/>
      <protection locked="0"/>
    </xf>
    <xf numFmtId="0" fontId="119" fillId="0" borderId="222" xfId="0" applyFont="1" applyBorder="1" applyAlignment="1" applyProtection="1">
      <alignment horizontal="left" vertical="center"/>
      <protection locked="0"/>
    </xf>
    <xf numFmtId="0" fontId="119" fillId="0" borderId="219" xfId="0" applyFont="1" applyBorder="1" applyAlignment="1" applyProtection="1">
      <alignment horizontal="left" vertical="center"/>
      <protection locked="0"/>
    </xf>
    <xf numFmtId="0" fontId="119" fillId="0" borderId="288" xfId="0" applyFont="1" applyBorder="1" applyAlignment="1" applyProtection="1">
      <alignment horizontal="left" vertical="center"/>
      <protection locked="0"/>
    </xf>
    <xf numFmtId="0" fontId="28" fillId="0" borderId="0" xfId="0" applyFont="1" applyAlignment="1">
      <alignment horizontal="left" indent="4" shrinkToFit="1"/>
    </xf>
    <xf numFmtId="0" fontId="48" fillId="0" borderId="82" xfId="0" applyFont="1" applyBorder="1" applyAlignment="1">
      <alignment horizontal="center" vertical="center"/>
    </xf>
    <xf numFmtId="0" fontId="48" fillId="0" borderId="63" xfId="0" applyFont="1" applyBorder="1" applyAlignment="1">
      <alignment horizontal="center" vertical="center"/>
    </xf>
    <xf numFmtId="0" fontId="15" fillId="0" borderId="62" xfId="0" applyFont="1" applyBorder="1" applyAlignment="1">
      <alignment horizontal="center" vertical="center"/>
    </xf>
    <xf numFmtId="0" fontId="122" fillId="0" borderId="10" xfId="0" applyFont="1" applyBorder="1"/>
    <xf numFmtId="0" fontId="122" fillId="0" borderId="22" xfId="0" applyFont="1" applyBorder="1"/>
    <xf numFmtId="49" fontId="15" fillId="0" borderId="0" xfId="0" applyNumberFormat="1" applyFont="1"/>
    <xf numFmtId="0" fontId="46" fillId="0" borderId="207" xfId="0" applyFont="1" applyBorder="1" applyAlignment="1">
      <alignment horizontal="center" vertical="center" wrapText="1"/>
    </xf>
    <xf numFmtId="0" fontId="46" fillId="0" borderId="208" xfId="0" applyFont="1" applyBorder="1" applyAlignment="1">
      <alignment horizontal="center" vertical="center" wrapText="1"/>
    </xf>
    <xf numFmtId="0" fontId="46" fillId="0" borderId="209" xfId="0" applyFont="1" applyBorder="1" applyAlignment="1">
      <alignment horizontal="center" vertical="center" wrapText="1"/>
    </xf>
    <xf numFmtId="168" fontId="46" fillId="0" borderId="212" xfId="0" applyNumberFormat="1" applyFont="1" applyBorder="1" applyAlignment="1">
      <alignment horizontal="center" vertical="center"/>
    </xf>
    <xf numFmtId="168" fontId="46" fillId="0" borderId="213" xfId="0" applyNumberFormat="1" applyFont="1" applyBorder="1" applyAlignment="1">
      <alignment horizontal="center" vertical="center"/>
    </xf>
    <xf numFmtId="168" fontId="46" fillId="0" borderId="214" xfId="0" applyNumberFormat="1" applyFont="1" applyBorder="1" applyAlignment="1">
      <alignment horizontal="center" vertical="center"/>
    </xf>
    <xf numFmtId="0" fontId="15" fillId="0" borderId="0" xfId="0" applyFont="1" applyAlignment="1">
      <alignment horizontal="left" indent="2"/>
    </xf>
    <xf numFmtId="0" fontId="28" fillId="2" borderId="68" xfId="0" applyFont="1" applyFill="1" applyBorder="1" applyAlignment="1">
      <alignment horizontal="center" wrapText="1"/>
    </xf>
    <xf numFmtId="0" fontId="28" fillId="0" borderId="223" xfId="0" applyFont="1" applyBorder="1" applyAlignment="1">
      <alignment horizontal="center" wrapText="1"/>
    </xf>
    <xf numFmtId="0" fontId="28" fillId="0" borderId="31" xfId="0" applyFont="1" applyBorder="1" applyAlignment="1">
      <alignment horizontal="center" wrapText="1"/>
    </xf>
    <xf numFmtId="0" fontId="15" fillId="0" borderId="68" xfId="0" applyFont="1" applyBorder="1" applyAlignment="1">
      <alignment horizontal="center" vertical="center"/>
    </xf>
    <xf numFmtId="0" fontId="15" fillId="0" borderId="31" xfId="0" applyFont="1" applyBorder="1" applyAlignment="1">
      <alignment horizontal="center" vertical="center"/>
    </xf>
    <xf numFmtId="0" fontId="73" fillId="0" borderId="11" xfId="0" applyFont="1" applyBorder="1" applyAlignment="1">
      <alignment horizontal="right" vertical="top"/>
    </xf>
    <xf numFmtId="0" fontId="4" fillId="2" borderId="216" xfId="0" applyFont="1" applyFill="1" applyBorder="1" applyAlignment="1">
      <alignment horizontal="center" vertical="center" wrapText="1"/>
    </xf>
    <xf numFmtId="0" fontId="0" fillId="0" borderId="206" xfId="0" applyBorder="1" applyAlignment="1">
      <alignment horizontal="center" vertical="center"/>
    </xf>
    <xf numFmtId="0" fontId="0" fillId="0" borderId="215" xfId="0" applyBorder="1" applyAlignment="1">
      <alignment horizontal="center" vertical="center"/>
    </xf>
    <xf numFmtId="0" fontId="0" fillId="0" borderId="109" xfId="0" applyBorder="1" applyAlignment="1">
      <alignment horizontal="center" vertical="center"/>
    </xf>
    <xf numFmtId="0" fontId="0" fillId="0" borderId="0" xfId="0"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16" xfId="0" applyBorder="1" applyAlignment="1">
      <alignment horizontal="center" vertical="center"/>
    </xf>
    <xf numFmtId="0" fontId="0" fillId="0" borderId="43" xfId="0" applyBorder="1" applyAlignment="1">
      <alignment horizontal="center" vertical="center"/>
    </xf>
    <xf numFmtId="0" fontId="15" fillId="0" borderId="11" xfId="0" applyFont="1" applyBorder="1" applyAlignment="1">
      <alignment horizontal="center" vertical="center"/>
    </xf>
    <xf numFmtId="0" fontId="15" fillId="0" borderId="10" xfId="0" applyFont="1" applyBorder="1" applyAlignment="1">
      <alignment horizontal="center" vertical="center"/>
    </xf>
    <xf numFmtId="0" fontId="15" fillId="0" borderId="22" xfId="0" applyFont="1" applyBorder="1" applyAlignment="1">
      <alignment horizontal="center" vertical="center"/>
    </xf>
    <xf numFmtId="0" fontId="15" fillId="0" borderId="226" xfId="0" applyFont="1" applyBorder="1" applyAlignment="1" applyProtection="1">
      <alignment horizontal="center" vertical="center" wrapText="1"/>
      <protection hidden="1"/>
    </xf>
    <xf numFmtId="0" fontId="0" fillId="0" borderId="119" xfId="0" applyBorder="1" applyAlignment="1">
      <alignment wrapText="1"/>
    </xf>
    <xf numFmtId="0" fontId="0" fillId="0" borderId="51" xfId="0" applyBorder="1" applyAlignment="1">
      <alignment wrapText="1"/>
    </xf>
    <xf numFmtId="0" fontId="0" fillId="0" borderId="99" xfId="0" applyBorder="1" applyAlignment="1">
      <alignment wrapText="1"/>
    </xf>
    <xf numFmtId="0" fontId="0" fillId="0" borderId="53" xfId="0" applyBorder="1" applyAlignment="1">
      <alignment wrapText="1"/>
    </xf>
    <xf numFmtId="0" fontId="47" fillId="0" borderId="99" xfId="0" applyFont="1" applyBorder="1" applyAlignment="1">
      <alignment horizontal="center" wrapText="1"/>
    </xf>
    <xf numFmtId="0" fontId="47" fillId="0" borderId="391" xfId="0" applyFont="1" applyBorder="1" applyAlignment="1">
      <alignment horizontal="center" wrapText="1"/>
    </xf>
    <xf numFmtId="0" fontId="47" fillId="0" borderId="0" xfId="0" applyFont="1" applyAlignment="1">
      <alignment horizontal="center" wrapText="1"/>
    </xf>
    <xf numFmtId="0" fontId="47" fillId="0" borderId="299" xfId="0" applyFont="1" applyBorder="1" applyAlignment="1">
      <alignment horizontal="center" wrapText="1"/>
    </xf>
    <xf numFmtId="0" fontId="71" fillId="21" borderId="0" xfId="0" applyFont="1" applyFill="1" applyAlignment="1" applyProtection="1">
      <alignment horizontal="left"/>
      <protection locked="0"/>
    </xf>
    <xf numFmtId="0" fontId="0" fillId="0" borderId="0" xfId="0" applyProtection="1">
      <protection locked="0"/>
    </xf>
    <xf numFmtId="0" fontId="14" fillId="0" borderId="50" xfId="0" applyFont="1" applyBorder="1" applyAlignment="1" applyProtection="1">
      <alignment horizontal="center" vertical="center"/>
      <protection hidden="1"/>
    </xf>
    <xf numFmtId="0" fontId="7" fillId="0" borderId="119" xfId="0" applyFont="1" applyBorder="1" applyProtection="1">
      <protection hidden="1"/>
    </xf>
    <xf numFmtId="0" fontId="0" fillId="0" borderId="119" xfId="0" applyBorder="1"/>
    <xf numFmtId="0" fontId="0" fillId="0" borderId="51" xfId="0" applyBorder="1"/>
    <xf numFmtId="0" fontId="7" fillId="0" borderId="52" xfId="0" applyFont="1" applyBorder="1" applyProtection="1">
      <protection hidden="1"/>
    </xf>
    <xf numFmtId="0" fontId="7" fillId="0" borderId="0" xfId="0" applyFont="1" applyProtection="1">
      <protection hidden="1"/>
    </xf>
    <xf numFmtId="0" fontId="0" fillId="0" borderId="0" xfId="0"/>
    <xf numFmtId="0" fontId="0" fillId="0" borderId="53" xfId="0" applyBorder="1"/>
    <xf numFmtId="0" fontId="4" fillId="5" borderId="52" xfId="0" applyFont="1" applyFill="1" applyBorder="1" applyProtection="1">
      <protection hidden="1"/>
    </xf>
    <xf numFmtId="0" fontId="0" fillId="0" borderId="135" xfId="0" applyBorder="1"/>
    <xf numFmtId="0" fontId="0" fillId="0" borderId="100" xfId="0" applyBorder="1"/>
    <xf numFmtId="0" fontId="0" fillId="0" borderId="136" xfId="0" applyBorder="1"/>
    <xf numFmtId="0" fontId="142" fillId="0" borderId="395" xfId="0" applyFont="1" applyBorder="1" applyAlignment="1">
      <alignment horizontal="center" vertical="center"/>
    </xf>
    <xf numFmtId="0" fontId="142" fillId="0" borderId="396" xfId="0" applyFont="1" applyBorder="1" applyAlignment="1">
      <alignment horizontal="center" vertical="center"/>
    </xf>
    <xf numFmtId="0" fontId="0" fillId="0" borderId="397" xfId="0" applyBorder="1" applyAlignment="1">
      <alignment horizontal="center" vertical="center"/>
    </xf>
    <xf numFmtId="0" fontId="142" fillId="0" borderId="32" xfId="0" applyFont="1" applyBorder="1" applyAlignment="1">
      <alignment horizontal="center" vertical="center"/>
    </xf>
    <xf numFmtId="0" fontId="142" fillId="0" borderId="31" xfId="0" applyFont="1" applyBorder="1" applyAlignment="1">
      <alignment horizontal="center" vertical="center"/>
    </xf>
    <xf numFmtId="0" fontId="0" fillId="0" borderId="270" xfId="0" applyBorder="1" applyAlignment="1">
      <alignment horizontal="center" vertical="center"/>
    </xf>
    <xf numFmtId="0" fontId="7" fillId="0" borderId="131" xfId="0" applyFont="1" applyBorder="1" applyProtection="1">
      <protection hidden="1"/>
    </xf>
    <xf numFmtId="0" fontId="7" fillId="0" borderId="132" xfId="0" applyFont="1" applyBorder="1" applyProtection="1">
      <protection hidden="1"/>
    </xf>
    <xf numFmtId="0" fontId="0" fillId="0" borderId="132" xfId="0" applyBorder="1"/>
    <xf numFmtId="0" fontId="0" fillId="0" borderId="133" xfId="0" applyBorder="1"/>
    <xf numFmtId="0" fontId="4" fillId="0" borderId="50" xfId="0" applyFont="1" applyBorder="1" applyProtection="1">
      <protection hidden="1"/>
    </xf>
    <xf numFmtId="0" fontId="0" fillId="0" borderId="52" xfId="0" applyBorder="1"/>
    <xf numFmtId="0" fontId="4" fillId="14" borderId="131" xfId="0" applyFont="1" applyFill="1" applyBorder="1" applyProtection="1">
      <protection hidden="1"/>
    </xf>
    <xf numFmtId="0" fontId="0" fillId="14" borderId="133" xfId="0" applyFill="1" applyBorder="1"/>
    <xf numFmtId="0" fontId="4" fillId="14" borderId="0" xfId="0" applyFont="1" applyFill="1" applyProtection="1">
      <protection hidden="1"/>
    </xf>
    <xf numFmtId="0" fontId="0" fillId="14" borderId="0" xfId="0" applyFill="1"/>
    <xf numFmtId="0" fontId="0" fillId="14" borderId="53" xfId="0" applyFill="1" applyBorder="1"/>
    <xf numFmtId="0" fontId="0" fillId="0" borderId="227" xfId="0" applyBorder="1"/>
    <xf numFmtId="0" fontId="0" fillId="0" borderId="99" xfId="0" applyBorder="1"/>
    <xf numFmtId="0" fontId="0" fillId="0" borderId="47" xfId="0" applyBorder="1"/>
    <xf numFmtId="0" fontId="28" fillId="0" borderId="235" xfId="0" applyFont="1" applyBorder="1" applyAlignment="1" applyProtection="1">
      <alignment horizontal="center" wrapText="1"/>
      <protection hidden="1"/>
    </xf>
    <xf numFmtId="0" fontId="28" fillId="0" borderId="30" xfId="0" applyFont="1" applyBorder="1" applyAlignment="1" applyProtection="1">
      <alignment horizontal="center" wrapText="1"/>
      <protection hidden="1"/>
    </xf>
    <xf numFmtId="0" fontId="28" fillId="0" borderId="139" xfId="0" applyFont="1" applyBorder="1" applyAlignment="1" applyProtection="1">
      <alignment horizontal="center" wrapText="1"/>
      <protection hidden="1"/>
    </xf>
    <xf numFmtId="0" fontId="28" fillId="0" borderId="277" xfId="0" applyFont="1" applyBorder="1" applyAlignment="1" applyProtection="1">
      <alignment horizontal="center" wrapText="1"/>
      <protection hidden="1"/>
    </xf>
    <xf numFmtId="0" fontId="72" fillId="0" borderId="257" xfId="0" applyFont="1" applyBorder="1" applyAlignment="1">
      <alignment horizontal="center" vertical="center" textRotation="255"/>
    </xf>
    <xf numFmtId="0" fontId="72" fillId="0" borderId="256" xfId="0" applyFont="1" applyBorder="1" applyAlignment="1">
      <alignment horizontal="center" vertical="center" textRotation="255"/>
    </xf>
    <xf numFmtId="0" fontId="72" fillId="0" borderId="263" xfId="0" applyFont="1" applyBorder="1" applyAlignment="1">
      <alignment horizontal="center" vertical="center"/>
    </xf>
    <xf numFmtId="0" fontId="72" fillId="0" borderId="311" xfId="0" applyFont="1" applyBorder="1" applyAlignment="1">
      <alignment horizontal="center" vertical="center"/>
    </xf>
    <xf numFmtId="0" fontId="72" fillId="0" borderId="262" xfId="0" applyFont="1" applyBorder="1" applyAlignment="1">
      <alignment horizontal="center" vertical="center"/>
    </xf>
    <xf numFmtId="0" fontId="72" fillId="0" borderId="310" xfId="0" applyFont="1" applyBorder="1" applyAlignment="1">
      <alignment horizontal="center" vertical="center"/>
    </xf>
    <xf numFmtId="0" fontId="72" fillId="0" borderId="326" xfId="0" applyFont="1" applyBorder="1" applyAlignment="1">
      <alignment horizontal="center" vertical="center"/>
    </xf>
    <xf numFmtId="0" fontId="72" fillId="0" borderId="332" xfId="0" applyFont="1" applyBorder="1" applyAlignment="1">
      <alignment horizontal="center" vertical="center"/>
    </xf>
    <xf numFmtId="0" fontId="72" fillId="0" borderId="327" xfId="0" applyFont="1" applyBorder="1" applyAlignment="1">
      <alignment horizontal="center" vertical="center"/>
    </xf>
    <xf numFmtId="0" fontId="72" fillId="0" borderId="263" xfId="0" applyFont="1" applyBorder="1" applyAlignment="1">
      <alignment horizontal="center" vertical="center" wrapText="1"/>
    </xf>
    <xf numFmtId="0" fontId="72" fillId="0" borderId="262" xfId="0" applyFont="1" applyBorder="1" applyAlignment="1">
      <alignment horizontal="center" vertical="center" wrapText="1"/>
    </xf>
    <xf numFmtId="0" fontId="72" fillId="0" borderId="337" xfId="0" applyFont="1" applyBorder="1" applyAlignment="1">
      <alignment horizontal="center"/>
    </xf>
    <xf numFmtId="0" fontId="72" fillId="0" borderId="332" xfId="0" applyFont="1" applyBorder="1" applyAlignment="1">
      <alignment horizontal="center"/>
    </xf>
    <xf numFmtId="0" fontId="72" fillId="0" borderId="338" xfId="0" applyFont="1" applyBorder="1" applyAlignment="1">
      <alignment horizontal="center"/>
    </xf>
    <xf numFmtId="0" fontId="72" fillId="0" borderId="336" xfId="0" applyFont="1" applyBorder="1" applyAlignment="1">
      <alignment horizontal="center" vertical="center"/>
    </xf>
    <xf numFmtId="0" fontId="72" fillId="0" borderId="330" xfId="0" applyFont="1" applyBorder="1" applyAlignment="1">
      <alignment horizontal="center" vertical="center"/>
    </xf>
    <xf numFmtId="0" fontId="72" fillId="0" borderId="324" xfId="0" applyFont="1" applyBorder="1" applyAlignment="1">
      <alignment horizontal="center" vertical="center"/>
    </xf>
    <xf numFmtId="0" fontId="72" fillId="0" borderId="333" xfId="0" applyFont="1" applyBorder="1" applyAlignment="1">
      <alignment horizontal="center" vertical="center"/>
    </xf>
    <xf numFmtId="0" fontId="72" fillId="0" borderId="312" xfId="0" applyFont="1" applyBorder="1" applyAlignment="1">
      <alignment horizontal="center" vertical="center"/>
    </xf>
    <xf numFmtId="0" fontId="72" fillId="0" borderId="125" xfId="0" applyFont="1" applyBorder="1" applyAlignment="1">
      <alignment horizontal="center" vertical="center"/>
    </xf>
    <xf numFmtId="0" fontId="28" fillId="0" borderId="230" xfId="0" applyFont="1" applyBorder="1" applyAlignment="1" applyProtection="1">
      <alignment horizontal="center" vertical="center" wrapText="1"/>
      <protection hidden="1"/>
    </xf>
    <xf numFmtId="0" fontId="28" fillId="0" borderId="259" xfId="0" applyFont="1" applyBorder="1" applyAlignment="1" applyProtection="1">
      <alignment horizontal="center" vertical="center" wrapText="1"/>
      <protection hidden="1"/>
    </xf>
    <xf numFmtId="0" fontId="48" fillId="0" borderId="230" xfId="0" applyFont="1" applyBorder="1" applyAlignment="1" applyProtection="1">
      <alignment horizontal="center" wrapText="1"/>
      <protection hidden="1"/>
    </xf>
    <xf numFmtId="0" fontId="28" fillId="0" borderId="114" xfId="0" applyFont="1" applyBorder="1" applyAlignment="1" applyProtection="1">
      <alignment horizontal="center" wrapText="1"/>
      <protection hidden="1"/>
    </xf>
    <xf numFmtId="0" fontId="48" fillId="0" borderId="259" xfId="0" applyFont="1" applyBorder="1" applyAlignment="1" applyProtection="1">
      <alignment horizontal="center" wrapText="1"/>
      <protection hidden="1"/>
    </xf>
    <xf numFmtId="0" fontId="28" fillId="0" borderId="260" xfId="0" applyFont="1" applyBorder="1" applyAlignment="1" applyProtection="1">
      <alignment horizontal="center" wrapText="1"/>
      <protection hidden="1"/>
    </xf>
    <xf numFmtId="0" fontId="28" fillId="0" borderId="223" xfId="0" applyFont="1" applyBorder="1" applyAlignment="1" applyProtection="1">
      <alignment horizontal="center" wrapText="1"/>
      <protection hidden="1"/>
    </xf>
    <xf numFmtId="0" fontId="28" fillId="0" borderId="236" xfId="0" applyFont="1" applyBorder="1" applyAlignment="1" applyProtection="1">
      <alignment horizontal="center" wrapText="1"/>
      <protection hidden="1"/>
    </xf>
    <xf numFmtId="0" fontId="28" fillId="0" borderId="113" xfId="0" applyFont="1" applyBorder="1" applyAlignment="1" applyProtection="1">
      <alignment horizontal="center" wrapText="1"/>
      <protection hidden="1"/>
    </xf>
    <xf numFmtId="0" fontId="28" fillId="0" borderId="230" xfId="0" applyFont="1" applyBorder="1" applyAlignment="1" applyProtection="1">
      <alignment horizontal="center" wrapText="1"/>
      <protection hidden="1"/>
    </xf>
    <xf numFmtId="0" fontId="28" fillId="0" borderId="261" xfId="0" applyFont="1" applyBorder="1" applyAlignment="1" applyProtection="1">
      <alignment horizontal="center" wrapText="1"/>
      <protection hidden="1"/>
    </xf>
    <xf numFmtId="0" fontId="28" fillId="0" borderId="259" xfId="0" applyFont="1" applyBorder="1" applyAlignment="1" applyProtection="1">
      <alignment horizontal="center" wrapText="1"/>
      <protection hidden="1"/>
    </xf>
    <xf numFmtId="0" fontId="28" fillId="0" borderId="0" xfId="0" applyFont="1" applyAlignment="1">
      <alignment horizontal="center" vertical="center" wrapText="1"/>
    </xf>
    <xf numFmtId="0" fontId="28" fillId="0" borderId="53" xfId="0" applyFont="1" applyBorder="1" applyAlignment="1">
      <alignment horizontal="center" vertical="center" wrapText="1"/>
    </xf>
    <xf numFmtId="0" fontId="48" fillId="0" borderId="115" xfId="0" applyFont="1" applyBorder="1" applyAlignment="1" applyProtection="1">
      <alignment horizontal="center"/>
      <protection hidden="1"/>
    </xf>
    <xf numFmtId="0" fontId="28" fillId="0" borderId="223" xfId="0" applyFont="1" applyBorder="1" applyAlignment="1" applyProtection="1">
      <alignment horizontal="center"/>
      <protection hidden="1"/>
    </xf>
    <xf numFmtId="0" fontId="28" fillId="0" borderId="258" xfId="0" applyFont="1" applyBorder="1" applyAlignment="1" applyProtection="1">
      <alignment horizontal="center" wrapText="1"/>
      <protection hidden="1"/>
    </xf>
    <xf numFmtId="0" fontId="84" fillId="0" borderId="217" xfId="0" applyFont="1" applyBorder="1" applyAlignment="1" applyProtection="1">
      <alignment horizontal="center"/>
      <protection hidden="1"/>
    </xf>
    <xf numFmtId="0" fontId="0" fillId="0" borderId="283" xfId="0" applyBorder="1" applyAlignment="1">
      <alignment horizontal="center"/>
    </xf>
    <xf numFmtId="0" fontId="0" fillId="0" borderId="218" xfId="0" applyBorder="1" applyAlignment="1">
      <alignment horizontal="center"/>
    </xf>
    <xf numFmtId="0" fontId="47" fillId="0" borderId="228" xfId="0" applyFont="1" applyBorder="1" applyAlignment="1" applyProtection="1">
      <alignment horizontal="center" wrapText="1"/>
      <protection hidden="1"/>
    </xf>
    <xf numFmtId="0" fontId="156" fillId="0" borderId="229" xfId="0" applyFont="1" applyBorder="1" applyAlignment="1">
      <alignment wrapText="1"/>
    </xf>
    <xf numFmtId="0" fontId="156" fillId="0" borderId="230" xfId="0" applyFont="1" applyBorder="1" applyAlignment="1">
      <alignment wrapText="1"/>
    </xf>
    <xf numFmtId="0" fontId="48" fillId="0" borderId="231" xfId="0" applyFont="1" applyBorder="1" applyAlignment="1" applyProtection="1">
      <alignment horizontal="center" wrapText="1"/>
      <protection hidden="1"/>
    </xf>
    <xf numFmtId="0" fontId="0" fillId="0" borderId="232" xfId="0" applyBorder="1" applyAlignment="1">
      <alignment wrapText="1"/>
    </xf>
    <xf numFmtId="0" fontId="0" fillId="0" borderId="233" xfId="0" applyBorder="1" applyAlignment="1">
      <alignment wrapText="1"/>
    </xf>
    <xf numFmtId="0" fontId="47" fillId="0" borderId="223" xfId="0" applyFont="1" applyBorder="1" applyAlignment="1" applyProtection="1">
      <alignment horizontal="center" wrapText="1"/>
      <protection hidden="1"/>
    </xf>
    <xf numFmtId="0" fontId="47" fillId="0" borderId="236" xfId="0" applyFont="1" applyBorder="1" applyAlignment="1" applyProtection="1">
      <alignment horizontal="center" wrapText="1"/>
      <protection hidden="1"/>
    </xf>
    <xf numFmtId="0" fontId="47" fillId="0" borderId="258" xfId="0" applyFont="1" applyBorder="1" applyAlignment="1" applyProtection="1">
      <alignment horizontal="center" wrapText="1"/>
      <protection hidden="1"/>
    </xf>
    <xf numFmtId="0" fontId="47" fillId="0" borderId="113" xfId="0" applyFont="1" applyBorder="1" applyAlignment="1" applyProtection="1">
      <alignment horizontal="center" wrapText="1"/>
      <protection hidden="1"/>
    </xf>
    <xf numFmtId="0" fontId="47" fillId="0" borderId="230" xfId="0" applyFont="1" applyBorder="1" applyAlignment="1" applyProtection="1">
      <alignment horizontal="center" vertical="center" wrapText="1"/>
      <protection hidden="1"/>
    </xf>
    <xf numFmtId="0" fontId="47" fillId="0" borderId="259" xfId="0" applyFont="1" applyBorder="1" applyAlignment="1" applyProtection="1">
      <alignment horizontal="center" vertical="center" wrapText="1"/>
      <protection hidden="1"/>
    </xf>
    <xf numFmtId="0" fontId="47" fillId="0" borderId="230" xfId="0" applyFont="1" applyBorder="1" applyAlignment="1" applyProtection="1">
      <alignment horizontal="center" wrapText="1"/>
      <protection hidden="1"/>
    </xf>
    <xf numFmtId="0" fontId="47" fillId="0" borderId="259" xfId="0" applyFont="1" applyBorder="1" applyAlignment="1" applyProtection="1">
      <alignment horizontal="center" wrapText="1"/>
      <protection hidden="1"/>
    </xf>
    <xf numFmtId="0" fontId="47" fillId="0" borderId="0" xfId="0" applyFont="1" applyAlignment="1">
      <alignment horizontal="center" vertical="center" wrapText="1"/>
    </xf>
    <xf numFmtId="0" fontId="47" fillId="0" borderId="53" xfId="0" applyFont="1" applyBorder="1" applyAlignment="1">
      <alignment horizontal="center" vertical="center" wrapText="1"/>
    </xf>
    <xf numFmtId="0" fontId="48" fillId="0" borderId="0" xfId="0" applyFont="1" applyAlignment="1" applyProtection="1">
      <alignment horizontal="center" wrapText="1"/>
      <protection hidden="1"/>
    </xf>
    <xf numFmtId="0" fontId="16" fillId="5" borderId="50" xfId="0" applyFont="1" applyFill="1" applyBorder="1" applyAlignment="1" applyProtection="1">
      <alignment horizontal="center" vertical="center"/>
      <protection hidden="1"/>
    </xf>
    <xf numFmtId="0" fontId="6" fillId="0" borderId="119" xfId="0" applyFont="1" applyBorder="1"/>
    <xf numFmtId="0" fontId="6" fillId="0" borderId="51" xfId="0" applyFont="1" applyBorder="1"/>
    <xf numFmtId="0" fontId="6" fillId="0" borderId="52" xfId="0" applyFont="1" applyBorder="1"/>
    <xf numFmtId="0" fontId="6" fillId="0" borderId="0" xfId="0" applyFont="1"/>
    <xf numFmtId="0" fontId="6" fillId="0" borderId="53" xfId="0" applyFont="1" applyBorder="1"/>
    <xf numFmtId="0" fontId="6" fillId="0" borderId="131" xfId="0" applyFont="1" applyBorder="1"/>
    <xf numFmtId="0" fontId="6" fillId="0" borderId="132" xfId="0" applyFont="1" applyBorder="1"/>
    <xf numFmtId="0" fontId="6" fillId="0" borderId="133" xfId="0" applyFont="1" applyBorder="1"/>
    <xf numFmtId="0" fontId="84" fillId="2" borderId="33" xfId="0" applyFont="1" applyFill="1" applyBorder="1" applyAlignment="1" applyProtection="1">
      <alignment horizontal="center" wrapText="1"/>
      <protection hidden="1"/>
    </xf>
    <xf numFmtId="0" fontId="84" fillId="0" borderId="102" xfId="0" applyFont="1" applyBorder="1" applyAlignment="1" applyProtection="1">
      <alignment wrapText="1"/>
      <protection hidden="1"/>
    </xf>
    <xf numFmtId="0" fontId="84" fillId="2" borderId="281" xfId="0" applyFont="1" applyFill="1" applyBorder="1" applyAlignment="1" applyProtection="1">
      <alignment horizontal="center"/>
      <protection hidden="1"/>
    </xf>
    <xf numFmtId="0" fontId="85" fillId="2" borderId="57" xfId="0" applyFont="1" applyFill="1" applyBorder="1" applyAlignment="1" applyProtection="1">
      <alignment horizontal="center"/>
      <protection hidden="1"/>
    </xf>
    <xf numFmtId="0" fontId="84" fillId="2" borderId="56" xfId="0" applyFont="1" applyFill="1" applyBorder="1" applyAlignment="1" applyProtection="1">
      <alignment horizontal="center" wrapText="1"/>
      <protection hidden="1"/>
    </xf>
    <xf numFmtId="0" fontId="84" fillId="0" borderId="33" xfId="0" applyFont="1" applyBorder="1" applyAlignment="1" applyProtection="1">
      <alignment wrapText="1"/>
      <protection hidden="1"/>
    </xf>
    <xf numFmtId="0" fontId="6" fillId="5" borderId="119" xfId="0" applyFont="1" applyFill="1" applyBorder="1" applyProtection="1">
      <protection hidden="1"/>
    </xf>
    <xf numFmtId="0" fontId="6" fillId="5" borderId="52" xfId="0" applyFont="1" applyFill="1" applyBorder="1" applyProtection="1">
      <protection hidden="1"/>
    </xf>
    <xf numFmtId="0" fontId="6" fillId="5" borderId="0" xfId="0" applyFont="1" applyFill="1" applyProtection="1">
      <protection hidden="1"/>
    </xf>
    <xf numFmtId="0" fontId="84" fillId="0" borderId="57" xfId="0" applyFont="1" applyBorder="1" applyAlignment="1" applyProtection="1">
      <alignment horizontal="center"/>
      <protection hidden="1"/>
    </xf>
    <xf numFmtId="0" fontId="84" fillId="2" borderId="281" xfId="0" applyFont="1" applyFill="1" applyBorder="1" applyAlignment="1" applyProtection="1">
      <alignment horizontal="center" wrapText="1"/>
      <protection hidden="1"/>
    </xf>
    <xf numFmtId="0" fontId="84" fillId="0" borderId="57" xfId="0" applyFont="1" applyBorder="1" applyAlignment="1" applyProtection="1">
      <alignment horizontal="center" wrapText="1"/>
      <protection hidden="1"/>
    </xf>
    <xf numFmtId="0" fontId="9" fillId="2" borderId="11" xfId="0" applyFont="1" applyFill="1" applyBorder="1" applyAlignment="1">
      <alignment horizontal="center"/>
    </xf>
    <xf numFmtId="0" fontId="9" fillId="0" borderId="10" xfId="0" applyFont="1" applyBorder="1"/>
    <xf numFmtId="0" fontId="9" fillId="0" borderId="22" xfId="0" applyFont="1" applyBorder="1"/>
    <xf numFmtId="0" fontId="84" fillId="2" borderId="18" xfId="0" applyFont="1" applyFill="1" applyBorder="1" applyAlignment="1" applyProtection="1">
      <alignment horizontal="center" wrapText="1"/>
      <protection hidden="1"/>
    </xf>
    <xf numFmtId="0" fontId="84" fillId="2" borderId="260" xfId="0" applyFont="1" applyFill="1" applyBorder="1" applyAlignment="1" applyProtection="1">
      <alignment wrapText="1"/>
      <protection hidden="1"/>
    </xf>
    <xf numFmtId="0" fontId="84" fillId="2" borderId="13" xfId="0" applyFont="1" applyFill="1" applyBorder="1" applyAlignment="1" applyProtection="1">
      <alignment horizontal="center" vertical="center" wrapText="1"/>
      <protection hidden="1"/>
    </xf>
    <xf numFmtId="0" fontId="84" fillId="2" borderId="102" xfId="0" applyFont="1" applyFill="1" applyBorder="1" applyAlignment="1" applyProtection="1">
      <alignment horizontal="center" vertical="center" wrapText="1"/>
      <protection hidden="1"/>
    </xf>
    <xf numFmtId="0" fontId="84" fillId="2" borderId="17" xfId="0" applyFont="1" applyFill="1" applyBorder="1" applyAlignment="1" applyProtection="1">
      <alignment horizontal="center" vertical="center" wrapText="1"/>
      <protection hidden="1"/>
    </xf>
    <xf numFmtId="0" fontId="84" fillId="2" borderId="261" xfId="0" applyFont="1" applyFill="1" applyBorder="1" applyAlignment="1" applyProtection="1">
      <alignment horizontal="center" vertical="center" wrapText="1"/>
      <protection hidden="1"/>
    </xf>
    <xf numFmtId="0" fontId="84" fillId="2" borderId="102" xfId="0" applyFont="1" applyFill="1" applyBorder="1" applyAlignment="1" applyProtection="1">
      <alignment wrapText="1"/>
      <protection hidden="1"/>
    </xf>
    <xf numFmtId="0" fontId="84" fillId="2" borderId="204" xfId="0" applyFont="1" applyFill="1" applyBorder="1" applyAlignment="1" applyProtection="1">
      <alignment horizontal="center"/>
      <protection hidden="1"/>
    </xf>
    <xf numFmtId="0" fontId="84" fillId="0" borderId="282" xfId="0" applyFont="1" applyBorder="1" applyAlignment="1" applyProtection="1">
      <alignment horizontal="center"/>
      <protection hidden="1"/>
    </xf>
    <xf numFmtId="0" fontId="84" fillId="0" borderId="205" xfId="0" applyFont="1" applyBorder="1" applyAlignment="1" applyProtection="1">
      <alignment horizontal="center"/>
      <protection hidden="1"/>
    </xf>
    <xf numFmtId="0" fontId="28" fillId="0" borderId="252" xfId="0" applyFont="1" applyBorder="1" applyAlignment="1" applyProtection="1">
      <alignment horizontal="center" vertical="center" wrapText="1"/>
      <protection hidden="1"/>
    </xf>
    <xf numFmtId="0" fontId="48" fillId="0" borderId="253" xfId="0" applyFont="1" applyBorder="1" applyAlignment="1" applyProtection="1">
      <alignment horizontal="center" vertical="center" wrapText="1"/>
      <protection hidden="1"/>
    </xf>
    <xf numFmtId="0" fontId="48" fillId="0" borderId="239" xfId="0" applyFont="1" applyBorder="1" applyAlignment="1" applyProtection="1">
      <alignment horizontal="center" vertical="center" wrapText="1"/>
      <protection hidden="1"/>
    </xf>
    <xf numFmtId="0" fontId="48" fillId="0" borderId="245" xfId="0" applyFont="1" applyBorder="1" applyAlignment="1" applyProtection="1">
      <alignment horizontal="center" vertical="center" wrapText="1"/>
      <protection hidden="1"/>
    </xf>
    <xf numFmtId="0" fontId="48" fillId="0" borderId="319" xfId="0" applyFont="1" applyBorder="1" applyAlignment="1" applyProtection="1">
      <alignment horizontal="center" vertical="center" wrapText="1"/>
      <protection hidden="1"/>
    </xf>
    <xf numFmtId="0" fontId="28" fillId="0" borderId="102" xfId="0" applyFont="1" applyBorder="1" applyAlignment="1" applyProtection="1">
      <alignment horizontal="center" vertical="center" wrapText="1"/>
      <protection hidden="1"/>
    </xf>
    <xf numFmtId="0" fontId="28" fillId="0" borderId="33" xfId="0" applyFont="1" applyBorder="1" applyAlignment="1" applyProtection="1">
      <alignment horizontal="center" vertical="center" wrapText="1"/>
      <protection hidden="1"/>
    </xf>
    <xf numFmtId="0" fontId="73" fillId="0" borderId="12" xfId="0" applyFont="1" applyBorder="1" applyAlignment="1">
      <alignment horizontal="right" vertical="top"/>
    </xf>
    <xf numFmtId="0" fontId="73" fillId="0" borderId="0" xfId="0" applyFont="1" applyAlignment="1">
      <alignment horizontal="right"/>
    </xf>
    <xf numFmtId="0" fontId="73" fillId="0" borderId="0" xfId="0" applyFont="1"/>
    <xf numFmtId="49" fontId="15" fillId="0" borderId="0" xfId="0" applyNumberFormat="1" applyFont="1" applyAlignment="1">
      <alignment horizontal="left" indent="3"/>
    </xf>
    <xf numFmtId="0" fontId="15" fillId="0" borderId="0" xfId="0" applyFont="1" applyAlignment="1">
      <alignment horizontal="left" indent="3"/>
    </xf>
    <xf numFmtId="0" fontId="48" fillId="0" borderId="16" xfId="0" applyFont="1" applyBorder="1"/>
    <xf numFmtId="0" fontId="123" fillId="0" borderId="0" xfId="0" applyFont="1" applyAlignment="1" applyProtection="1">
      <alignment horizontal="left"/>
      <protection locked="0"/>
    </xf>
    <xf numFmtId="0" fontId="71" fillId="0" borderId="0" xfId="0" applyFont="1" applyAlignment="1">
      <alignment horizontal="left"/>
    </xf>
    <xf numFmtId="0" fontId="15" fillId="0" borderId="0" xfId="0" applyFont="1" applyAlignment="1">
      <alignment horizontal="left"/>
    </xf>
    <xf numFmtId="0" fontId="72" fillId="0" borderId="62" xfId="0" applyFont="1" applyBorder="1" applyAlignment="1">
      <alignment horizontal="center" vertical="center" wrapText="1"/>
    </xf>
    <xf numFmtId="0" fontId="72" fillId="0" borderId="82" xfId="0" applyFont="1" applyBorder="1" applyAlignment="1">
      <alignment horizontal="center" vertical="center" wrapText="1"/>
    </xf>
    <xf numFmtId="0" fontId="72" fillId="0" borderId="120" xfId="0" applyFont="1" applyBorder="1" applyAlignment="1">
      <alignment horizontal="center" vertical="center"/>
    </xf>
    <xf numFmtId="0" fontId="85" fillId="0" borderId="328" xfId="0" applyFont="1" applyBorder="1" applyAlignment="1">
      <alignment horizontal="center" vertical="center"/>
    </xf>
    <xf numFmtId="0" fontId="85" fillId="0" borderId="329" xfId="0" applyFont="1" applyBorder="1" applyAlignment="1">
      <alignment horizontal="center" vertical="center"/>
    </xf>
    <xf numFmtId="0" fontId="72" fillId="0" borderId="331" xfId="0" applyFont="1" applyBorder="1" applyAlignment="1">
      <alignment horizontal="center" vertical="center" wrapText="1"/>
    </xf>
    <xf numFmtId="0" fontId="72" fillId="0" borderId="80" xfId="0" applyFont="1" applyBorder="1" applyAlignment="1">
      <alignment horizontal="center" vertical="center"/>
    </xf>
    <xf numFmtId="0" fontId="72" fillId="0" borderId="82" xfId="0" applyFont="1" applyBorder="1" applyAlignment="1">
      <alignment horizontal="center" vertical="center"/>
    </xf>
    <xf numFmtId="0" fontId="72" fillId="0" borderId="328" xfId="0" applyFont="1" applyBorder="1" applyAlignment="1">
      <alignment horizontal="center" vertical="center"/>
    </xf>
    <xf numFmtId="0" fontId="72" fillId="0" borderId="123" xfId="0" applyFont="1" applyBorder="1" applyAlignment="1">
      <alignment horizontal="center" vertical="center"/>
    </xf>
    <xf numFmtId="0" fontId="72" fillId="0" borderId="329" xfId="0" applyFont="1" applyBorder="1" applyAlignment="1">
      <alignment horizontal="center" vertical="center"/>
    </xf>
    <xf numFmtId="0" fontId="72" fillId="0" borderId="12" xfId="0" applyFont="1" applyBorder="1" applyAlignment="1">
      <alignment horizontal="center" vertical="center" wrapText="1"/>
    </xf>
    <xf numFmtId="0" fontId="9" fillId="0" borderId="301" xfId="0" applyFont="1" applyBorder="1" applyAlignment="1">
      <alignment horizontal="center"/>
    </xf>
    <xf numFmtId="168" fontId="46" fillId="0" borderId="300" xfId="0" applyNumberFormat="1" applyFont="1" applyBorder="1" applyAlignment="1">
      <alignment horizontal="center"/>
    </xf>
    <xf numFmtId="168" fontId="46" fillId="0" borderId="301" xfId="0" applyNumberFormat="1" applyFont="1" applyBorder="1" applyAlignment="1">
      <alignment horizontal="center"/>
    </xf>
    <xf numFmtId="168" fontId="46" fillId="0" borderId="302" xfId="0" applyNumberFormat="1" applyFont="1" applyBorder="1" applyAlignment="1">
      <alignment horizontal="center"/>
    </xf>
    <xf numFmtId="49" fontId="15" fillId="0" borderId="0" xfId="0" applyNumberFormat="1" applyFont="1" applyAlignment="1">
      <alignment horizontal="left" indent="3" shrinkToFit="1"/>
    </xf>
    <xf numFmtId="0" fontId="122" fillId="0" borderId="12" xfId="0" applyFont="1" applyBorder="1" applyAlignment="1">
      <alignment horizontal="left"/>
    </xf>
    <xf numFmtId="0" fontId="72" fillId="0" borderId="331" xfId="0" applyFont="1" applyBorder="1" applyAlignment="1">
      <alignment horizontal="center" vertical="center"/>
    </xf>
    <xf numFmtId="3" fontId="122" fillId="0" borderId="16" xfId="0" applyNumberFormat="1" applyFont="1" applyBorder="1" applyAlignment="1">
      <alignment horizontal="center"/>
    </xf>
    <xf numFmtId="0" fontId="7" fillId="0" borderId="41" xfId="0" applyFont="1" applyBorder="1" applyAlignment="1" applyProtection="1">
      <alignment horizontal="center" vertical="center" wrapText="1"/>
      <protection hidden="1"/>
    </xf>
    <xf numFmtId="0" fontId="34" fillId="0" borderId="43" xfId="0" applyFont="1" applyBorder="1" applyAlignment="1" applyProtection="1">
      <alignment horizontal="center" vertical="center" wrapText="1"/>
      <protection hidden="1"/>
    </xf>
    <xf numFmtId="0" fontId="34" fillId="0" borderId="269" xfId="0" applyFont="1" applyBorder="1" applyAlignment="1" applyProtection="1">
      <alignment horizontal="center" vertical="center" wrapText="1"/>
      <protection hidden="1"/>
    </xf>
    <xf numFmtId="0" fontId="34" fillId="0" borderId="241" xfId="0" applyFont="1" applyBorder="1" applyAlignment="1" applyProtection="1">
      <alignment horizontal="center" vertical="center" wrapText="1"/>
      <protection hidden="1"/>
    </xf>
    <xf numFmtId="0" fontId="7" fillId="0" borderId="31" xfId="0" applyFont="1" applyBorder="1" applyAlignment="1" applyProtection="1">
      <alignment horizontal="center" vertical="center" wrapText="1"/>
      <protection hidden="1"/>
    </xf>
    <xf numFmtId="0" fontId="34" fillId="0" borderId="13" xfId="0" applyFont="1" applyBorder="1" applyAlignment="1" applyProtection="1">
      <alignment horizontal="center" vertical="center" wrapText="1"/>
      <protection hidden="1"/>
    </xf>
    <xf numFmtId="0" fontId="7" fillId="0" borderId="247" xfId="0" applyFont="1" applyBorder="1" applyAlignment="1" applyProtection="1">
      <alignment horizontal="center" vertical="center" wrapText="1"/>
      <protection hidden="1"/>
    </xf>
    <xf numFmtId="0" fontId="34" fillId="0" borderId="246" xfId="0" applyFont="1" applyBorder="1" applyAlignment="1" applyProtection="1">
      <alignment horizontal="center" vertical="center" wrapText="1"/>
      <protection hidden="1"/>
    </xf>
    <xf numFmtId="0" fontId="7" fillId="0" borderId="270" xfId="0" applyFont="1" applyBorder="1" applyAlignment="1" applyProtection="1">
      <alignment horizontal="center" vertical="center" wrapText="1"/>
      <protection hidden="1"/>
    </xf>
    <xf numFmtId="0" fontId="34" fillId="0" borderId="271" xfId="0" applyFont="1" applyBorder="1" applyAlignment="1" applyProtection="1">
      <alignment horizontal="center" vertical="center" wrapText="1"/>
      <protection hidden="1"/>
    </xf>
    <xf numFmtId="0" fontId="7" fillId="0" borderId="359" xfId="0" applyFont="1" applyBorder="1" applyAlignment="1" applyProtection="1">
      <alignment horizontal="center" wrapText="1"/>
      <protection hidden="1"/>
    </xf>
    <xf numFmtId="0" fontId="34" fillId="0" borderId="364" xfId="0" applyFont="1" applyBorder="1" applyAlignment="1" applyProtection="1">
      <alignment horizontal="center" wrapText="1"/>
      <protection hidden="1"/>
    </xf>
    <xf numFmtId="0" fontId="14" fillId="0" borderId="267" xfId="0" applyFont="1" applyBorder="1" applyAlignment="1" applyProtection="1">
      <alignment horizontal="center" vertical="center" wrapText="1"/>
      <protection hidden="1"/>
    </xf>
    <xf numFmtId="0" fontId="14" fillId="0" borderId="268" xfId="0" applyFont="1" applyBorder="1" applyAlignment="1" applyProtection="1">
      <alignment horizontal="center" vertical="center" wrapText="1"/>
      <protection hidden="1"/>
    </xf>
    <xf numFmtId="0" fontId="7" fillId="0" borderId="249" xfId="0" applyFont="1" applyBorder="1" applyAlignment="1" applyProtection="1">
      <alignment horizontal="center" wrapText="1"/>
      <protection hidden="1"/>
    </xf>
    <xf numFmtId="0" fontId="34" fillId="0" borderId="250" xfId="0" applyFont="1" applyBorder="1" applyAlignment="1" applyProtection="1">
      <alignment horizontal="center" wrapText="1"/>
      <protection hidden="1"/>
    </xf>
    <xf numFmtId="0" fontId="28" fillId="8" borderId="83" xfId="0" applyFont="1" applyFill="1" applyBorder="1" applyAlignment="1" applyProtection="1">
      <alignment horizontal="center" wrapText="1"/>
      <protection hidden="1"/>
    </xf>
    <xf numFmtId="0" fontId="28" fillId="8" borderId="48" xfId="0" applyFont="1" applyFill="1" applyBorder="1" applyProtection="1">
      <protection hidden="1"/>
    </xf>
    <xf numFmtId="0" fontId="28" fillId="8" borderId="99" xfId="0" applyFont="1" applyFill="1" applyBorder="1" applyProtection="1">
      <protection hidden="1"/>
    </xf>
    <xf numFmtId="0" fontId="28" fillId="8" borderId="47" xfId="0" applyFont="1" applyFill="1" applyBorder="1" applyProtection="1">
      <protection hidden="1"/>
    </xf>
    <xf numFmtId="0" fontId="28" fillId="8" borderId="234" xfId="0" applyFont="1" applyFill="1" applyBorder="1" applyProtection="1">
      <protection hidden="1"/>
    </xf>
    <xf numFmtId="0" fontId="28" fillId="8" borderId="39" xfId="0" applyFont="1" applyFill="1" applyBorder="1" applyProtection="1">
      <protection hidden="1"/>
    </xf>
    <xf numFmtId="0" fontId="73" fillId="0" borderId="206" xfId="0" applyFont="1" applyBorder="1" applyAlignment="1">
      <alignment horizontal="center"/>
    </xf>
    <xf numFmtId="0" fontId="142" fillId="0" borderId="249" xfId="0" applyFont="1" applyBorder="1" applyAlignment="1">
      <alignment horizontal="center" vertical="center"/>
    </xf>
    <xf numFmtId="0" fontId="37" fillId="0" borderId="273" xfId="0" applyFont="1" applyBorder="1" applyAlignment="1" applyProtection="1">
      <alignment horizontal="center" vertical="center" wrapText="1"/>
      <protection hidden="1"/>
    </xf>
    <xf numFmtId="0" fontId="37" fillId="0" borderId="274" xfId="0" applyFont="1" applyBorder="1" applyAlignment="1" applyProtection="1">
      <alignment horizontal="center" vertical="center" wrapText="1"/>
      <protection hidden="1"/>
    </xf>
    <xf numFmtId="0" fontId="34" fillId="0" borderId="33" xfId="0" applyFont="1" applyBorder="1" applyAlignment="1" applyProtection="1">
      <alignment horizontal="center" vertical="center" wrapText="1"/>
      <protection hidden="1"/>
    </xf>
    <xf numFmtId="0" fontId="34" fillId="0" borderId="102" xfId="0" applyFont="1" applyBorder="1" applyAlignment="1" applyProtection="1">
      <alignment horizontal="center" vertical="center" wrapText="1"/>
      <protection hidden="1"/>
    </xf>
    <xf numFmtId="0" fontId="76" fillId="0" borderId="12" xfId="0" applyFont="1" applyBorder="1" applyAlignment="1">
      <alignment horizontal="center" vertical="center" wrapText="1"/>
    </xf>
    <xf numFmtId="0" fontId="77" fillId="0" borderId="12" xfId="0" applyFont="1" applyBorder="1" applyAlignment="1">
      <alignment horizontal="center" vertical="center" wrapText="1"/>
    </xf>
    <xf numFmtId="0" fontId="15" fillId="0" borderId="204" xfId="0" applyFont="1" applyBorder="1" applyAlignment="1" applyProtection="1">
      <alignment horizontal="center" vertical="center"/>
      <protection hidden="1"/>
    </xf>
    <xf numFmtId="0" fontId="15" fillId="0" borderId="205" xfId="0" applyFont="1" applyBorder="1" applyAlignment="1" applyProtection="1">
      <alignment horizontal="center" vertical="center"/>
      <protection hidden="1"/>
    </xf>
    <xf numFmtId="0" fontId="15" fillId="0" borderId="243" xfId="0" applyFont="1" applyBorder="1" applyAlignment="1" applyProtection="1">
      <alignment horizontal="center" vertical="center" wrapText="1"/>
      <protection hidden="1"/>
    </xf>
    <xf numFmtId="0" fontId="15" fillId="0" borderId="230" xfId="0" applyFont="1" applyBorder="1" applyAlignment="1" applyProtection="1">
      <alignment horizontal="center" vertical="center"/>
      <protection hidden="1"/>
    </xf>
    <xf numFmtId="0" fontId="15" fillId="0" borderId="243" xfId="0" applyFont="1" applyBorder="1" applyAlignment="1" applyProtection="1">
      <alignment horizontal="center" vertical="center"/>
      <protection hidden="1"/>
    </xf>
    <xf numFmtId="0" fontId="15" fillId="2" borderId="68" xfId="0" applyFont="1" applyFill="1" applyBorder="1" applyAlignment="1">
      <alignment horizontal="center" vertical="center" wrapText="1"/>
    </xf>
    <xf numFmtId="0" fontId="15" fillId="2" borderId="31" xfId="0" applyFont="1" applyFill="1" applyBorder="1" applyAlignment="1">
      <alignment horizontal="center" vertical="center" wrapText="1"/>
    </xf>
    <xf numFmtId="0" fontId="84" fillId="2" borderId="247" xfId="0" applyFont="1" applyFill="1" applyBorder="1" applyAlignment="1" applyProtection="1">
      <alignment horizontal="center" vertical="center" wrapText="1"/>
      <protection hidden="1"/>
    </xf>
    <xf numFmtId="0" fontId="84" fillId="2" borderId="246" xfId="0" applyFont="1" applyFill="1" applyBorder="1" applyAlignment="1" applyProtection="1">
      <alignment horizontal="center" vertical="center" wrapText="1"/>
      <protection hidden="1"/>
    </xf>
    <xf numFmtId="0" fontId="48" fillId="0" borderId="247" xfId="0" applyFont="1" applyBorder="1" applyAlignment="1" applyProtection="1">
      <alignment horizontal="center" vertical="center" wrapText="1"/>
      <protection hidden="1"/>
    </xf>
    <xf numFmtId="0" fontId="28" fillId="0" borderId="246" xfId="0" applyFont="1" applyBorder="1" applyAlignment="1" applyProtection="1">
      <alignment horizontal="center" vertical="center" wrapText="1"/>
      <protection hidden="1"/>
    </xf>
    <xf numFmtId="0" fontId="28" fillId="0" borderId="217" xfId="0" applyFont="1" applyBorder="1" applyAlignment="1" applyProtection="1">
      <alignment horizontal="center" vertical="center" wrapText="1"/>
      <protection hidden="1"/>
    </xf>
    <xf numFmtId="0" fontId="28" fillId="0" borderId="248" xfId="0" applyFont="1" applyBorder="1" applyAlignment="1" applyProtection="1">
      <alignment horizontal="center" vertical="center" wrapText="1"/>
      <protection hidden="1"/>
    </xf>
    <xf numFmtId="0" fontId="84" fillId="2" borderId="33" xfId="0" applyFont="1" applyFill="1" applyBorder="1" applyAlignment="1" applyProtection="1">
      <alignment wrapText="1"/>
      <protection hidden="1"/>
    </xf>
    <xf numFmtId="0" fontId="84" fillId="2" borderId="283" xfId="0" applyFont="1" applyFill="1" applyBorder="1" applyAlignment="1" applyProtection="1">
      <alignment horizontal="center" wrapText="1"/>
      <protection hidden="1"/>
    </xf>
    <xf numFmtId="0" fontId="84" fillId="2" borderId="284" xfId="0" applyFont="1" applyFill="1" applyBorder="1" applyAlignment="1" applyProtection="1">
      <alignment wrapText="1"/>
      <protection hidden="1"/>
    </xf>
    <xf numFmtId="0" fontId="84" fillId="2" borderId="217" xfId="0" applyFont="1" applyFill="1" applyBorder="1" applyAlignment="1" applyProtection="1">
      <alignment wrapText="1"/>
      <protection hidden="1"/>
    </xf>
    <xf numFmtId="0" fontId="84" fillId="2" borderId="217" xfId="0" applyFont="1" applyFill="1" applyBorder="1" applyAlignment="1" applyProtection="1">
      <alignment horizontal="center" wrapText="1"/>
      <protection hidden="1"/>
    </xf>
    <xf numFmtId="0" fontId="84" fillId="2" borderId="42" xfId="0" applyFont="1" applyFill="1" applyBorder="1" applyAlignment="1" applyProtection="1">
      <alignment horizontal="center" wrapText="1"/>
      <protection hidden="1"/>
    </xf>
    <xf numFmtId="0" fontId="84" fillId="2" borderId="13" xfId="0" applyFont="1" applyFill="1" applyBorder="1" applyAlignment="1" applyProtection="1">
      <alignment horizontal="center" wrapText="1"/>
      <protection hidden="1"/>
    </xf>
    <xf numFmtId="0" fontId="84" fillId="0" borderId="102" xfId="0" applyFont="1" applyBorder="1" applyAlignment="1" applyProtection="1">
      <alignment horizontal="center" wrapText="1"/>
      <protection hidden="1"/>
    </xf>
    <xf numFmtId="0" fontId="84" fillId="2" borderId="102" xfId="0" applyFont="1" applyFill="1" applyBorder="1" applyAlignment="1" applyProtection="1">
      <alignment horizontal="center" wrapText="1"/>
      <protection hidden="1"/>
    </xf>
    <xf numFmtId="0" fontId="84" fillId="0" borderId="33" xfId="0" applyFont="1" applyBorder="1" applyAlignment="1" applyProtection="1">
      <alignment horizontal="center" wrapText="1"/>
      <protection hidden="1"/>
    </xf>
    <xf numFmtId="0" fontId="48" fillId="2" borderId="237" xfId="0" applyFont="1" applyFill="1" applyBorder="1" applyAlignment="1" applyProtection="1">
      <alignment horizontal="center" wrapText="1"/>
      <protection hidden="1"/>
    </xf>
    <xf numFmtId="0" fontId="48" fillId="2" borderId="236" xfId="0" applyFont="1" applyFill="1" applyBorder="1" applyAlignment="1" applyProtection="1">
      <alignment horizontal="center" wrapText="1"/>
      <protection hidden="1"/>
    </xf>
    <xf numFmtId="0" fontId="48" fillId="2" borderId="224" xfId="0" applyFont="1" applyFill="1" applyBorder="1" applyAlignment="1" applyProtection="1">
      <alignment horizontal="center" wrapText="1"/>
      <protection hidden="1"/>
    </xf>
    <xf numFmtId="0" fontId="48" fillId="2" borderId="114" xfId="0" applyFont="1" applyFill="1" applyBorder="1" applyAlignment="1" applyProtection="1">
      <alignment horizontal="center" wrapText="1"/>
      <protection hidden="1"/>
    </xf>
    <xf numFmtId="0" fontId="4" fillId="2" borderId="13" xfId="0" applyFont="1" applyFill="1" applyBorder="1" applyAlignment="1" applyProtection="1">
      <alignment horizontal="center" wrapText="1"/>
      <protection hidden="1"/>
    </xf>
    <xf numFmtId="0" fontId="0" fillId="0" borderId="102" xfId="0" applyBorder="1"/>
    <xf numFmtId="0" fontId="48" fillId="2" borderId="21" xfId="0" applyFont="1" applyFill="1" applyBorder="1" applyAlignment="1" applyProtection="1">
      <alignment horizontal="center" wrapText="1"/>
      <protection hidden="1"/>
    </xf>
    <xf numFmtId="0" fontId="48" fillId="2" borderId="17" xfId="0" applyFont="1" applyFill="1" applyBorder="1" applyAlignment="1" applyProtection="1">
      <alignment horizontal="center" wrapText="1"/>
      <protection hidden="1"/>
    </xf>
    <xf numFmtId="0" fontId="34" fillId="2" borderId="238" xfId="0" applyFont="1" applyFill="1" applyBorder="1" applyAlignment="1" applyProtection="1">
      <alignment horizontal="center" wrapText="1"/>
      <protection hidden="1"/>
    </xf>
    <xf numFmtId="0" fontId="34" fillId="2" borderId="239" xfId="0" applyFont="1" applyFill="1" applyBorder="1" applyAlignment="1" applyProtection="1">
      <alignment horizontal="center" wrapText="1"/>
      <protection hidden="1"/>
    </xf>
    <xf numFmtId="0" fontId="0" fillId="2" borderId="240" xfId="0" applyFill="1" applyBorder="1" applyAlignment="1" applyProtection="1">
      <alignment horizontal="center" wrapText="1"/>
      <protection hidden="1"/>
    </xf>
    <xf numFmtId="0" fontId="0" fillId="2" borderId="113" xfId="0" applyFill="1" applyBorder="1" applyAlignment="1" applyProtection="1">
      <alignment horizontal="center" wrapText="1"/>
      <protection hidden="1"/>
    </xf>
    <xf numFmtId="178" fontId="0" fillId="2" borderId="68" xfId="0" applyNumberFormat="1" applyFill="1" applyBorder="1" applyAlignment="1" applyProtection="1">
      <alignment horizontal="center" wrapText="1"/>
      <protection hidden="1"/>
    </xf>
    <xf numFmtId="178" fontId="0" fillId="2" borderId="236" xfId="0" applyNumberFormat="1" applyFill="1" applyBorder="1" applyAlignment="1" applyProtection="1">
      <alignment horizontal="center" wrapText="1"/>
      <protection hidden="1"/>
    </xf>
    <xf numFmtId="178" fontId="47" fillId="2" borderId="68" xfId="0" applyNumberFormat="1" applyFont="1" applyFill="1" applyBorder="1" applyAlignment="1" applyProtection="1">
      <alignment horizontal="center" wrapText="1"/>
      <protection hidden="1"/>
    </xf>
    <xf numFmtId="178" fontId="47" fillId="2" borderId="236" xfId="0" applyNumberFormat="1" applyFont="1" applyFill="1" applyBorder="1" applyAlignment="1" applyProtection="1">
      <alignment horizontal="center" wrapText="1"/>
      <protection hidden="1"/>
    </xf>
    <xf numFmtId="178" fontId="0" fillId="2" borderId="241" xfId="0" applyNumberFormat="1" applyFill="1" applyBorder="1" applyAlignment="1" applyProtection="1">
      <alignment horizontal="center" wrapText="1"/>
      <protection hidden="1"/>
    </xf>
    <xf numFmtId="0" fontId="0" fillId="2" borderId="242" xfId="0" applyFill="1" applyBorder="1" applyAlignment="1" applyProtection="1">
      <alignment horizontal="center" wrapText="1"/>
      <protection hidden="1"/>
    </xf>
    <xf numFmtId="0" fontId="48" fillId="2" borderId="224" xfId="0" applyFont="1" applyFill="1" applyBorder="1" applyAlignment="1">
      <alignment horizontal="center" vertical="center"/>
    </xf>
    <xf numFmtId="0" fontId="48" fillId="2" borderId="225" xfId="0" applyFont="1" applyFill="1" applyBorder="1" applyAlignment="1">
      <alignment horizontal="center" vertical="center"/>
    </xf>
    <xf numFmtId="0" fontId="84" fillId="2" borderId="42" xfId="0" applyFont="1" applyFill="1" applyBorder="1" applyAlignment="1" applyProtection="1">
      <alignment horizontal="center" vertical="center" wrapText="1"/>
      <protection hidden="1"/>
    </xf>
    <xf numFmtId="0" fontId="84" fillId="2" borderId="242" xfId="0" applyFont="1" applyFill="1" applyBorder="1" applyAlignment="1" applyProtection="1">
      <alignment horizontal="center" vertical="center" wrapText="1"/>
      <protection hidden="1"/>
    </xf>
    <xf numFmtId="0" fontId="84" fillId="2" borderId="37" xfId="0" applyFont="1" applyFill="1" applyBorder="1" applyAlignment="1" applyProtection="1">
      <alignment horizontal="center" vertical="center" wrapText="1"/>
      <protection hidden="1"/>
    </xf>
    <xf numFmtId="1" fontId="0" fillId="2" borderId="68" xfId="0" applyNumberFormat="1" applyFill="1" applyBorder="1" applyAlignment="1" applyProtection="1">
      <alignment horizontal="center" wrapText="1"/>
      <protection hidden="1"/>
    </xf>
    <xf numFmtId="1" fontId="0" fillId="2" borderId="236" xfId="0" applyNumberFormat="1" applyFill="1" applyBorder="1" applyAlignment="1" applyProtection="1">
      <alignment horizontal="center" wrapText="1"/>
      <protection hidden="1"/>
    </xf>
    <xf numFmtId="0" fontId="113" fillId="2" borderId="0" xfId="0" applyFont="1" applyFill="1" applyAlignment="1" applyProtection="1">
      <alignment horizontal="center"/>
      <protection hidden="1"/>
    </xf>
    <xf numFmtId="0" fontId="125" fillId="0" borderId="0" xfId="0" applyFont="1" applyAlignment="1">
      <alignment horizontal="center"/>
    </xf>
    <xf numFmtId="0" fontId="7" fillId="0" borderId="1" xfId="0" applyFont="1" applyBorder="1" applyAlignment="1" applyProtection="1">
      <alignment horizontal="center" wrapText="1"/>
      <protection hidden="1"/>
    </xf>
    <xf numFmtId="0" fontId="34" fillId="0" borderId="363" xfId="0" applyFont="1" applyBorder="1" applyAlignment="1" applyProtection="1">
      <alignment horizontal="center" wrapText="1"/>
      <protection hidden="1"/>
    </xf>
    <xf numFmtId="0" fontId="11" fillId="6" borderId="50" xfId="0" applyFont="1" applyFill="1" applyBorder="1" applyAlignment="1" applyProtection="1">
      <alignment horizontal="center" vertical="center" wrapText="1"/>
      <protection hidden="1"/>
    </xf>
    <xf numFmtId="0" fontId="0" fillId="0" borderId="52" xfId="0" applyBorder="1" applyAlignment="1">
      <alignment wrapText="1"/>
    </xf>
    <xf numFmtId="0" fontId="0" fillId="0" borderId="131" xfId="0" applyBorder="1" applyAlignment="1">
      <alignment wrapText="1"/>
    </xf>
    <xf numFmtId="0" fontId="0" fillId="0" borderId="132" xfId="0" applyBorder="1" applyAlignment="1">
      <alignment wrapText="1"/>
    </xf>
    <xf numFmtId="0" fontId="0" fillId="0" borderId="133" xfId="0" applyBorder="1" applyAlignment="1">
      <alignment wrapText="1"/>
    </xf>
    <xf numFmtId="0" fontId="3" fillId="22" borderId="370" xfId="0" applyFont="1" applyFill="1" applyBorder="1" applyAlignment="1" applyProtection="1">
      <alignment horizontal="center" wrapText="1"/>
      <protection hidden="1"/>
    </xf>
    <xf numFmtId="0" fontId="0" fillId="0" borderId="372" xfId="0" applyBorder="1" applyAlignment="1">
      <alignment horizontal="center" wrapText="1"/>
    </xf>
    <xf numFmtId="0" fontId="3" fillId="22" borderId="371" xfId="0" applyFont="1" applyFill="1" applyBorder="1" applyAlignment="1" applyProtection="1">
      <alignment horizontal="center" wrapText="1"/>
      <protection hidden="1"/>
    </xf>
    <xf numFmtId="0" fontId="0" fillId="0" borderId="373" xfId="0" applyBorder="1" applyAlignment="1">
      <alignment horizontal="center" wrapText="1"/>
    </xf>
    <xf numFmtId="0" fontId="9" fillId="2" borderId="83" xfId="0" applyFont="1" applyFill="1" applyBorder="1" applyAlignment="1" applyProtection="1">
      <alignment horizontal="center" vertical="center" wrapText="1"/>
      <protection hidden="1"/>
    </xf>
    <xf numFmtId="0" fontId="9" fillId="2" borderId="45" xfId="0" applyFont="1" applyFill="1" applyBorder="1" applyAlignment="1" applyProtection="1">
      <alignment horizontal="center" vertical="center"/>
      <protection hidden="1"/>
    </xf>
    <xf numFmtId="0" fontId="9" fillId="2" borderId="48" xfId="0" applyFont="1" applyFill="1" applyBorder="1" applyAlignment="1" applyProtection="1">
      <alignment horizontal="center" vertical="center"/>
      <protection hidden="1"/>
    </xf>
    <xf numFmtId="0" fontId="9" fillId="2" borderId="275" xfId="0" applyFont="1" applyFill="1" applyBorder="1" applyAlignment="1" applyProtection="1">
      <alignment horizontal="center" vertical="center"/>
      <protection hidden="1"/>
    </xf>
    <xf numFmtId="0" fontId="9" fillId="2" borderId="100" xfId="0" applyFont="1" applyFill="1" applyBorder="1" applyAlignment="1" applyProtection="1">
      <alignment horizontal="center" vertical="center"/>
      <protection hidden="1"/>
    </xf>
    <xf numFmtId="0" fontId="9" fillId="2" borderId="276" xfId="0" applyFont="1" applyFill="1" applyBorder="1" applyAlignment="1" applyProtection="1">
      <alignment horizontal="center" vertical="center"/>
      <protection hidden="1"/>
    </xf>
    <xf numFmtId="0" fontId="4" fillId="22" borderId="371" xfId="0" applyFont="1" applyFill="1" applyBorder="1" applyAlignment="1" applyProtection="1">
      <alignment horizontal="center" wrapText="1"/>
      <protection hidden="1"/>
    </xf>
    <xf numFmtId="0" fontId="34" fillId="0" borderId="217" xfId="0" applyFont="1" applyBorder="1" applyAlignment="1" applyProtection="1">
      <alignment horizontal="center" vertical="center" wrapText="1"/>
      <protection hidden="1"/>
    </xf>
    <xf numFmtId="0" fontId="34" fillId="0" borderId="248" xfId="0" applyFont="1" applyBorder="1" applyAlignment="1" applyProtection="1">
      <alignment horizontal="center" vertical="center" wrapText="1"/>
      <protection hidden="1"/>
    </xf>
    <xf numFmtId="0" fontId="7" fillId="0" borderId="252" xfId="0" applyFont="1" applyBorder="1" applyAlignment="1" applyProtection="1">
      <alignment horizontal="center" vertical="center" wrapText="1"/>
      <protection hidden="1"/>
    </xf>
    <xf numFmtId="0" fontId="34" fillId="0" borderId="253" xfId="0" applyFont="1" applyBorder="1" applyAlignment="1" applyProtection="1">
      <alignment horizontal="center" vertical="center" wrapText="1"/>
      <protection hidden="1"/>
    </xf>
    <xf numFmtId="0" fontId="34" fillId="0" borderId="239" xfId="0" applyFont="1" applyBorder="1" applyAlignment="1" applyProtection="1">
      <alignment horizontal="center" vertical="center" wrapText="1"/>
      <protection hidden="1"/>
    </xf>
    <xf numFmtId="0" fontId="34" fillId="0" borderId="245" xfId="0" applyFont="1" applyBorder="1" applyAlignment="1" applyProtection="1">
      <alignment horizontal="center" vertical="center" wrapText="1"/>
      <protection hidden="1"/>
    </xf>
    <xf numFmtId="0" fontId="0" fillId="0" borderId="371" xfId="0" applyBorder="1" applyAlignment="1">
      <alignment horizontal="center" wrapText="1"/>
    </xf>
    <xf numFmtId="0" fontId="15" fillId="0" borderId="50" xfId="0" applyFont="1" applyBorder="1" applyAlignment="1" applyProtection="1">
      <alignment horizontal="center" vertical="center" wrapText="1"/>
      <protection hidden="1"/>
    </xf>
    <xf numFmtId="0" fontId="47" fillId="0" borderId="235" xfId="0" applyFont="1" applyBorder="1" applyAlignment="1" applyProtection="1">
      <alignment horizontal="center" wrapText="1"/>
      <protection hidden="1"/>
    </xf>
    <xf numFmtId="0" fontId="47" fillId="0" borderId="390" xfId="0" applyFont="1" applyBorder="1" applyAlignment="1" applyProtection="1">
      <alignment horizontal="center" wrapText="1"/>
      <protection hidden="1"/>
    </xf>
    <xf numFmtId="0" fontId="15" fillId="8" borderId="280" xfId="0" applyFont="1" applyFill="1" applyBorder="1" applyAlignment="1" applyProtection="1">
      <alignment horizontal="center" vertical="center" wrapText="1"/>
      <protection hidden="1"/>
    </xf>
    <xf numFmtId="0" fontId="15" fillId="8" borderId="233" xfId="0" applyFont="1" applyFill="1" applyBorder="1" applyAlignment="1" applyProtection="1">
      <alignment horizontal="center" vertical="center" wrapText="1"/>
      <protection hidden="1"/>
    </xf>
    <xf numFmtId="0" fontId="84" fillId="2" borderId="272" xfId="0" applyFont="1" applyFill="1" applyBorder="1" applyAlignment="1" applyProtection="1">
      <alignment horizontal="center" wrapText="1"/>
      <protection hidden="1"/>
    </xf>
    <xf numFmtId="0" fontId="84" fillId="2" borderId="264" xfId="0" applyFont="1" applyFill="1" applyBorder="1" applyAlignment="1" applyProtection="1">
      <alignment horizontal="center" wrapText="1"/>
      <protection hidden="1"/>
    </xf>
    <xf numFmtId="0" fontId="84" fillId="2" borderId="265" xfId="0" applyFont="1" applyFill="1" applyBorder="1" applyAlignment="1" applyProtection="1">
      <alignment horizontal="center" wrapText="1"/>
      <protection hidden="1"/>
    </xf>
    <xf numFmtId="0" fontId="84" fillId="2" borderId="266" xfId="0" applyFont="1" applyFill="1" applyBorder="1" applyAlignment="1" applyProtection="1">
      <alignment horizontal="center" wrapText="1"/>
      <protection hidden="1"/>
    </xf>
    <xf numFmtId="0" fontId="84" fillId="2" borderId="54" xfId="0" applyFont="1" applyFill="1" applyBorder="1" applyAlignment="1" applyProtection="1">
      <alignment horizontal="center" wrapText="1"/>
      <protection hidden="1"/>
    </xf>
    <xf numFmtId="0" fontId="84" fillId="0" borderId="34" xfId="0" applyFont="1" applyBorder="1" applyAlignment="1" applyProtection="1">
      <alignment wrapText="1"/>
      <protection hidden="1"/>
    </xf>
    <xf numFmtId="0" fontId="4" fillId="2" borderId="243" xfId="0" applyFont="1" applyFill="1" applyBorder="1" applyAlignment="1" applyProtection="1">
      <alignment horizontal="center" wrapText="1"/>
      <protection hidden="1"/>
    </xf>
    <xf numFmtId="0" fontId="4" fillId="2" borderId="230" xfId="0" applyFont="1" applyFill="1" applyBorder="1" applyAlignment="1" applyProtection="1">
      <alignment horizontal="center" wrapText="1"/>
      <protection hidden="1"/>
    </xf>
    <xf numFmtId="0" fontId="4" fillId="2" borderId="243" xfId="0" quotePrefix="1" applyFont="1" applyFill="1" applyBorder="1" applyAlignment="1" applyProtection="1">
      <alignment horizontal="center" wrapText="1"/>
      <protection hidden="1"/>
    </xf>
    <xf numFmtId="0" fontId="4" fillId="2" borderId="230" xfId="0" quotePrefix="1" applyFont="1" applyFill="1" applyBorder="1" applyAlignment="1" applyProtection="1">
      <alignment horizontal="center" wrapText="1"/>
      <protection hidden="1"/>
    </xf>
    <xf numFmtId="0" fontId="48" fillId="2" borderId="225" xfId="0" applyFont="1" applyFill="1" applyBorder="1" applyAlignment="1" applyProtection="1">
      <alignment horizontal="center" wrapText="1"/>
      <protection hidden="1"/>
    </xf>
    <xf numFmtId="0" fontId="48" fillId="2" borderId="113" xfId="0" applyFont="1" applyFill="1" applyBorder="1" applyAlignment="1" applyProtection="1">
      <alignment horizontal="center" wrapText="1"/>
      <protection hidden="1"/>
    </xf>
    <xf numFmtId="0" fontId="13" fillId="2" borderId="83" xfId="0" applyFont="1" applyFill="1" applyBorder="1" applyAlignment="1" applyProtection="1">
      <alignment horizontal="center" vertical="center" wrapText="1"/>
      <protection hidden="1"/>
    </xf>
    <xf numFmtId="0" fontId="4" fillId="2" borderId="45" xfId="0" applyFont="1" applyFill="1" applyBorder="1" applyAlignment="1" applyProtection="1">
      <alignment wrapText="1"/>
      <protection hidden="1"/>
    </xf>
    <xf numFmtId="0" fontId="4" fillId="2" borderId="48" xfId="0" applyFont="1" applyFill="1" applyBorder="1" applyAlignment="1" applyProtection="1">
      <alignment wrapText="1"/>
      <protection hidden="1"/>
    </xf>
    <xf numFmtId="0" fontId="4" fillId="2" borderId="234" xfId="0" applyFont="1" applyFill="1" applyBorder="1" applyAlignment="1" applyProtection="1">
      <alignment wrapText="1"/>
      <protection hidden="1"/>
    </xf>
    <xf numFmtId="0" fontId="4" fillId="2" borderId="16" xfId="0" applyFont="1" applyFill="1" applyBorder="1" applyAlignment="1" applyProtection="1">
      <alignment wrapText="1"/>
      <protection hidden="1"/>
    </xf>
    <xf numFmtId="0" fontId="4" fillId="2" borderId="39" xfId="0" applyFont="1" applyFill="1" applyBorder="1" applyAlignment="1" applyProtection="1">
      <alignment wrapText="1"/>
      <protection hidden="1"/>
    </xf>
    <xf numFmtId="0" fontId="4" fillId="22" borderId="374" xfId="0" applyFont="1" applyFill="1" applyBorder="1" applyAlignment="1" applyProtection="1">
      <alignment horizontal="center" wrapText="1"/>
      <protection hidden="1"/>
    </xf>
    <xf numFmtId="0" fontId="0" fillId="0" borderId="375" xfId="0" applyBorder="1" applyAlignment="1">
      <alignment horizontal="center" wrapText="1"/>
    </xf>
    <xf numFmtId="0" fontId="73" fillId="0" borderId="244" xfId="0" applyFont="1" applyBorder="1" applyAlignment="1" applyProtection="1">
      <alignment horizontal="center" vertical="center" wrapText="1"/>
      <protection hidden="1"/>
    </xf>
    <xf numFmtId="0" fontId="73" fillId="0" borderId="245" xfId="0" applyFont="1" applyBorder="1" applyAlignment="1" applyProtection="1">
      <alignment horizontal="center" vertical="center" wrapText="1"/>
      <protection hidden="1"/>
    </xf>
    <xf numFmtId="0" fontId="47" fillId="0" borderId="403" xfId="0" applyFont="1" applyBorder="1" applyAlignment="1" applyProtection="1">
      <alignment horizontal="center" vertical="center" wrapText="1"/>
      <protection hidden="1"/>
    </xf>
    <xf numFmtId="0" fontId="47" fillId="0" borderId="407" xfId="0" applyFont="1" applyBorder="1" applyAlignment="1" applyProtection="1">
      <alignment horizontal="center" vertical="center" wrapText="1"/>
      <protection hidden="1"/>
    </xf>
    <xf numFmtId="0" fontId="48" fillId="0" borderId="404" xfId="0" applyFont="1" applyBorder="1" applyAlignment="1" applyProtection="1">
      <alignment horizontal="center" vertical="center" wrapText="1"/>
      <protection hidden="1"/>
    </xf>
    <xf numFmtId="0" fontId="28" fillId="0" borderId="405" xfId="0" applyFont="1" applyBorder="1" applyAlignment="1" applyProtection="1">
      <alignment horizontal="center" vertical="center" wrapText="1"/>
      <protection hidden="1"/>
    </xf>
    <xf numFmtId="0" fontId="28" fillId="0" borderId="408" xfId="0" applyFont="1" applyBorder="1" applyAlignment="1" applyProtection="1">
      <alignment horizontal="center" vertical="center" wrapText="1"/>
      <protection hidden="1"/>
    </xf>
    <xf numFmtId="0" fontId="28" fillId="0" borderId="409" xfId="0" applyFont="1" applyBorder="1" applyAlignment="1" applyProtection="1">
      <alignment horizontal="center" vertical="center" wrapText="1"/>
      <protection hidden="1"/>
    </xf>
    <xf numFmtId="0" fontId="47" fillId="0" borderId="29" xfId="0" applyFont="1" applyBorder="1" applyAlignment="1" applyProtection="1">
      <alignment horizontal="center" vertical="center" wrapText="1"/>
      <protection hidden="1"/>
    </xf>
    <xf numFmtId="0" fontId="47" fillId="0" borderId="246" xfId="0" applyFont="1" applyBorder="1" applyAlignment="1" applyProtection="1">
      <alignment horizontal="center" vertical="center" wrapText="1"/>
      <protection hidden="1"/>
    </xf>
    <xf numFmtId="0" fontId="48" fillId="0" borderId="304" xfId="0" applyFont="1" applyBorder="1" applyAlignment="1" applyProtection="1">
      <alignment horizontal="center" vertical="center" wrapText="1"/>
      <protection hidden="1"/>
    </xf>
    <xf numFmtId="0" fontId="28" fillId="0" borderId="303" xfId="0" applyFont="1" applyBorder="1" applyAlignment="1" applyProtection="1">
      <alignment horizontal="center" vertical="center" wrapText="1"/>
      <protection hidden="1"/>
    </xf>
    <xf numFmtId="0" fontId="28" fillId="0" borderId="242" xfId="0" applyFont="1" applyBorder="1" applyAlignment="1" applyProtection="1">
      <alignment horizontal="center" vertical="center" wrapText="1"/>
      <protection hidden="1"/>
    </xf>
    <xf numFmtId="0" fontId="142" fillId="8" borderId="279" xfId="0" applyFont="1" applyFill="1" applyBorder="1" applyAlignment="1">
      <alignment horizontal="center" vertical="center"/>
    </xf>
    <xf numFmtId="0" fontId="142" fillId="8" borderId="267" xfId="0" applyFont="1" applyFill="1" applyBorder="1" applyAlignment="1">
      <alignment horizontal="center" vertical="center"/>
    </xf>
    <xf numFmtId="0" fontId="28" fillId="0" borderId="51" xfId="0" applyFont="1" applyBorder="1" applyAlignment="1" applyProtection="1">
      <alignment horizontal="center" wrapText="1"/>
      <protection hidden="1"/>
    </xf>
    <xf numFmtId="0" fontId="28" fillId="0" borderId="250" xfId="0" applyFont="1" applyBorder="1" applyAlignment="1" applyProtection="1">
      <alignment wrapText="1"/>
      <protection hidden="1"/>
    </xf>
    <xf numFmtId="0" fontId="28" fillId="0" borderId="249" xfId="0" applyFont="1" applyBorder="1" applyAlignment="1" applyProtection="1">
      <alignment horizontal="center" wrapText="1"/>
      <protection hidden="1"/>
    </xf>
    <xf numFmtId="0" fontId="73" fillId="0" borderId="390" xfId="0" applyFont="1" applyBorder="1" applyAlignment="1" applyProtection="1">
      <alignment horizontal="center" vertical="center" wrapText="1"/>
      <protection hidden="1"/>
    </xf>
    <xf numFmtId="0" fontId="73" fillId="0" borderId="251" xfId="0" applyFont="1" applyBorder="1" applyAlignment="1" applyProtection="1">
      <alignment horizontal="center" vertical="center" wrapText="1"/>
      <protection hidden="1"/>
    </xf>
    <xf numFmtId="0" fontId="48" fillId="0" borderId="399" xfId="0" applyFont="1" applyBorder="1" applyAlignment="1" applyProtection="1">
      <alignment horizontal="center" vertical="center" wrapText="1"/>
      <protection hidden="1"/>
    </xf>
    <xf numFmtId="0" fontId="28" fillId="0" borderId="401" xfId="0" applyFont="1" applyBorder="1" applyAlignment="1" applyProtection="1">
      <alignment horizontal="center" vertical="center" wrapText="1"/>
      <protection hidden="1"/>
    </xf>
    <xf numFmtId="0" fontId="73" fillId="0" borderId="406" xfId="0" applyFont="1" applyBorder="1" applyAlignment="1" applyProtection="1">
      <alignment horizontal="center" vertical="center" wrapText="1"/>
      <protection hidden="1"/>
    </xf>
    <xf numFmtId="0" fontId="73" fillId="0" borderId="410" xfId="0" applyFont="1" applyBorder="1" applyAlignment="1" applyProtection="1">
      <alignment horizontal="center" vertical="center" wrapText="1"/>
      <protection hidden="1"/>
    </xf>
    <xf numFmtId="0" fontId="48" fillId="8" borderId="233" xfId="0" applyFont="1" applyFill="1" applyBorder="1" applyAlignment="1" applyProtection="1">
      <alignment horizontal="center" vertical="center" wrapText="1"/>
      <protection hidden="1"/>
    </xf>
    <xf numFmtId="0" fontId="15" fillId="8" borderId="278" xfId="0" applyFont="1" applyFill="1" applyBorder="1" applyAlignment="1" applyProtection="1">
      <alignment horizontal="center" vertical="center" wrapText="1"/>
      <protection hidden="1"/>
    </xf>
    <xf numFmtId="0" fontId="48" fillId="8" borderId="279" xfId="0" applyFont="1" applyFill="1" applyBorder="1" applyAlignment="1" applyProtection="1">
      <alignment horizontal="center" vertical="center" wrapText="1"/>
      <protection hidden="1"/>
    </xf>
    <xf numFmtId="0" fontId="13" fillId="0" borderId="0" xfId="0" applyFont="1" applyAlignment="1" applyProtection="1">
      <alignment horizontal="center" vertical="center"/>
      <protection hidden="1"/>
    </xf>
    <xf numFmtId="0" fontId="4" fillId="15" borderId="371" xfId="0" applyFont="1" applyFill="1" applyBorder="1" applyAlignment="1" applyProtection="1">
      <alignment horizontal="center" wrapText="1"/>
      <protection hidden="1"/>
    </xf>
    <xf numFmtId="0" fontId="0" fillId="15" borderId="373" xfId="0" applyFill="1" applyBorder="1" applyAlignment="1">
      <alignment horizontal="center" wrapText="1"/>
    </xf>
    <xf numFmtId="0" fontId="48" fillId="0" borderId="290"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235" xfId="0" applyFont="1" applyBorder="1" applyAlignment="1">
      <alignment horizontal="center" vertical="center" wrapText="1"/>
    </xf>
    <xf numFmtId="0" fontId="48" fillId="0" borderId="30" xfId="0" applyFont="1" applyBorder="1" applyAlignment="1">
      <alignment horizontal="center" vertical="center" wrapText="1"/>
    </xf>
    <xf numFmtId="0" fontId="15" fillId="0" borderId="249" xfId="0" applyFont="1" applyBorder="1" applyAlignment="1">
      <alignment horizontal="center" vertical="center"/>
    </xf>
    <xf numFmtId="0" fontId="7" fillId="0" borderId="253" xfId="0" applyFont="1" applyBorder="1" applyAlignment="1" applyProtection="1">
      <alignment horizontal="center" vertical="center" wrapText="1"/>
      <protection hidden="1"/>
    </xf>
    <xf numFmtId="0" fontId="7" fillId="0" borderId="4" xfId="0" applyFont="1" applyBorder="1" applyAlignment="1" applyProtection="1">
      <alignment horizontal="center" wrapText="1"/>
      <protection hidden="1"/>
    </xf>
    <xf numFmtId="0" fontId="34" fillId="0" borderId="365" xfId="0" applyFont="1" applyBorder="1" applyAlignment="1" applyProtection="1">
      <alignment horizontal="center" wrapText="1"/>
      <protection hidden="1"/>
    </xf>
    <xf numFmtId="0" fontId="7" fillId="16" borderId="378" xfId="0" applyFont="1" applyFill="1" applyBorder="1" applyAlignment="1" applyProtection="1">
      <alignment horizontal="center" wrapText="1"/>
      <protection hidden="1"/>
    </xf>
    <xf numFmtId="0" fontId="34" fillId="16" borderId="372" xfId="0" applyFont="1" applyFill="1" applyBorder="1" applyAlignment="1" applyProtection="1">
      <alignment horizontal="center" wrapText="1"/>
      <protection hidden="1"/>
    </xf>
    <xf numFmtId="0" fontId="4" fillId="14" borderId="52" xfId="0" applyFont="1" applyFill="1" applyBorder="1" applyProtection="1">
      <protection hidden="1"/>
    </xf>
    <xf numFmtId="0" fontId="47" fillId="0" borderId="99" xfId="0" applyFont="1" applyBorder="1" applyAlignment="1">
      <alignment horizontal="center" vertical="center" wrapText="1"/>
    </xf>
    <xf numFmtId="0" fontId="47" fillId="0" borderId="391" xfId="0" applyFont="1" applyBorder="1" applyAlignment="1">
      <alignment horizontal="center" vertical="center" wrapText="1"/>
    </xf>
    <xf numFmtId="0" fontId="0" fillId="0" borderId="382" xfId="0" applyBorder="1" applyAlignment="1">
      <alignment horizontal="center" wrapText="1"/>
    </xf>
    <xf numFmtId="0" fontId="0" fillId="0" borderId="113" xfId="0" applyBorder="1" applyAlignment="1">
      <alignment horizontal="center" wrapText="1"/>
    </xf>
    <xf numFmtId="178" fontId="0" fillId="2" borderId="13" xfId="0" applyNumberFormat="1" applyFill="1" applyBorder="1" applyAlignment="1" applyProtection="1">
      <alignment horizontal="center" wrapText="1"/>
      <protection hidden="1"/>
    </xf>
    <xf numFmtId="0" fontId="0" fillId="2" borderId="102" xfId="0" applyFill="1" applyBorder="1" applyAlignment="1" applyProtection="1">
      <alignment horizontal="center" wrapText="1"/>
      <protection hidden="1"/>
    </xf>
    <xf numFmtId="0" fontId="0" fillId="2" borderId="17" xfId="0" applyFill="1" applyBorder="1" applyAlignment="1" applyProtection="1">
      <alignment horizontal="center" wrapText="1"/>
      <protection hidden="1"/>
    </xf>
    <xf numFmtId="0" fontId="0" fillId="2" borderId="261" xfId="0" applyFill="1" applyBorder="1" applyAlignment="1" applyProtection="1">
      <alignment horizontal="center" wrapText="1"/>
      <protection hidden="1"/>
    </xf>
    <xf numFmtId="0" fontId="0" fillId="2" borderId="114" xfId="0" applyFill="1" applyBorder="1" applyAlignment="1" applyProtection="1">
      <alignment horizontal="center" wrapText="1"/>
      <protection hidden="1"/>
    </xf>
    <xf numFmtId="178" fontId="47" fillId="2" borderId="13" xfId="0" applyNumberFormat="1" applyFont="1" applyFill="1" applyBorder="1" applyAlignment="1" applyProtection="1">
      <alignment horizontal="center" wrapText="1"/>
      <protection hidden="1"/>
    </xf>
    <xf numFmtId="0" fontId="0" fillId="2" borderId="236" xfId="0" applyFill="1" applyBorder="1" applyAlignment="1" applyProtection="1">
      <alignment horizontal="center" wrapText="1"/>
      <protection hidden="1"/>
    </xf>
    <xf numFmtId="0" fontId="4" fillId="0" borderId="0" xfId="0" applyFont="1" applyProtection="1">
      <protection hidden="1"/>
    </xf>
    <xf numFmtId="0" fontId="4" fillId="0" borderId="100" xfId="0" applyFont="1" applyBorder="1" applyProtection="1">
      <protection hidden="1"/>
    </xf>
    <xf numFmtId="1" fontId="0" fillId="2" borderId="13" xfId="0" applyNumberFormat="1" applyFill="1" applyBorder="1" applyAlignment="1" applyProtection="1">
      <alignment horizontal="center" wrapText="1"/>
      <protection hidden="1"/>
    </xf>
    <xf numFmtId="0" fontId="0" fillId="0" borderId="381" xfId="0" applyBorder="1" applyAlignment="1">
      <alignment horizontal="center" wrapText="1"/>
    </xf>
    <xf numFmtId="0" fontId="0" fillId="0" borderId="236" xfId="0" applyBorder="1" applyAlignment="1">
      <alignment horizontal="center" wrapText="1"/>
    </xf>
    <xf numFmtId="0" fontId="0" fillId="0" borderId="230" xfId="0" applyBorder="1" applyAlignment="1">
      <alignment horizontal="center" wrapText="1"/>
    </xf>
    <xf numFmtId="0" fontId="47" fillId="0" borderId="115" xfId="0" applyFont="1" applyBorder="1" applyAlignment="1" applyProtection="1">
      <alignment horizontal="center"/>
      <protection hidden="1"/>
    </xf>
    <xf numFmtId="0" fontId="47" fillId="0" borderId="223" xfId="0" applyFont="1" applyBorder="1" applyAlignment="1" applyProtection="1">
      <alignment horizontal="center"/>
      <protection hidden="1"/>
    </xf>
    <xf numFmtId="0" fontId="72" fillId="0" borderId="387" xfId="0" applyFont="1" applyBorder="1" applyAlignment="1">
      <alignment horizontal="center" vertical="center"/>
    </xf>
    <xf numFmtId="0" fontId="72" fillId="0" borderId="334" xfId="0" applyFont="1" applyBorder="1" applyAlignment="1">
      <alignment horizontal="center" vertical="center"/>
    </xf>
    <xf numFmtId="0" fontId="104" fillId="5" borderId="50" xfId="0" applyFont="1" applyFill="1" applyBorder="1" applyAlignment="1" applyProtection="1">
      <alignment horizontal="center" vertical="center"/>
      <protection hidden="1"/>
    </xf>
    <xf numFmtId="0" fontId="0" fillId="0" borderId="131" xfId="0" applyBorder="1"/>
    <xf numFmtId="0" fontId="46" fillId="0" borderId="213" xfId="0" applyFont="1" applyBorder="1" applyAlignment="1">
      <alignment horizontal="center"/>
    </xf>
    <xf numFmtId="0" fontId="46" fillId="0" borderId="214" xfId="0" applyFont="1" applyBorder="1" applyAlignment="1">
      <alignment horizontal="center"/>
    </xf>
    <xf numFmtId="0" fontId="28" fillId="0" borderId="0" xfId="0" applyFont="1"/>
    <xf numFmtId="0" fontId="48" fillId="0" borderId="16" xfId="0" applyFont="1" applyBorder="1" applyAlignment="1">
      <alignment horizontal="left"/>
    </xf>
    <xf numFmtId="0" fontId="73" fillId="0" borderId="12" xfId="0" applyFont="1" applyBorder="1"/>
    <xf numFmtId="0" fontId="73" fillId="0" borderId="11" xfId="0" applyFont="1" applyBorder="1"/>
    <xf numFmtId="0" fontId="76" fillId="0" borderId="22" xfId="0" applyFont="1" applyBorder="1" applyAlignment="1">
      <alignment horizontal="center" vertical="center" wrapText="1"/>
    </xf>
    <xf numFmtId="0" fontId="77" fillId="0" borderId="22" xfId="0" applyFont="1" applyBorder="1" applyAlignment="1">
      <alignment horizontal="center" vertical="center" wrapText="1"/>
    </xf>
    <xf numFmtId="0" fontId="4" fillId="2" borderId="11" xfId="0" applyFont="1" applyFill="1" applyBorder="1" applyAlignment="1">
      <alignment horizontal="center"/>
    </xf>
    <xf numFmtId="0" fontId="0" fillId="0" borderId="10" xfId="0" applyBorder="1"/>
    <xf numFmtId="0" fontId="0" fillId="0" borderId="22" xfId="0" applyBorder="1"/>
    <xf numFmtId="0" fontId="0" fillId="15" borderId="382" xfId="0" applyFill="1" applyBorder="1" applyAlignment="1">
      <alignment horizontal="center" wrapText="1"/>
    </xf>
    <xf numFmtId="0" fontId="4" fillId="22" borderId="380" xfId="0" applyFont="1" applyFill="1" applyBorder="1" applyAlignment="1" applyProtection="1">
      <alignment horizontal="center" wrapText="1"/>
      <protection hidden="1"/>
    </xf>
    <xf numFmtId="0" fontId="0" fillId="0" borderId="383" xfId="0" applyBorder="1" applyAlignment="1">
      <alignment horizontal="center" wrapText="1"/>
    </xf>
    <xf numFmtId="0" fontId="28" fillId="8" borderId="48" xfId="0" applyFont="1" applyFill="1" applyBorder="1" applyAlignment="1" applyProtection="1">
      <alignment horizontal="center" wrapText="1"/>
      <protection hidden="1"/>
    </xf>
    <xf numFmtId="0" fontId="28" fillId="8" borderId="99" xfId="0" applyFont="1" applyFill="1" applyBorder="1" applyAlignment="1" applyProtection="1">
      <alignment horizontal="center" wrapText="1"/>
      <protection hidden="1"/>
    </xf>
    <xf numFmtId="0" fontId="28" fillId="8" borderId="47" xfId="0" applyFont="1" applyFill="1" applyBorder="1" applyAlignment="1" applyProtection="1">
      <alignment horizontal="center" wrapText="1"/>
      <protection hidden="1"/>
    </xf>
    <xf numFmtId="0" fontId="0" fillId="0" borderId="234" xfId="0" applyBorder="1" applyAlignment="1">
      <alignment horizontal="center" wrapText="1"/>
    </xf>
    <xf numFmtId="0" fontId="0" fillId="0" borderId="39" xfId="0" applyBorder="1" applyAlignment="1">
      <alignment horizontal="center" wrapText="1"/>
    </xf>
    <xf numFmtId="0" fontId="135" fillId="15" borderId="0" xfId="0" applyFont="1" applyFill="1" applyAlignment="1">
      <alignment horizontal="center"/>
    </xf>
    <xf numFmtId="0" fontId="48" fillId="2" borderId="13" xfId="0" applyFont="1" applyFill="1" applyBorder="1" applyAlignment="1" applyProtection="1">
      <alignment horizontal="center" vertical="center" wrapText="1"/>
      <protection hidden="1"/>
    </xf>
    <xf numFmtId="0" fontId="28" fillId="2" borderId="102" xfId="0" applyFont="1" applyFill="1" applyBorder="1" applyAlignment="1" applyProtection="1">
      <alignment horizontal="center" vertical="center" wrapText="1"/>
      <protection hidden="1"/>
    </xf>
    <xf numFmtId="0" fontId="28" fillId="2" borderId="281" xfId="0" applyFont="1" applyFill="1" applyBorder="1" applyAlignment="1" applyProtection="1">
      <alignment horizontal="center" wrapText="1"/>
      <protection hidden="1"/>
    </xf>
    <xf numFmtId="0" fontId="28" fillId="2" borderId="217" xfId="0" applyFont="1" applyFill="1" applyBorder="1" applyAlignment="1" applyProtection="1">
      <alignment wrapText="1"/>
      <protection hidden="1"/>
    </xf>
    <xf numFmtId="0" fontId="28" fillId="2" borderId="33" xfId="0" applyFont="1" applyFill="1" applyBorder="1" applyAlignment="1" applyProtection="1">
      <alignment horizontal="center" wrapText="1"/>
      <protection hidden="1"/>
    </xf>
    <xf numFmtId="0" fontId="28" fillId="0" borderId="102" xfId="0" applyFont="1" applyBorder="1" applyAlignment="1" applyProtection="1">
      <alignment wrapText="1"/>
      <protection hidden="1"/>
    </xf>
    <xf numFmtId="0" fontId="73" fillId="16" borderId="33" xfId="0" applyFont="1" applyFill="1" applyBorder="1" applyAlignment="1" applyProtection="1">
      <alignment horizontal="center" wrapText="1"/>
      <protection hidden="1"/>
    </xf>
    <xf numFmtId="0" fontId="73" fillId="16" borderId="102" xfId="0" applyFont="1" applyFill="1" applyBorder="1" applyAlignment="1" applyProtection="1">
      <alignment wrapText="1"/>
      <protection hidden="1"/>
    </xf>
    <xf numFmtId="0" fontId="28" fillId="2" borderId="0" xfId="0" applyFont="1" applyFill="1" applyAlignment="1">
      <alignment textRotation="90"/>
    </xf>
    <xf numFmtId="0" fontId="0" fillId="0" borderId="0" xfId="0" applyAlignment="1">
      <alignment textRotation="90"/>
    </xf>
    <xf numFmtId="0" fontId="47" fillId="0" borderId="359" xfId="0" applyFont="1" applyBorder="1" applyAlignment="1" applyProtection="1">
      <alignment horizontal="center" vertical="center" wrapText="1"/>
      <protection hidden="1"/>
    </xf>
    <xf numFmtId="0" fontId="47" fillId="0" borderId="364" xfId="0" applyFont="1" applyBorder="1" applyAlignment="1" applyProtection="1">
      <alignment horizontal="center" vertical="center" wrapText="1"/>
      <protection hidden="1"/>
    </xf>
    <xf numFmtId="0" fontId="28" fillId="0" borderId="359" xfId="0" applyFont="1" applyBorder="1" applyAlignment="1" applyProtection="1">
      <alignment horizontal="center" vertical="center" wrapText="1"/>
      <protection hidden="1"/>
    </xf>
    <xf numFmtId="0" fontId="28" fillId="0" borderId="364" xfId="0" applyFont="1" applyBorder="1" applyAlignment="1" applyProtection="1">
      <alignment horizontal="center" vertical="center" wrapText="1"/>
      <protection hidden="1"/>
    </xf>
    <xf numFmtId="0" fontId="15" fillId="0" borderId="83" xfId="0" applyFont="1" applyBorder="1" applyAlignment="1">
      <alignment horizontal="center" vertical="center"/>
    </xf>
    <xf numFmtId="0" fontId="0" fillId="0" borderId="48" xfId="0" applyBorder="1" applyAlignment="1">
      <alignment horizontal="center" vertical="center"/>
    </xf>
    <xf numFmtId="0" fontId="70" fillId="0" borderId="100" xfId="0" applyFont="1" applyBorder="1" applyAlignment="1">
      <alignment horizontal="center" vertical="center"/>
    </xf>
    <xf numFmtId="0" fontId="48" fillId="2" borderId="216" xfId="0" applyFont="1" applyFill="1" applyBorder="1" applyAlignment="1">
      <alignment horizontal="center" wrapText="1"/>
    </xf>
    <xf numFmtId="0" fontId="28" fillId="0" borderId="215" xfId="0" applyFont="1" applyBorder="1" applyAlignment="1">
      <alignment horizontal="center" wrapText="1"/>
    </xf>
    <xf numFmtId="0" fontId="28" fillId="0" borderId="109" xfId="0" applyFont="1" applyBorder="1" applyAlignment="1">
      <alignment horizontal="center" wrapText="1"/>
    </xf>
    <xf numFmtId="0" fontId="28" fillId="0" borderId="46" xfId="0" applyFont="1" applyBorder="1" applyAlignment="1">
      <alignment horizontal="center" wrapText="1"/>
    </xf>
    <xf numFmtId="14" fontId="48" fillId="2" borderId="0" xfId="0" applyNumberFormat="1" applyFont="1" applyFill="1"/>
    <xf numFmtId="14" fontId="0" fillId="0" borderId="47" xfId="0" applyNumberFormat="1" applyBorder="1"/>
    <xf numFmtId="0" fontId="28" fillId="2" borderId="102" xfId="0" applyFont="1" applyFill="1" applyBorder="1" applyAlignment="1" applyProtection="1">
      <alignment wrapText="1"/>
      <protection hidden="1"/>
    </xf>
    <xf numFmtId="0" fontId="28" fillId="8" borderId="7" xfId="0" applyFont="1" applyFill="1" applyBorder="1" applyAlignment="1" applyProtection="1">
      <alignment horizontal="center"/>
      <protection hidden="1"/>
    </xf>
    <xf numFmtId="0" fontId="28" fillId="8" borderId="66" xfId="0" applyFont="1" applyFill="1" applyBorder="1" applyAlignment="1" applyProtection="1">
      <alignment horizontal="center"/>
      <protection hidden="1"/>
    </xf>
    <xf numFmtId="0" fontId="28" fillId="8" borderId="110" xfId="0" applyFont="1" applyFill="1" applyBorder="1" applyAlignment="1" applyProtection="1">
      <alignment horizontal="center"/>
      <protection hidden="1"/>
    </xf>
    <xf numFmtId="0" fontId="28" fillId="2" borderId="0" xfId="0" applyFont="1" applyFill="1" applyAlignment="1" applyProtection="1">
      <alignment horizontal="center" wrapText="1"/>
      <protection hidden="1"/>
    </xf>
    <xf numFmtId="0" fontId="28" fillId="0" borderId="0" xfId="0" applyFont="1" applyAlignment="1" applyProtection="1">
      <alignment wrapText="1"/>
      <protection hidden="1"/>
    </xf>
    <xf numFmtId="0" fontId="28" fillId="2" borderId="217" xfId="0" applyFont="1" applyFill="1" applyBorder="1" applyAlignment="1" applyProtection="1">
      <alignment horizontal="center" wrapText="1"/>
      <protection hidden="1"/>
    </xf>
    <xf numFmtId="0" fontId="28" fillId="2" borderId="42" xfId="0" applyFont="1" applyFill="1" applyBorder="1" applyAlignment="1" applyProtection="1">
      <alignment horizontal="center" wrapText="1"/>
      <protection hidden="1"/>
    </xf>
    <xf numFmtId="0" fontId="28" fillId="2" borderId="56" xfId="0" applyFont="1" applyFill="1" applyBorder="1" applyAlignment="1" applyProtection="1">
      <alignment horizontal="center" wrapText="1"/>
      <protection hidden="1"/>
    </xf>
    <xf numFmtId="0" fontId="28" fillId="2" borderId="33" xfId="0" applyFont="1" applyFill="1" applyBorder="1" applyAlignment="1" applyProtection="1">
      <alignment wrapText="1"/>
      <protection hidden="1"/>
    </xf>
    <xf numFmtId="0" fontId="73" fillId="16" borderId="56" xfId="0" applyFont="1" applyFill="1" applyBorder="1" applyAlignment="1" applyProtection="1">
      <alignment horizontal="center" wrapText="1"/>
      <protection hidden="1"/>
    </xf>
    <xf numFmtId="0" fontId="73" fillId="16" borderId="33" xfId="0" applyFont="1" applyFill="1" applyBorder="1" applyAlignment="1" applyProtection="1">
      <alignment wrapText="1"/>
      <protection hidden="1"/>
    </xf>
    <xf numFmtId="0" fontId="28" fillId="16" borderId="56" xfId="0" applyFont="1" applyFill="1" applyBorder="1" applyAlignment="1" applyProtection="1">
      <alignment horizontal="center" wrapText="1"/>
      <protection hidden="1"/>
    </xf>
    <xf numFmtId="0" fontId="28" fillId="16" borderId="33" xfId="0" applyFont="1" applyFill="1" applyBorder="1" applyAlignment="1" applyProtection="1">
      <alignment wrapText="1"/>
      <protection hidden="1"/>
    </xf>
    <xf numFmtId="0" fontId="28" fillId="2" borderId="285" xfId="0" applyFont="1" applyFill="1" applyBorder="1" applyAlignment="1" applyProtection="1">
      <alignment horizontal="center" wrapText="1"/>
      <protection hidden="1"/>
    </xf>
    <xf numFmtId="0" fontId="28" fillId="2" borderId="266" xfId="0" applyFont="1" applyFill="1" applyBorder="1" applyAlignment="1" applyProtection="1">
      <alignment wrapText="1"/>
      <protection hidden="1"/>
    </xf>
    <xf numFmtId="0" fontId="28" fillId="0" borderId="57" xfId="0" applyFont="1" applyBorder="1" applyAlignment="1">
      <alignment horizontal="center" wrapText="1"/>
    </xf>
    <xf numFmtId="0" fontId="28" fillId="2" borderId="18" xfId="0" applyFont="1" applyFill="1" applyBorder="1" applyAlignment="1" applyProtection="1">
      <alignment horizontal="center" wrapText="1"/>
      <protection hidden="1"/>
    </xf>
    <xf numFmtId="0" fontId="28" fillId="2" borderId="260" xfId="0" applyFont="1" applyFill="1" applyBorder="1" applyAlignment="1" applyProtection="1">
      <alignment wrapText="1"/>
      <protection hidden="1"/>
    </xf>
    <xf numFmtId="0" fontId="48" fillId="2" borderId="17" xfId="0" applyFont="1" applyFill="1" applyBorder="1" applyAlignment="1" applyProtection="1">
      <alignment horizontal="center" vertical="center" wrapText="1"/>
      <protection hidden="1"/>
    </xf>
    <xf numFmtId="0" fontId="28" fillId="2" borderId="261" xfId="0" applyFont="1" applyFill="1" applyBorder="1" applyAlignment="1" applyProtection="1">
      <alignment horizontal="center" vertical="center" wrapText="1"/>
      <protection hidden="1"/>
    </xf>
    <xf numFmtId="0" fontId="28" fillId="2" borderId="13" xfId="0" applyFont="1" applyFill="1" applyBorder="1" applyAlignment="1" applyProtection="1">
      <alignment horizontal="center" wrapText="1"/>
      <protection hidden="1"/>
    </xf>
    <xf numFmtId="0" fontId="28" fillId="0" borderId="102" xfId="0" applyFont="1" applyBorder="1" applyAlignment="1" applyProtection="1">
      <alignment horizontal="center" wrapText="1"/>
      <protection hidden="1"/>
    </xf>
    <xf numFmtId="0" fontId="28" fillId="2" borderId="68" xfId="0" applyFont="1" applyFill="1" applyBorder="1" applyAlignment="1" applyProtection="1">
      <alignment horizontal="center" wrapText="1"/>
      <protection hidden="1"/>
    </xf>
    <xf numFmtId="0" fontId="0" fillId="0" borderId="223" xfId="0" applyBorder="1" applyAlignment="1">
      <alignment wrapText="1"/>
    </xf>
    <xf numFmtId="0" fontId="0" fillId="0" borderId="236" xfId="0" applyBorder="1" applyAlignment="1">
      <alignment wrapText="1"/>
    </xf>
    <xf numFmtId="0" fontId="28" fillId="2" borderId="281" xfId="0" applyFont="1" applyFill="1" applyBorder="1" applyAlignment="1" applyProtection="1">
      <alignment horizontal="center"/>
      <protection hidden="1"/>
    </xf>
    <xf numFmtId="0" fontId="15" fillId="2" borderId="57" xfId="0" applyFont="1" applyFill="1" applyBorder="1" applyAlignment="1">
      <alignment horizontal="center"/>
    </xf>
    <xf numFmtId="0" fontId="28" fillId="0" borderId="57" xfId="0" applyFont="1" applyBorder="1" applyAlignment="1">
      <alignment horizontal="center"/>
    </xf>
    <xf numFmtId="0" fontId="28" fillId="0" borderId="33" xfId="0" applyFont="1" applyBorder="1" applyAlignment="1">
      <alignment wrapText="1"/>
    </xf>
    <xf numFmtId="0" fontId="28" fillId="2" borderId="241" xfId="0" applyFont="1" applyFill="1" applyBorder="1" applyAlignment="1" applyProtection="1">
      <alignment horizontal="center" wrapText="1"/>
      <protection hidden="1"/>
    </xf>
    <xf numFmtId="0" fontId="28" fillId="0" borderId="242" xfId="0" applyFont="1" applyBorder="1" applyAlignment="1" applyProtection="1">
      <alignment wrapText="1"/>
      <protection hidden="1"/>
    </xf>
    <xf numFmtId="0" fontId="28" fillId="0" borderId="33" xfId="0" applyFont="1" applyBorder="1" applyAlignment="1" applyProtection="1">
      <alignment wrapText="1"/>
      <protection hidden="1"/>
    </xf>
    <xf numFmtId="0" fontId="28" fillId="0" borderId="217" xfId="0" applyFont="1" applyBorder="1" applyAlignment="1" applyProtection="1">
      <alignment horizontal="center" wrapText="1"/>
      <protection hidden="1"/>
    </xf>
    <xf numFmtId="0" fontId="15" fillId="14" borderId="50" xfId="0" applyFont="1" applyFill="1" applyBorder="1" applyAlignment="1">
      <alignment horizontal="center" vertical="center" wrapText="1"/>
    </xf>
    <xf numFmtId="0" fontId="0" fillId="0" borderId="119" xfId="0" applyBorder="1" applyAlignment="1">
      <alignment horizontal="center" wrapText="1"/>
    </xf>
    <xf numFmtId="0" fontId="0" fillId="0" borderId="52" xfId="0" applyBorder="1" applyAlignment="1">
      <alignment horizontal="center" wrapText="1"/>
    </xf>
    <xf numFmtId="0" fontId="0" fillId="0" borderId="0" xfId="0" applyAlignment="1">
      <alignment horizontal="center" wrapText="1"/>
    </xf>
    <xf numFmtId="0" fontId="0" fillId="14" borderId="119" xfId="0" applyFill="1" applyBorder="1" applyAlignment="1">
      <alignment horizontal="center" wrapText="1"/>
    </xf>
    <xf numFmtId="0" fontId="0" fillId="14" borderId="51" xfId="0" applyFill="1" applyBorder="1" applyAlignment="1">
      <alignment horizontal="center" wrapText="1"/>
    </xf>
    <xf numFmtId="0" fontId="0" fillId="14" borderId="0" xfId="0" applyFill="1" applyAlignment="1">
      <alignment horizontal="center" wrapText="1"/>
    </xf>
    <xf numFmtId="0" fontId="0" fillId="14" borderId="132" xfId="0" applyFill="1" applyBorder="1" applyAlignment="1">
      <alignment horizontal="center" wrapText="1"/>
    </xf>
    <xf numFmtId="0" fontId="0" fillId="14" borderId="133" xfId="0" applyFill="1" applyBorder="1" applyAlignment="1">
      <alignment horizontal="center" wrapText="1"/>
    </xf>
    <xf numFmtId="0" fontId="47" fillId="0" borderId="319" xfId="0" applyFont="1" applyBorder="1" applyAlignment="1" applyProtection="1">
      <alignment horizontal="center" vertical="center" wrapText="1"/>
      <protection hidden="1"/>
    </xf>
    <xf numFmtId="0" fontId="28" fillId="0" borderId="102" xfId="0" applyFont="1" applyBorder="1" applyAlignment="1">
      <alignment horizontal="center" vertical="center" wrapText="1"/>
    </xf>
    <xf numFmtId="0" fontId="47" fillId="0" borderId="304" xfId="0" applyFont="1" applyBorder="1" applyAlignment="1" applyProtection="1">
      <alignment horizontal="center" vertical="center" wrapText="1"/>
      <protection hidden="1"/>
    </xf>
    <xf numFmtId="0" fontId="47" fillId="0" borderId="303" xfId="0" applyFont="1" applyBorder="1" applyAlignment="1" applyProtection="1">
      <alignment horizontal="center" vertical="center" wrapText="1"/>
      <protection hidden="1"/>
    </xf>
    <xf numFmtId="0" fontId="47" fillId="0" borderId="248" xfId="0" applyFont="1" applyBorder="1" applyAlignment="1">
      <alignment horizontal="center" vertical="center" wrapText="1"/>
    </xf>
    <xf numFmtId="0" fontId="47" fillId="0" borderId="242" xfId="0" applyFont="1" applyBorder="1" applyAlignment="1">
      <alignment horizontal="center" vertical="center" wrapText="1"/>
    </xf>
    <xf numFmtId="0" fontId="47" fillId="0" borderId="102" xfId="0" applyFont="1" applyBorder="1" applyAlignment="1" applyProtection="1">
      <alignment horizontal="center" vertical="center" wrapText="1"/>
      <protection hidden="1"/>
    </xf>
    <xf numFmtId="0" fontId="84" fillId="0" borderId="399" xfId="0" applyFont="1" applyBorder="1" applyAlignment="1" applyProtection="1">
      <alignment horizontal="center" vertical="center" wrapText="1"/>
      <protection hidden="1"/>
    </xf>
    <xf numFmtId="0" fontId="84" fillId="0" borderId="401" xfId="0" applyFont="1" applyBorder="1" applyAlignment="1" applyProtection="1">
      <alignment horizontal="center" vertical="center" wrapText="1"/>
      <protection hidden="1"/>
    </xf>
    <xf numFmtId="0" fontId="47" fillId="0" borderId="400" xfId="0" applyFont="1" applyBorder="1" applyAlignment="1">
      <alignment horizontal="center" vertical="center" wrapText="1"/>
    </xf>
    <xf numFmtId="0" fontId="156" fillId="0" borderId="402" xfId="0" applyFont="1" applyBorder="1" applyAlignment="1">
      <alignment horizontal="center" vertical="center"/>
    </xf>
    <xf numFmtId="0" fontId="28" fillId="14" borderId="131" xfId="0" applyFont="1" applyFill="1" applyBorder="1" applyAlignment="1">
      <alignment wrapText="1"/>
    </xf>
    <xf numFmtId="0" fontId="0" fillId="14" borderId="132" xfId="0" applyFill="1" applyBorder="1" applyAlignment="1">
      <alignment wrapText="1"/>
    </xf>
    <xf numFmtId="0" fontId="0" fillId="14" borderId="133" xfId="0" applyFill="1" applyBorder="1" applyAlignment="1">
      <alignment wrapText="1"/>
    </xf>
    <xf numFmtId="0" fontId="73" fillId="0" borderId="399" xfId="0" applyFont="1" applyBorder="1" applyAlignment="1" applyProtection="1">
      <alignment horizontal="center" vertical="center" wrapText="1"/>
      <protection hidden="1"/>
    </xf>
    <xf numFmtId="0" fontId="73" fillId="0" borderId="401" xfId="0" applyFont="1" applyBorder="1" applyAlignment="1" applyProtection="1">
      <alignment horizontal="center" vertical="center" wrapText="1"/>
      <protection hidden="1"/>
    </xf>
    <xf numFmtId="0" fontId="72" fillId="0" borderId="123" xfId="0" applyFont="1" applyBorder="1" applyAlignment="1">
      <alignment horizontal="center" vertical="center" wrapText="1"/>
    </xf>
    <xf numFmtId="0" fontId="72" fillId="0" borderId="120" xfId="0" applyFont="1" applyBorder="1" applyAlignment="1">
      <alignment horizontal="center" vertical="center" wrapText="1"/>
    </xf>
    <xf numFmtId="0" fontId="28" fillId="8" borderId="225" xfId="0" applyFont="1" applyFill="1" applyBorder="1" applyAlignment="1" applyProtection="1">
      <alignment horizontal="center" wrapText="1"/>
      <protection hidden="1"/>
    </xf>
    <xf numFmtId="0" fontId="28" fillId="8" borderId="258" xfId="0" applyFont="1" applyFill="1" applyBorder="1" applyAlignment="1">
      <alignment wrapText="1"/>
    </xf>
    <xf numFmtId="0" fontId="28" fillId="8" borderId="113" xfId="0" applyFont="1" applyFill="1" applyBorder="1" applyAlignment="1">
      <alignment wrapText="1"/>
    </xf>
    <xf numFmtId="0" fontId="15" fillId="8" borderId="279" xfId="0" applyFont="1" applyFill="1" applyBorder="1" applyAlignment="1">
      <alignment horizontal="center" vertical="center" wrapText="1"/>
    </xf>
    <xf numFmtId="0" fontId="48" fillId="8" borderId="279" xfId="0" applyFont="1" applyFill="1" applyBorder="1" applyAlignment="1">
      <alignment horizontal="center" vertical="center" wrapText="1"/>
    </xf>
    <xf numFmtId="0" fontId="48" fillId="8" borderId="250" xfId="0" applyFont="1" applyFill="1" applyBorder="1" applyAlignment="1">
      <alignment horizontal="center" vertical="center" wrapText="1"/>
    </xf>
    <xf numFmtId="0" fontId="28" fillId="0" borderId="41" xfId="0" applyFont="1" applyBorder="1" applyAlignment="1">
      <alignment horizontal="center" wrapText="1"/>
    </xf>
    <xf numFmtId="0" fontId="28" fillId="0" borderId="43" xfId="0" applyFont="1" applyBorder="1" applyAlignment="1">
      <alignment horizontal="center" wrapText="1"/>
    </xf>
    <xf numFmtId="0" fontId="28" fillId="8" borderId="224" xfId="0" applyFont="1" applyFill="1" applyBorder="1" applyAlignment="1" applyProtection="1">
      <alignment horizontal="center" wrapText="1"/>
      <protection hidden="1"/>
    </xf>
    <xf numFmtId="0" fontId="28" fillId="8" borderId="115" xfId="0" applyFont="1" applyFill="1" applyBorder="1" applyAlignment="1">
      <alignment wrapText="1"/>
    </xf>
    <xf numFmtId="0" fontId="28" fillId="8" borderId="114" xfId="0" applyFont="1" applyFill="1" applyBorder="1" applyAlignment="1">
      <alignment wrapText="1"/>
    </xf>
    <xf numFmtId="0" fontId="28" fillId="2" borderId="204" xfId="0" applyFont="1" applyFill="1" applyBorder="1" applyAlignment="1" applyProtection="1">
      <alignment horizontal="center"/>
      <protection hidden="1"/>
    </xf>
    <xf numFmtId="0" fontId="28" fillId="2" borderId="282" xfId="0" applyFont="1" applyFill="1" applyBorder="1" applyAlignment="1" applyProtection="1">
      <alignment horizontal="center"/>
      <protection hidden="1"/>
    </xf>
    <xf numFmtId="0" fontId="28" fillId="0" borderId="205" xfId="0" applyFont="1" applyBorder="1" applyAlignment="1">
      <alignment horizontal="center"/>
    </xf>
    <xf numFmtId="0" fontId="28" fillId="0" borderId="319" xfId="0" applyFont="1" applyBorder="1" applyAlignment="1" applyProtection="1">
      <alignment horizontal="center" vertical="center" wrapText="1"/>
      <protection hidden="1"/>
    </xf>
    <xf numFmtId="0" fontId="28" fillId="0" borderId="304" xfId="0" applyFont="1" applyBorder="1" applyAlignment="1" applyProtection="1">
      <alignment horizontal="center" vertical="center" wrapText="1"/>
      <protection hidden="1"/>
    </xf>
    <xf numFmtId="0" fontId="28" fillId="0" borderId="392" xfId="0" applyFont="1" applyBorder="1" applyAlignment="1" applyProtection="1">
      <alignment horizontal="center" vertical="center" wrapText="1"/>
      <protection hidden="1"/>
    </xf>
    <xf numFmtId="0" fontId="28" fillId="0" borderId="250" xfId="0" applyFont="1" applyBorder="1" applyAlignment="1">
      <alignment horizontal="center" vertical="center" wrapText="1"/>
    </xf>
    <xf numFmtId="0" fontId="28" fillId="0" borderId="239" xfId="0" applyFont="1" applyBorder="1" applyAlignment="1">
      <alignment horizontal="center" vertical="center" wrapText="1"/>
    </xf>
    <xf numFmtId="0" fontId="28" fillId="0" borderId="245" xfId="0" applyFont="1" applyBorder="1" applyAlignment="1">
      <alignment horizontal="center" vertical="center" wrapText="1"/>
    </xf>
    <xf numFmtId="49" fontId="71" fillId="0" borderId="0" xfId="0" applyNumberFormat="1" applyFont="1" applyAlignment="1" applyProtection="1">
      <alignment horizontal="left"/>
      <protection locked="0"/>
    </xf>
    <xf numFmtId="0" fontId="15" fillId="0" borderId="0" xfId="0" applyFont="1" applyAlignment="1">
      <alignment horizontal="left" indent="3" shrinkToFit="1"/>
    </xf>
    <xf numFmtId="0" fontId="72" fillId="0" borderId="329"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328" xfId="0" applyFont="1" applyBorder="1" applyAlignment="1">
      <alignment horizontal="center" vertical="center" wrapText="1"/>
    </xf>
    <xf numFmtId="0" fontId="72" fillId="0" borderId="125" xfId="0" applyFont="1" applyBorder="1" applyAlignment="1">
      <alignment horizontal="center" vertical="center" wrapText="1"/>
    </xf>
    <xf numFmtId="0" fontId="24" fillId="16" borderId="56" xfId="0" applyFont="1" applyFill="1" applyBorder="1" applyAlignment="1" applyProtection="1">
      <alignment horizontal="center" wrapText="1"/>
      <protection hidden="1"/>
    </xf>
    <xf numFmtId="0" fontId="24" fillId="16" borderId="33" xfId="0" applyFont="1" applyFill="1" applyBorder="1" applyAlignment="1" applyProtection="1">
      <alignment horizontal="center" wrapText="1"/>
      <protection hidden="1"/>
    </xf>
    <xf numFmtId="0" fontId="15" fillId="0" borderId="291" xfId="0" applyFont="1" applyBorder="1" applyAlignment="1" applyProtection="1">
      <alignment horizontal="center" vertical="center"/>
      <protection hidden="1"/>
    </xf>
    <xf numFmtId="0" fontId="15" fillId="0" borderId="292" xfId="0" applyFont="1" applyBorder="1" applyAlignment="1" applyProtection="1">
      <alignment horizontal="center" vertical="center"/>
      <protection hidden="1"/>
    </xf>
    <xf numFmtId="0" fontId="15" fillId="0" borderId="292" xfId="0" applyFont="1" applyBorder="1" applyAlignment="1">
      <alignment horizontal="center" vertical="center"/>
    </xf>
    <xf numFmtId="0" fontId="15" fillId="0" borderId="292" xfId="0" applyFont="1" applyBorder="1"/>
    <xf numFmtId="0" fontId="0" fillId="0" borderId="292" xfId="0" applyBorder="1"/>
    <xf numFmtId="0" fontId="0" fillId="0" borderId="293" xfId="0" applyBorder="1"/>
    <xf numFmtId="0" fontId="28" fillId="0" borderId="29" xfId="0" applyFont="1" applyBorder="1" applyAlignment="1" applyProtection="1">
      <alignment horizontal="center" vertical="center" wrapText="1"/>
      <protection hidden="1"/>
    </xf>
    <xf numFmtId="186" fontId="123" fillId="0" borderId="0" xfId="0" applyNumberFormat="1" applyFont="1" applyAlignment="1" applyProtection="1">
      <alignment horizontal="left"/>
      <protection locked="0"/>
    </xf>
    <xf numFmtId="0" fontId="28" fillId="2" borderId="102" xfId="0" applyFont="1" applyFill="1" applyBorder="1" applyAlignment="1" applyProtection="1">
      <alignment horizontal="center" wrapText="1"/>
      <protection hidden="1"/>
    </xf>
    <xf numFmtId="0" fontId="28" fillId="0" borderId="102" xfId="0" applyFont="1" applyBorder="1" applyAlignment="1">
      <alignment wrapText="1"/>
    </xf>
    <xf numFmtId="0" fontId="48" fillId="0" borderId="359" xfId="0" applyFont="1" applyBorder="1" applyAlignment="1" applyProtection="1">
      <alignment horizontal="center" vertical="center" wrapText="1"/>
      <protection hidden="1"/>
    </xf>
    <xf numFmtId="0" fontId="15" fillId="2" borderId="215" xfId="0" applyFont="1" applyFill="1" applyBorder="1" applyAlignment="1">
      <alignment horizontal="center" vertical="center" wrapText="1"/>
    </xf>
    <xf numFmtId="0" fontId="15" fillId="2" borderId="43" xfId="0" applyFont="1" applyFill="1" applyBorder="1" applyAlignment="1">
      <alignment horizontal="center" vertical="center" wrapText="1"/>
    </xf>
    <xf numFmtId="0" fontId="28" fillId="8" borderId="48" xfId="0" applyFont="1" applyFill="1" applyBorder="1"/>
    <xf numFmtId="0" fontId="28" fillId="8" borderId="99" xfId="0" applyFont="1" applyFill="1" applyBorder="1"/>
    <xf numFmtId="0" fontId="28" fillId="8" borderId="47" xfId="0" applyFont="1" applyFill="1" applyBorder="1"/>
    <xf numFmtId="0" fontId="28" fillId="8" borderId="234" xfId="0" applyFont="1" applyFill="1" applyBorder="1"/>
    <xf numFmtId="0" fontId="28" fillId="8" borderId="39" xfId="0" applyFont="1" applyFill="1" applyBorder="1"/>
    <xf numFmtId="0" fontId="48" fillId="8" borderId="279" xfId="0" applyFont="1" applyFill="1" applyBorder="1" applyAlignment="1" applyProtection="1">
      <alignment horizontal="center" wrapText="1"/>
      <protection hidden="1"/>
    </xf>
    <xf numFmtId="0" fontId="48" fillId="8" borderId="280" xfId="0" applyFont="1" applyFill="1" applyBorder="1" applyAlignment="1" applyProtection="1">
      <alignment horizontal="center" wrapText="1"/>
      <protection hidden="1"/>
    </xf>
    <xf numFmtId="0" fontId="48" fillId="8" borderId="137" xfId="0" applyFont="1" applyFill="1" applyBorder="1" applyAlignment="1" applyProtection="1">
      <alignment horizontal="center" wrapText="1"/>
      <protection hidden="1"/>
    </xf>
    <xf numFmtId="0" fontId="48" fillId="8" borderId="232" xfId="0" applyFont="1" applyFill="1" applyBorder="1" applyAlignment="1" applyProtection="1">
      <alignment horizontal="center" wrapText="1"/>
      <protection hidden="1"/>
    </xf>
    <xf numFmtId="0" fontId="15" fillId="8" borderId="279" xfId="0" applyFont="1" applyFill="1" applyBorder="1" applyAlignment="1">
      <alignment horizontal="center" vertical="center"/>
    </xf>
    <xf numFmtId="0" fontId="28" fillId="2" borderId="55" xfId="0" applyFont="1" applyFill="1" applyBorder="1" applyAlignment="1" applyProtection="1">
      <alignment horizontal="center" wrapText="1"/>
      <protection hidden="1"/>
    </xf>
    <xf numFmtId="0" fontId="28" fillId="0" borderId="23" xfId="0" applyFont="1" applyBorder="1" applyAlignment="1" applyProtection="1">
      <alignment wrapText="1"/>
      <protection hidden="1"/>
    </xf>
    <xf numFmtId="0" fontId="28" fillId="2" borderId="286" xfId="0" applyFont="1" applyFill="1" applyBorder="1" applyAlignment="1" applyProtection="1">
      <alignment horizontal="center" wrapText="1"/>
      <protection hidden="1"/>
    </xf>
    <xf numFmtId="0" fontId="48" fillId="0" borderId="1" xfId="0" applyFont="1" applyBorder="1" applyAlignment="1" applyProtection="1">
      <alignment horizontal="center" vertical="center" wrapText="1"/>
      <protection hidden="1"/>
    </xf>
    <xf numFmtId="0" fontId="28" fillId="0" borderId="363" xfId="0" applyFont="1" applyBorder="1" applyAlignment="1" applyProtection="1">
      <alignment horizontal="center" vertical="center" wrapText="1"/>
      <protection hidden="1"/>
    </xf>
    <xf numFmtId="0" fontId="28" fillId="2" borderId="287" xfId="0" applyFont="1" applyFill="1" applyBorder="1" applyAlignment="1" applyProtection="1">
      <alignment horizontal="center" wrapText="1"/>
      <protection hidden="1"/>
    </xf>
    <xf numFmtId="0" fontId="28" fillId="0" borderId="37" xfId="0" applyFont="1" applyBorder="1" applyAlignment="1" applyProtection="1">
      <alignment wrapText="1"/>
      <protection hidden="1"/>
    </xf>
    <xf numFmtId="0" fontId="84" fillId="0" borderId="137" xfId="0" applyFont="1" applyBorder="1" applyAlignment="1" applyProtection="1">
      <alignment horizontal="center" vertical="center" wrapText="1"/>
      <protection hidden="1"/>
    </xf>
    <xf numFmtId="0" fontId="156" fillId="0" borderId="137" xfId="0" applyFont="1" applyBorder="1" applyAlignment="1">
      <alignment wrapText="1"/>
    </xf>
    <xf numFmtId="0" fontId="156" fillId="0" borderId="250" xfId="0" applyFont="1" applyBorder="1" applyAlignment="1">
      <alignment wrapText="1"/>
    </xf>
    <xf numFmtId="0" fontId="15" fillId="0" borderId="52" xfId="0" applyFont="1" applyBorder="1" applyAlignment="1" applyProtection="1">
      <alignment horizontal="center" vertical="center" wrapText="1"/>
      <protection hidden="1"/>
    </xf>
    <xf numFmtId="0" fontId="28" fillId="0" borderId="53" xfId="0" applyFont="1" applyBorder="1" applyAlignment="1">
      <alignment wrapText="1"/>
    </xf>
    <xf numFmtId="0" fontId="28" fillId="0" borderId="52" xfId="0" applyFont="1" applyBorder="1" applyAlignment="1">
      <alignment wrapText="1"/>
    </xf>
    <xf numFmtId="0" fontId="28" fillId="2" borderId="58" xfId="0" applyFont="1" applyFill="1" applyBorder="1" applyAlignment="1" applyProtection="1">
      <alignment horizontal="center" wrapText="1"/>
      <protection hidden="1"/>
    </xf>
    <xf numFmtId="0" fontId="28" fillId="0" borderId="23" xfId="0" applyFont="1" applyBorder="1" applyAlignment="1">
      <alignment wrapText="1"/>
    </xf>
    <xf numFmtId="0" fontId="47" fillId="0" borderId="4" xfId="0" applyFont="1" applyBorder="1" applyAlignment="1" applyProtection="1">
      <alignment horizontal="center" vertical="center" wrapText="1"/>
      <protection hidden="1"/>
    </xf>
    <xf numFmtId="0" fontId="47" fillId="0" borderId="365" xfId="0" applyFont="1" applyBorder="1" applyAlignment="1" applyProtection="1">
      <alignment horizontal="center" vertical="center" wrapText="1"/>
      <protection hidden="1"/>
    </xf>
    <xf numFmtId="0" fontId="15" fillId="6" borderId="83" xfId="0" applyFont="1" applyFill="1" applyBorder="1" applyAlignment="1" applyProtection="1">
      <alignment horizontal="center" vertical="center" wrapText="1"/>
      <protection hidden="1"/>
    </xf>
    <xf numFmtId="0" fontId="15" fillId="6" borderId="45" xfId="0" applyFont="1" applyFill="1" applyBorder="1" applyAlignment="1" applyProtection="1">
      <alignment horizontal="center" vertical="center" wrapText="1"/>
      <protection hidden="1"/>
    </xf>
    <xf numFmtId="0" fontId="48" fillId="0" borderId="45" xfId="0" applyFont="1" applyBorder="1" applyAlignment="1" applyProtection="1">
      <alignment wrapText="1"/>
      <protection hidden="1"/>
    </xf>
    <xf numFmtId="0" fontId="0" fillId="0" borderId="45" xfId="0" applyBorder="1" applyAlignment="1">
      <alignment wrapText="1"/>
    </xf>
    <xf numFmtId="0" fontId="0" fillId="0" borderId="48" xfId="0" applyBorder="1" applyAlignment="1">
      <alignment wrapText="1"/>
    </xf>
    <xf numFmtId="0" fontId="15" fillId="6" borderId="275" xfId="0" applyFont="1" applyFill="1" applyBorder="1" applyAlignment="1" applyProtection="1">
      <alignment horizontal="center" vertical="center" wrapText="1"/>
      <protection hidden="1"/>
    </xf>
    <xf numFmtId="0" fontId="15" fillId="6" borderId="100" xfId="0" applyFont="1" applyFill="1" applyBorder="1" applyAlignment="1" applyProtection="1">
      <alignment horizontal="center" vertical="center" wrapText="1"/>
      <protection hidden="1"/>
    </xf>
    <xf numFmtId="0" fontId="48" fillId="0" borderId="100" xfId="0" applyFont="1" applyBorder="1" applyAlignment="1" applyProtection="1">
      <alignment wrapText="1"/>
      <protection hidden="1"/>
    </xf>
    <xf numFmtId="0" fontId="0" fillId="0" borderId="100" xfId="0" applyBorder="1" applyAlignment="1">
      <alignment wrapText="1"/>
    </xf>
    <xf numFmtId="0" fontId="0" fillId="0" borderId="276" xfId="0" applyBorder="1" applyAlignment="1">
      <alignment wrapText="1"/>
    </xf>
    <xf numFmtId="0" fontId="72" fillId="0" borderId="326" xfId="0" applyFont="1" applyBorder="1" applyAlignment="1">
      <alignment horizontal="center" vertical="center" wrapText="1"/>
    </xf>
    <xf numFmtId="0" fontId="72" fillId="0" borderId="330" xfId="0" applyFont="1" applyBorder="1" applyAlignment="1">
      <alignment horizontal="center" vertical="center" wrapText="1"/>
    </xf>
    <xf numFmtId="0" fontId="48" fillId="2" borderId="68" xfId="0" applyFont="1" applyFill="1" applyBorder="1" applyAlignment="1">
      <alignment horizontal="center" wrapText="1"/>
    </xf>
    <xf numFmtId="0" fontId="28" fillId="16" borderId="33" xfId="0" applyFont="1" applyFill="1" applyBorder="1" applyAlignment="1" applyProtection="1">
      <alignment horizontal="center" wrapText="1"/>
      <protection hidden="1"/>
    </xf>
    <xf numFmtId="0" fontId="73" fillId="0" borderId="137" xfId="0" applyFont="1" applyBorder="1" applyAlignment="1" applyProtection="1">
      <alignment horizontal="center" vertical="center" wrapText="1"/>
      <protection hidden="1"/>
    </xf>
    <xf numFmtId="0" fontId="0" fillId="0" borderId="137" xfId="0" applyBorder="1" applyAlignment="1">
      <alignment wrapText="1"/>
    </xf>
    <xf numFmtId="0" fontId="0" fillId="0" borderId="250" xfId="0" applyBorder="1" applyAlignment="1">
      <alignment wrapText="1"/>
    </xf>
    <xf numFmtId="0" fontId="28" fillId="0" borderId="248" xfId="0" applyFont="1" applyBorder="1" applyAlignment="1">
      <alignment horizontal="center" vertical="center" wrapText="1"/>
    </xf>
    <xf numFmtId="0" fontId="28" fillId="0" borderId="242" xfId="0" applyFont="1" applyBorder="1" applyAlignment="1">
      <alignment horizontal="center" vertical="center" wrapText="1"/>
    </xf>
    <xf numFmtId="0" fontId="73" fillId="0" borderId="393" xfId="0" applyFont="1" applyBorder="1" applyAlignment="1" applyProtection="1">
      <alignment horizontal="center" vertical="center" wrapText="1"/>
      <protection hidden="1"/>
    </xf>
    <xf numFmtId="0" fontId="73" fillId="0" borderId="261" xfId="0" applyFont="1" applyBorder="1" applyAlignment="1" applyProtection="1">
      <alignment horizontal="center" vertical="center" wrapText="1"/>
      <protection hidden="1"/>
    </xf>
    <xf numFmtId="0" fontId="47" fillId="0" borderId="394" xfId="0" applyFont="1" applyBorder="1" applyAlignment="1">
      <alignment horizontal="center" vertical="center" wrapText="1"/>
    </xf>
    <xf numFmtId="0" fontId="156" fillId="0" borderId="398" xfId="0" applyFont="1" applyBorder="1" applyAlignment="1">
      <alignment horizontal="center" vertical="center"/>
    </xf>
    <xf numFmtId="0" fontId="28" fillId="14" borderId="131" xfId="0" applyFont="1" applyFill="1" applyBorder="1"/>
    <xf numFmtId="0" fontId="0" fillId="14" borderId="132" xfId="0" applyFill="1" applyBorder="1"/>
    <xf numFmtId="0" fontId="48" fillId="8" borderId="8" xfId="0" applyFont="1" applyFill="1" applyBorder="1" applyAlignment="1" applyProtection="1">
      <alignment horizontal="center" wrapText="1"/>
      <protection hidden="1"/>
    </xf>
    <xf numFmtId="0" fontId="28" fillId="8" borderId="8" xfId="0" applyFont="1" applyFill="1" applyBorder="1" applyAlignment="1">
      <alignment wrapText="1"/>
    </xf>
    <xf numFmtId="0" fontId="28" fillId="8" borderId="18" xfId="0" applyFont="1" applyFill="1" applyBorder="1" applyAlignment="1">
      <alignment wrapText="1"/>
    </xf>
    <xf numFmtId="0" fontId="28" fillId="8" borderId="12" xfId="0" applyFont="1" applyFill="1" applyBorder="1" applyAlignment="1" applyProtection="1">
      <alignment horizontal="center" wrapText="1"/>
      <protection hidden="1"/>
    </xf>
    <xf numFmtId="0" fontId="28" fillId="8" borderId="12" xfId="0" applyFont="1" applyFill="1" applyBorder="1" applyAlignment="1">
      <alignment wrapText="1"/>
    </xf>
    <xf numFmtId="0" fontId="28" fillId="8" borderId="13" xfId="0" applyFont="1" applyFill="1" applyBorder="1" applyAlignment="1">
      <alignment wrapText="1"/>
    </xf>
    <xf numFmtId="0" fontId="28" fillId="8" borderId="240" xfId="0" applyFont="1" applyFill="1" applyBorder="1" applyAlignment="1" applyProtection="1">
      <alignment horizontal="center" wrapText="1"/>
      <protection hidden="1"/>
    </xf>
    <xf numFmtId="0" fontId="28" fillId="10" borderId="56" xfId="0" applyFont="1" applyFill="1" applyBorder="1" applyAlignment="1" applyProtection="1">
      <alignment horizontal="center" wrapText="1"/>
      <protection hidden="1"/>
    </xf>
    <xf numFmtId="0" fontId="28" fillId="10" borderId="33" xfId="0" applyFont="1" applyFill="1" applyBorder="1" applyAlignment="1" applyProtection="1">
      <alignment horizontal="center" wrapText="1"/>
      <protection hidden="1"/>
    </xf>
    <xf numFmtId="0" fontId="84" fillId="0" borderId="393" xfId="0" applyFont="1" applyBorder="1" applyAlignment="1" applyProtection="1">
      <alignment horizontal="center" vertical="center" wrapText="1"/>
      <protection hidden="1"/>
    </xf>
    <xf numFmtId="0" fontId="84" fillId="0" borderId="261" xfId="0" applyFont="1" applyBorder="1" applyAlignment="1" applyProtection="1">
      <alignment horizontal="center" vertical="center" wrapText="1"/>
      <protection hidden="1"/>
    </xf>
    <xf numFmtId="0" fontId="47" fillId="0" borderId="353" xfId="0" applyFont="1" applyBorder="1" applyAlignment="1" applyProtection="1">
      <alignment horizontal="center" vertical="center" wrapText="1"/>
      <protection hidden="1"/>
    </xf>
    <xf numFmtId="0" fontId="47" fillId="0" borderId="356" xfId="0" applyFont="1" applyBorder="1" applyAlignment="1" applyProtection="1">
      <alignment horizontal="center" vertical="center" wrapText="1"/>
      <protection hidden="1"/>
    </xf>
    <xf numFmtId="0" fontId="15" fillId="6" borderId="50" xfId="0" applyFont="1" applyFill="1" applyBorder="1" applyAlignment="1" applyProtection="1">
      <alignment horizontal="center" vertical="center" wrapText="1"/>
      <protection hidden="1"/>
    </xf>
    <xf numFmtId="0" fontId="28" fillId="0" borderId="352" xfId="0" applyFont="1" applyBorder="1" applyAlignment="1" applyProtection="1">
      <alignment horizontal="center" vertical="center" wrapText="1"/>
      <protection hidden="1"/>
    </xf>
    <xf numFmtId="0" fontId="28" fillId="0" borderId="355" xfId="0" applyFont="1" applyBorder="1" applyAlignment="1" applyProtection="1">
      <alignment horizontal="center" vertical="center" wrapText="1"/>
      <protection hidden="1"/>
    </xf>
    <xf numFmtId="0" fontId="28" fillId="0" borderId="353" xfId="0" applyFont="1" applyBorder="1" applyAlignment="1" applyProtection="1">
      <alignment horizontal="center" vertical="center" wrapText="1"/>
      <protection hidden="1"/>
    </xf>
    <xf numFmtId="0" fontId="28" fillId="0" borderId="356" xfId="0" applyFont="1" applyBorder="1" applyAlignment="1" applyProtection="1">
      <alignment horizontal="center" vertical="center" wrapText="1"/>
      <protection hidden="1"/>
    </xf>
    <xf numFmtId="0" fontId="47" fillId="0" borderId="358" xfId="0" applyFont="1" applyBorder="1" applyAlignment="1" applyProtection="1">
      <alignment horizontal="center" vertical="center" wrapText="1"/>
      <protection hidden="1"/>
    </xf>
    <xf numFmtId="0" fontId="47" fillId="0" borderId="111" xfId="0" applyFont="1" applyBorder="1" applyAlignment="1" applyProtection="1">
      <alignment horizontal="center" vertical="center" wrapText="1"/>
      <protection hidden="1"/>
    </xf>
    <xf numFmtId="0" fontId="47" fillId="0" borderId="354" xfId="0" applyFont="1" applyBorder="1" applyAlignment="1" applyProtection="1">
      <alignment horizontal="center" vertical="center" wrapText="1"/>
      <protection hidden="1"/>
    </xf>
    <xf numFmtId="0" fontId="47" fillId="0" borderId="357" xfId="0" applyFont="1" applyBorder="1" applyAlignment="1" applyProtection="1">
      <alignment horizontal="center" vertical="center" wrapText="1"/>
      <protection hidden="1"/>
    </xf>
    <xf numFmtId="0" fontId="72" fillId="0" borderId="294" xfId="0" applyFont="1" applyBorder="1" applyAlignment="1">
      <alignment horizontal="center" vertical="center" wrapText="1"/>
    </xf>
    <xf numFmtId="0" fontId="72" fillId="0" borderId="295" xfId="0" applyFont="1" applyBorder="1" applyAlignment="1">
      <alignment horizontal="center" vertical="center"/>
    </xf>
    <xf numFmtId="0" fontId="72" fillId="0" borderId="327" xfId="0" applyFont="1" applyBorder="1" applyAlignment="1">
      <alignment horizontal="center" vertical="center" wrapText="1"/>
    </xf>
    <xf numFmtId="0" fontId="72" fillId="0" borderId="255" xfId="0" applyFont="1" applyBorder="1" applyAlignment="1">
      <alignment horizontal="center" vertical="center"/>
    </xf>
    <xf numFmtId="0" fontId="72" fillId="0" borderId="257" xfId="0" applyFont="1" applyBorder="1" applyAlignment="1">
      <alignment horizontal="center" vertical="center"/>
    </xf>
    <xf numFmtId="0" fontId="72" fillId="0" borderId="254" xfId="0" applyFont="1" applyBorder="1" applyAlignment="1">
      <alignment horizontal="center" vertical="center"/>
    </xf>
    <xf numFmtId="0" fontId="72" fillId="0" borderId="256" xfId="0" applyFont="1" applyBorder="1" applyAlignment="1">
      <alignment horizontal="center" vertical="center"/>
    </xf>
    <xf numFmtId="0" fontId="72" fillId="0" borderId="255" xfId="0" applyFont="1" applyBorder="1" applyAlignment="1">
      <alignment horizontal="center" vertical="center" wrapText="1"/>
    </xf>
    <xf numFmtId="0" fontId="72" fillId="0" borderId="254" xfId="0" applyFont="1" applyBorder="1" applyAlignment="1">
      <alignment horizontal="center" vertical="center" wrapText="1"/>
    </xf>
    <xf numFmtId="0" fontId="72" fillId="0" borderId="257" xfId="0" applyFont="1" applyBorder="1" applyAlignment="1">
      <alignment horizontal="center" vertical="center" wrapText="1"/>
    </xf>
    <xf numFmtId="0" fontId="72" fillId="0" borderId="256" xfId="0" applyFont="1" applyBorder="1" applyAlignment="1">
      <alignment horizontal="center" vertical="center" wrapText="1"/>
    </xf>
    <xf numFmtId="0" fontId="73" fillId="0" borderId="295" xfId="0" applyFont="1" applyBorder="1" applyAlignment="1">
      <alignment horizontal="center" vertical="center" wrapText="1"/>
    </xf>
    <xf numFmtId="0" fontId="15" fillId="2" borderId="0" xfId="0" applyFont="1" applyFill="1" applyAlignment="1">
      <alignment horizontal="center" vertical="center"/>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6" fillId="0" borderId="0" xfId="0" applyFont="1" applyAlignment="1">
      <alignment horizontal="left" indent="1"/>
    </xf>
    <xf numFmtId="0" fontId="6" fillId="0" borderId="0" xfId="0" applyFont="1" applyAlignment="1">
      <alignment horizontal="center"/>
    </xf>
    <xf numFmtId="0" fontId="67" fillId="0" borderId="16" xfId="0" applyFont="1" applyBorder="1"/>
    <xf numFmtId="0" fontId="72" fillId="0" borderId="311" xfId="0" applyFont="1" applyBorder="1" applyAlignment="1">
      <alignment horizontal="center" vertical="center" wrapText="1"/>
    </xf>
    <xf numFmtId="49" fontId="123" fillId="0" borderId="0" xfId="0" applyNumberFormat="1" applyFont="1" applyAlignment="1">
      <alignment horizontal="left"/>
    </xf>
    <xf numFmtId="0" fontId="122" fillId="0" borderId="0" xfId="0" applyFont="1"/>
    <xf numFmtId="0" fontId="72" fillId="0" borderId="294" xfId="0" applyFont="1" applyBorder="1" applyAlignment="1">
      <alignment horizontal="center" vertical="center"/>
    </xf>
    <xf numFmtId="168" fontId="123" fillId="0" borderId="0" xfId="0" applyNumberFormat="1" applyFont="1" applyAlignment="1">
      <alignment horizontal="left" indent="1"/>
    </xf>
    <xf numFmtId="0" fontId="15" fillId="2" borderId="299" xfId="0" applyFont="1" applyFill="1" applyBorder="1" applyAlignment="1">
      <alignment horizontal="center" vertical="center"/>
    </xf>
    <xf numFmtId="0" fontId="0" fillId="0" borderId="299" xfId="0" applyBorder="1" applyAlignment="1">
      <alignment horizontal="center" vertical="center"/>
    </xf>
    <xf numFmtId="0" fontId="15" fillId="2" borderId="0" xfId="0" applyFont="1" applyFill="1" applyAlignment="1">
      <alignment horizontal="center" vertical="center" wrapText="1"/>
    </xf>
    <xf numFmtId="0" fontId="0" fillId="0" borderId="0" xfId="0" applyAlignment="1">
      <alignment horizontal="center" vertical="center" wrapText="1"/>
    </xf>
    <xf numFmtId="0" fontId="72" fillId="0" borderId="80" xfId="0" applyFont="1" applyBorder="1" applyAlignment="1">
      <alignment horizontal="center" vertical="center" wrapText="1"/>
    </xf>
    <xf numFmtId="0" fontId="72" fillId="0" borderId="63" xfId="0" applyFont="1" applyBorder="1" applyAlignment="1">
      <alignment horizontal="center" vertical="center"/>
    </xf>
    <xf numFmtId="0" fontId="72" fillId="0" borderId="62" xfId="0" applyFont="1" applyBorder="1" applyAlignment="1">
      <alignment horizontal="center" vertical="center"/>
    </xf>
    <xf numFmtId="0" fontId="15" fillId="6" borderId="291" xfId="0" applyFont="1" applyFill="1" applyBorder="1" applyAlignment="1" applyProtection="1">
      <alignment horizontal="center" vertical="center" wrapText="1"/>
      <protection hidden="1"/>
    </xf>
    <xf numFmtId="0" fontId="0" fillId="0" borderId="292" xfId="0" applyBorder="1" applyAlignment="1">
      <alignment wrapText="1"/>
    </xf>
    <xf numFmtId="0" fontId="0" fillId="0" borderId="293" xfId="0" applyBorder="1" applyAlignment="1">
      <alignment wrapText="1"/>
    </xf>
    <xf numFmtId="0" fontId="72" fillId="0" borderId="63" xfId="0" applyFont="1" applyBorder="1" applyAlignment="1">
      <alignment horizontal="center" vertical="center" wrapText="1"/>
    </xf>
    <xf numFmtId="0" fontId="73" fillId="0" borderId="63" xfId="0" applyFont="1" applyBorder="1" applyAlignment="1">
      <alignment horizontal="center" vertical="center" wrapText="1"/>
    </xf>
    <xf numFmtId="1" fontId="43" fillId="0" borderId="12" xfId="0" applyNumberFormat="1" applyFont="1" applyBorder="1" applyAlignment="1">
      <alignment horizontal="center"/>
    </xf>
    <xf numFmtId="1" fontId="43" fillId="0" borderId="21" xfId="0" applyNumberFormat="1" applyFont="1" applyBorder="1" applyAlignment="1">
      <alignment horizontal="center"/>
    </xf>
    <xf numFmtId="1" fontId="34" fillId="0" borderId="8" xfId="0" applyNumberFormat="1" applyFont="1" applyBorder="1" applyAlignment="1">
      <alignment horizontal="center"/>
    </xf>
    <xf numFmtId="1" fontId="34" fillId="0" borderId="12" xfId="0" applyNumberFormat="1" applyFont="1" applyBorder="1" applyAlignment="1">
      <alignment horizontal="center"/>
    </xf>
    <xf numFmtId="0" fontId="34" fillId="0" borderId="60" xfId="0" applyFont="1" applyBorder="1" applyAlignment="1">
      <alignment horizontal="center"/>
    </xf>
    <xf numFmtId="0" fontId="34" fillId="0" borderId="40" xfId="0" applyFont="1" applyBorder="1" applyAlignment="1">
      <alignment horizontal="center"/>
    </xf>
    <xf numFmtId="1" fontId="28" fillId="0" borderId="8" xfId="0" applyNumberFormat="1" applyFont="1" applyBorder="1" applyAlignment="1">
      <alignment horizontal="center"/>
    </xf>
    <xf numFmtId="1" fontId="28" fillId="0" borderId="12" xfId="0" applyNumberFormat="1" applyFont="1" applyBorder="1" applyAlignment="1">
      <alignment horizontal="center"/>
    </xf>
    <xf numFmtId="1" fontId="28" fillId="0" borderId="21" xfId="0" applyNumberFormat="1" applyFont="1" applyBorder="1" applyAlignment="1">
      <alignment horizontal="center"/>
    </xf>
    <xf numFmtId="0" fontId="26" fillId="0" borderId="10" xfId="0" applyFont="1" applyBorder="1"/>
    <xf numFmtId="0" fontId="26" fillId="0" borderId="22" xfId="0" applyFont="1" applyBorder="1"/>
    <xf numFmtId="0" fontId="34" fillId="0" borderId="204" xfId="0" applyFont="1" applyBorder="1" applyAlignment="1">
      <alignment horizontal="center"/>
    </xf>
    <xf numFmtId="0" fontId="34" fillId="0" borderId="205" xfId="0" applyFont="1" applyBorder="1" applyAlignment="1">
      <alignment horizontal="center"/>
    </xf>
    <xf numFmtId="1" fontId="34" fillId="0" borderId="9" xfId="0" applyNumberFormat="1" applyFont="1" applyBorder="1" applyAlignment="1">
      <alignment horizontal="center"/>
    </xf>
    <xf numFmtId="1" fontId="34" fillId="0" borderId="25" xfId="0" applyNumberFormat="1" applyFont="1" applyBorder="1" applyAlignment="1">
      <alignment horizontal="center"/>
    </xf>
    <xf numFmtId="1" fontId="43" fillId="0" borderId="25" xfId="0" applyNumberFormat="1" applyFont="1" applyBorder="1" applyAlignment="1">
      <alignment horizontal="center"/>
    </xf>
    <xf numFmtId="1" fontId="43" fillId="0" borderId="26" xfId="0" applyNumberFormat="1" applyFont="1" applyBorder="1" applyAlignment="1">
      <alignment horizontal="center"/>
    </xf>
    <xf numFmtId="176" fontId="34" fillId="0" borderId="7" xfId="0" applyNumberFormat="1" applyFont="1" applyBorder="1" applyAlignment="1">
      <alignment horizontal="center" vertical="center"/>
    </xf>
    <xf numFmtId="0" fontId="0" fillId="0" borderId="66" xfId="0" applyBorder="1" applyAlignment="1">
      <alignment horizontal="center"/>
    </xf>
    <xf numFmtId="0" fontId="0" fillId="0" borderId="110" xfId="0" applyBorder="1" applyAlignment="1">
      <alignment horizontal="center"/>
    </xf>
    <xf numFmtId="0" fontId="34" fillId="0" borderId="203" xfId="0" applyFont="1" applyBorder="1" applyAlignment="1">
      <alignment horizontal="center"/>
    </xf>
    <xf numFmtId="0" fontId="34" fillId="0" borderId="90" xfId="0" applyFont="1" applyBorder="1" applyAlignment="1">
      <alignment horizontal="center"/>
    </xf>
    <xf numFmtId="174" fontId="23" fillId="0" borderId="10" xfId="0" applyNumberFormat="1" applyFont="1" applyBorder="1" applyAlignment="1">
      <alignment horizontal="left"/>
    </xf>
    <xf numFmtId="0" fontId="14" fillId="0" borderId="11" xfId="0" applyFont="1" applyBorder="1" applyAlignment="1">
      <alignment horizontal="right" vertical="top"/>
    </xf>
    <xf numFmtId="0" fontId="23" fillId="0" borderId="10" xfId="0" applyFont="1" applyBorder="1" applyAlignment="1">
      <alignment horizontal="left"/>
    </xf>
    <xf numFmtId="0" fontId="39" fillId="0" borderId="10" xfId="0" applyFont="1" applyBorder="1"/>
    <xf numFmtId="1" fontId="41" fillId="0" borderId="12" xfId="0" applyNumberFormat="1" applyFont="1" applyBorder="1" applyAlignment="1">
      <alignment horizontal="left"/>
    </xf>
    <xf numFmtId="1" fontId="42" fillId="0" borderId="12" xfId="0" applyNumberFormat="1" applyFont="1" applyBorder="1" applyAlignment="1">
      <alignment horizontal="left"/>
    </xf>
    <xf numFmtId="168" fontId="23" fillId="0" borderId="0" xfId="0" applyNumberFormat="1" applyFont="1" applyAlignment="1">
      <alignment horizontal="left"/>
    </xf>
    <xf numFmtId="168" fontId="0" fillId="0" borderId="0" xfId="0" applyNumberFormat="1"/>
    <xf numFmtId="168" fontId="33" fillId="0" borderId="0" xfId="0" applyNumberFormat="1" applyFont="1" applyAlignment="1" applyProtection="1">
      <alignment horizontal="left"/>
      <protection locked="0"/>
    </xf>
    <xf numFmtId="168" fontId="0" fillId="0" borderId="0" xfId="0" applyNumberFormat="1" applyProtection="1">
      <protection locked="0"/>
    </xf>
    <xf numFmtId="49" fontId="33" fillId="0" borderId="0" xfId="0" applyNumberFormat="1" applyFont="1" applyAlignment="1" applyProtection="1">
      <alignment horizontal="left"/>
      <protection locked="0"/>
    </xf>
    <xf numFmtId="0" fontId="33" fillId="0" borderId="16" xfId="0" applyFont="1" applyBorder="1" applyAlignment="1" applyProtection="1">
      <alignment horizontal="left"/>
      <protection locked="0"/>
    </xf>
    <xf numFmtId="0" fontId="0" fillId="0" borderId="16" xfId="0" applyBorder="1" applyProtection="1">
      <protection locked="0"/>
    </xf>
    <xf numFmtId="0" fontId="9" fillId="0" borderId="0" xfId="0" applyFont="1"/>
    <xf numFmtId="0" fontId="132" fillId="5" borderId="0" xfId="0" applyFont="1" applyFill="1" applyAlignment="1" applyProtection="1">
      <alignment vertical="top" wrapText="1"/>
      <protection locked="0"/>
    </xf>
    <xf numFmtId="0" fontId="132" fillId="5" borderId="142" xfId="0" applyFont="1" applyFill="1" applyBorder="1" applyAlignment="1" applyProtection="1">
      <alignment vertical="top" wrapText="1"/>
      <protection locked="0"/>
    </xf>
    <xf numFmtId="0" fontId="38" fillId="0" borderId="0" xfId="0" applyFont="1" applyAlignment="1">
      <alignment horizontal="center"/>
    </xf>
    <xf numFmtId="0" fontId="0" fillId="2" borderId="21" xfId="0" applyFill="1" applyBorder="1" applyAlignment="1">
      <alignment horizontal="center"/>
    </xf>
    <xf numFmtId="0" fontId="0" fillId="2" borderId="36" xfId="0" applyFill="1" applyBorder="1" applyAlignment="1">
      <alignment horizontal="center"/>
    </xf>
    <xf numFmtId="0" fontId="0" fillId="2" borderId="8" xfId="0" applyFill="1" applyBorder="1" applyAlignment="1">
      <alignment horizontal="center"/>
    </xf>
    <xf numFmtId="174" fontId="108" fillId="0" borderId="10" xfId="0" applyNumberFormat="1" applyFont="1" applyBorder="1" applyAlignment="1">
      <alignment horizontal="left"/>
    </xf>
    <xf numFmtId="0" fontId="108" fillId="0" borderId="10" xfId="0" applyFont="1" applyBorder="1"/>
    <xf numFmtId="0" fontId="108" fillId="0" borderId="10" xfId="0" applyFont="1" applyBorder="1" applyAlignment="1">
      <alignment horizontal="left"/>
    </xf>
    <xf numFmtId="0" fontId="34" fillId="0" borderId="12" xfId="0" applyFont="1" applyBorder="1" applyAlignment="1">
      <alignment horizontal="center"/>
    </xf>
    <xf numFmtId="0" fontId="7" fillId="0" borderId="12" xfId="0" applyFont="1" applyBorder="1" applyAlignment="1">
      <alignment horizontal="center"/>
    </xf>
    <xf numFmtId="1" fontId="34" fillId="5" borderId="12" xfId="0" applyNumberFormat="1" applyFont="1" applyFill="1" applyBorder="1" applyAlignment="1" applyProtection="1">
      <alignment horizontal="center"/>
      <protection locked="0"/>
    </xf>
    <xf numFmtId="1" fontId="34" fillId="0" borderId="68" xfId="0" applyNumberFormat="1" applyFont="1" applyBorder="1" applyAlignment="1">
      <alignment horizontal="center"/>
    </xf>
    <xf numFmtId="168" fontId="108" fillId="0" borderId="0" xfId="0" applyNumberFormat="1" applyFont="1" applyAlignment="1">
      <alignment horizontal="left"/>
    </xf>
    <xf numFmtId="168" fontId="108" fillId="0" borderId="0" xfId="0" applyNumberFormat="1" applyFont="1"/>
    <xf numFmtId="168" fontId="131" fillId="5" borderId="16" xfId="0" applyNumberFormat="1" applyFont="1" applyFill="1" applyBorder="1" applyAlignment="1" applyProtection="1">
      <alignment horizontal="left"/>
      <protection locked="0"/>
    </xf>
    <xf numFmtId="168" fontId="132" fillId="5" borderId="16" xfId="0" applyNumberFormat="1" applyFont="1" applyFill="1" applyBorder="1" applyProtection="1">
      <protection locked="0"/>
    </xf>
    <xf numFmtId="49" fontId="131" fillId="5" borderId="10" xfId="0" applyNumberFormat="1" applyFont="1" applyFill="1" applyBorder="1" applyAlignment="1" applyProtection="1">
      <alignment horizontal="left"/>
      <protection locked="0"/>
    </xf>
    <xf numFmtId="0" fontId="132" fillId="5" borderId="10" xfId="0" applyFont="1" applyFill="1" applyBorder="1" applyProtection="1">
      <protection locked="0"/>
    </xf>
    <xf numFmtId="49" fontId="131" fillId="5" borderId="206" xfId="0" applyNumberFormat="1" applyFont="1" applyFill="1" applyBorder="1" applyAlignment="1" applyProtection="1">
      <alignment horizontal="left"/>
      <protection locked="0"/>
    </xf>
    <xf numFmtId="49" fontId="132" fillId="5" borderId="206" xfId="0" applyNumberFormat="1" applyFont="1" applyFill="1" applyBorder="1" applyProtection="1">
      <protection locked="0"/>
    </xf>
    <xf numFmtId="0" fontId="22" fillId="0" borderId="207" xfId="0" applyFont="1" applyBorder="1" applyAlignment="1">
      <alignment horizontal="center" wrapText="1"/>
    </xf>
    <xf numFmtId="0" fontId="22" fillId="0" borderId="208" xfId="0" applyFont="1" applyBorder="1" applyAlignment="1">
      <alignment horizontal="center" wrapText="1"/>
    </xf>
    <xf numFmtId="0" fontId="0" fillId="0" borderId="208" xfId="0" applyBorder="1" applyAlignment="1">
      <alignment wrapText="1"/>
    </xf>
    <xf numFmtId="0" fontId="0" fillId="0" borderId="209" xfId="0" applyBorder="1" applyAlignment="1">
      <alignment wrapText="1"/>
    </xf>
    <xf numFmtId="0" fontId="22" fillId="0" borderId="210" xfId="0" applyFont="1" applyBorder="1" applyAlignment="1">
      <alignment horizontal="center" wrapText="1"/>
    </xf>
    <xf numFmtId="0" fontId="22" fillId="0" borderId="0" xfId="0" applyFont="1" applyAlignment="1">
      <alignment horizontal="center" wrapText="1"/>
    </xf>
    <xf numFmtId="0" fontId="0" fillId="0" borderId="211" xfId="0" applyBorder="1" applyAlignment="1">
      <alignment wrapText="1"/>
    </xf>
    <xf numFmtId="168" fontId="22" fillId="0" borderId="212" xfId="0" applyNumberFormat="1" applyFont="1" applyBorder="1" applyAlignment="1">
      <alignment horizontal="center"/>
    </xf>
    <xf numFmtId="168" fontId="22" fillId="0" borderId="213" xfId="0" applyNumberFormat="1" applyFont="1" applyBorder="1" applyAlignment="1">
      <alignment horizontal="center"/>
    </xf>
    <xf numFmtId="0" fontId="0" fillId="0" borderId="213" xfId="0" applyBorder="1"/>
    <xf numFmtId="0" fontId="0" fillId="0" borderId="214" xfId="0" applyBorder="1"/>
    <xf numFmtId="0" fontId="11" fillId="0" borderId="0" xfId="0" applyFont="1" applyAlignment="1">
      <alignment horizontal="center"/>
    </xf>
    <xf numFmtId="0" fontId="16" fillId="5" borderId="0" xfId="0" applyFont="1" applyFill="1" applyAlignment="1" applyProtection="1">
      <alignment horizontal="center"/>
      <protection locked="0"/>
    </xf>
    <xf numFmtId="0" fontId="6" fillId="5" borderId="0" xfId="0" applyFont="1" applyFill="1" applyProtection="1">
      <protection locked="0"/>
    </xf>
    <xf numFmtId="0" fontId="108" fillId="0" borderId="22" xfId="0" applyFont="1" applyBorder="1"/>
    <xf numFmtId="0" fontId="73" fillId="0" borderId="10" xfId="0" applyFont="1" applyBorder="1"/>
    <xf numFmtId="0" fontId="34" fillId="0" borderId="0" xfId="0" applyFont="1" applyAlignment="1">
      <alignment horizontal="center"/>
    </xf>
    <xf numFmtId="1" fontId="34" fillId="0" borderId="215" xfId="0" applyNumberFormat="1" applyFont="1" applyBorder="1" applyAlignment="1">
      <alignment horizontal="center"/>
    </xf>
    <xf numFmtId="1" fontId="34" fillId="0" borderId="216" xfId="0" applyNumberFormat="1" applyFont="1" applyBorder="1" applyAlignment="1">
      <alignment horizontal="center"/>
    </xf>
    <xf numFmtId="0" fontId="63" fillId="0" borderId="142" xfId="0" applyFont="1" applyBorder="1" applyAlignment="1">
      <alignment horizontal="center" vertical="center" wrapText="1"/>
    </xf>
    <xf numFmtId="0" fontId="0" fillId="0" borderId="142" xfId="0" applyBorder="1" applyAlignment="1">
      <alignment wrapText="1"/>
    </xf>
    <xf numFmtId="0" fontId="3" fillId="6" borderId="281" xfId="0" applyFont="1" applyFill="1" applyBorder="1" applyAlignment="1">
      <alignment horizontal="center"/>
    </xf>
    <xf numFmtId="0" fontId="3" fillId="6" borderId="57" xfId="0" applyFont="1" applyFill="1" applyBorder="1" applyAlignment="1">
      <alignment horizontal="center"/>
    </xf>
    <xf numFmtId="0" fontId="3" fillId="6" borderId="11" xfId="0" applyFont="1" applyFill="1" applyBorder="1" applyAlignment="1" applyProtection="1">
      <alignment horizontal="center"/>
      <protection hidden="1"/>
    </xf>
    <xf numFmtId="0" fontId="3" fillId="6" borderId="22" xfId="0" applyFont="1" applyFill="1" applyBorder="1" applyAlignment="1" applyProtection="1">
      <alignment horizontal="center"/>
      <protection hidden="1"/>
    </xf>
    <xf numFmtId="0" fontId="130" fillId="11" borderId="11" xfId="0" applyFont="1" applyFill="1" applyBorder="1" applyAlignment="1" applyProtection="1">
      <alignment horizontal="left" vertical="center" indent="1"/>
      <protection locked="0"/>
    </xf>
    <xf numFmtId="0" fontId="130" fillId="0" borderId="40" xfId="0" applyFont="1" applyBorder="1" applyAlignment="1" applyProtection="1">
      <alignment horizontal="left" vertical="center" indent="1"/>
      <protection locked="0"/>
    </xf>
    <xf numFmtId="0" fontId="12" fillId="4" borderId="117" xfId="0" applyFont="1" applyFill="1" applyBorder="1" applyAlignment="1">
      <alignment horizontal="left" indent="1"/>
    </xf>
    <xf numFmtId="0" fontId="0" fillId="0" borderId="90" xfId="0" applyBorder="1" applyAlignment="1">
      <alignment horizontal="left" indent="1"/>
    </xf>
    <xf numFmtId="0" fontId="28" fillId="5" borderId="296" xfId="0" applyFont="1" applyFill="1" applyBorder="1" applyAlignment="1">
      <alignment horizontal="right"/>
    </xf>
    <xf numFmtId="0" fontId="28" fillId="5" borderId="84" xfId="0" applyFont="1" applyFill="1" applyBorder="1" applyAlignment="1">
      <alignment horizontal="right"/>
    </xf>
    <xf numFmtId="168" fontId="130" fillId="11" borderId="11" xfId="0" applyNumberFormat="1" applyFont="1" applyFill="1" applyBorder="1" applyAlignment="1" applyProtection="1">
      <alignment horizontal="left" vertical="center" indent="1"/>
      <protection locked="0"/>
    </xf>
    <xf numFmtId="168" fontId="130" fillId="0" borderId="40" xfId="0" applyNumberFormat="1" applyFont="1" applyBorder="1" applyAlignment="1" applyProtection="1">
      <alignment horizontal="left" vertical="center" indent="1"/>
      <protection locked="0"/>
    </xf>
    <xf numFmtId="0" fontId="12" fillId="4" borderId="67" xfId="0" applyFont="1" applyFill="1" applyBorder="1" applyAlignment="1">
      <alignment horizontal="left" indent="1"/>
    </xf>
    <xf numFmtId="0" fontId="0" fillId="0" borderId="205" xfId="0" applyBorder="1" applyAlignment="1">
      <alignment horizontal="left" indent="1"/>
    </xf>
    <xf numFmtId="0" fontId="130" fillId="11" borderId="11" xfId="0" applyFont="1" applyFill="1" applyBorder="1" applyAlignment="1">
      <alignment horizontal="left" vertical="center" indent="1"/>
    </xf>
    <xf numFmtId="0" fontId="130" fillId="0" borderId="40" xfId="0" applyFont="1" applyBorder="1" applyAlignment="1">
      <alignment horizontal="left" vertical="center" indent="1"/>
    </xf>
    <xf numFmtId="0" fontId="28" fillId="0" borderId="296" xfId="0" applyFont="1" applyBorder="1" applyAlignment="1">
      <alignment horizontal="center" wrapText="1"/>
    </xf>
    <xf numFmtId="0" fontId="28" fillId="0" borderId="84" xfId="0" applyFont="1" applyBorder="1" applyAlignment="1">
      <alignment horizontal="center" wrapText="1"/>
    </xf>
    <xf numFmtId="0" fontId="28" fillId="0" borderId="24" xfId="0" applyFont="1" applyBorder="1" applyAlignment="1">
      <alignment horizontal="center" wrapText="1"/>
    </xf>
    <xf numFmtId="0" fontId="12" fillId="4" borderId="11" xfId="0" applyFont="1" applyFill="1" applyBorder="1" applyAlignment="1">
      <alignment horizontal="left" indent="1"/>
    </xf>
    <xf numFmtId="0" fontId="0" fillId="0" borderId="40" xfId="0" applyBorder="1" applyAlignment="1">
      <alignment horizontal="left" indent="1"/>
    </xf>
    <xf numFmtId="0" fontId="73" fillId="2" borderId="68" xfId="0" applyFont="1" applyFill="1" applyBorder="1" applyAlignment="1">
      <alignment horizontal="center" vertical="center" wrapText="1"/>
    </xf>
    <xf numFmtId="0" fontId="73" fillId="0" borderId="31" xfId="0" applyFont="1" applyBorder="1" applyAlignment="1">
      <alignment horizontal="center" vertical="center" wrapText="1"/>
    </xf>
    <xf numFmtId="0" fontId="130" fillId="11" borderId="67" xfId="0" applyFont="1" applyFill="1" applyBorder="1" applyAlignment="1" applyProtection="1">
      <alignment horizontal="left" vertical="center" indent="1"/>
      <protection locked="0"/>
    </xf>
    <xf numFmtId="0" fontId="130" fillId="0" borderId="205" xfId="0" applyFont="1" applyBorder="1" applyAlignment="1" applyProtection="1">
      <alignment horizontal="left" vertical="center" indent="1"/>
      <protection locked="0"/>
    </xf>
    <xf numFmtId="0" fontId="52" fillId="6" borderId="296" xfId="0" applyFont="1" applyFill="1" applyBorder="1" applyAlignment="1">
      <alignment horizontal="center"/>
    </xf>
    <xf numFmtId="0" fontId="52" fillId="6" borderId="84" xfId="0" applyFont="1" applyFill="1" applyBorder="1" applyAlignment="1">
      <alignment horizontal="center"/>
    </xf>
    <xf numFmtId="0" fontId="0" fillId="0" borderId="24" xfId="0" applyBorder="1"/>
    <xf numFmtId="0" fontId="28" fillId="6" borderId="237" xfId="0" applyFont="1" applyFill="1" applyBorder="1" applyAlignment="1">
      <alignment horizontal="center" wrapText="1"/>
    </xf>
    <xf numFmtId="0" fontId="28" fillId="6" borderId="223" xfId="0" applyFont="1" applyFill="1" applyBorder="1" applyAlignment="1">
      <alignment horizontal="center" wrapText="1"/>
    </xf>
    <xf numFmtId="0" fontId="28" fillId="0" borderId="319" xfId="0" applyFont="1" applyBorder="1"/>
    <xf numFmtId="0" fontId="28" fillId="6" borderId="225" xfId="0" applyFont="1" applyFill="1" applyBorder="1" applyAlignment="1">
      <alignment horizontal="center" wrapText="1"/>
    </xf>
    <xf numFmtId="0" fontId="28" fillId="6" borderId="258" xfId="0" applyFont="1" applyFill="1" applyBorder="1" applyAlignment="1">
      <alignment horizontal="center" wrapText="1"/>
    </xf>
    <xf numFmtId="0" fontId="28" fillId="0" borderId="320" xfId="0" applyFont="1" applyBorder="1"/>
    <xf numFmtId="0" fontId="28" fillId="6" borderId="224" xfId="0" applyFont="1" applyFill="1" applyBorder="1" applyAlignment="1">
      <alignment horizontal="center" wrapText="1"/>
    </xf>
    <xf numFmtId="0" fontId="28" fillId="6" borderId="115" xfId="0" applyFont="1" applyFill="1" applyBorder="1" applyAlignment="1">
      <alignment horizontal="center" wrapText="1"/>
    </xf>
    <xf numFmtId="0" fontId="28" fillId="0" borderId="318" xfId="0" applyFont="1" applyBorder="1"/>
    <xf numFmtId="49" fontId="123" fillId="0" borderId="0" xfId="0" applyNumberFormat="1" applyFont="1" applyAlignment="1" applyProtection="1">
      <alignment horizontal="left"/>
      <protection locked="0"/>
    </xf>
    <xf numFmtId="0" fontId="122" fillId="0" borderId="0" xfId="0" applyFont="1" applyProtection="1">
      <protection locked="0"/>
    </xf>
  </cellXfs>
  <cellStyles count="4">
    <cellStyle name="Normal" xfId="0" builtinId="0"/>
    <cellStyle name="Normal 2" xfId="2" xr:uid="{00000000-0005-0000-0000-000001000000}"/>
    <cellStyle name="Normal 3" xfId="1" xr:uid="{00000000-0005-0000-0000-000002000000}"/>
    <cellStyle name="Normal 3 2" xfId="3" xr:uid="{00000000-0005-0000-0000-000003000000}"/>
  </cellStyles>
  <dxfs count="1030">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fgColor indexed="64"/>
          <bgColor rgb="FFFF0000"/>
        </patternFill>
      </fill>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color theme="0" tint="-0.34998626667073579"/>
      </font>
    </dxf>
    <dxf>
      <font>
        <color theme="0"/>
      </font>
      <fill>
        <patternFill>
          <bgColor theme="0"/>
        </patternFill>
      </fill>
    </dxf>
    <dxf>
      <border>
        <left/>
        <right/>
        <top/>
        <bottom/>
      </border>
    </dxf>
    <dxf>
      <border>
        <left/>
        <right/>
        <top/>
        <bottom/>
      </border>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alignment horizontal="left" vertical="bottom" textRotation="0" wrapText="0" indent="0" justifyLastLine="0" shrinkToFit="0" readingOrder="0"/>
      <protection locked="1" hidden="0"/>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tint="-0.34998626667073579"/>
      </font>
    </dxf>
    <dxf>
      <font>
        <condense val="0"/>
        <extend val="0"/>
        <color auto="1"/>
      </font>
      <fill>
        <patternFill>
          <bgColor indexed="10"/>
        </patternFill>
      </fill>
    </dxf>
    <dxf>
      <fill>
        <patternFill>
          <bgColor indexed="10"/>
        </patternFill>
      </fill>
    </dxf>
    <dxf>
      <fill>
        <patternFill>
          <bgColor indexed="10"/>
        </patternFill>
      </fill>
    </dxf>
    <dxf>
      <fill>
        <patternFill>
          <bgColor indexed="26"/>
        </patternFill>
      </fill>
    </dxf>
    <dxf>
      <fill>
        <patternFill>
          <bgColor indexed="26"/>
        </patternFill>
      </fill>
    </dxf>
    <dxf>
      <fill>
        <patternFill>
          <bgColor rgb="FFFF0000"/>
        </patternFill>
      </fill>
    </dxf>
    <dxf>
      <fill>
        <patternFill>
          <bgColor indexed="26"/>
        </patternFill>
      </fill>
    </dxf>
    <dxf>
      <fill>
        <patternFill>
          <bgColor indexed="26"/>
        </patternFill>
      </fill>
    </dxf>
    <dxf>
      <fill>
        <patternFill>
          <bgColor rgb="FFFF0000"/>
        </patternFill>
      </fill>
    </dxf>
    <dxf>
      <fill>
        <patternFill>
          <bgColor indexed="10"/>
        </patternFill>
      </fill>
    </dxf>
    <dxf>
      <fill>
        <patternFill>
          <bgColor indexed="10"/>
        </patternFill>
      </fill>
    </dxf>
    <dxf>
      <font>
        <condense val="0"/>
        <extend val="0"/>
        <color indexed="22"/>
      </font>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border>
        <left/>
        <right/>
        <top/>
        <bottom/>
      </border>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b/>
        <i val="0"/>
        <color rgb="FFFF0000"/>
      </font>
    </dxf>
    <dxf>
      <font>
        <b/>
        <i val="0"/>
        <color rgb="FFFF0000"/>
      </font>
    </dxf>
    <dxf>
      <font>
        <b/>
        <i val="0"/>
        <color rgb="FFFF0000"/>
      </font>
    </dxf>
    <dxf>
      <font>
        <b/>
        <i val="0"/>
        <color rgb="FFFF000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fgColor indexed="64"/>
          <bgColor rgb="FFFF0000"/>
        </patternFill>
      </fill>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ill>
        <patternFill>
          <fgColor indexed="64"/>
          <bgColor rgb="FFFF0000"/>
        </patternFill>
      </fill>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fgColor indexed="64"/>
          <bgColor rgb="FFFF0000"/>
        </patternFill>
      </fill>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b/>
        <i val="0"/>
        <color rgb="FFFF0000"/>
      </font>
    </dxf>
    <dxf>
      <font>
        <b/>
        <i val="0"/>
        <color rgb="FFFF0000"/>
      </font>
    </dxf>
    <dxf>
      <font>
        <color theme="0" tint="-0.34998626667073579"/>
      </font>
    </dxf>
    <dxf>
      <font>
        <color theme="0"/>
      </font>
      <fill>
        <patternFill>
          <bgColor theme="0"/>
        </patternFill>
      </fill>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border>
        <left/>
        <right/>
        <top/>
        <bottom/>
      </border>
    </dxf>
  </dxfs>
  <tableStyles count="0" defaultTableStyle="TableStyleMedium2" defaultPivotStyle="PivotStyleLight16"/>
  <colors>
    <mruColors>
      <color rgb="FFFFCCCC"/>
      <color rgb="FFFFFFCC"/>
      <color rgb="FFFFFF99"/>
      <color rgb="FFFFFFFF"/>
      <color rgb="FFFF6600"/>
      <color rgb="FF006600"/>
      <color rgb="FF0099CC"/>
      <color rgb="FFC0C0C0"/>
      <color rgb="FFEAEAEA"/>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P$34"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wmf"/></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wmf"/></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wmf"/></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9.wmf"/><Relationship Id="rId2" Type="http://schemas.openxmlformats.org/officeDocument/2006/relationships/image" Target="../media/image8.wmf"/><Relationship Id="rId1" Type="http://schemas.openxmlformats.org/officeDocument/2006/relationships/image" Target="../media/image7.wmf"/><Relationship Id="rId5" Type="http://schemas.openxmlformats.org/officeDocument/2006/relationships/image" Target="../media/image11.wmf"/><Relationship Id="rId4" Type="http://schemas.openxmlformats.org/officeDocument/2006/relationships/image" Target="../media/image10.wmf"/></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wmf"/></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9.xml.rels><?xml version="1.0" encoding="UTF-8" standalone="yes"?>
<Relationships xmlns="http://schemas.openxmlformats.org/package/2006/relationships"><Relationship Id="rId1" Type="http://schemas.openxmlformats.org/officeDocument/2006/relationships/image" Target="../media/image1.png"/></Relationships>
</file>

<file path=xl/drawings/_rels/drawing4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w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15.emf"/><Relationship Id="rId7" Type="http://schemas.openxmlformats.org/officeDocument/2006/relationships/image" Target="../media/image19.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12.emf"/><Relationship Id="rId5" Type="http://schemas.openxmlformats.org/officeDocument/2006/relationships/image" Target="../media/image17.emf"/><Relationship Id="rId10" Type="http://schemas.openxmlformats.org/officeDocument/2006/relationships/image" Target="../media/image22.emf"/><Relationship Id="rId4" Type="http://schemas.openxmlformats.org/officeDocument/2006/relationships/image" Target="../media/image16.emf"/><Relationship Id="rId9" Type="http://schemas.openxmlformats.org/officeDocument/2006/relationships/image" Target="../media/image21.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18</xdr:col>
      <xdr:colOff>63500</xdr:colOff>
      <xdr:row>2</xdr:row>
      <xdr:rowOff>63500</xdr:rowOff>
    </xdr:from>
    <xdr:to>
      <xdr:col>25</xdr:col>
      <xdr:colOff>685800</xdr:colOff>
      <xdr:row>26</xdr:row>
      <xdr:rowOff>50800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595100" y="609600"/>
          <a:ext cx="4991100" cy="3949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Ax-AAx = Joist BOM Data</a:t>
          </a:r>
        </a:p>
        <a:p>
          <a:r>
            <a:rPr lang="en-US" sz="1200">
              <a:latin typeface="Arial" panose="020B0604020202020204" pitchFamily="34" charset="0"/>
              <a:cs typeface="Arial" panose="020B0604020202020204" pitchFamily="34" charset="0"/>
            </a:rPr>
            <a:t>BA-BY = Bridging Data</a:t>
          </a:r>
        </a:p>
        <a:p>
          <a:r>
            <a:rPr lang="en-US" sz="1200">
              <a:latin typeface="Arial" panose="020B0604020202020204" pitchFamily="34" charset="0"/>
              <a:cs typeface="Arial" panose="020B0604020202020204" pitchFamily="34" charset="0"/>
            </a:rPr>
            <a:t>CA-CY</a:t>
          </a:r>
          <a:r>
            <a:rPr lang="en-US" sz="1200" baseline="0">
              <a:latin typeface="Arial" panose="020B0604020202020204" pitchFamily="34" charset="0"/>
              <a:cs typeface="Arial" panose="020B0604020202020204" pitchFamily="34" charset="0"/>
            </a:rPr>
            <a:t> = Load Notes</a:t>
          </a:r>
        </a:p>
        <a:p>
          <a:r>
            <a:rPr lang="en-US" sz="1200" baseline="0">
              <a:latin typeface="Arial" panose="020B0604020202020204" pitchFamily="34" charset="0"/>
              <a:cs typeface="Arial" panose="020B0604020202020204" pitchFamily="34" charset="0"/>
            </a:rPr>
            <a:t>DA-DY = Sp Notes</a:t>
          </a:r>
        </a:p>
        <a:p>
          <a:r>
            <a:rPr lang="en-US" sz="1200" baseline="0">
              <a:latin typeface="Arial" panose="020B0604020202020204" pitchFamily="34" charset="0"/>
              <a:cs typeface="Arial" panose="020B0604020202020204" pitchFamily="34" charset="0"/>
            </a:rPr>
            <a:t>EA-HZ = Sequence - Max of 104 sequences....</a:t>
          </a:r>
        </a:p>
        <a:p>
          <a:r>
            <a:rPr lang="en-US" sz="1200" baseline="0">
              <a:latin typeface="Arial" panose="020B0604020202020204" pitchFamily="34" charset="0"/>
              <a:cs typeface="Arial" panose="020B0604020202020204" pitchFamily="34" charset="0"/>
            </a:rPr>
            <a:t>   ***Allow for more Max Sequences??***</a:t>
          </a:r>
        </a:p>
        <a:p>
          <a:r>
            <a:rPr lang="en-US" sz="1200" baseline="0">
              <a:latin typeface="Arial" panose="020B0604020202020204" pitchFamily="34" charset="0"/>
              <a:cs typeface="Arial" panose="020B0604020202020204" pitchFamily="34" charset="0"/>
            </a:rPr>
            <a:t>   ******Maybe move Seq info past "Orig JDS Data"?</a:t>
          </a:r>
        </a:p>
        <a:p>
          <a:r>
            <a:rPr lang="en-US" sz="1200" baseline="0">
              <a:latin typeface="Arial" panose="020B0604020202020204" pitchFamily="34" charset="0"/>
              <a:cs typeface="Arial" panose="020B0604020202020204" pitchFamily="34" charset="0"/>
            </a:rPr>
            <a:t>   ******and don't save Orig JDS seq data?</a:t>
          </a:r>
        </a:p>
        <a:p>
          <a:endParaRPr lang="en-US" sz="1200" baseline="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Start "Orig JDS Data"</a:t>
          </a:r>
          <a:r>
            <a:rPr lang="en-US" sz="1200" baseline="0">
              <a:latin typeface="Arial" panose="020B0604020202020204" pitchFamily="34" charset="0"/>
              <a:cs typeface="Arial" panose="020B0604020202020204" pitchFamily="34" charset="0"/>
            </a:rPr>
            <a:t> backup at FA (or beyond)?</a:t>
          </a:r>
        </a:p>
        <a:p>
          <a:r>
            <a:rPr lang="en-US" sz="1200" baseline="0">
              <a:latin typeface="Arial" panose="020B0604020202020204" pitchFamily="34" charset="0"/>
              <a:cs typeface="Arial" panose="020B0604020202020204" pitchFamily="34" charset="0"/>
            </a:rPr>
            <a:t>  **Basically, just direct copy of A-DY to EA-IZ??</a:t>
          </a:r>
        </a:p>
        <a:p>
          <a:r>
            <a:rPr lang="en-US" sz="1200" baseline="0">
              <a:latin typeface="Arial" panose="020B0604020202020204" pitchFamily="34" charset="0"/>
              <a:cs typeface="Arial" panose="020B0604020202020204" pitchFamily="34" charset="0"/>
            </a:rPr>
            <a:t>  **Start Seq Data at JA-whatever?</a:t>
          </a:r>
        </a:p>
        <a:p>
          <a:r>
            <a:rPr lang="en-US" sz="1200" baseline="0">
              <a:latin typeface="Arial" panose="020B0604020202020204" pitchFamily="34" charset="0"/>
              <a:cs typeface="Arial" panose="020B0604020202020204" pitchFamily="34" charset="0"/>
            </a:rPr>
            <a:t>  **Start at Row2 to "Num J/B/etc Rows"...</a:t>
          </a: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___</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404485" name="Line 5">
          <a:extLst>
            <a:ext uri="{FF2B5EF4-FFF2-40B4-BE49-F238E27FC236}">
              <a16:creationId xmlns:a16="http://schemas.microsoft.com/office/drawing/2014/main" id="{00000000-0008-0000-03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8" name="Line 8">
          <a:extLst>
            <a:ext uri="{FF2B5EF4-FFF2-40B4-BE49-F238E27FC236}">
              <a16:creationId xmlns:a16="http://schemas.microsoft.com/office/drawing/2014/main" id="{00000000-0008-0000-03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9" name="Line 9">
          <a:extLst>
            <a:ext uri="{FF2B5EF4-FFF2-40B4-BE49-F238E27FC236}">
              <a16:creationId xmlns:a16="http://schemas.microsoft.com/office/drawing/2014/main" id="{00000000-0008-0000-03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404493" name="Text Box 13">
          <a:extLst>
            <a:ext uri="{FF2B5EF4-FFF2-40B4-BE49-F238E27FC236}">
              <a16:creationId xmlns:a16="http://schemas.microsoft.com/office/drawing/2014/main" id="{00000000-0008-0000-0300-00000D2C06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9" name="Text Box 8">
          <a:extLst>
            <a:ext uri="{FF2B5EF4-FFF2-40B4-BE49-F238E27FC236}">
              <a16:creationId xmlns:a16="http://schemas.microsoft.com/office/drawing/2014/main" id="{00000000-0008-0000-0300-000009000000}"/>
            </a:ext>
          </a:extLst>
        </xdr:cNvPr>
        <xdr:cNvSpPr txBox="1">
          <a:spLocks noChangeArrowheads="1"/>
        </xdr:cNvSpPr>
      </xdr:nvSpPr>
      <xdr:spPr bwMode="auto">
        <a:xfrm>
          <a:off x="7035800" y="457200"/>
          <a:ext cx="3829050" cy="1873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454530" name="Line 2">
          <a:extLst>
            <a:ext uri="{FF2B5EF4-FFF2-40B4-BE49-F238E27FC236}">
              <a16:creationId xmlns:a16="http://schemas.microsoft.com/office/drawing/2014/main" id="{00000000-0008-0000-04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3" name="Line 5">
          <a:extLst>
            <a:ext uri="{FF2B5EF4-FFF2-40B4-BE49-F238E27FC236}">
              <a16:creationId xmlns:a16="http://schemas.microsoft.com/office/drawing/2014/main" id="{00000000-0008-0000-04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4" name="Line 6">
          <a:extLst>
            <a:ext uri="{FF2B5EF4-FFF2-40B4-BE49-F238E27FC236}">
              <a16:creationId xmlns:a16="http://schemas.microsoft.com/office/drawing/2014/main" id="{00000000-0008-0000-04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2454535" name="Text Box 7">
          <a:extLst>
            <a:ext uri="{FF2B5EF4-FFF2-40B4-BE49-F238E27FC236}">
              <a16:creationId xmlns:a16="http://schemas.microsoft.com/office/drawing/2014/main" id="{00000000-0008-0000-0400-0000077425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editAs="oneCell">
    <xdr:from>
      <xdr:col>0</xdr:col>
      <xdr:colOff>538402</xdr:colOff>
      <xdr:row>0</xdr:row>
      <xdr:rowOff>0</xdr:rowOff>
    </xdr:from>
    <xdr:to>
      <xdr:col>2</xdr:col>
      <xdr:colOff>909398</xdr:colOff>
      <xdr:row>1</xdr:row>
      <xdr:rowOff>171450</xdr:rowOff>
    </xdr:to>
    <xdr:pic>
      <xdr:nvPicPr>
        <xdr:cNvPr id="3" name="CompanyLogo">
          <a:extLst>
            <a:ext uri="{FF2B5EF4-FFF2-40B4-BE49-F238E27FC236}">
              <a16:creationId xmlns:a16="http://schemas.microsoft.com/office/drawing/2014/main" id="{00000000-0008-0000-04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8402" y="0"/>
          <a:ext cx="1771171" cy="6762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8" name="CompanyLogo">
          <a:extLst>
            <a:ext uri="{FF2B5EF4-FFF2-40B4-BE49-F238E27FC236}">
              <a16:creationId xmlns:a16="http://schemas.microsoft.com/office/drawing/2014/main" id="{00000000-0008-0000-05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001474" name="Line 2">
          <a:extLst>
            <a:ext uri="{FF2B5EF4-FFF2-40B4-BE49-F238E27FC236}">
              <a16:creationId xmlns:a16="http://schemas.microsoft.com/office/drawing/2014/main" id="{00000000-0008-0000-06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7" name="Line 5">
          <a:extLst>
            <a:ext uri="{FF2B5EF4-FFF2-40B4-BE49-F238E27FC236}">
              <a16:creationId xmlns:a16="http://schemas.microsoft.com/office/drawing/2014/main" id="{00000000-0008-0000-06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8" name="Line 6">
          <a:extLst>
            <a:ext uri="{FF2B5EF4-FFF2-40B4-BE49-F238E27FC236}">
              <a16:creationId xmlns:a16="http://schemas.microsoft.com/office/drawing/2014/main" id="{00000000-0008-0000-06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1001483" name="Line 11">
          <a:extLst>
            <a:ext uri="{FF2B5EF4-FFF2-40B4-BE49-F238E27FC236}">
              <a16:creationId xmlns:a16="http://schemas.microsoft.com/office/drawing/2014/main" id="{00000000-0008-0000-06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1001498" name="Text Box 26">
          <a:extLst>
            <a:ext uri="{FF2B5EF4-FFF2-40B4-BE49-F238E27FC236}">
              <a16:creationId xmlns:a16="http://schemas.microsoft.com/office/drawing/2014/main" id="{00000000-0008-0000-0600-00001A480F00}"/>
            </a:ext>
          </a:extLst>
        </xdr:cNvPr>
        <xdr:cNvSpPr txBox="1">
          <a:spLocks noChangeArrowheads="1"/>
        </xdr:cNvSpPr>
      </xdr:nvSpPr>
      <xdr:spPr bwMode="auto">
        <a:xfrm>
          <a:off x="18488025"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9575006" y="278606"/>
          <a:ext cx="5300662"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4" name="CompanyLogo">
          <a:extLst>
            <a:ext uri="{FF2B5EF4-FFF2-40B4-BE49-F238E27FC236}">
              <a16:creationId xmlns:a16="http://schemas.microsoft.com/office/drawing/2014/main" id="{00000000-0008-0000-0600-000004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905219" name="Line 3">
          <a:extLst>
            <a:ext uri="{FF2B5EF4-FFF2-40B4-BE49-F238E27FC236}">
              <a16:creationId xmlns:a16="http://schemas.microsoft.com/office/drawing/2014/main" id="{00000000-0008-0000-07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2" name="Line 6">
          <a:extLst>
            <a:ext uri="{FF2B5EF4-FFF2-40B4-BE49-F238E27FC236}">
              <a16:creationId xmlns:a16="http://schemas.microsoft.com/office/drawing/2014/main" id="{00000000-0008-0000-07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3" name="Line 7">
          <a:extLst>
            <a:ext uri="{FF2B5EF4-FFF2-40B4-BE49-F238E27FC236}">
              <a16:creationId xmlns:a16="http://schemas.microsoft.com/office/drawing/2014/main" id="{00000000-0008-0000-07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905225" name="Line 9">
          <a:extLst>
            <a:ext uri="{FF2B5EF4-FFF2-40B4-BE49-F238E27FC236}">
              <a16:creationId xmlns:a16="http://schemas.microsoft.com/office/drawing/2014/main" id="{00000000-0008-0000-07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3" name="CompanyLogo">
          <a:extLst>
            <a:ext uri="{FF2B5EF4-FFF2-40B4-BE49-F238E27FC236}">
              <a16:creationId xmlns:a16="http://schemas.microsoft.com/office/drawing/2014/main" id="{00000000-0008-0000-07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1820675" name="Line 3">
          <a:extLst>
            <a:ext uri="{FF2B5EF4-FFF2-40B4-BE49-F238E27FC236}">
              <a16:creationId xmlns:a16="http://schemas.microsoft.com/office/drawing/2014/main" id="{00000000-0008-0000-08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8" name="Line 6">
          <a:extLst>
            <a:ext uri="{FF2B5EF4-FFF2-40B4-BE49-F238E27FC236}">
              <a16:creationId xmlns:a16="http://schemas.microsoft.com/office/drawing/2014/main" id="{00000000-0008-0000-08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9" name="Line 7">
          <a:extLst>
            <a:ext uri="{FF2B5EF4-FFF2-40B4-BE49-F238E27FC236}">
              <a16:creationId xmlns:a16="http://schemas.microsoft.com/office/drawing/2014/main" id="{00000000-0008-0000-08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1820680" name="Line 8">
          <a:extLst>
            <a:ext uri="{FF2B5EF4-FFF2-40B4-BE49-F238E27FC236}">
              <a16:creationId xmlns:a16="http://schemas.microsoft.com/office/drawing/2014/main" id="{00000000-0008-0000-08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1820695" name="Text Box 23">
          <a:extLst>
            <a:ext uri="{FF2B5EF4-FFF2-40B4-BE49-F238E27FC236}">
              <a16:creationId xmlns:a16="http://schemas.microsoft.com/office/drawing/2014/main" id="{00000000-0008-0000-0800-000017C81B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1820687" name="btnColorTag" hidden="1">
              <a:extLst>
                <a:ext uri="{63B3BB69-23CF-44E3-9099-C40C66FF867C}">
                  <a14:compatExt spid="_x0000_s1820687"/>
                </a:ext>
                <a:ext uri="{FF2B5EF4-FFF2-40B4-BE49-F238E27FC236}">
                  <a16:creationId xmlns:a16="http://schemas.microsoft.com/office/drawing/2014/main" id="{00000000-0008-0000-0800-00000FC81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123384</xdr:colOff>
      <xdr:row>0</xdr:row>
      <xdr:rowOff>0</xdr:rowOff>
    </xdr:from>
    <xdr:to>
      <xdr:col>5</xdr:col>
      <xdr:colOff>362392</xdr:colOff>
      <xdr:row>3</xdr:row>
      <xdr:rowOff>142875</xdr:rowOff>
    </xdr:to>
    <xdr:pic>
      <xdr:nvPicPr>
        <xdr:cNvPr id="3" name="CompanyLogo">
          <a:extLst>
            <a:ext uri="{FF2B5EF4-FFF2-40B4-BE49-F238E27FC236}">
              <a16:creationId xmlns:a16="http://schemas.microsoft.com/office/drawing/2014/main" id="{00000000-0008-0000-08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920002" name="Line 2">
          <a:extLst>
            <a:ext uri="{FF2B5EF4-FFF2-40B4-BE49-F238E27FC236}">
              <a16:creationId xmlns:a16="http://schemas.microsoft.com/office/drawing/2014/main" id="{00000000-0008-0000-09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4" name="Line 4">
          <a:extLst>
            <a:ext uri="{FF2B5EF4-FFF2-40B4-BE49-F238E27FC236}">
              <a16:creationId xmlns:a16="http://schemas.microsoft.com/office/drawing/2014/main" id="{00000000-0008-0000-09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5" name="Line 5">
          <a:extLst>
            <a:ext uri="{FF2B5EF4-FFF2-40B4-BE49-F238E27FC236}">
              <a16:creationId xmlns:a16="http://schemas.microsoft.com/office/drawing/2014/main" id="{00000000-0008-0000-09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6" name="Line 6">
          <a:extLst>
            <a:ext uri="{FF2B5EF4-FFF2-40B4-BE49-F238E27FC236}">
              <a16:creationId xmlns:a16="http://schemas.microsoft.com/office/drawing/2014/main" id="{00000000-0008-0000-09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7" name="Line 7">
          <a:extLst>
            <a:ext uri="{FF2B5EF4-FFF2-40B4-BE49-F238E27FC236}">
              <a16:creationId xmlns:a16="http://schemas.microsoft.com/office/drawing/2014/main" id="{00000000-0008-0000-09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8" name="Line 8">
          <a:extLst>
            <a:ext uri="{FF2B5EF4-FFF2-40B4-BE49-F238E27FC236}">
              <a16:creationId xmlns:a16="http://schemas.microsoft.com/office/drawing/2014/main" id="{00000000-0008-0000-09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1920011" name="Line 11">
          <a:extLst>
            <a:ext uri="{FF2B5EF4-FFF2-40B4-BE49-F238E27FC236}">
              <a16:creationId xmlns:a16="http://schemas.microsoft.com/office/drawing/2014/main" id="{00000000-0008-0000-09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1920012" name="Text Box 12">
          <a:extLst>
            <a:ext uri="{FF2B5EF4-FFF2-40B4-BE49-F238E27FC236}">
              <a16:creationId xmlns:a16="http://schemas.microsoft.com/office/drawing/2014/main" id="{00000000-0008-0000-0900-00000C4C1D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3" name="CompanyLogo">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909341" name="Picture 29" descr="Girder BOM">
          <a:extLst>
            <a:ext uri="{FF2B5EF4-FFF2-40B4-BE49-F238E27FC236}">
              <a16:creationId xmlns:a16="http://schemas.microsoft.com/office/drawing/2014/main" id="{00000000-0008-0000-0A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909337" name="Line 25">
          <a:extLst>
            <a:ext uri="{FF2B5EF4-FFF2-40B4-BE49-F238E27FC236}">
              <a16:creationId xmlns:a16="http://schemas.microsoft.com/office/drawing/2014/main" id="{00000000-0008-0000-0A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909338" name="Line 26">
          <a:extLst>
            <a:ext uri="{FF2B5EF4-FFF2-40B4-BE49-F238E27FC236}">
              <a16:creationId xmlns:a16="http://schemas.microsoft.com/office/drawing/2014/main" id="{00000000-0008-0000-0A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909364" name="Text Box 52">
          <a:extLst>
            <a:ext uri="{FF2B5EF4-FFF2-40B4-BE49-F238E27FC236}">
              <a16:creationId xmlns:a16="http://schemas.microsoft.com/office/drawing/2014/main" id="{00000000-0008-0000-0A00-000034E00D00}"/>
            </a:ext>
          </a:extLst>
        </xdr:cNvPr>
        <xdr:cNvSpPr txBox="1">
          <a:spLocks noChangeArrowheads="1"/>
        </xdr:cNvSpPr>
      </xdr:nvSpPr>
      <xdr:spPr bwMode="auto">
        <a:xfrm>
          <a:off x="28936948" y="3651250"/>
          <a:ext cx="2657477"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2380984" name="Text Box 15544">
          <a:extLst>
            <a:ext uri="{FF2B5EF4-FFF2-40B4-BE49-F238E27FC236}">
              <a16:creationId xmlns:a16="http://schemas.microsoft.com/office/drawing/2014/main" id="{00000000-0008-0000-0A00-0000B8542400}"/>
            </a:ext>
          </a:extLst>
        </xdr:cNvPr>
        <xdr:cNvSpPr txBox="1">
          <a:spLocks noChangeArrowheads="1"/>
        </xdr:cNvSpPr>
      </xdr:nvSpPr>
      <xdr:spPr bwMode="auto">
        <a:xfrm>
          <a:off x="28032075" y="28575"/>
          <a:ext cx="4308475" cy="27019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2381745" name="Group 16305">
          <a:extLst>
            <a:ext uri="{FF2B5EF4-FFF2-40B4-BE49-F238E27FC236}">
              <a16:creationId xmlns:a16="http://schemas.microsoft.com/office/drawing/2014/main" id="{00000000-0008-0000-0A00-0000B1572400}"/>
            </a:ext>
          </a:extLst>
        </xdr:cNvPr>
        <xdr:cNvGrpSpPr>
          <a:grpSpLocks/>
        </xdr:cNvGrpSpPr>
      </xdr:nvGrpSpPr>
      <xdr:grpSpPr bwMode="auto">
        <a:xfrm>
          <a:off x="18707100" y="28575"/>
          <a:ext cx="0" cy="1790700"/>
          <a:chOff x="2623" y="3"/>
          <a:chExt cx="296" cy="188"/>
        </a:xfrm>
      </xdr:grpSpPr>
      <xdr:grpSp>
        <xdr:nvGrpSpPr>
          <xdr:cNvPr id="2381613" name="Group 16173">
            <a:extLst>
              <a:ext uri="{FF2B5EF4-FFF2-40B4-BE49-F238E27FC236}">
                <a16:creationId xmlns:a16="http://schemas.microsoft.com/office/drawing/2014/main" id="{00000000-0008-0000-0A00-00002D572400}"/>
              </a:ext>
            </a:extLst>
          </xdr:cNvPr>
          <xdr:cNvGrpSpPr>
            <a:grpSpLocks/>
          </xdr:cNvGrpSpPr>
        </xdr:nvGrpSpPr>
        <xdr:grpSpPr bwMode="auto">
          <a:xfrm>
            <a:off x="2623" y="3"/>
            <a:ext cx="296" cy="188"/>
            <a:chOff x="4176" y="233"/>
            <a:chExt cx="346" cy="217"/>
          </a:xfrm>
        </xdr:grpSpPr>
        <xdr:sp macro="" textlink="">
          <xdr:nvSpPr>
            <xdr:cNvPr id="2366626" name="Rectangle 1186">
              <a:extLst>
                <a:ext uri="{FF2B5EF4-FFF2-40B4-BE49-F238E27FC236}">
                  <a16:creationId xmlns:a16="http://schemas.microsoft.com/office/drawing/2014/main" id="{00000000-0008-0000-0A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66627" name="Text Box 1187">
              <a:extLst>
                <a:ext uri="{FF2B5EF4-FFF2-40B4-BE49-F238E27FC236}">
                  <a16:creationId xmlns:a16="http://schemas.microsoft.com/office/drawing/2014/main" id="{00000000-0008-0000-0A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81610" name="Group 16170">
              <a:extLst>
                <a:ext uri="{FF2B5EF4-FFF2-40B4-BE49-F238E27FC236}">
                  <a16:creationId xmlns:a16="http://schemas.microsoft.com/office/drawing/2014/main" id="{00000000-0008-0000-0A00-00002A572400}"/>
                </a:ext>
              </a:extLst>
            </xdr:cNvPr>
            <xdr:cNvGrpSpPr>
              <a:grpSpLocks/>
            </xdr:cNvGrpSpPr>
          </xdr:nvGrpSpPr>
          <xdr:grpSpPr bwMode="auto">
            <a:xfrm>
              <a:off x="4194" y="285"/>
              <a:ext cx="146" cy="150"/>
              <a:chOff x="4194" y="285"/>
              <a:chExt cx="146" cy="150"/>
            </a:xfrm>
          </xdr:grpSpPr>
          <xdr:sp macro="" textlink="">
            <xdr:nvSpPr>
              <xdr:cNvPr id="2366629" name="Line 1189">
                <a:extLst>
                  <a:ext uri="{FF2B5EF4-FFF2-40B4-BE49-F238E27FC236}">
                    <a16:creationId xmlns:a16="http://schemas.microsoft.com/office/drawing/2014/main" id="{00000000-0008-0000-0A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0" name="Line 1190">
                <a:extLst>
                  <a:ext uri="{FF2B5EF4-FFF2-40B4-BE49-F238E27FC236}">
                    <a16:creationId xmlns:a16="http://schemas.microsoft.com/office/drawing/2014/main" id="{00000000-0008-0000-0A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1" name="Line 1191">
                <a:extLst>
                  <a:ext uri="{FF2B5EF4-FFF2-40B4-BE49-F238E27FC236}">
                    <a16:creationId xmlns:a16="http://schemas.microsoft.com/office/drawing/2014/main" id="{00000000-0008-0000-0A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2" name="Line 1192">
                <a:extLst>
                  <a:ext uri="{FF2B5EF4-FFF2-40B4-BE49-F238E27FC236}">
                    <a16:creationId xmlns:a16="http://schemas.microsoft.com/office/drawing/2014/main" id="{00000000-0008-0000-0A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33" name="Line 1193">
                <a:extLst>
                  <a:ext uri="{FF2B5EF4-FFF2-40B4-BE49-F238E27FC236}">
                    <a16:creationId xmlns:a16="http://schemas.microsoft.com/office/drawing/2014/main" id="{00000000-0008-0000-0A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5" name="Line 1195">
                <a:extLst>
                  <a:ext uri="{FF2B5EF4-FFF2-40B4-BE49-F238E27FC236}">
                    <a16:creationId xmlns:a16="http://schemas.microsoft.com/office/drawing/2014/main" id="{00000000-0008-0000-0A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36" name="Line 1196">
                <a:extLst>
                  <a:ext uri="{FF2B5EF4-FFF2-40B4-BE49-F238E27FC236}">
                    <a16:creationId xmlns:a16="http://schemas.microsoft.com/office/drawing/2014/main" id="{00000000-0008-0000-0A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81611" name="Group 16171">
              <a:extLst>
                <a:ext uri="{FF2B5EF4-FFF2-40B4-BE49-F238E27FC236}">
                  <a16:creationId xmlns:a16="http://schemas.microsoft.com/office/drawing/2014/main" id="{00000000-0008-0000-0A00-00002B572400}"/>
                </a:ext>
              </a:extLst>
            </xdr:cNvPr>
            <xdr:cNvGrpSpPr>
              <a:grpSpLocks/>
            </xdr:cNvGrpSpPr>
          </xdr:nvGrpSpPr>
          <xdr:grpSpPr bwMode="auto">
            <a:xfrm>
              <a:off x="4365" y="285"/>
              <a:ext cx="141" cy="152"/>
              <a:chOff x="4365" y="285"/>
              <a:chExt cx="141" cy="152"/>
            </a:xfrm>
          </xdr:grpSpPr>
          <xdr:sp macro="" textlink="">
            <xdr:nvSpPr>
              <xdr:cNvPr id="2366638" name="Line 1198">
                <a:extLst>
                  <a:ext uri="{FF2B5EF4-FFF2-40B4-BE49-F238E27FC236}">
                    <a16:creationId xmlns:a16="http://schemas.microsoft.com/office/drawing/2014/main" id="{00000000-0008-0000-0A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9" name="Line 1199">
                <a:extLst>
                  <a:ext uri="{FF2B5EF4-FFF2-40B4-BE49-F238E27FC236}">
                    <a16:creationId xmlns:a16="http://schemas.microsoft.com/office/drawing/2014/main" id="{00000000-0008-0000-0A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0" name="Line 1200">
                <a:extLst>
                  <a:ext uri="{FF2B5EF4-FFF2-40B4-BE49-F238E27FC236}">
                    <a16:creationId xmlns:a16="http://schemas.microsoft.com/office/drawing/2014/main" id="{00000000-0008-0000-0A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1" name="Line 1201">
                <a:extLst>
                  <a:ext uri="{FF2B5EF4-FFF2-40B4-BE49-F238E27FC236}">
                    <a16:creationId xmlns:a16="http://schemas.microsoft.com/office/drawing/2014/main" id="{00000000-0008-0000-0A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42" name="Line 1202">
                <a:extLst>
                  <a:ext uri="{FF2B5EF4-FFF2-40B4-BE49-F238E27FC236}">
                    <a16:creationId xmlns:a16="http://schemas.microsoft.com/office/drawing/2014/main" id="{00000000-0008-0000-0A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4" name="Line 1204">
                <a:extLst>
                  <a:ext uri="{FF2B5EF4-FFF2-40B4-BE49-F238E27FC236}">
                    <a16:creationId xmlns:a16="http://schemas.microsoft.com/office/drawing/2014/main" id="{00000000-0008-0000-0A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45" name="Line 1205">
                <a:extLst>
                  <a:ext uri="{FF2B5EF4-FFF2-40B4-BE49-F238E27FC236}">
                    <a16:creationId xmlns:a16="http://schemas.microsoft.com/office/drawing/2014/main" id="{00000000-0008-0000-0A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81604" name="Text Box 16164">
              <a:extLst>
                <a:ext uri="{FF2B5EF4-FFF2-40B4-BE49-F238E27FC236}">
                  <a16:creationId xmlns:a16="http://schemas.microsoft.com/office/drawing/2014/main" id="{00000000-0008-0000-0A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5" name="Text Box 16165">
              <a:extLst>
                <a:ext uri="{FF2B5EF4-FFF2-40B4-BE49-F238E27FC236}">
                  <a16:creationId xmlns:a16="http://schemas.microsoft.com/office/drawing/2014/main" id="{00000000-0008-0000-0A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7" name="Text Box 16167">
              <a:extLst>
                <a:ext uri="{FF2B5EF4-FFF2-40B4-BE49-F238E27FC236}">
                  <a16:creationId xmlns:a16="http://schemas.microsoft.com/office/drawing/2014/main" id="{00000000-0008-0000-0A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2381608" name="Line 16168">
              <a:extLst>
                <a:ext uri="{FF2B5EF4-FFF2-40B4-BE49-F238E27FC236}">
                  <a16:creationId xmlns:a16="http://schemas.microsoft.com/office/drawing/2014/main" id="{00000000-0008-0000-0A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81609" name="Line 16169">
              <a:extLst>
                <a:ext uri="{FF2B5EF4-FFF2-40B4-BE49-F238E27FC236}">
                  <a16:creationId xmlns:a16="http://schemas.microsoft.com/office/drawing/2014/main" id="{00000000-0008-0000-0A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81616" name="Text Box 16176">
            <a:extLst>
              <a:ext uri="{FF2B5EF4-FFF2-40B4-BE49-F238E27FC236}">
                <a16:creationId xmlns:a16="http://schemas.microsoft.com/office/drawing/2014/main" id="{00000000-0008-0000-0A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81617" name="Text Box 16177">
            <a:extLst>
              <a:ext uri="{FF2B5EF4-FFF2-40B4-BE49-F238E27FC236}">
                <a16:creationId xmlns:a16="http://schemas.microsoft.com/office/drawing/2014/main" id="{00000000-0008-0000-0A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2381676" name="Group 16236">
          <a:extLst>
            <a:ext uri="{FF2B5EF4-FFF2-40B4-BE49-F238E27FC236}">
              <a16:creationId xmlns:a16="http://schemas.microsoft.com/office/drawing/2014/main" id="{00000000-0008-0000-0A00-00006C572400}"/>
            </a:ext>
          </a:extLst>
        </xdr:cNvPr>
        <xdr:cNvGrpSpPr>
          <a:grpSpLocks/>
        </xdr:cNvGrpSpPr>
      </xdr:nvGrpSpPr>
      <xdr:grpSpPr bwMode="auto">
        <a:xfrm>
          <a:off x="18707100" y="57150"/>
          <a:ext cx="0" cy="1752600"/>
          <a:chOff x="4176" y="123"/>
          <a:chExt cx="353" cy="199"/>
        </a:xfrm>
      </xdr:grpSpPr>
      <xdr:sp macro="" textlink="">
        <xdr:nvSpPr>
          <xdr:cNvPr id="2381614" name="Rectangle 16174">
            <a:extLst>
              <a:ext uri="{FF2B5EF4-FFF2-40B4-BE49-F238E27FC236}">
                <a16:creationId xmlns:a16="http://schemas.microsoft.com/office/drawing/2014/main" id="{00000000-0008-0000-0A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81615" name="Text Box 16175">
            <a:extLst>
              <a:ext uri="{FF2B5EF4-FFF2-40B4-BE49-F238E27FC236}">
                <a16:creationId xmlns:a16="http://schemas.microsoft.com/office/drawing/2014/main" id="{00000000-0008-0000-0A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81632" name="Group 16192">
            <a:extLst>
              <a:ext uri="{FF2B5EF4-FFF2-40B4-BE49-F238E27FC236}">
                <a16:creationId xmlns:a16="http://schemas.microsoft.com/office/drawing/2014/main" id="{00000000-0008-0000-0A00-000040572400}"/>
              </a:ext>
            </a:extLst>
          </xdr:cNvPr>
          <xdr:cNvGrpSpPr>
            <a:grpSpLocks/>
          </xdr:cNvGrpSpPr>
        </xdr:nvGrpSpPr>
        <xdr:grpSpPr bwMode="auto">
          <a:xfrm>
            <a:off x="4211" y="155"/>
            <a:ext cx="103" cy="42"/>
            <a:chOff x="4198" y="199"/>
            <a:chExt cx="96" cy="42"/>
          </a:xfrm>
        </xdr:grpSpPr>
        <xdr:sp macro="" textlink="">
          <xdr:nvSpPr>
            <xdr:cNvPr id="2381618" name="Line 16178">
              <a:extLst>
                <a:ext uri="{FF2B5EF4-FFF2-40B4-BE49-F238E27FC236}">
                  <a16:creationId xmlns:a16="http://schemas.microsoft.com/office/drawing/2014/main" id="{00000000-0008-0000-0A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19" name="Line 16179">
              <a:extLst>
                <a:ext uri="{FF2B5EF4-FFF2-40B4-BE49-F238E27FC236}">
                  <a16:creationId xmlns:a16="http://schemas.microsoft.com/office/drawing/2014/main" id="{00000000-0008-0000-0A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0" name="Line 16180">
              <a:extLst>
                <a:ext uri="{FF2B5EF4-FFF2-40B4-BE49-F238E27FC236}">
                  <a16:creationId xmlns:a16="http://schemas.microsoft.com/office/drawing/2014/main" id="{00000000-0008-0000-0A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1" name="Line 16181">
              <a:extLst>
                <a:ext uri="{FF2B5EF4-FFF2-40B4-BE49-F238E27FC236}">
                  <a16:creationId xmlns:a16="http://schemas.microsoft.com/office/drawing/2014/main" id="{00000000-0008-0000-0A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2" name="Line 16182">
              <a:extLst>
                <a:ext uri="{FF2B5EF4-FFF2-40B4-BE49-F238E27FC236}">
                  <a16:creationId xmlns:a16="http://schemas.microsoft.com/office/drawing/2014/main" id="{00000000-0008-0000-0A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3" name="Line 16183">
              <a:extLst>
                <a:ext uri="{FF2B5EF4-FFF2-40B4-BE49-F238E27FC236}">
                  <a16:creationId xmlns:a16="http://schemas.microsoft.com/office/drawing/2014/main" id="{00000000-0008-0000-0A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4" name="Line 16184">
              <a:extLst>
                <a:ext uri="{FF2B5EF4-FFF2-40B4-BE49-F238E27FC236}">
                  <a16:creationId xmlns:a16="http://schemas.microsoft.com/office/drawing/2014/main" id="{00000000-0008-0000-0A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5" name="Line 16185">
              <a:extLst>
                <a:ext uri="{FF2B5EF4-FFF2-40B4-BE49-F238E27FC236}">
                  <a16:creationId xmlns:a16="http://schemas.microsoft.com/office/drawing/2014/main" id="{00000000-0008-0000-0A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9" name="Line 16189">
              <a:extLst>
                <a:ext uri="{FF2B5EF4-FFF2-40B4-BE49-F238E27FC236}">
                  <a16:creationId xmlns:a16="http://schemas.microsoft.com/office/drawing/2014/main" id="{00000000-0008-0000-0A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0" name="Line 16190">
              <a:extLst>
                <a:ext uri="{FF2B5EF4-FFF2-40B4-BE49-F238E27FC236}">
                  <a16:creationId xmlns:a16="http://schemas.microsoft.com/office/drawing/2014/main" id="{00000000-0008-0000-0A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1" name="Line 16191">
              <a:extLst>
                <a:ext uri="{FF2B5EF4-FFF2-40B4-BE49-F238E27FC236}">
                  <a16:creationId xmlns:a16="http://schemas.microsoft.com/office/drawing/2014/main" id="{00000000-0008-0000-0A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4" name="Group 16234">
            <a:extLst>
              <a:ext uri="{FF2B5EF4-FFF2-40B4-BE49-F238E27FC236}">
                <a16:creationId xmlns:a16="http://schemas.microsoft.com/office/drawing/2014/main" id="{00000000-0008-0000-0A00-00006A572400}"/>
              </a:ext>
            </a:extLst>
          </xdr:cNvPr>
          <xdr:cNvGrpSpPr>
            <a:grpSpLocks/>
          </xdr:cNvGrpSpPr>
        </xdr:nvGrpSpPr>
        <xdr:grpSpPr bwMode="auto">
          <a:xfrm>
            <a:off x="4210" y="245"/>
            <a:ext cx="104" cy="44"/>
            <a:chOff x="4210" y="245"/>
            <a:chExt cx="97" cy="44"/>
          </a:xfrm>
        </xdr:grpSpPr>
        <xdr:sp macro="" textlink="">
          <xdr:nvSpPr>
            <xdr:cNvPr id="2381634" name="Line 16194">
              <a:extLst>
                <a:ext uri="{FF2B5EF4-FFF2-40B4-BE49-F238E27FC236}">
                  <a16:creationId xmlns:a16="http://schemas.microsoft.com/office/drawing/2014/main" id="{00000000-0008-0000-0A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5" name="Line 16195">
              <a:extLst>
                <a:ext uri="{FF2B5EF4-FFF2-40B4-BE49-F238E27FC236}">
                  <a16:creationId xmlns:a16="http://schemas.microsoft.com/office/drawing/2014/main" id="{00000000-0008-0000-0A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6" name="Line 16196">
              <a:extLst>
                <a:ext uri="{FF2B5EF4-FFF2-40B4-BE49-F238E27FC236}">
                  <a16:creationId xmlns:a16="http://schemas.microsoft.com/office/drawing/2014/main" id="{00000000-0008-0000-0A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7" name="Line 16197">
              <a:extLst>
                <a:ext uri="{FF2B5EF4-FFF2-40B4-BE49-F238E27FC236}">
                  <a16:creationId xmlns:a16="http://schemas.microsoft.com/office/drawing/2014/main" id="{00000000-0008-0000-0A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8" name="Line 16198">
              <a:extLst>
                <a:ext uri="{FF2B5EF4-FFF2-40B4-BE49-F238E27FC236}">
                  <a16:creationId xmlns:a16="http://schemas.microsoft.com/office/drawing/2014/main" id="{00000000-0008-0000-0A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9" name="Line 16199">
              <a:extLst>
                <a:ext uri="{FF2B5EF4-FFF2-40B4-BE49-F238E27FC236}">
                  <a16:creationId xmlns:a16="http://schemas.microsoft.com/office/drawing/2014/main" id="{00000000-0008-0000-0A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0" name="Line 16200">
              <a:extLst>
                <a:ext uri="{FF2B5EF4-FFF2-40B4-BE49-F238E27FC236}">
                  <a16:creationId xmlns:a16="http://schemas.microsoft.com/office/drawing/2014/main" id="{00000000-0008-0000-0A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1" name="Line 16201">
              <a:extLst>
                <a:ext uri="{FF2B5EF4-FFF2-40B4-BE49-F238E27FC236}">
                  <a16:creationId xmlns:a16="http://schemas.microsoft.com/office/drawing/2014/main" id="{00000000-0008-0000-0A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2" name="Line 16202">
              <a:extLst>
                <a:ext uri="{FF2B5EF4-FFF2-40B4-BE49-F238E27FC236}">
                  <a16:creationId xmlns:a16="http://schemas.microsoft.com/office/drawing/2014/main" id="{00000000-0008-0000-0A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3" name="Line 16203">
              <a:extLst>
                <a:ext uri="{FF2B5EF4-FFF2-40B4-BE49-F238E27FC236}">
                  <a16:creationId xmlns:a16="http://schemas.microsoft.com/office/drawing/2014/main" id="{00000000-0008-0000-0A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4" name="Line 16204">
              <a:extLst>
                <a:ext uri="{FF2B5EF4-FFF2-40B4-BE49-F238E27FC236}">
                  <a16:creationId xmlns:a16="http://schemas.microsoft.com/office/drawing/2014/main" id="{00000000-0008-0000-0A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46" name="Text Box 16206">
            <a:extLst>
              <a:ext uri="{FF2B5EF4-FFF2-40B4-BE49-F238E27FC236}">
                <a16:creationId xmlns:a16="http://schemas.microsoft.com/office/drawing/2014/main" id="{00000000-0008-0000-0A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47" name="Text Box 16207">
            <a:extLst>
              <a:ext uri="{FF2B5EF4-FFF2-40B4-BE49-F238E27FC236}">
                <a16:creationId xmlns:a16="http://schemas.microsoft.com/office/drawing/2014/main" id="{00000000-0008-0000-0A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2381648" name="Group 16208">
            <a:extLst>
              <a:ext uri="{FF2B5EF4-FFF2-40B4-BE49-F238E27FC236}">
                <a16:creationId xmlns:a16="http://schemas.microsoft.com/office/drawing/2014/main" id="{00000000-0008-0000-0A00-000050572400}"/>
              </a:ext>
            </a:extLst>
          </xdr:cNvPr>
          <xdr:cNvGrpSpPr>
            <a:grpSpLocks/>
          </xdr:cNvGrpSpPr>
        </xdr:nvGrpSpPr>
        <xdr:grpSpPr bwMode="auto">
          <a:xfrm flipH="1">
            <a:off x="4400" y="155"/>
            <a:ext cx="96" cy="42"/>
            <a:chOff x="4198" y="199"/>
            <a:chExt cx="96" cy="42"/>
          </a:xfrm>
        </xdr:grpSpPr>
        <xdr:sp macro="" textlink="">
          <xdr:nvSpPr>
            <xdr:cNvPr id="2381649" name="Line 16209">
              <a:extLst>
                <a:ext uri="{FF2B5EF4-FFF2-40B4-BE49-F238E27FC236}">
                  <a16:creationId xmlns:a16="http://schemas.microsoft.com/office/drawing/2014/main" id="{00000000-0008-0000-0A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0" name="Line 16210">
              <a:extLst>
                <a:ext uri="{FF2B5EF4-FFF2-40B4-BE49-F238E27FC236}">
                  <a16:creationId xmlns:a16="http://schemas.microsoft.com/office/drawing/2014/main" id="{00000000-0008-0000-0A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1" name="Line 16211">
              <a:extLst>
                <a:ext uri="{FF2B5EF4-FFF2-40B4-BE49-F238E27FC236}">
                  <a16:creationId xmlns:a16="http://schemas.microsoft.com/office/drawing/2014/main" id="{00000000-0008-0000-0A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2" name="Line 16212">
              <a:extLst>
                <a:ext uri="{FF2B5EF4-FFF2-40B4-BE49-F238E27FC236}">
                  <a16:creationId xmlns:a16="http://schemas.microsoft.com/office/drawing/2014/main" id="{00000000-0008-0000-0A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3" name="Line 16213">
              <a:extLst>
                <a:ext uri="{FF2B5EF4-FFF2-40B4-BE49-F238E27FC236}">
                  <a16:creationId xmlns:a16="http://schemas.microsoft.com/office/drawing/2014/main" id="{00000000-0008-0000-0A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4" name="Line 16214">
              <a:extLst>
                <a:ext uri="{FF2B5EF4-FFF2-40B4-BE49-F238E27FC236}">
                  <a16:creationId xmlns:a16="http://schemas.microsoft.com/office/drawing/2014/main" id="{00000000-0008-0000-0A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5" name="Line 16215">
              <a:extLst>
                <a:ext uri="{FF2B5EF4-FFF2-40B4-BE49-F238E27FC236}">
                  <a16:creationId xmlns:a16="http://schemas.microsoft.com/office/drawing/2014/main" id="{00000000-0008-0000-0A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6" name="Line 16216">
              <a:extLst>
                <a:ext uri="{FF2B5EF4-FFF2-40B4-BE49-F238E27FC236}">
                  <a16:creationId xmlns:a16="http://schemas.microsoft.com/office/drawing/2014/main" id="{00000000-0008-0000-0A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7" name="Line 16217">
              <a:extLst>
                <a:ext uri="{FF2B5EF4-FFF2-40B4-BE49-F238E27FC236}">
                  <a16:creationId xmlns:a16="http://schemas.microsoft.com/office/drawing/2014/main" id="{00000000-0008-0000-0A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8" name="Line 16218">
              <a:extLst>
                <a:ext uri="{FF2B5EF4-FFF2-40B4-BE49-F238E27FC236}">
                  <a16:creationId xmlns:a16="http://schemas.microsoft.com/office/drawing/2014/main" id="{00000000-0008-0000-0A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9" name="Line 16219">
              <a:extLst>
                <a:ext uri="{FF2B5EF4-FFF2-40B4-BE49-F238E27FC236}">
                  <a16:creationId xmlns:a16="http://schemas.microsoft.com/office/drawing/2014/main" id="{00000000-0008-0000-0A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5" name="Group 16235">
            <a:extLst>
              <a:ext uri="{FF2B5EF4-FFF2-40B4-BE49-F238E27FC236}">
                <a16:creationId xmlns:a16="http://schemas.microsoft.com/office/drawing/2014/main" id="{00000000-0008-0000-0A00-00006B572400}"/>
              </a:ext>
            </a:extLst>
          </xdr:cNvPr>
          <xdr:cNvGrpSpPr>
            <a:grpSpLocks/>
          </xdr:cNvGrpSpPr>
        </xdr:nvGrpSpPr>
        <xdr:grpSpPr bwMode="auto">
          <a:xfrm>
            <a:off x="4399" y="245"/>
            <a:ext cx="97" cy="44"/>
            <a:chOff x="4392" y="245"/>
            <a:chExt cx="97" cy="44"/>
          </a:xfrm>
        </xdr:grpSpPr>
        <xdr:sp macro="" textlink="">
          <xdr:nvSpPr>
            <xdr:cNvPr id="2381661" name="Line 16221">
              <a:extLst>
                <a:ext uri="{FF2B5EF4-FFF2-40B4-BE49-F238E27FC236}">
                  <a16:creationId xmlns:a16="http://schemas.microsoft.com/office/drawing/2014/main" id="{00000000-0008-0000-0A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2" name="Line 16222">
              <a:extLst>
                <a:ext uri="{FF2B5EF4-FFF2-40B4-BE49-F238E27FC236}">
                  <a16:creationId xmlns:a16="http://schemas.microsoft.com/office/drawing/2014/main" id="{00000000-0008-0000-0A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3" name="Line 16223">
              <a:extLst>
                <a:ext uri="{FF2B5EF4-FFF2-40B4-BE49-F238E27FC236}">
                  <a16:creationId xmlns:a16="http://schemas.microsoft.com/office/drawing/2014/main" id="{00000000-0008-0000-0A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4" name="Line 16224">
              <a:extLst>
                <a:ext uri="{FF2B5EF4-FFF2-40B4-BE49-F238E27FC236}">
                  <a16:creationId xmlns:a16="http://schemas.microsoft.com/office/drawing/2014/main" id="{00000000-0008-0000-0A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5" name="Line 16225">
              <a:extLst>
                <a:ext uri="{FF2B5EF4-FFF2-40B4-BE49-F238E27FC236}">
                  <a16:creationId xmlns:a16="http://schemas.microsoft.com/office/drawing/2014/main" id="{00000000-0008-0000-0A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6" name="Line 16226">
              <a:extLst>
                <a:ext uri="{FF2B5EF4-FFF2-40B4-BE49-F238E27FC236}">
                  <a16:creationId xmlns:a16="http://schemas.microsoft.com/office/drawing/2014/main" id="{00000000-0008-0000-0A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7" name="Line 16227">
              <a:extLst>
                <a:ext uri="{FF2B5EF4-FFF2-40B4-BE49-F238E27FC236}">
                  <a16:creationId xmlns:a16="http://schemas.microsoft.com/office/drawing/2014/main" id="{00000000-0008-0000-0A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8" name="Line 16228">
              <a:extLst>
                <a:ext uri="{FF2B5EF4-FFF2-40B4-BE49-F238E27FC236}">
                  <a16:creationId xmlns:a16="http://schemas.microsoft.com/office/drawing/2014/main" id="{00000000-0008-0000-0A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9" name="Line 16229">
              <a:extLst>
                <a:ext uri="{FF2B5EF4-FFF2-40B4-BE49-F238E27FC236}">
                  <a16:creationId xmlns:a16="http://schemas.microsoft.com/office/drawing/2014/main" id="{00000000-0008-0000-0A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0" name="Line 16230">
              <a:extLst>
                <a:ext uri="{FF2B5EF4-FFF2-40B4-BE49-F238E27FC236}">
                  <a16:creationId xmlns:a16="http://schemas.microsoft.com/office/drawing/2014/main" id="{00000000-0008-0000-0A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1" name="Line 16231">
              <a:extLst>
                <a:ext uri="{FF2B5EF4-FFF2-40B4-BE49-F238E27FC236}">
                  <a16:creationId xmlns:a16="http://schemas.microsoft.com/office/drawing/2014/main" id="{00000000-0008-0000-0A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72" name="Text Box 16232">
            <a:extLst>
              <a:ext uri="{FF2B5EF4-FFF2-40B4-BE49-F238E27FC236}">
                <a16:creationId xmlns:a16="http://schemas.microsoft.com/office/drawing/2014/main" id="{00000000-0008-0000-0A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73" name="Text Box 16233">
            <a:extLst>
              <a:ext uri="{FF2B5EF4-FFF2-40B4-BE49-F238E27FC236}">
                <a16:creationId xmlns:a16="http://schemas.microsoft.com/office/drawing/2014/main" id="{00000000-0008-0000-0A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xdr:from>
      <xdr:col>27</xdr:col>
      <xdr:colOff>14287</xdr:colOff>
      <xdr:row>0</xdr:row>
      <xdr:rowOff>9525</xdr:rowOff>
    </xdr:from>
    <xdr:to>
      <xdr:col>27</xdr:col>
      <xdr:colOff>14287</xdr:colOff>
      <xdr:row>45</xdr:row>
      <xdr:rowOff>9525</xdr:rowOff>
    </xdr:to>
    <xdr:sp macro="" textlink="">
      <xdr:nvSpPr>
        <xdr:cNvPr id="909339" name="Line 27">
          <a:extLst>
            <a:ext uri="{FF2B5EF4-FFF2-40B4-BE49-F238E27FC236}">
              <a16:creationId xmlns:a16="http://schemas.microsoft.com/office/drawing/2014/main" id="{00000000-0008-0000-0A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61398150" y="95250"/>
          <a:ext cx="1685925"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115" name="TextBox 114">
          <a:extLst>
            <a:ext uri="{FF2B5EF4-FFF2-40B4-BE49-F238E27FC236}">
              <a16:creationId xmlns:a16="http://schemas.microsoft.com/office/drawing/2014/main" id="{00000000-0008-0000-0A00-000073000000}"/>
            </a:ext>
          </a:extLst>
        </xdr:cNvPr>
        <xdr:cNvSpPr txBox="1"/>
      </xdr:nvSpPr>
      <xdr:spPr>
        <a:xfrm>
          <a:off x="2257425" y="1276350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116" name="Text Box 176">
          <a:extLst>
            <a:ext uri="{FF2B5EF4-FFF2-40B4-BE49-F238E27FC236}">
              <a16:creationId xmlns:a16="http://schemas.microsoft.com/office/drawing/2014/main" id="{00000000-0008-0000-0A00-000074000000}"/>
            </a:ext>
          </a:extLst>
        </xdr:cNvPr>
        <xdr:cNvSpPr txBox="1">
          <a:spLocks noChangeArrowheads="1"/>
        </xdr:cNvSpPr>
      </xdr:nvSpPr>
      <xdr:spPr bwMode="auto">
        <a:xfrm>
          <a:off x="18859516" y="95250"/>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117" name="Text Box 180">
          <a:extLst>
            <a:ext uri="{FF2B5EF4-FFF2-40B4-BE49-F238E27FC236}">
              <a16:creationId xmlns:a16="http://schemas.microsoft.com/office/drawing/2014/main" id="{00000000-0008-0000-0A00-000075000000}"/>
            </a:ext>
          </a:extLst>
        </xdr:cNvPr>
        <xdr:cNvSpPr txBox="1">
          <a:spLocks noChangeArrowheads="1"/>
        </xdr:cNvSpPr>
      </xdr:nvSpPr>
      <xdr:spPr bwMode="auto">
        <a:xfrm>
          <a:off x="18859516" y="952476"/>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118" name="Text Box 180">
          <a:extLst>
            <a:ext uri="{FF2B5EF4-FFF2-40B4-BE49-F238E27FC236}">
              <a16:creationId xmlns:a16="http://schemas.microsoft.com/office/drawing/2014/main" id="{00000000-0008-0000-0A00-000076000000}"/>
            </a:ext>
          </a:extLst>
        </xdr:cNvPr>
        <xdr:cNvSpPr txBox="1">
          <a:spLocks noChangeArrowheads="1"/>
        </xdr:cNvSpPr>
      </xdr:nvSpPr>
      <xdr:spPr bwMode="auto">
        <a:xfrm>
          <a:off x="18859500" y="1514495"/>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98916067" y="7990417"/>
          <a:ext cx="6182783" cy="301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5" name="CompanyLogo">
          <a:extLst>
            <a:ext uri="{FF2B5EF4-FFF2-40B4-BE49-F238E27FC236}">
              <a16:creationId xmlns:a16="http://schemas.microsoft.com/office/drawing/2014/main" id="{00000000-0008-0000-0A00-000005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7" name="CompanyLogo2">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22</xdr:col>
      <xdr:colOff>0</xdr:colOff>
      <xdr:row>0</xdr:row>
      <xdr:rowOff>0</xdr:rowOff>
    </xdr:from>
    <xdr:to>
      <xdr:col>22</xdr:col>
      <xdr:colOff>0</xdr:colOff>
      <xdr:row>3</xdr:row>
      <xdr:rowOff>133350</xdr:rowOff>
    </xdr:to>
    <xdr:sp macro="" textlink="">
      <xdr:nvSpPr>
        <xdr:cNvPr id="2449427" name="Line 19">
          <a:extLst>
            <a:ext uri="{FF2B5EF4-FFF2-40B4-BE49-F238E27FC236}">
              <a16:creationId xmlns:a16="http://schemas.microsoft.com/office/drawing/2014/main" id="{00000000-0008-0000-0B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2449428" name="Line 20">
          <a:extLst>
            <a:ext uri="{FF2B5EF4-FFF2-40B4-BE49-F238E27FC236}">
              <a16:creationId xmlns:a16="http://schemas.microsoft.com/office/drawing/2014/main" id="{00000000-0008-0000-0B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2449429" name="Line 21">
          <a:extLst>
            <a:ext uri="{FF2B5EF4-FFF2-40B4-BE49-F238E27FC236}">
              <a16:creationId xmlns:a16="http://schemas.microsoft.com/office/drawing/2014/main" id="{00000000-0008-0000-0B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2449433" name="Text Box 25">
          <a:extLst>
            <a:ext uri="{FF2B5EF4-FFF2-40B4-BE49-F238E27FC236}">
              <a16:creationId xmlns:a16="http://schemas.microsoft.com/office/drawing/2014/main" id="{00000000-0008-0000-0B00-000019602500}"/>
            </a:ext>
          </a:extLst>
        </xdr:cNvPr>
        <xdr:cNvSpPr txBox="1">
          <a:spLocks noChangeArrowheads="1"/>
        </xdr:cNvSpPr>
      </xdr:nvSpPr>
      <xdr:spPr bwMode="auto">
        <a:xfrm>
          <a:off x="32494536" y="1000125"/>
          <a:ext cx="13763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84</xdr:col>
      <xdr:colOff>104775</xdr:colOff>
      <xdr:row>0</xdr:row>
      <xdr:rowOff>104775</xdr:rowOff>
    </xdr:from>
    <xdr:to>
      <xdr:col>94</xdr:col>
      <xdr:colOff>66675</xdr:colOff>
      <xdr:row>4</xdr:row>
      <xdr:rowOff>104775</xdr:rowOff>
    </xdr:to>
    <xdr:sp macro="" textlink="">
      <xdr:nvSpPr>
        <xdr:cNvPr id="2449547" name="Text Box 139">
          <a:extLst>
            <a:ext uri="{FF2B5EF4-FFF2-40B4-BE49-F238E27FC236}">
              <a16:creationId xmlns:a16="http://schemas.microsoft.com/office/drawing/2014/main" id="{00000000-0008-0000-0B00-00008B602500}"/>
            </a:ext>
          </a:extLst>
        </xdr:cNvPr>
        <xdr:cNvSpPr txBox="1">
          <a:spLocks noChangeArrowheads="1"/>
        </xdr:cNvSpPr>
      </xdr:nvSpPr>
      <xdr:spPr bwMode="auto">
        <a:xfrm>
          <a:off x="21726525" y="104775"/>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3" name="CompanyLogo">
          <a:extLst>
            <a:ext uri="{FF2B5EF4-FFF2-40B4-BE49-F238E27FC236}">
              <a16:creationId xmlns:a16="http://schemas.microsoft.com/office/drawing/2014/main" id="{00000000-0008-0000-0B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5" name="CompanyLogo2">
          <a:extLst>
            <a:ext uri="{FF2B5EF4-FFF2-40B4-BE49-F238E27FC236}">
              <a16:creationId xmlns:a16="http://schemas.microsoft.com/office/drawing/2014/main" id="{00000000-0008-0000-0B00-000005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354185" name="Picture 9" descr="Joist BOM">
          <a:extLst>
            <a:ext uri="{FF2B5EF4-FFF2-40B4-BE49-F238E27FC236}">
              <a16:creationId xmlns:a16="http://schemas.microsoft.com/office/drawing/2014/main" id="{00000000-0008-0000-0C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95450"/>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2354186" name="Line 10">
          <a:extLst>
            <a:ext uri="{FF2B5EF4-FFF2-40B4-BE49-F238E27FC236}">
              <a16:creationId xmlns:a16="http://schemas.microsoft.com/office/drawing/2014/main" id="{00000000-0008-0000-0C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2354190" name="Line 14">
          <a:extLst>
            <a:ext uri="{FF2B5EF4-FFF2-40B4-BE49-F238E27FC236}">
              <a16:creationId xmlns:a16="http://schemas.microsoft.com/office/drawing/2014/main" id="{00000000-0008-0000-0C00-00000EEC2300}"/>
            </a:ext>
          </a:extLst>
        </xdr:cNvPr>
        <xdr:cNvSpPr>
          <a:spLocks noChangeShapeType="1"/>
        </xdr:cNvSpPr>
      </xdr:nvSpPr>
      <xdr:spPr bwMode="auto">
        <a:xfrm>
          <a:off x="7629525" y="30384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2354191" name="Line 15">
          <a:extLst>
            <a:ext uri="{FF2B5EF4-FFF2-40B4-BE49-F238E27FC236}">
              <a16:creationId xmlns:a16="http://schemas.microsoft.com/office/drawing/2014/main" id="{00000000-0008-0000-0C00-00000FEC2300}"/>
            </a:ext>
          </a:extLst>
        </xdr:cNvPr>
        <xdr:cNvSpPr>
          <a:spLocks noChangeShapeType="1"/>
        </xdr:cNvSpPr>
      </xdr:nvSpPr>
      <xdr:spPr bwMode="auto">
        <a:xfrm>
          <a:off x="7639050" y="31908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2354192" name="Line 16">
          <a:extLst>
            <a:ext uri="{FF2B5EF4-FFF2-40B4-BE49-F238E27FC236}">
              <a16:creationId xmlns:a16="http://schemas.microsoft.com/office/drawing/2014/main" id="{00000000-0008-0000-0C00-000010EC2300}"/>
            </a:ext>
          </a:extLst>
        </xdr:cNvPr>
        <xdr:cNvSpPr>
          <a:spLocks noChangeShapeType="1"/>
        </xdr:cNvSpPr>
      </xdr:nvSpPr>
      <xdr:spPr bwMode="auto">
        <a:xfrm>
          <a:off x="7639050" y="33432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2354193" name="Line 17">
          <a:extLst>
            <a:ext uri="{FF2B5EF4-FFF2-40B4-BE49-F238E27FC236}">
              <a16:creationId xmlns:a16="http://schemas.microsoft.com/office/drawing/2014/main" id="{00000000-0008-0000-0C00-000011EC2300}"/>
            </a:ext>
          </a:extLst>
        </xdr:cNvPr>
        <xdr:cNvSpPr>
          <a:spLocks noChangeShapeType="1"/>
        </xdr:cNvSpPr>
      </xdr:nvSpPr>
      <xdr:spPr bwMode="auto">
        <a:xfrm>
          <a:off x="7639050" y="34956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2354194" name="Line 18">
          <a:extLst>
            <a:ext uri="{FF2B5EF4-FFF2-40B4-BE49-F238E27FC236}">
              <a16:creationId xmlns:a16="http://schemas.microsoft.com/office/drawing/2014/main" id="{00000000-0008-0000-0C00-000012EC2300}"/>
            </a:ext>
          </a:extLst>
        </xdr:cNvPr>
        <xdr:cNvSpPr>
          <a:spLocks noChangeShapeType="1"/>
        </xdr:cNvSpPr>
      </xdr:nvSpPr>
      <xdr:spPr bwMode="auto">
        <a:xfrm>
          <a:off x="7639050" y="36480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354195" name="Line 19">
          <a:extLst>
            <a:ext uri="{FF2B5EF4-FFF2-40B4-BE49-F238E27FC236}">
              <a16:creationId xmlns:a16="http://schemas.microsoft.com/office/drawing/2014/main" id="{00000000-0008-0000-0C00-000013EC23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2354350" name="Text Box 174">
          <a:extLst>
            <a:ext uri="{FF2B5EF4-FFF2-40B4-BE49-F238E27FC236}">
              <a16:creationId xmlns:a16="http://schemas.microsoft.com/office/drawing/2014/main" id="{00000000-0008-0000-0C00-0000AEEC2300}"/>
            </a:ext>
          </a:extLst>
        </xdr:cNvPr>
        <xdr:cNvSpPr txBox="1">
          <a:spLocks noChangeArrowheads="1"/>
        </xdr:cNvSpPr>
      </xdr:nvSpPr>
      <xdr:spPr bwMode="auto">
        <a:xfrm>
          <a:off x="16125825" y="1152525"/>
          <a:ext cx="2200275"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2354352" name="Text Box 176">
          <a:extLst>
            <a:ext uri="{FF2B5EF4-FFF2-40B4-BE49-F238E27FC236}">
              <a16:creationId xmlns:a16="http://schemas.microsoft.com/office/drawing/2014/main" id="{00000000-0008-0000-0C00-0000B0EC2300}"/>
            </a:ext>
          </a:extLst>
        </xdr:cNvPr>
        <xdr:cNvSpPr txBox="1">
          <a:spLocks noChangeArrowheads="1"/>
        </xdr:cNvSpPr>
      </xdr:nvSpPr>
      <xdr:spPr bwMode="auto">
        <a:xfrm>
          <a:off x="10601325" y="661954"/>
          <a:ext cx="278130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2354356" name="Text Box 180">
          <a:extLst>
            <a:ext uri="{FF2B5EF4-FFF2-40B4-BE49-F238E27FC236}">
              <a16:creationId xmlns:a16="http://schemas.microsoft.com/office/drawing/2014/main" id="{00000000-0008-0000-0C00-0000B4EC2300}"/>
            </a:ext>
          </a:extLst>
        </xdr:cNvPr>
        <xdr:cNvSpPr txBox="1">
          <a:spLocks noChangeArrowheads="1"/>
        </xdr:cNvSpPr>
      </xdr:nvSpPr>
      <xdr:spPr bwMode="auto">
        <a:xfrm>
          <a:off x="10601325" y="1576330"/>
          <a:ext cx="278130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2354363" name="Text Box 187">
          <a:extLst>
            <a:ext uri="{FF2B5EF4-FFF2-40B4-BE49-F238E27FC236}">
              <a16:creationId xmlns:a16="http://schemas.microsoft.com/office/drawing/2014/main" id="{00000000-0008-0000-0C00-0000BBEC2300}"/>
            </a:ext>
          </a:extLst>
        </xdr:cNvPr>
        <xdr:cNvSpPr txBox="1">
          <a:spLocks noChangeArrowheads="1"/>
        </xdr:cNvSpPr>
      </xdr:nvSpPr>
      <xdr:spPr bwMode="auto">
        <a:xfrm>
          <a:off x="20345400" y="3638550"/>
          <a:ext cx="225742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2354437" name="Text Box 261">
          <a:extLst>
            <a:ext uri="{FF2B5EF4-FFF2-40B4-BE49-F238E27FC236}">
              <a16:creationId xmlns:a16="http://schemas.microsoft.com/office/drawing/2014/main" id="{00000000-0008-0000-0C00-000005ED2300}"/>
            </a:ext>
          </a:extLst>
        </xdr:cNvPr>
        <xdr:cNvSpPr txBox="1">
          <a:spLocks noChangeArrowheads="1"/>
        </xdr:cNvSpPr>
      </xdr:nvSpPr>
      <xdr:spPr bwMode="auto">
        <a:xfrm>
          <a:off x="18440399" y="609600"/>
          <a:ext cx="300990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62</xdr:col>
      <xdr:colOff>76200</xdr:colOff>
      <xdr:row>0</xdr:row>
      <xdr:rowOff>28575</xdr:rowOff>
    </xdr:from>
    <xdr:to>
      <xdr:col>69</xdr:col>
      <xdr:colOff>19050</xdr:colOff>
      <xdr:row>10</xdr:row>
      <xdr:rowOff>0</xdr:rowOff>
    </xdr:to>
    <xdr:grpSp>
      <xdr:nvGrpSpPr>
        <xdr:cNvPr id="2354462" name="Group 286">
          <a:extLst>
            <a:ext uri="{FF2B5EF4-FFF2-40B4-BE49-F238E27FC236}">
              <a16:creationId xmlns:a16="http://schemas.microsoft.com/office/drawing/2014/main" id="{00000000-0008-0000-0C00-00001EED2300}"/>
            </a:ext>
          </a:extLst>
        </xdr:cNvPr>
        <xdr:cNvGrpSpPr>
          <a:grpSpLocks/>
        </xdr:cNvGrpSpPr>
      </xdr:nvGrpSpPr>
      <xdr:grpSpPr bwMode="auto">
        <a:xfrm>
          <a:off x="9620250" y="28575"/>
          <a:ext cx="0" cy="1514475"/>
          <a:chOff x="4176" y="123"/>
          <a:chExt cx="353" cy="199"/>
        </a:xfrm>
      </xdr:grpSpPr>
      <xdr:sp macro="" textlink="">
        <xdr:nvSpPr>
          <xdr:cNvPr id="2354463" name="Rectangle 287">
            <a:extLst>
              <a:ext uri="{FF2B5EF4-FFF2-40B4-BE49-F238E27FC236}">
                <a16:creationId xmlns:a16="http://schemas.microsoft.com/office/drawing/2014/main" id="{00000000-0008-0000-0C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64" name="Text Box 288">
            <a:extLst>
              <a:ext uri="{FF2B5EF4-FFF2-40B4-BE49-F238E27FC236}">
                <a16:creationId xmlns:a16="http://schemas.microsoft.com/office/drawing/2014/main" id="{00000000-0008-0000-0C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54465" name="Group 289">
            <a:extLst>
              <a:ext uri="{FF2B5EF4-FFF2-40B4-BE49-F238E27FC236}">
                <a16:creationId xmlns:a16="http://schemas.microsoft.com/office/drawing/2014/main" id="{00000000-0008-0000-0C00-000021ED2300}"/>
              </a:ext>
            </a:extLst>
          </xdr:cNvPr>
          <xdr:cNvGrpSpPr>
            <a:grpSpLocks/>
          </xdr:cNvGrpSpPr>
        </xdr:nvGrpSpPr>
        <xdr:grpSpPr bwMode="auto">
          <a:xfrm>
            <a:off x="4211" y="155"/>
            <a:ext cx="103" cy="42"/>
            <a:chOff x="4198" y="199"/>
            <a:chExt cx="96" cy="42"/>
          </a:xfrm>
        </xdr:grpSpPr>
        <xdr:sp macro="" textlink="">
          <xdr:nvSpPr>
            <xdr:cNvPr id="2354466" name="Line 290">
              <a:extLst>
                <a:ext uri="{FF2B5EF4-FFF2-40B4-BE49-F238E27FC236}">
                  <a16:creationId xmlns:a16="http://schemas.microsoft.com/office/drawing/2014/main" id="{00000000-0008-0000-0C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7" name="Line 291">
              <a:extLst>
                <a:ext uri="{FF2B5EF4-FFF2-40B4-BE49-F238E27FC236}">
                  <a16:creationId xmlns:a16="http://schemas.microsoft.com/office/drawing/2014/main" id="{00000000-0008-0000-0C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8" name="Line 292">
              <a:extLst>
                <a:ext uri="{FF2B5EF4-FFF2-40B4-BE49-F238E27FC236}">
                  <a16:creationId xmlns:a16="http://schemas.microsoft.com/office/drawing/2014/main" id="{00000000-0008-0000-0C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9" name="Line 293">
              <a:extLst>
                <a:ext uri="{FF2B5EF4-FFF2-40B4-BE49-F238E27FC236}">
                  <a16:creationId xmlns:a16="http://schemas.microsoft.com/office/drawing/2014/main" id="{00000000-0008-0000-0C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0" name="Line 294">
              <a:extLst>
                <a:ext uri="{FF2B5EF4-FFF2-40B4-BE49-F238E27FC236}">
                  <a16:creationId xmlns:a16="http://schemas.microsoft.com/office/drawing/2014/main" id="{00000000-0008-0000-0C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1" name="Line 295">
              <a:extLst>
                <a:ext uri="{FF2B5EF4-FFF2-40B4-BE49-F238E27FC236}">
                  <a16:creationId xmlns:a16="http://schemas.microsoft.com/office/drawing/2014/main" id="{00000000-0008-0000-0C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2" name="Line 296">
              <a:extLst>
                <a:ext uri="{FF2B5EF4-FFF2-40B4-BE49-F238E27FC236}">
                  <a16:creationId xmlns:a16="http://schemas.microsoft.com/office/drawing/2014/main" id="{00000000-0008-0000-0C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3" name="Line 297">
              <a:extLst>
                <a:ext uri="{FF2B5EF4-FFF2-40B4-BE49-F238E27FC236}">
                  <a16:creationId xmlns:a16="http://schemas.microsoft.com/office/drawing/2014/main" id="{00000000-0008-0000-0C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4" name="Line 298">
              <a:extLst>
                <a:ext uri="{FF2B5EF4-FFF2-40B4-BE49-F238E27FC236}">
                  <a16:creationId xmlns:a16="http://schemas.microsoft.com/office/drawing/2014/main" id="{00000000-0008-0000-0C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5" name="Line 299">
              <a:extLst>
                <a:ext uri="{FF2B5EF4-FFF2-40B4-BE49-F238E27FC236}">
                  <a16:creationId xmlns:a16="http://schemas.microsoft.com/office/drawing/2014/main" id="{00000000-0008-0000-0C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6" name="Line 300">
              <a:extLst>
                <a:ext uri="{FF2B5EF4-FFF2-40B4-BE49-F238E27FC236}">
                  <a16:creationId xmlns:a16="http://schemas.microsoft.com/office/drawing/2014/main" id="{00000000-0008-0000-0C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477" name="Group 301">
            <a:extLst>
              <a:ext uri="{FF2B5EF4-FFF2-40B4-BE49-F238E27FC236}">
                <a16:creationId xmlns:a16="http://schemas.microsoft.com/office/drawing/2014/main" id="{00000000-0008-0000-0C00-00002DED2300}"/>
              </a:ext>
            </a:extLst>
          </xdr:cNvPr>
          <xdr:cNvGrpSpPr>
            <a:grpSpLocks/>
          </xdr:cNvGrpSpPr>
        </xdr:nvGrpSpPr>
        <xdr:grpSpPr bwMode="auto">
          <a:xfrm>
            <a:off x="4210" y="245"/>
            <a:ext cx="104" cy="44"/>
            <a:chOff x="4210" y="245"/>
            <a:chExt cx="97" cy="44"/>
          </a:xfrm>
        </xdr:grpSpPr>
        <xdr:sp macro="" textlink="">
          <xdr:nvSpPr>
            <xdr:cNvPr id="2354478" name="Line 302">
              <a:extLst>
                <a:ext uri="{FF2B5EF4-FFF2-40B4-BE49-F238E27FC236}">
                  <a16:creationId xmlns:a16="http://schemas.microsoft.com/office/drawing/2014/main" id="{00000000-0008-0000-0C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9" name="Line 303">
              <a:extLst>
                <a:ext uri="{FF2B5EF4-FFF2-40B4-BE49-F238E27FC236}">
                  <a16:creationId xmlns:a16="http://schemas.microsoft.com/office/drawing/2014/main" id="{00000000-0008-0000-0C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0" name="Line 304">
              <a:extLst>
                <a:ext uri="{FF2B5EF4-FFF2-40B4-BE49-F238E27FC236}">
                  <a16:creationId xmlns:a16="http://schemas.microsoft.com/office/drawing/2014/main" id="{00000000-0008-0000-0C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1" name="Line 305">
              <a:extLst>
                <a:ext uri="{FF2B5EF4-FFF2-40B4-BE49-F238E27FC236}">
                  <a16:creationId xmlns:a16="http://schemas.microsoft.com/office/drawing/2014/main" id="{00000000-0008-0000-0C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2" name="Line 306">
              <a:extLst>
                <a:ext uri="{FF2B5EF4-FFF2-40B4-BE49-F238E27FC236}">
                  <a16:creationId xmlns:a16="http://schemas.microsoft.com/office/drawing/2014/main" id="{00000000-0008-0000-0C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3" name="Line 307">
              <a:extLst>
                <a:ext uri="{FF2B5EF4-FFF2-40B4-BE49-F238E27FC236}">
                  <a16:creationId xmlns:a16="http://schemas.microsoft.com/office/drawing/2014/main" id="{00000000-0008-0000-0C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4" name="Line 308">
              <a:extLst>
                <a:ext uri="{FF2B5EF4-FFF2-40B4-BE49-F238E27FC236}">
                  <a16:creationId xmlns:a16="http://schemas.microsoft.com/office/drawing/2014/main" id="{00000000-0008-0000-0C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5" name="Line 309">
              <a:extLst>
                <a:ext uri="{FF2B5EF4-FFF2-40B4-BE49-F238E27FC236}">
                  <a16:creationId xmlns:a16="http://schemas.microsoft.com/office/drawing/2014/main" id="{00000000-0008-0000-0C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6" name="Line 310">
              <a:extLst>
                <a:ext uri="{FF2B5EF4-FFF2-40B4-BE49-F238E27FC236}">
                  <a16:creationId xmlns:a16="http://schemas.microsoft.com/office/drawing/2014/main" id="{00000000-0008-0000-0C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7" name="Line 311">
              <a:extLst>
                <a:ext uri="{FF2B5EF4-FFF2-40B4-BE49-F238E27FC236}">
                  <a16:creationId xmlns:a16="http://schemas.microsoft.com/office/drawing/2014/main" id="{00000000-0008-0000-0C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8" name="Line 312">
              <a:extLst>
                <a:ext uri="{FF2B5EF4-FFF2-40B4-BE49-F238E27FC236}">
                  <a16:creationId xmlns:a16="http://schemas.microsoft.com/office/drawing/2014/main" id="{00000000-0008-0000-0C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489" name="Text Box 313">
            <a:extLst>
              <a:ext uri="{FF2B5EF4-FFF2-40B4-BE49-F238E27FC236}">
                <a16:creationId xmlns:a16="http://schemas.microsoft.com/office/drawing/2014/main" id="{00000000-0008-0000-0C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490" name="Text Box 314">
            <a:extLst>
              <a:ext uri="{FF2B5EF4-FFF2-40B4-BE49-F238E27FC236}">
                <a16:creationId xmlns:a16="http://schemas.microsoft.com/office/drawing/2014/main" id="{00000000-0008-0000-0C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354491" name="Group 315">
            <a:extLst>
              <a:ext uri="{FF2B5EF4-FFF2-40B4-BE49-F238E27FC236}">
                <a16:creationId xmlns:a16="http://schemas.microsoft.com/office/drawing/2014/main" id="{00000000-0008-0000-0C00-00003BED2300}"/>
              </a:ext>
            </a:extLst>
          </xdr:cNvPr>
          <xdr:cNvGrpSpPr>
            <a:grpSpLocks/>
          </xdr:cNvGrpSpPr>
        </xdr:nvGrpSpPr>
        <xdr:grpSpPr bwMode="auto">
          <a:xfrm flipH="1">
            <a:off x="4400" y="155"/>
            <a:ext cx="96" cy="42"/>
            <a:chOff x="4198" y="199"/>
            <a:chExt cx="96" cy="42"/>
          </a:xfrm>
        </xdr:grpSpPr>
        <xdr:sp macro="" textlink="">
          <xdr:nvSpPr>
            <xdr:cNvPr id="2354492" name="Line 316">
              <a:extLst>
                <a:ext uri="{FF2B5EF4-FFF2-40B4-BE49-F238E27FC236}">
                  <a16:creationId xmlns:a16="http://schemas.microsoft.com/office/drawing/2014/main" id="{00000000-0008-0000-0C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3" name="Line 317">
              <a:extLst>
                <a:ext uri="{FF2B5EF4-FFF2-40B4-BE49-F238E27FC236}">
                  <a16:creationId xmlns:a16="http://schemas.microsoft.com/office/drawing/2014/main" id="{00000000-0008-0000-0C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4" name="Line 318">
              <a:extLst>
                <a:ext uri="{FF2B5EF4-FFF2-40B4-BE49-F238E27FC236}">
                  <a16:creationId xmlns:a16="http://schemas.microsoft.com/office/drawing/2014/main" id="{00000000-0008-0000-0C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5" name="Line 319">
              <a:extLst>
                <a:ext uri="{FF2B5EF4-FFF2-40B4-BE49-F238E27FC236}">
                  <a16:creationId xmlns:a16="http://schemas.microsoft.com/office/drawing/2014/main" id="{00000000-0008-0000-0C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6" name="Line 320">
              <a:extLst>
                <a:ext uri="{FF2B5EF4-FFF2-40B4-BE49-F238E27FC236}">
                  <a16:creationId xmlns:a16="http://schemas.microsoft.com/office/drawing/2014/main" id="{00000000-0008-0000-0C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7" name="Line 321">
              <a:extLst>
                <a:ext uri="{FF2B5EF4-FFF2-40B4-BE49-F238E27FC236}">
                  <a16:creationId xmlns:a16="http://schemas.microsoft.com/office/drawing/2014/main" id="{00000000-0008-0000-0C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8" name="Line 322">
              <a:extLst>
                <a:ext uri="{FF2B5EF4-FFF2-40B4-BE49-F238E27FC236}">
                  <a16:creationId xmlns:a16="http://schemas.microsoft.com/office/drawing/2014/main" id="{00000000-0008-0000-0C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9" name="Line 323">
              <a:extLst>
                <a:ext uri="{FF2B5EF4-FFF2-40B4-BE49-F238E27FC236}">
                  <a16:creationId xmlns:a16="http://schemas.microsoft.com/office/drawing/2014/main" id="{00000000-0008-0000-0C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0" name="Line 324">
              <a:extLst>
                <a:ext uri="{FF2B5EF4-FFF2-40B4-BE49-F238E27FC236}">
                  <a16:creationId xmlns:a16="http://schemas.microsoft.com/office/drawing/2014/main" id="{00000000-0008-0000-0C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1" name="Line 325">
              <a:extLst>
                <a:ext uri="{FF2B5EF4-FFF2-40B4-BE49-F238E27FC236}">
                  <a16:creationId xmlns:a16="http://schemas.microsoft.com/office/drawing/2014/main" id="{00000000-0008-0000-0C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2" name="Line 326">
              <a:extLst>
                <a:ext uri="{FF2B5EF4-FFF2-40B4-BE49-F238E27FC236}">
                  <a16:creationId xmlns:a16="http://schemas.microsoft.com/office/drawing/2014/main" id="{00000000-0008-0000-0C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503" name="Group 327">
            <a:extLst>
              <a:ext uri="{FF2B5EF4-FFF2-40B4-BE49-F238E27FC236}">
                <a16:creationId xmlns:a16="http://schemas.microsoft.com/office/drawing/2014/main" id="{00000000-0008-0000-0C00-000047ED2300}"/>
              </a:ext>
            </a:extLst>
          </xdr:cNvPr>
          <xdr:cNvGrpSpPr>
            <a:grpSpLocks/>
          </xdr:cNvGrpSpPr>
        </xdr:nvGrpSpPr>
        <xdr:grpSpPr bwMode="auto">
          <a:xfrm>
            <a:off x="4399" y="245"/>
            <a:ext cx="97" cy="44"/>
            <a:chOff x="4392" y="245"/>
            <a:chExt cx="97" cy="44"/>
          </a:xfrm>
        </xdr:grpSpPr>
        <xdr:sp macro="" textlink="">
          <xdr:nvSpPr>
            <xdr:cNvPr id="2354504" name="Line 328">
              <a:extLst>
                <a:ext uri="{FF2B5EF4-FFF2-40B4-BE49-F238E27FC236}">
                  <a16:creationId xmlns:a16="http://schemas.microsoft.com/office/drawing/2014/main" id="{00000000-0008-0000-0C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5" name="Line 329">
              <a:extLst>
                <a:ext uri="{FF2B5EF4-FFF2-40B4-BE49-F238E27FC236}">
                  <a16:creationId xmlns:a16="http://schemas.microsoft.com/office/drawing/2014/main" id="{00000000-0008-0000-0C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6" name="Line 330">
              <a:extLst>
                <a:ext uri="{FF2B5EF4-FFF2-40B4-BE49-F238E27FC236}">
                  <a16:creationId xmlns:a16="http://schemas.microsoft.com/office/drawing/2014/main" id="{00000000-0008-0000-0C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7" name="Line 331">
              <a:extLst>
                <a:ext uri="{FF2B5EF4-FFF2-40B4-BE49-F238E27FC236}">
                  <a16:creationId xmlns:a16="http://schemas.microsoft.com/office/drawing/2014/main" id="{00000000-0008-0000-0C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8" name="Line 332">
              <a:extLst>
                <a:ext uri="{FF2B5EF4-FFF2-40B4-BE49-F238E27FC236}">
                  <a16:creationId xmlns:a16="http://schemas.microsoft.com/office/drawing/2014/main" id="{00000000-0008-0000-0C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9" name="Line 333">
              <a:extLst>
                <a:ext uri="{FF2B5EF4-FFF2-40B4-BE49-F238E27FC236}">
                  <a16:creationId xmlns:a16="http://schemas.microsoft.com/office/drawing/2014/main" id="{00000000-0008-0000-0C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0" name="Line 334">
              <a:extLst>
                <a:ext uri="{FF2B5EF4-FFF2-40B4-BE49-F238E27FC236}">
                  <a16:creationId xmlns:a16="http://schemas.microsoft.com/office/drawing/2014/main" id="{00000000-0008-0000-0C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1" name="Line 335">
              <a:extLst>
                <a:ext uri="{FF2B5EF4-FFF2-40B4-BE49-F238E27FC236}">
                  <a16:creationId xmlns:a16="http://schemas.microsoft.com/office/drawing/2014/main" id="{00000000-0008-0000-0C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2" name="Line 336">
              <a:extLst>
                <a:ext uri="{FF2B5EF4-FFF2-40B4-BE49-F238E27FC236}">
                  <a16:creationId xmlns:a16="http://schemas.microsoft.com/office/drawing/2014/main" id="{00000000-0008-0000-0C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3" name="Line 337">
              <a:extLst>
                <a:ext uri="{FF2B5EF4-FFF2-40B4-BE49-F238E27FC236}">
                  <a16:creationId xmlns:a16="http://schemas.microsoft.com/office/drawing/2014/main" id="{00000000-0008-0000-0C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4" name="Line 338">
              <a:extLst>
                <a:ext uri="{FF2B5EF4-FFF2-40B4-BE49-F238E27FC236}">
                  <a16:creationId xmlns:a16="http://schemas.microsoft.com/office/drawing/2014/main" id="{00000000-0008-0000-0C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515" name="Text Box 339">
            <a:extLst>
              <a:ext uri="{FF2B5EF4-FFF2-40B4-BE49-F238E27FC236}">
                <a16:creationId xmlns:a16="http://schemas.microsoft.com/office/drawing/2014/main" id="{00000000-0008-0000-0C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516" name="Text Box 340">
            <a:extLst>
              <a:ext uri="{FF2B5EF4-FFF2-40B4-BE49-F238E27FC236}">
                <a16:creationId xmlns:a16="http://schemas.microsoft.com/office/drawing/2014/main" id="{00000000-0008-0000-0C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xdr:from>
      <xdr:col>62</xdr:col>
      <xdr:colOff>76200</xdr:colOff>
      <xdr:row>10</xdr:row>
      <xdr:rowOff>19051</xdr:rowOff>
    </xdr:from>
    <xdr:to>
      <xdr:col>69</xdr:col>
      <xdr:colOff>19050</xdr:colOff>
      <xdr:row>14</xdr:row>
      <xdr:rowOff>47626</xdr:rowOff>
    </xdr:to>
    <xdr:grpSp>
      <xdr:nvGrpSpPr>
        <xdr:cNvPr id="2354851" name="Group 675">
          <a:extLst>
            <a:ext uri="{FF2B5EF4-FFF2-40B4-BE49-F238E27FC236}">
              <a16:creationId xmlns:a16="http://schemas.microsoft.com/office/drawing/2014/main" id="{00000000-0008-0000-0C00-0000A3EE2300}"/>
            </a:ext>
          </a:extLst>
        </xdr:cNvPr>
        <xdr:cNvGrpSpPr>
          <a:grpSpLocks/>
        </xdr:cNvGrpSpPr>
      </xdr:nvGrpSpPr>
      <xdr:grpSpPr bwMode="auto">
        <a:xfrm>
          <a:off x="9620250" y="1562101"/>
          <a:ext cx="0" cy="1362075"/>
          <a:chOff x="1487" y="158"/>
          <a:chExt cx="353" cy="179"/>
        </a:xfrm>
      </xdr:grpSpPr>
      <xdr:grpSp>
        <xdr:nvGrpSpPr>
          <xdr:cNvPr id="2354438" name="Group 262">
            <a:extLst>
              <a:ext uri="{FF2B5EF4-FFF2-40B4-BE49-F238E27FC236}">
                <a16:creationId xmlns:a16="http://schemas.microsoft.com/office/drawing/2014/main" id="{00000000-0008-0000-0C00-000006ED2300}"/>
              </a:ext>
            </a:extLst>
          </xdr:cNvPr>
          <xdr:cNvGrpSpPr>
            <a:grpSpLocks/>
          </xdr:cNvGrpSpPr>
        </xdr:nvGrpSpPr>
        <xdr:grpSpPr bwMode="auto">
          <a:xfrm>
            <a:off x="1487" y="158"/>
            <a:ext cx="353" cy="179"/>
            <a:chOff x="4176" y="233"/>
            <a:chExt cx="346" cy="217"/>
          </a:xfrm>
        </xdr:grpSpPr>
        <xdr:sp macro="" textlink="">
          <xdr:nvSpPr>
            <xdr:cNvPr id="2354439" name="Rectangle 263">
              <a:extLst>
                <a:ext uri="{FF2B5EF4-FFF2-40B4-BE49-F238E27FC236}">
                  <a16:creationId xmlns:a16="http://schemas.microsoft.com/office/drawing/2014/main" id="{00000000-0008-0000-0C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40" name="Text Box 264">
              <a:extLst>
                <a:ext uri="{FF2B5EF4-FFF2-40B4-BE49-F238E27FC236}">
                  <a16:creationId xmlns:a16="http://schemas.microsoft.com/office/drawing/2014/main" id="{00000000-0008-0000-0C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54441" name="Group 265">
              <a:extLst>
                <a:ext uri="{FF2B5EF4-FFF2-40B4-BE49-F238E27FC236}">
                  <a16:creationId xmlns:a16="http://schemas.microsoft.com/office/drawing/2014/main" id="{00000000-0008-0000-0C00-000009ED2300}"/>
                </a:ext>
              </a:extLst>
            </xdr:cNvPr>
            <xdr:cNvGrpSpPr>
              <a:grpSpLocks/>
            </xdr:cNvGrpSpPr>
          </xdr:nvGrpSpPr>
          <xdr:grpSpPr bwMode="auto">
            <a:xfrm>
              <a:off x="4194" y="285"/>
              <a:ext cx="146" cy="150"/>
              <a:chOff x="4194" y="285"/>
              <a:chExt cx="146" cy="150"/>
            </a:xfrm>
          </xdr:grpSpPr>
          <xdr:sp macro="" textlink="">
            <xdr:nvSpPr>
              <xdr:cNvPr id="2354442" name="Line 266">
                <a:extLst>
                  <a:ext uri="{FF2B5EF4-FFF2-40B4-BE49-F238E27FC236}">
                    <a16:creationId xmlns:a16="http://schemas.microsoft.com/office/drawing/2014/main" id="{00000000-0008-0000-0C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3" name="Line 267">
                <a:extLst>
                  <a:ext uri="{FF2B5EF4-FFF2-40B4-BE49-F238E27FC236}">
                    <a16:creationId xmlns:a16="http://schemas.microsoft.com/office/drawing/2014/main" id="{00000000-0008-0000-0C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4" name="Line 268">
                <a:extLst>
                  <a:ext uri="{FF2B5EF4-FFF2-40B4-BE49-F238E27FC236}">
                    <a16:creationId xmlns:a16="http://schemas.microsoft.com/office/drawing/2014/main" id="{00000000-0008-0000-0C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5" name="Line 269">
                <a:extLst>
                  <a:ext uri="{FF2B5EF4-FFF2-40B4-BE49-F238E27FC236}">
                    <a16:creationId xmlns:a16="http://schemas.microsoft.com/office/drawing/2014/main" id="{00000000-0008-0000-0C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46" name="Line 270">
                <a:extLst>
                  <a:ext uri="{FF2B5EF4-FFF2-40B4-BE49-F238E27FC236}">
                    <a16:creationId xmlns:a16="http://schemas.microsoft.com/office/drawing/2014/main" id="{00000000-0008-0000-0C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7" name="Line 271">
                <a:extLst>
                  <a:ext uri="{FF2B5EF4-FFF2-40B4-BE49-F238E27FC236}">
                    <a16:creationId xmlns:a16="http://schemas.microsoft.com/office/drawing/2014/main" id="{00000000-0008-0000-0C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48" name="Line 272">
                <a:extLst>
                  <a:ext uri="{FF2B5EF4-FFF2-40B4-BE49-F238E27FC236}">
                    <a16:creationId xmlns:a16="http://schemas.microsoft.com/office/drawing/2014/main" id="{00000000-0008-0000-0C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54449" name="Group 273">
              <a:extLst>
                <a:ext uri="{FF2B5EF4-FFF2-40B4-BE49-F238E27FC236}">
                  <a16:creationId xmlns:a16="http://schemas.microsoft.com/office/drawing/2014/main" id="{00000000-0008-0000-0C00-000011ED2300}"/>
                </a:ext>
              </a:extLst>
            </xdr:cNvPr>
            <xdr:cNvGrpSpPr>
              <a:grpSpLocks/>
            </xdr:cNvGrpSpPr>
          </xdr:nvGrpSpPr>
          <xdr:grpSpPr bwMode="auto">
            <a:xfrm>
              <a:off x="4365" y="285"/>
              <a:ext cx="141" cy="152"/>
              <a:chOff x="4365" y="285"/>
              <a:chExt cx="141" cy="152"/>
            </a:xfrm>
          </xdr:grpSpPr>
          <xdr:sp macro="" textlink="">
            <xdr:nvSpPr>
              <xdr:cNvPr id="2354450" name="Line 274">
                <a:extLst>
                  <a:ext uri="{FF2B5EF4-FFF2-40B4-BE49-F238E27FC236}">
                    <a16:creationId xmlns:a16="http://schemas.microsoft.com/office/drawing/2014/main" id="{00000000-0008-0000-0C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1" name="Line 275">
                <a:extLst>
                  <a:ext uri="{FF2B5EF4-FFF2-40B4-BE49-F238E27FC236}">
                    <a16:creationId xmlns:a16="http://schemas.microsoft.com/office/drawing/2014/main" id="{00000000-0008-0000-0C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2" name="Line 276">
                <a:extLst>
                  <a:ext uri="{FF2B5EF4-FFF2-40B4-BE49-F238E27FC236}">
                    <a16:creationId xmlns:a16="http://schemas.microsoft.com/office/drawing/2014/main" id="{00000000-0008-0000-0C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3" name="Line 277">
                <a:extLst>
                  <a:ext uri="{FF2B5EF4-FFF2-40B4-BE49-F238E27FC236}">
                    <a16:creationId xmlns:a16="http://schemas.microsoft.com/office/drawing/2014/main" id="{00000000-0008-0000-0C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54" name="Line 278">
                <a:extLst>
                  <a:ext uri="{FF2B5EF4-FFF2-40B4-BE49-F238E27FC236}">
                    <a16:creationId xmlns:a16="http://schemas.microsoft.com/office/drawing/2014/main" id="{00000000-0008-0000-0C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5" name="Line 279">
                <a:extLst>
                  <a:ext uri="{FF2B5EF4-FFF2-40B4-BE49-F238E27FC236}">
                    <a16:creationId xmlns:a16="http://schemas.microsoft.com/office/drawing/2014/main" id="{00000000-0008-0000-0C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56" name="Line 280">
                <a:extLst>
                  <a:ext uri="{FF2B5EF4-FFF2-40B4-BE49-F238E27FC236}">
                    <a16:creationId xmlns:a16="http://schemas.microsoft.com/office/drawing/2014/main" id="{00000000-0008-0000-0C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54457" name="Text Box 281">
              <a:extLst>
                <a:ext uri="{FF2B5EF4-FFF2-40B4-BE49-F238E27FC236}">
                  <a16:creationId xmlns:a16="http://schemas.microsoft.com/office/drawing/2014/main" id="{00000000-0008-0000-0C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8" name="Text Box 282">
              <a:extLst>
                <a:ext uri="{FF2B5EF4-FFF2-40B4-BE49-F238E27FC236}">
                  <a16:creationId xmlns:a16="http://schemas.microsoft.com/office/drawing/2014/main" id="{00000000-0008-0000-0C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9" name="Text Box 283">
              <a:extLst>
                <a:ext uri="{FF2B5EF4-FFF2-40B4-BE49-F238E27FC236}">
                  <a16:creationId xmlns:a16="http://schemas.microsoft.com/office/drawing/2014/main" id="{00000000-0008-0000-0C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2354460" name="Line 284">
              <a:extLst>
                <a:ext uri="{FF2B5EF4-FFF2-40B4-BE49-F238E27FC236}">
                  <a16:creationId xmlns:a16="http://schemas.microsoft.com/office/drawing/2014/main" id="{00000000-0008-0000-0C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61" name="Line 285">
              <a:extLst>
                <a:ext uri="{FF2B5EF4-FFF2-40B4-BE49-F238E27FC236}">
                  <a16:creationId xmlns:a16="http://schemas.microsoft.com/office/drawing/2014/main" id="{00000000-0008-0000-0C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54849" name="Text Box 673">
            <a:extLst>
              <a:ext uri="{FF2B5EF4-FFF2-40B4-BE49-F238E27FC236}">
                <a16:creationId xmlns:a16="http://schemas.microsoft.com/office/drawing/2014/main" id="{00000000-0008-0000-0C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54850" name="Text Box 674">
            <a:extLst>
              <a:ext uri="{FF2B5EF4-FFF2-40B4-BE49-F238E27FC236}">
                <a16:creationId xmlns:a16="http://schemas.microsoft.com/office/drawing/2014/main" id="{00000000-0008-0000-0C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247900" y="927735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108" name="Text Box 180">
          <a:extLst>
            <a:ext uri="{FF2B5EF4-FFF2-40B4-BE49-F238E27FC236}">
              <a16:creationId xmlns:a16="http://schemas.microsoft.com/office/drawing/2014/main" id="{00000000-0008-0000-0C00-00006C000000}"/>
            </a:ext>
          </a:extLst>
        </xdr:cNvPr>
        <xdr:cNvSpPr txBox="1">
          <a:spLocks noChangeArrowheads="1"/>
        </xdr:cNvSpPr>
      </xdr:nvSpPr>
      <xdr:spPr bwMode="auto">
        <a:xfrm>
          <a:off x="10601309" y="2071674"/>
          <a:ext cx="278130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4" name="CompanyLogo">
          <a:extLst>
            <a:ext uri="{FF2B5EF4-FFF2-40B4-BE49-F238E27FC236}">
              <a16:creationId xmlns:a16="http://schemas.microsoft.com/office/drawing/2014/main" id="{00000000-0008-0000-0C00-000004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458633" name="Line 9">
          <a:extLst>
            <a:ext uri="{FF2B5EF4-FFF2-40B4-BE49-F238E27FC236}">
              <a16:creationId xmlns:a16="http://schemas.microsoft.com/office/drawing/2014/main" id="{00000000-0008-0000-0D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458642" name="Line 18">
          <a:extLst>
            <a:ext uri="{FF2B5EF4-FFF2-40B4-BE49-F238E27FC236}">
              <a16:creationId xmlns:a16="http://schemas.microsoft.com/office/drawing/2014/main" id="{00000000-0008-0000-0D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2458658" name="Text Box 34">
          <a:extLst>
            <a:ext uri="{FF2B5EF4-FFF2-40B4-BE49-F238E27FC236}">
              <a16:creationId xmlns:a16="http://schemas.microsoft.com/office/drawing/2014/main" id="{00000000-0008-0000-0D00-000022842500}"/>
            </a:ext>
          </a:extLst>
        </xdr:cNvPr>
        <xdr:cNvSpPr txBox="1">
          <a:spLocks noChangeArrowheads="1"/>
        </xdr:cNvSpPr>
      </xdr:nvSpPr>
      <xdr:spPr bwMode="auto">
        <a:xfrm>
          <a:off x="21040725" y="1800225"/>
          <a:ext cx="31432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2458758" name="Text Box 134">
          <a:extLst>
            <a:ext uri="{FF2B5EF4-FFF2-40B4-BE49-F238E27FC236}">
              <a16:creationId xmlns:a16="http://schemas.microsoft.com/office/drawing/2014/main" id="{00000000-0008-0000-0D00-000086842500}"/>
            </a:ext>
          </a:extLst>
        </xdr:cNvPr>
        <xdr:cNvSpPr txBox="1">
          <a:spLocks noChangeArrowheads="1"/>
        </xdr:cNvSpPr>
      </xdr:nvSpPr>
      <xdr:spPr bwMode="auto">
        <a:xfrm>
          <a:off x="15192375" y="285750"/>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D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1465" name="Line 9">
          <a:extLst>
            <a:ext uri="{FF2B5EF4-FFF2-40B4-BE49-F238E27FC236}">
              <a16:creationId xmlns:a16="http://schemas.microsoft.com/office/drawing/2014/main" id="{00000000-0008-0000-0E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2452325" name="Group 869">
          <a:extLst>
            <a:ext uri="{FF2B5EF4-FFF2-40B4-BE49-F238E27FC236}">
              <a16:creationId xmlns:a16="http://schemas.microsoft.com/office/drawing/2014/main" id="{00000000-0008-0000-0E00-0000656B2500}"/>
            </a:ext>
          </a:extLst>
        </xdr:cNvPr>
        <xdr:cNvGrpSpPr>
          <a:grpSpLocks/>
        </xdr:cNvGrpSpPr>
      </xdr:nvGrpSpPr>
      <xdr:grpSpPr bwMode="auto">
        <a:xfrm>
          <a:off x="4524375" y="1514475"/>
          <a:ext cx="2705100" cy="2533650"/>
          <a:chOff x="475" y="163"/>
          <a:chExt cx="284" cy="258"/>
        </a:xfrm>
      </xdr:grpSpPr>
      <xdr:grpSp>
        <xdr:nvGrpSpPr>
          <xdr:cNvPr id="2452324" name="Group 868">
            <a:extLst>
              <a:ext uri="{FF2B5EF4-FFF2-40B4-BE49-F238E27FC236}">
                <a16:creationId xmlns:a16="http://schemas.microsoft.com/office/drawing/2014/main" id="{00000000-0008-0000-0E00-0000646B2500}"/>
              </a:ext>
            </a:extLst>
          </xdr:cNvPr>
          <xdr:cNvGrpSpPr>
            <a:grpSpLocks/>
          </xdr:cNvGrpSpPr>
        </xdr:nvGrpSpPr>
        <xdr:grpSpPr bwMode="auto">
          <a:xfrm>
            <a:off x="482" y="163"/>
            <a:ext cx="277" cy="178"/>
            <a:chOff x="482" y="163"/>
            <a:chExt cx="277" cy="178"/>
          </a:xfrm>
        </xdr:grpSpPr>
        <xdr:grpSp>
          <xdr:nvGrpSpPr>
            <xdr:cNvPr id="2451482" name="Group 26">
              <a:extLst>
                <a:ext uri="{FF2B5EF4-FFF2-40B4-BE49-F238E27FC236}">
                  <a16:creationId xmlns:a16="http://schemas.microsoft.com/office/drawing/2014/main" id="{00000000-0008-0000-0E00-00001A682500}"/>
                </a:ext>
              </a:extLst>
            </xdr:cNvPr>
            <xdr:cNvGrpSpPr>
              <a:grpSpLocks/>
            </xdr:cNvGrpSpPr>
          </xdr:nvGrpSpPr>
          <xdr:grpSpPr bwMode="auto">
            <a:xfrm>
              <a:off x="482" y="174"/>
              <a:ext cx="277" cy="167"/>
              <a:chOff x="635" y="270"/>
              <a:chExt cx="311" cy="210"/>
            </a:xfrm>
          </xdr:grpSpPr>
          <xdr:pic>
            <xdr:nvPicPr>
              <xdr:cNvPr id="2451483" name="Picture 27" descr="Bridging BOM Sketches1">
                <a:extLst>
                  <a:ext uri="{FF2B5EF4-FFF2-40B4-BE49-F238E27FC236}">
                    <a16:creationId xmlns:a16="http://schemas.microsoft.com/office/drawing/2014/main" id="{00000000-0008-0000-0E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4" name="Picture 28" descr="Bridging BOM Sketches1">
                <a:extLst>
                  <a:ext uri="{FF2B5EF4-FFF2-40B4-BE49-F238E27FC236}">
                    <a16:creationId xmlns:a16="http://schemas.microsoft.com/office/drawing/2014/main" id="{00000000-0008-0000-0E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5" name="Picture 29" descr="Bridging BOM Sketches1">
                <a:extLst>
                  <a:ext uri="{FF2B5EF4-FFF2-40B4-BE49-F238E27FC236}">
                    <a16:creationId xmlns:a16="http://schemas.microsoft.com/office/drawing/2014/main" id="{00000000-0008-0000-0E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2451486" name="Text Box 30">
              <a:extLst>
                <a:ext uri="{FF2B5EF4-FFF2-40B4-BE49-F238E27FC236}">
                  <a16:creationId xmlns:a16="http://schemas.microsoft.com/office/drawing/2014/main" id="{00000000-0008-0000-0E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2451487" name="Text Box 31">
              <a:extLst>
                <a:ext uri="{FF2B5EF4-FFF2-40B4-BE49-F238E27FC236}">
                  <a16:creationId xmlns:a16="http://schemas.microsoft.com/office/drawing/2014/main" id="{00000000-0008-0000-0E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2451488" name="Text Box 32">
              <a:extLst>
                <a:ext uri="{FF2B5EF4-FFF2-40B4-BE49-F238E27FC236}">
                  <a16:creationId xmlns:a16="http://schemas.microsoft.com/office/drawing/2014/main" id="{00000000-0008-0000-0E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2451489" name="Text Box 33">
              <a:extLst>
                <a:ext uri="{FF2B5EF4-FFF2-40B4-BE49-F238E27FC236}">
                  <a16:creationId xmlns:a16="http://schemas.microsoft.com/office/drawing/2014/main" id="{00000000-0008-0000-0E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2451490" name="Text Box 34">
            <a:extLst>
              <a:ext uri="{FF2B5EF4-FFF2-40B4-BE49-F238E27FC236}">
                <a16:creationId xmlns:a16="http://schemas.microsoft.com/office/drawing/2014/main" id="{00000000-0008-0000-0E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2451491" name="Text Box 35">
            <a:extLst>
              <a:ext uri="{FF2B5EF4-FFF2-40B4-BE49-F238E27FC236}">
                <a16:creationId xmlns:a16="http://schemas.microsoft.com/office/drawing/2014/main" id="{00000000-0008-0000-0E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2452323" name="Group 867">
          <a:extLst>
            <a:ext uri="{FF2B5EF4-FFF2-40B4-BE49-F238E27FC236}">
              <a16:creationId xmlns:a16="http://schemas.microsoft.com/office/drawing/2014/main" id="{00000000-0008-0000-0E00-0000636B2500}"/>
            </a:ext>
          </a:extLst>
        </xdr:cNvPr>
        <xdr:cNvGrpSpPr>
          <a:grpSpLocks/>
        </xdr:cNvGrpSpPr>
      </xdr:nvGrpSpPr>
      <xdr:grpSpPr bwMode="auto">
        <a:xfrm>
          <a:off x="1495425" y="1514475"/>
          <a:ext cx="1323975" cy="2533650"/>
          <a:chOff x="157" y="163"/>
          <a:chExt cx="139" cy="258"/>
        </a:xfrm>
      </xdr:grpSpPr>
      <xdr:pic>
        <xdr:nvPicPr>
          <xdr:cNvPr id="2451502" name="Picture 46" descr="Bridging BOM Sketches1">
            <a:extLst>
              <a:ext uri="{FF2B5EF4-FFF2-40B4-BE49-F238E27FC236}">
                <a16:creationId xmlns:a16="http://schemas.microsoft.com/office/drawing/2014/main" id="{00000000-0008-0000-0E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95" name="Picture 39" descr="Bridging BOM Sketches1">
            <a:extLst>
              <a:ext uri="{FF2B5EF4-FFF2-40B4-BE49-F238E27FC236}">
                <a16:creationId xmlns:a16="http://schemas.microsoft.com/office/drawing/2014/main" id="{00000000-0008-0000-0E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0" name="Picture 44" descr="Bridging BOM Sketches1">
            <a:extLst>
              <a:ext uri="{FF2B5EF4-FFF2-40B4-BE49-F238E27FC236}">
                <a16:creationId xmlns:a16="http://schemas.microsoft.com/office/drawing/2014/main" id="{00000000-0008-0000-0E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1" name="Picture 45" descr="Bridging BOM Sketches1">
            <a:extLst>
              <a:ext uri="{FF2B5EF4-FFF2-40B4-BE49-F238E27FC236}">
                <a16:creationId xmlns:a16="http://schemas.microsoft.com/office/drawing/2014/main" id="{00000000-0008-0000-0E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78" name="Text Box 22">
            <a:extLst>
              <a:ext uri="{FF2B5EF4-FFF2-40B4-BE49-F238E27FC236}">
                <a16:creationId xmlns:a16="http://schemas.microsoft.com/office/drawing/2014/main" id="{00000000-0008-0000-0E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451496" name="Text Box 40">
            <a:extLst>
              <a:ext uri="{FF2B5EF4-FFF2-40B4-BE49-F238E27FC236}">
                <a16:creationId xmlns:a16="http://schemas.microsoft.com/office/drawing/2014/main" id="{00000000-0008-0000-0E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451497" name="Text Box 41">
            <a:extLst>
              <a:ext uri="{FF2B5EF4-FFF2-40B4-BE49-F238E27FC236}">
                <a16:creationId xmlns:a16="http://schemas.microsoft.com/office/drawing/2014/main" id="{00000000-0008-0000-0E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451498" name="Text Box 42">
            <a:extLst>
              <a:ext uri="{FF2B5EF4-FFF2-40B4-BE49-F238E27FC236}">
                <a16:creationId xmlns:a16="http://schemas.microsoft.com/office/drawing/2014/main" id="{00000000-0008-0000-0E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51499" name="Text Box 43">
            <a:extLst>
              <a:ext uri="{FF2B5EF4-FFF2-40B4-BE49-F238E27FC236}">
                <a16:creationId xmlns:a16="http://schemas.microsoft.com/office/drawing/2014/main" id="{00000000-0008-0000-0E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451479" name="Text Box 23">
            <a:extLst>
              <a:ext uri="{FF2B5EF4-FFF2-40B4-BE49-F238E27FC236}">
                <a16:creationId xmlns:a16="http://schemas.microsoft.com/office/drawing/2014/main" id="{00000000-0008-0000-0E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452327" name="Group 871">
          <a:extLst>
            <a:ext uri="{FF2B5EF4-FFF2-40B4-BE49-F238E27FC236}">
              <a16:creationId xmlns:a16="http://schemas.microsoft.com/office/drawing/2014/main" id="{00000000-0008-0000-0E00-0000676B2500}"/>
            </a:ext>
          </a:extLst>
        </xdr:cNvPr>
        <xdr:cNvGrpSpPr>
          <a:grpSpLocks/>
        </xdr:cNvGrpSpPr>
      </xdr:nvGrpSpPr>
      <xdr:grpSpPr bwMode="auto">
        <a:xfrm>
          <a:off x="7143" y="1524000"/>
          <a:ext cx="9015413" cy="2533650"/>
          <a:chOff x="0" y="164"/>
          <a:chExt cx="948" cy="258"/>
        </a:xfrm>
      </xdr:grpSpPr>
      <xdr:sp macro="" textlink="">
        <xdr:nvSpPr>
          <xdr:cNvPr id="2451458" name="Rectangle 2">
            <a:extLst>
              <a:ext uri="{FF2B5EF4-FFF2-40B4-BE49-F238E27FC236}">
                <a16:creationId xmlns:a16="http://schemas.microsoft.com/office/drawing/2014/main" id="{00000000-0008-0000-0E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51459" name="Line 3">
            <a:extLst>
              <a:ext uri="{FF2B5EF4-FFF2-40B4-BE49-F238E27FC236}">
                <a16:creationId xmlns:a16="http://schemas.microsoft.com/office/drawing/2014/main" id="{00000000-0008-0000-0E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0" name="Line 4">
            <a:extLst>
              <a:ext uri="{FF2B5EF4-FFF2-40B4-BE49-F238E27FC236}">
                <a16:creationId xmlns:a16="http://schemas.microsoft.com/office/drawing/2014/main" id="{00000000-0008-0000-0E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1" name="Line 5">
            <a:extLst>
              <a:ext uri="{FF2B5EF4-FFF2-40B4-BE49-F238E27FC236}">
                <a16:creationId xmlns:a16="http://schemas.microsoft.com/office/drawing/2014/main" id="{00000000-0008-0000-0E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504" name="Line 48">
            <a:extLst>
              <a:ext uri="{FF2B5EF4-FFF2-40B4-BE49-F238E27FC236}">
                <a16:creationId xmlns:a16="http://schemas.microsoft.com/office/drawing/2014/main" id="{00000000-0008-0000-0E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2452317" name="Group 861">
          <a:extLst>
            <a:ext uri="{FF2B5EF4-FFF2-40B4-BE49-F238E27FC236}">
              <a16:creationId xmlns:a16="http://schemas.microsoft.com/office/drawing/2014/main" id="{00000000-0008-0000-0E00-00005D6B2500}"/>
            </a:ext>
          </a:extLst>
        </xdr:cNvPr>
        <xdr:cNvGrpSpPr>
          <a:grpSpLocks/>
        </xdr:cNvGrpSpPr>
      </xdr:nvGrpSpPr>
      <xdr:grpSpPr bwMode="auto">
        <a:xfrm>
          <a:off x="2914650" y="1514475"/>
          <a:ext cx="1647825" cy="2533650"/>
          <a:chOff x="306" y="163"/>
          <a:chExt cx="173" cy="258"/>
        </a:xfrm>
      </xdr:grpSpPr>
      <xdr:sp macro="" textlink="">
        <xdr:nvSpPr>
          <xdr:cNvPr id="2451474" name="Text Box 18">
            <a:extLst>
              <a:ext uri="{FF2B5EF4-FFF2-40B4-BE49-F238E27FC236}">
                <a16:creationId xmlns:a16="http://schemas.microsoft.com/office/drawing/2014/main" id="{00000000-0008-0000-0E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2451475" name="Text Box 19">
            <a:extLst>
              <a:ext uri="{FF2B5EF4-FFF2-40B4-BE49-F238E27FC236}">
                <a16:creationId xmlns:a16="http://schemas.microsoft.com/office/drawing/2014/main" id="{00000000-0008-0000-0E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2451476" name="Text Box 20">
            <a:extLst>
              <a:ext uri="{FF2B5EF4-FFF2-40B4-BE49-F238E27FC236}">
                <a16:creationId xmlns:a16="http://schemas.microsoft.com/office/drawing/2014/main" id="{00000000-0008-0000-0E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2451477" name="Text Box 21">
            <a:extLst>
              <a:ext uri="{FF2B5EF4-FFF2-40B4-BE49-F238E27FC236}">
                <a16:creationId xmlns:a16="http://schemas.microsoft.com/office/drawing/2014/main" id="{00000000-0008-0000-0E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2451494" name="Picture 38" descr="Bridging BOM Sketches1">
            <a:extLst>
              <a:ext uri="{FF2B5EF4-FFF2-40B4-BE49-F238E27FC236}">
                <a16:creationId xmlns:a16="http://schemas.microsoft.com/office/drawing/2014/main" id="{00000000-0008-0000-0E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8" name="Picture 52" descr="Bridging BOM Sketches1">
            <a:extLst>
              <a:ext uri="{FF2B5EF4-FFF2-40B4-BE49-F238E27FC236}">
                <a16:creationId xmlns:a16="http://schemas.microsoft.com/office/drawing/2014/main" id="{00000000-0008-0000-0E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2452326" name="Group 870">
          <a:extLst>
            <a:ext uri="{FF2B5EF4-FFF2-40B4-BE49-F238E27FC236}">
              <a16:creationId xmlns:a16="http://schemas.microsoft.com/office/drawing/2014/main" id="{00000000-0008-0000-0E00-0000666B2500}"/>
            </a:ext>
          </a:extLst>
        </xdr:cNvPr>
        <xdr:cNvGrpSpPr>
          <a:grpSpLocks/>
        </xdr:cNvGrpSpPr>
      </xdr:nvGrpSpPr>
      <xdr:grpSpPr bwMode="auto">
        <a:xfrm>
          <a:off x="7239000" y="1514475"/>
          <a:ext cx="1790700" cy="2533650"/>
          <a:chOff x="760" y="163"/>
          <a:chExt cx="188" cy="258"/>
        </a:xfrm>
      </xdr:grpSpPr>
      <xdr:pic>
        <xdr:nvPicPr>
          <xdr:cNvPr id="2451457" name="Picture 1" descr="Bridging BOM Sketches1">
            <a:extLst>
              <a:ext uri="{FF2B5EF4-FFF2-40B4-BE49-F238E27FC236}">
                <a16:creationId xmlns:a16="http://schemas.microsoft.com/office/drawing/2014/main" id="{00000000-0008-0000-0E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69" name="Text Box 13">
            <a:extLst>
              <a:ext uri="{FF2B5EF4-FFF2-40B4-BE49-F238E27FC236}">
                <a16:creationId xmlns:a16="http://schemas.microsoft.com/office/drawing/2014/main" id="{00000000-0008-0000-0E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2451470" name="Text Box 14">
            <a:extLst>
              <a:ext uri="{FF2B5EF4-FFF2-40B4-BE49-F238E27FC236}">
                <a16:creationId xmlns:a16="http://schemas.microsoft.com/office/drawing/2014/main" id="{00000000-0008-0000-0E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2451471" name="Text Box 15">
            <a:extLst>
              <a:ext uri="{FF2B5EF4-FFF2-40B4-BE49-F238E27FC236}">
                <a16:creationId xmlns:a16="http://schemas.microsoft.com/office/drawing/2014/main" id="{00000000-0008-0000-0E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472" name="Text Box 16">
            <a:extLst>
              <a:ext uri="{FF2B5EF4-FFF2-40B4-BE49-F238E27FC236}">
                <a16:creationId xmlns:a16="http://schemas.microsoft.com/office/drawing/2014/main" id="{00000000-0008-0000-0E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2451473" name="Text Box 17">
            <a:extLst>
              <a:ext uri="{FF2B5EF4-FFF2-40B4-BE49-F238E27FC236}">
                <a16:creationId xmlns:a16="http://schemas.microsoft.com/office/drawing/2014/main" id="{00000000-0008-0000-0E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2451492" name="Text Box 36">
            <a:extLst>
              <a:ext uri="{FF2B5EF4-FFF2-40B4-BE49-F238E27FC236}">
                <a16:creationId xmlns:a16="http://schemas.microsoft.com/office/drawing/2014/main" id="{00000000-0008-0000-0E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2451509" name="Text Box 53">
            <a:extLst>
              <a:ext uri="{FF2B5EF4-FFF2-40B4-BE49-F238E27FC236}">
                <a16:creationId xmlns:a16="http://schemas.microsoft.com/office/drawing/2014/main" id="{00000000-0008-0000-0E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510" name="Text Box 54">
            <a:extLst>
              <a:ext uri="{FF2B5EF4-FFF2-40B4-BE49-F238E27FC236}">
                <a16:creationId xmlns:a16="http://schemas.microsoft.com/office/drawing/2014/main" id="{00000000-0008-0000-0E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xdr:from>
      <xdr:col>0</xdr:col>
      <xdr:colOff>161925</xdr:colOff>
      <xdr:row>10</xdr:row>
      <xdr:rowOff>133350</xdr:rowOff>
    </xdr:from>
    <xdr:to>
      <xdr:col>3</xdr:col>
      <xdr:colOff>371475</xdr:colOff>
      <xdr:row>11</xdr:row>
      <xdr:rowOff>0</xdr:rowOff>
    </xdr:to>
    <xdr:pic>
      <xdr:nvPicPr>
        <xdr:cNvPr id="2451493" name="Picture 37" descr="Bridging BOM Sketches1">
          <a:extLst>
            <a:ext uri="{FF2B5EF4-FFF2-40B4-BE49-F238E27FC236}">
              <a16:creationId xmlns:a16="http://schemas.microsoft.com/office/drawing/2014/main" id="{00000000-0008-0000-0E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2451503" name="Picture 47" descr="Bridging BOM Sketches1">
          <a:extLst>
            <a:ext uri="{FF2B5EF4-FFF2-40B4-BE49-F238E27FC236}">
              <a16:creationId xmlns:a16="http://schemas.microsoft.com/office/drawing/2014/main" id="{00000000-0008-0000-0E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2451505" name="Text Box 49">
          <a:extLst>
            <a:ext uri="{FF2B5EF4-FFF2-40B4-BE49-F238E27FC236}">
              <a16:creationId xmlns:a16="http://schemas.microsoft.com/office/drawing/2014/main" id="{00000000-0008-0000-0E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2451506" name="Text Box 50">
          <a:extLst>
            <a:ext uri="{FF2B5EF4-FFF2-40B4-BE49-F238E27FC236}">
              <a16:creationId xmlns:a16="http://schemas.microsoft.com/office/drawing/2014/main" id="{00000000-0008-0000-0E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2451507" name="Text Box 51">
          <a:extLst>
            <a:ext uri="{FF2B5EF4-FFF2-40B4-BE49-F238E27FC236}">
              <a16:creationId xmlns:a16="http://schemas.microsoft.com/office/drawing/2014/main" id="{00000000-0008-0000-0E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2452319" name="Text Box 863">
          <a:extLst>
            <a:ext uri="{FF2B5EF4-FFF2-40B4-BE49-F238E27FC236}">
              <a16:creationId xmlns:a16="http://schemas.microsoft.com/office/drawing/2014/main" id="{00000000-0008-0000-0E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2452320" name="Picture 864" descr="Bridging BOM Sketches1">
          <a:extLst>
            <a:ext uri="{FF2B5EF4-FFF2-40B4-BE49-F238E27FC236}">
              <a16:creationId xmlns:a16="http://schemas.microsoft.com/office/drawing/2014/main" id="{00000000-0008-0000-0E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104334</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E00-00000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2482" name="Line 2">
          <a:extLst>
            <a:ext uri="{FF2B5EF4-FFF2-40B4-BE49-F238E27FC236}">
              <a16:creationId xmlns:a16="http://schemas.microsoft.com/office/drawing/2014/main" id="{00000000-0008-0000-0F00-0000026C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2</xdr:col>
      <xdr:colOff>104334</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F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20</xdr:col>
      <xdr:colOff>0</xdr:colOff>
      <xdr:row>0</xdr:row>
      <xdr:rowOff>0</xdr:rowOff>
    </xdr:from>
    <xdr:to>
      <xdr:col>20</xdr:col>
      <xdr:colOff>0</xdr:colOff>
      <xdr:row>4</xdr:row>
      <xdr:rowOff>19050</xdr:rowOff>
    </xdr:to>
    <xdr:sp macro="" textlink="">
      <xdr:nvSpPr>
        <xdr:cNvPr id="1003524" name="Line 4">
          <a:extLst>
            <a:ext uri="{FF2B5EF4-FFF2-40B4-BE49-F238E27FC236}">
              <a16:creationId xmlns:a16="http://schemas.microsoft.com/office/drawing/2014/main" id="{00000000-0008-0000-1000-000004500F00}"/>
            </a:ext>
          </a:extLst>
        </xdr:cNvPr>
        <xdr:cNvSpPr>
          <a:spLocks noChangeShapeType="1"/>
        </xdr:cNvSpPr>
      </xdr:nvSpPr>
      <xdr:spPr bwMode="auto">
        <a:xfrm>
          <a:off x="4905375" y="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54</xdr:row>
      <xdr:rowOff>0</xdr:rowOff>
    </xdr:from>
    <xdr:to>
      <xdr:col>20</xdr:col>
      <xdr:colOff>0</xdr:colOff>
      <xdr:row>58</xdr:row>
      <xdr:rowOff>19050</xdr:rowOff>
    </xdr:to>
    <xdr:sp macro="" textlink="">
      <xdr:nvSpPr>
        <xdr:cNvPr id="1003532" name="Line 12">
          <a:extLst>
            <a:ext uri="{FF2B5EF4-FFF2-40B4-BE49-F238E27FC236}">
              <a16:creationId xmlns:a16="http://schemas.microsoft.com/office/drawing/2014/main" id="{00000000-0008-0000-1000-00000C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54</xdr:row>
      <xdr:rowOff>0</xdr:rowOff>
    </xdr:from>
    <xdr:to>
      <xdr:col>11</xdr:col>
      <xdr:colOff>0</xdr:colOff>
      <xdr:row>58</xdr:row>
      <xdr:rowOff>0</xdr:rowOff>
    </xdr:to>
    <xdr:pic>
      <xdr:nvPicPr>
        <xdr:cNvPr id="1003533" name="Picture 13" descr="newmill_black_logo">
          <a:extLst>
            <a:ext uri="{FF2B5EF4-FFF2-40B4-BE49-F238E27FC236}">
              <a16:creationId xmlns:a16="http://schemas.microsoft.com/office/drawing/2014/main" id="{00000000-0008-0000-1000-00000D500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112</xdr:row>
      <xdr:rowOff>0</xdr:rowOff>
    </xdr:from>
    <xdr:to>
      <xdr:col>20</xdr:col>
      <xdr:colOff>0</xdr:colOff>
      <xdr:row>116</xdr:row>
      <xdr:rowOff>19050</xdr:rowOff>
    </xdr:to>
    <xdr:sp macro="" textlink="">
      <xdr:nvSpPr>
        <xdr:cNvPr id="1003537" name="Line 17">
          <a:extLst>
            <a:ext uri="{FF2B5EF4-FFF2-40B4-BE49-F238E27FC236}">
              <a16:creationId xmlns:a16="http://schemas.microsoft.com/office/drawing/2014/main" id="{00000000-0008-0000-1000-000011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112</xdr:row>
      <xdr:rowOff>0</xdr:rowOff>
    </xdr:from>
    <xdr:to>
      <xdr:col>11</xdr:col>
      <xdr:colOff>0</xdr:colOff>
      <xdr:row>116</xdr:row>
      <xdr:rowOff>0</xdr:rowOff>
    </xdr:to>
    <xdr:pic>
      <xdr:nvPicPr>
        <xdr:cNvPr id="1003538" name="Picture 18" descr="newmill_black_logo">
          <a:extLst>
            <a:ext uri="{FF2B5EF4-FFF2-40B4-BE49-F238E27FC236}">
              <a16:creationId xmlns:a16="http://schemas.microsoft.com/office/drawing/2014/main" id="{00000000-0008-0000-1000-000012500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71905</xdr:colOff>
      <xdr:row>0</xdr:row>
      <xdr:rowOff>0</xdr:rowOff>
    </xdr:from>
    <xdr:to>
      <xdr:col>10</xdr:col>
      <xdr:colOff>61445</xdr:colOff>
      <xdr:row>3</xdr:row>
      <xdr:rowOff>180975</xdr:rowOff>
    </xdr:to>
    <xdr:pic>
      <xdr:nvPicPr>
        <xdr:cNvPr id="3" name="CompanyLogo">
          <a:extLst>
            <a:ext uri="{FF2B5EF4-FFF2-40B4-BE49-F238E27FC236}">
              <a16:creationId xmlns:a16="http://schemas.microsoft.com/office/drawing/2014/main" id="{00000000-0008-0000-1000-00000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9580" y="0"/>
          <a:ext cx="1970740" cy="7524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247650</xdr:colOff>
      <xdr:row>2</xdr:row>
      <xdr:rowOff>85725</xdr:rowOff>
    </xdr:from>
    <xdr:to>
      <xdr:col>19</xdr:col>
      <xdr:colOff>66675</xdr:colOff>
      <xdr:row>13</xdr:row>
      <xdr:rowOff>9525</xdr:rowOff>
    </xdr:to>
    <xdr:sp macro="" textlink="">
      <xdr:nvSpPr>
        <xdr:cNvPr id="2353153" name="Text Box 1">
          <a:extLst>
            <a:ext uri="{FF2B5EF4-FFF2-40B4-BE49-F238E27FC236}">
              <a16:creationId xmlns:a16="http://schemas.microsoft.com/office/drawing/2014/main" id="{00000000-0008-0000-1100-000001E82300}"/>
            </a:ext>
          </a:extLst>
        </xdr:cNvPr>
        <xdr:cNvSpPr txBox="1">
          <a:spLocks noChangeArrowheads="1"/>
        </xdr:cNvSpPr>
      </xdr:nvSpPr>
      <xdr:spPr bwMode="auto">
        <a:xfrm>
          <a:off x="6686550" y="552450"/>
          <a:ext cx="1962150" cy="2019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Sect # = section number</a:t>
          </a:r>
        </a:p>
        <a:p>
          <a:pPr algn="l" rtl="0">
            <a:defRPr sz="1000"/>
          </a:pPr>
          <a:r>
            <a:rPr lang="en-US" sz="1000" b="0" i="0" u="none" strike="noStrike" baseline="0">
              <a:solidFill>
                <a:srgbClr val="000000"/>
              </a:solidFill>
              <a:latin typeface="Arial"/>
              <a:cs typeface="Arial"/>
            </a:rPr>
            <a:t>Support = support type:</a:t>
          </a:r>
        </a:p>
        <a:p>
          <a:pPr algn="l" rtl="0">
            <a:defRPr sz="1000"/>
          </a:pPr>
          <a:r>
            <a:rPr lang="en-US" sz="1000" b="0" i="0" u="none" strike="noStrike" baseline="0">
              <a:solidFill>
                <a:srgbClr val="000000"/>
              </a:solidFill>
              <a:latin typeface="Arial"/>
              <a:cs typeface="Arial"/>
            </a:rPr>
            <a:t>    &gt;C=Col</a:t>
          </a:r>
        </a:p>
        <a:p>
          <a:pPr algn="l" rtl="0">
            <a:defRPr sz="1000"/>
          </a:pPr>
          <a:r>
            <a:rPr lang="en-US" sz="1000" b="0" i="0" u="none" strike="noStrike" baseline="0">
              <a:solidFill>
                <a:srgbClr val="000000"/>
              </a:solidFill>
              <a:latin typeface="Arial"/>
              <a:cs typeface="Arial"/>
            </a:rPr>
            <a:t>    &gt;B=Beam</a:t>
          </a:r>
        </a:p>
        <a:p>
          <a:pPr algn="l" rtl="0">
            <a:defRPr sz="1000"/>
          </a:pPr>
          <a:r>
            <a:rPr lang="en-US" sz="1000" b="0" i="0" u="none" strike="noStrike" baseline="0">
              <a:solidFill>
                <a:srgbClr val="000000"/>
              </a:solidFill>
              <a:latin typeface="Arial"/>
              <a:cs typeface="Arial"/>
            </a:rPr>
            <a:t>    &gt;G=Girder</a:t>
          </a:r>
        </a:p>
        <a:p>
          <a:pPr algn="l" rtl="0">
            <a:defRPr sz="1000"/>
          </a:pPr>
          <a:r>
            <a:rPr lang="en-US" sz="1000" b="0" i="0" u="none" strike="noStrike" baseline="0">
              <a:solidFill>
                <a:srgbClr val="000000"/>
              </a:solidFill>
              <a:latin typeface="Arial"/>
              <a:cs typeface="Arial"/>
            </a:rPr>
            <a:t>    &gt;M=Masonry</a:t>
          </a:r>
        </a:p>
        <a:p>
          <a:pPr algn="l" rtl="0">
            <a:defRPr sz="1000"/>
          </a:pPr>
          <a:r>
            <a:rPr lang="en-US" sz="1000" b="0" i="0" u="none" strike="noStrike" baseline="0">
              <a:solidFill>
                <a:srgbClr val="000000"/>
              </a:solidFill>
              <a:latin typeface="Arial"/>
              <a:cs typeface="Arial"/>
            </a:rPr>
            <a:t>EOJ = End of Joist</a:t>
          </a:r>
        </a:p>
        <a:p>
          <a:pPr algn="l" rtl="0">
            <a:defRPr sz="1000"/>
          </a:pPr>
          <a:r>
            <a:rPr lang="en-US" sz="1000" b="0" i="0" u="none" strike="noStrike" baseline="0">
              <a:solidFill>
                <a:srgbClr val="000000"/>
              </a:solidFill>
              <a:latin typeface="Arial"/>
              <a:cs typeface="Arial"/>
            </a:rPr>
            <a:t>TCX Type = S3, R5, etc.</a:t>
          </a:r>
        </a:p>
        <a:p>
          <a:pPr algn="l" rtl="0">
            <a:defRPr sz="1000"/>
          </a:pPr>
          <a:r>
            <a:rPr lang="en-US" sz="1000" b="0" i="0" u="none" strike="noStrike" baseline="0">
              <a:solidFill>
                <a:srgbClr val="000000"/>
              </a:solidFill>
              <a:latin typeface="Arial"/>
              <a:cs typeface="Arial"/>
            </a:rPr>
            <a:t>BD = Bearing Depth</a:t>
          </a:r>
        </a:p>
        <a:p>
          <a:pPr algn="l" rtl="0">
            <a:defRPr sz="1000"/>
          </a:pPr>
          <a:r>
            <a:rPr lang="en-US" sz="1000" b="0" i="0" u="none" strike="noStrike" baseline="0">
              <a:solidFill>
                <a:srgbClr val="000000"/>
              </a:solidFill>
              <a:latin typeface="Arial"/>
              <a:cs typeface="Arial"/>
            </a:rPr>
            <a:t>HL = Hole Location</a:t>
          </a:r>
        </a:p>
        <a:p>
          <a:pPr algn="l" rtl="0">
            <a:defRPr sz="1000"/>
          </a:pPr>
          <a:r>
            <a:rPr lang="en-US" sz="1000" b="0" i="0" u="none" strike="noStrike" baseline="0">
              <a:solidFill>
                <a:srgbClr val="000000"/>
              </a:solidFill>
              <a:latin typeface="Arial"/>
              <a:cs typeface="Arial"/>
            </a:rPr>
            <a:t>CB = Clear Bearing</a:t>
          </a:r>
        </a:p>
        <a:p>
          <a:pPr algn="l" rtl="0">
            <a:defRPr sz="1000"/>
          </a:pPr>
          <a:r>
            <a:rPr lang="en-US" sz="1000" b="0" i="0" u="none" strike="noStrike" baseline="0">
              <a:solidFill>
                <a:srgbClr val="000000"/>
              </a:solidFill>
              <a:latin typeface="Arial"/>
              <a:cs typeface="Arial"/>
            </a:rPr>
            <a:t>BCX = Bottom Chord Dim</a:t>
          </a:r>
        </a:p>
        <a:p>
          <a:pPr algn="l" rtl="0">
            <a:defRPr sz="1000"/>
          </a:pPr>
          <a:endParaRPr lang="en-US"/>
        </a:p>
      </xdr:txBody>
    </xdr:sp>
    <xdr:clientData/>
  </xdr:twoCellAnchor>
  <xdr:twoCellAnchor editAs="oneCell">
    <xdr:from>
      <xdr:col>20</xdr:col>
      <xdr:colOff>104775</xdr:colOff>
      <xdr:row>2</xdr:row>
      <xdr:rowOff>95249</xdr:rowOff>
    </xdr:from>
    <xdr:to>
      <xdr:col>26</xdr:col>
      <xdr:colOff>2162175</xdr:colOff>
      <xdr:row>32</xdr:row>
      <xdr:rowOff>161924</xdr:rowOff>
    </xdr:to>
    <xdr:sp macro="" textlink="">
      <xdr:nvSpPr>
        <xdr:cNvPr id="2353154" name="Text Box 2">
          <a:extLst>
            <a:ext uri="{FF2B5EF4-FFF2-40B4-BE49-F238E27FC236}">
              <a16:creationId xmlns:a16="http://schemas.microsoft.com/office/drawing/2014/main" id="{00000000-0008-0000-1100-000002E82300}"/>
            </a:ext>
          </a:extLst>
        </xdr:cNvPr>
        <xdr:cNvSpPr txBox="1">
          <a:spLocks noChangeArrowheads="1"/>
        </xdr:cNvSpPr>
      </xdr:nvSpPr>
      <xdr:spPr bwMode="auto">
        <a:xfrm>
          <a:off x="9105900" y="695324"/>
          <a:ext cx="4343400" cy="57816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000000"/>
              </a:solidFill>
              <a:latin typeface="Arial"/>
              <a:cs typeface="Arial"/>
            </a:rPr>
            <a:t>Section Sheet Instructions:</a:t>
          </a:r>
        </a:p>
        <a:p>
          <a:pPr algn="l" rtl="0">
            <a:defRPr sz="1000"/>
          </a:pPr>
          <a:r>
            <a:rPr lang="en-US" sz="1000" b="0" i="0" u="none" strike="noStrike" baseline="0">
              <a:solidFill>
                <a:srgbClr val="000000"/>
              </a:solidFill>
              <a:latin typeface="Arial"/>
              <a:cs typeface="Arial"/>
            </a:rPr>
            <a:t>1) </a:t>
          </a:r>
          <a:r>
            <a:rPr lang="en-US" sz="1000" b="1" i="0" u="none" strike="noStrike" baseline="0">
              <a:solidFill>
                <a:srgbClr val="000000"/>
              </a:solidFill>
              <a:latin typeface="Arial"/>
              <a:cs typeface="Arial"/>
            </a:rPr>
            <a:t>End of Joist</a:t>
          </a:r>
          <a:r>
            <a:rPr lang="en-US" sz="1000" b="0" i="0" u="none" strike="noStrike" baseline="0">
              <a:solidFill>
                <a:srgbClr val="000000"/>
              </a:solidFill>
              <a:latin typeface="Arial"/>
              <a:cs typeface="Arial"/>
            </a:rPr>
            <a:t> dimension is the </a:t>
          </a:r>
          <a:r>
            <a:rPr lang="en-US" sz="1000" b="0" i="1" u="none" strike="noStrike" baseline="0">
              <a:solidFill>
                <a:srgbClr val="FF0000"/>
              </a:solidFill>
              <a:latin typeface="Arial"/>
              <a:cs typeface="Arial"/>
            </a:rPr>
            <a:t>plan</a:t>
          </a:r>
          <a:r>
            <a:rPr lang="en-US" sz="1000" b="0" i="0" u="none" strike="noStrike" baseline="0">
              <a:solidFill>
                <a:srgbClr val="000000"/>
              </a:solidFill>
              <a:latin typeface="Arial"/>
              <a:cs typeface="Arial"/>
            </a:rPr>
            <a:t> dimension from the "Bay Length" to the End of Joist </a:t>
          </a:r>
          <a:r>
            <a:rPr lang="en-US" sz="1000" b="0" i="1" u="sng" strike="noStrike" baseline="0">
              <a:solidFill>
                <a:srgbClr val="FF0000"/>
              </a:solidFill>
              <a:latin typeface="Arial"/>
              <a:cs typeface="Arial"/>
            </a:rPr>
            <a:t>along the centerline of the joist</a:t>
          </a:r>
          <a:r>
            <a:rPr lang="en-US" sz="1000" b="0" i="0" u="none" strike="noStrike" baseline="0">
              <a:solidFill>
                <a:srgbClr val="000000"/>
              </a:solidFill>
              <a:latin typeface="Arial"/>
              <a:cs typeface="Arial"/>
            </a:rPr>
            <a:t>.  If the bearing member is not perpendicular to the joist, this dimension </a:t>
          </a:r>
          <a:r>
            <a:rPr lang="en-US" sz="1000" b="1" i="1" u="sng" strike="noStrike" baseline="0">
              <a:solidFill>
                <a:srgbClr val="FF0000"/>
              </a:solidFill>
              <a:uFill>
                <a:solidFill>
                  <a:srgbClr val="FF0000"/>
                </a:solidFill>
              </a:uFill>
              <a:latin typeface="Arial"/>
              <a:cs typeface="Arial"/>
            </a:rPr>
            <a:t>will not be adjusted </a:t>
          </a:r>
          <a:r>
            <a:rPr lang="en-US" sz="1000" b="0" i="0" u="none" strike="noStrike" baseline="0">
              <a:solidFill>
                <a:srgbClr val="000000"/>
              </a:solidFill>
              <a:latin typeface="Arial"/>
              <a:cs typeface="Arial"/>
            </a:rPr>
            <a:t>for that angle.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 </a:t>
          </a:r>
          <a:r>
            <a:rPr lang="en-US" sz="1000" b="1" i="0" u="none" strike="noStrike" baseline="0">
              <a:solidFill>
                <a:srgbClr val="000000"/>
              </a:solidFill>
              <a:latin typeface="Arial"/>
              <a:cs typeface="Arial"/>
            </a:rPr>
            <a:t>TCX Type</a:t>
          </a:r>
          <a:r>
            <a:rPr lang="en-US" sz="1000" b="0" i="0" u="none" strike="noStrike" baseline="0">
              <a:solidFill>
                <a:srgbClr val="000000"/>
              </a:solidFill>
              <a:latin typeface="Arial"/>
              <a:cs typeface="Arial"/>
            </a:rPr>
            <a:t> only needs to be filled in if it's non-standard, such as "R7" or "S2".  </a:t>
          </a:r>
          <a:r>
            <a:rPr lang="en-US" sz="1000" b="0" i="1" u="sng" strike="noStrike" baseline="0">
              <a:solidFill>
                <a:srgbClr val="FF0000"/>
              </a:solidFill>
              <a:latin typeface="Arial"/>
              <a:cs typeface="Arial"/>
            </a:rPr>
            <a:t>If left blank, the NMBS standard TCX Type will show on the Bill.</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t>
          </a:r>
          <a:r>
            <a:rPr lang="en-US" sz="1000" b="0" i="0" u="sng" strike="noStrike" baseline="0">
              <a:solidFill>
                <a:srgbClr val="000000"/>
              </a:solidFill>
              <a:latin typeface="Arial"/>
              <a:cs typeface="Arial"/>
            </a:rPr>
            <a:t>does not</a:t>
          </a:r>
          <a:r>
            <a:rPr lang="en-US" sz="1000" b="0" i="0" u="none" strike="noStrike" baseline="0">
              <a:solidFill>
                <a:srgbClr val="000000"/>
              </a:solidFill>
              <a:latin typeface="Arial"/>
              <a:cs typeface="Arial"/>
            </a:rPr>
            <a:t> apply to Girders.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3) </a:t>
          </a:r>
          <a:r>
            <a:rPr lang="en-US" sz="1000" b="1" i="0" u="none" strike="noStrike" baseline="0">
              <a:solidFill>
                <a:srgbClr val="000000"/>
              </a:solidFill>
              <a:latin typeface="Arial"/>
              <a:cs typeface="Arial"/>
            </a:rPr>
            <a:t>Seat Depth</a:t>
          </a:r>
          <a:r>
            <a:rPr lang="en-US" sz="1000" b="0" i="0" u="none" strike="noStrike" baseline="0">
              <a:solidFill>
                <a:srgbClr val="000000"/>
              </a:solidFill>
              <a:latin typeface="Arial"/>
              <a:cs typeface="Arial"/>
            </a:rPr>
            <a:t> is the joist seat depth at the "Bay Length" reference - at the face of masonry or centerline of column or beam support.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4) </a:t>
          </a:r>
          <a:r>
            <a:rPr lang="en-US" sz="1000" b="1" i="0" u="none" strike="noStrike" baseline="0">
              <a:solidFill>
                <a:srgbClr val="000000"/>
              </a:solidFill>
              <a:latin typeface="Arial"/>
              <a:cs typeface="Arial"/>
            </a:rPr>
            <a:t>Hole Location</a:t>
          </a:r>
          <a:r>
            <a:rPr lang="en-US" sz="1000" b="0" i="0" u="none" strike="noStrike" baseline="0">
              <a:solidFill>
                <a:srgbClr val="000000"/>
              </a:solidFill>
              <a:latin typeface="Arial"/>
              <a:cs typeface="Arial"/>
            </a:rPr>
            <a:t> &amp; </a:t>
          </a:r>
          <a:r>
            <a:rPr lang="en-US" sz="1000" b="1" i="0" u="none" strike="noStrike" baseline="0">
              <a:solidFill>
                <a:srgbClr val="000000"/>
              </a:solidFill>
              <a:latin typeface="Arial"/>
              <a:cs typeface="Arial"/>
            </a:rPr>
            <a:t>Clear Bearing</a:t>
          </a:r>
          <a:r>
            <a:rPr lang="en-US" sz="1000" b="0" i="0" u="none" strike="noStrike" baseline="0">
              <a:solidFill>
                <a:srgbClr val="000000"/>
              </a:solidFill>
              <a:latin typeface="Arial"/>
              <a:cs typeface="Arial"/>
            </a:rPr>
            <a:t> </a:t>
          </a:r>
          <a:r>
            <a:rPr lang="en-US" sz="1000" b="0" i="1" u="sng" strike="noStrike" baseline="0">
              <a:solidFill>
                <a:srgbClr val="FF0000"/>
              </a:solidFill>
              <a:latin typeface="Arial"/>
              <a:cs typeface="Arial"/>
            </a:rPr>
            <a:t>dimensions are along the axis of the joist</a:t>
          </a:r>
          <a:r>
            <a:rPr lang="en-US" sz="1000" b="0" i="0" u="none" strike="noStrike" baseline="0">
              <a:solidFill>
                <a:srgbClr val="000000"/>
              </a:solidFill>
              <a:latin typeface="Arial"/>
              <a:cs typeface="Arial"/>
            </a:rPr>
            <a:t>.  If a skew angle is indicated on the Bill of Material User Input Sheet, the TCX and slot locations will be </a:t>
          </a:r>
          <a:r>
            <a:rPr lang="en-US" sz="1000" b="0" i="0" u="none" strike="noStrike" baseline="0">
              <a:solidFill>
                <a:srgbClr val="FF0000"/>
              </a:solidFill>
              <a:latin typeface="Arial"/>
              <a:cs typeface="Arial"/>
            </a:rPr>
            <a:t>adjusted </a:t>
          </a:r>
          <a:r>
            <a:rPr lang="en-US" sz="1000" b="1" i="0" u="sng" strike="noStrike" baseline="0">
              <a:solidFill>
                <a:srgbClr val="FF0000"/>
              </a:solidFill>
              <a:latin typeface="Arial"/>
              <a:cs typeface="Arial"/>
            </a:rPr>
            <a:t>ONLY</a:t>
          </a:r>
          <a:r>
            <a:rPr lang="en-US" sz="1000" b="0" i="0" u="none" strike="noStrike" baseline="0">
              <a:solidFill>
                <a:srgbClr val="FF0000"/>
              </a:solidFill>
              <a:latin typeface="Arial"/>
              <a:cs typeface="Arial"/>
            </a:rPr>
            <a:t> for web clearance and slot stagger</a:t>
          </a:r>
          <a:r>
            <a:rPr lang="en-US" sz="1000" b="0" i="0" u="none" strike="noStrike" baseline="0">
              <a:solidFill>
                <a:srgbClr val="000000"/>
              </a:solidFill>
              <a:latin typeface="Arial"/>
              <a:cs typeface="Arial"/>
            </a:rPr>
            <a:t>.  These dimensions </a:t>
          </a:r>
          <a:r>
            <a:rPr lang="en-US" sz="1000" b="0" i="1" u="none" strike="noStrike" baseline="0">
              <a:solidFill>
                <a:srgbClr val="FF0000"/>
              </a:solidFill>
              <a:latin typeface="Arial"/>
              <a:cs typeface="Arial"/>
            </a:rPr>
            <a:t>will</a:t>
          </a:r>
          <a:r>
            <a:rPr lang="en-US" sz="1000" b="0" i="0" u="none" strike="noStrike" baseline="0">
              <a:solidFill>
                <a:srgbClr val="000000"/>
              </a:solidFill>
              <a:latin typeface="Arial"/>
              <a:cs typeface="Arial"/>
            </a:rPr>
            <a:t> </a:t>
          </a:r>
          <a:r>
            <a:rPr lang="en-US" sz="1000" b="1" i="0" u="sng" strike="noStrike" baseline="0">
              <a:solidFill>
                <a:srgbClr val="FF0000"/>
              </a:solidFill>
              <a:latin typeface="Arial"/>
              <a:cs typeface="Arial"/>
            </a:rPr>
            <a:t>NOT</a:t>
          </a:r>
          <a:r>
            <a:rPr lang="en-US" sz="1000" b="0" i="0" u="none" strike="noStrike" baseline="0">
              <a:solidFill>
                <a:srgbClr val="000000"/>
              </a:solidFill>
              <a:latin typeface="Arial"/>
              <a:cs typeface="Arial"/>
            </a:rPr>
            <a:t> </a:t>
          </a:r>
          <a:r>
            <a:rPr lang="en-US" sz="1000" b="0" i="1" u="none" strike="noStrike" baseline="0">
              <a:solidFill>
                <a:srgbClr val="FF0000"/>
              </a:solidFill>
              <a:latin typeface="Arial"/>
              <a:cs typeface="Arial"/>
            </a:rPr>
            <a:t>be adjusted for skew angle</a:t>
          </a:r>
          <a:r>
            <a:rPr lang="en-US" sz="1000" b="0" i="0" u="none" strike="noStrike" baseline="0">
              <a:solidFill>
                <a:srgbClr val="000000"/>
              </a:solidFill>
              <a:latin typeface="Arial"/>
              <a:cs typeface="Arial"/>
            </a:rPr>
            <a:t>.</a:t>
          </a:r>
        </a:p>
        <a:p>
          <a:pPr algn="l" rtl="0">
            <a:defRPr sz="1000"/>
          </a:pPr>
          <a:endParaRPr lang="en-US" sz="1000" b="0" i="0" u="none" strike="noStrike" baseline="0">
            <a:solidFill>
              <a:srgbClr val="FF0000"/>
            </a:solidFill>
            <a:latin typeface="Arial"/>
            <a:cs typeface="Arial"/>
          </a:endParaRPr>
        </a:p>
        <a:p>
          <a:pPr algn="l" rtl="0">
            <a:defRPr sz="1000"/>
          </a:pPr>
          <a:r>
            <a:rPr lang="en-US" sz="1000" b="0" i="0" u="none" strike="noStrike" baseline="0">
              <a:solidFill>
                <a:srgbClr val="FF0000"/>
              </a:solidFill>
              <a:latin typeface="Arial"/>
              <a:cs typeface="Arial"/>
            </a:rPr>
            <a:t>These dimenions do not need to be filled in </a:t>
          </a:r>
          <a:r>
            <a:rPr lang="en-US" sz="1000" b="1" i="0" u="none" strike="noStrike" baseline="0">
              <a:solidFill>
                <a:srgbClr val="FF0000"/>
              </a:solidFill>
              <a:latin typeface="Arial"/>
              <a:cs typeface="Arial"/>
            </a:rPr>
            <a:t>if the bearing member is a beam or girder.</a:t>
          </a:r>
          <a:r>
            <a:rPr lang="en-US" sz="1000" b="0" i="0" u="none" strike="noStrike" baseline="0">
              <a:solidFill>
                <a:srgbClr val="000000"/>
              </a:solidFill>
              <a:latin typeface="Arial"/>
              <a:cs typeface="Arial"/>
            </a:rPr>
            <a:t>  The Bill of Material has fields for minimum and maximum widths and a checkbox for bolting for each end that is supported by a beam or girder.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5) </a:t>
          </a:r>
          <a:r>
            <a:rPr lang="en-US" sz="1000" b="1" i="0" u="none" strike="noStrike" baseline="0">
              <a:solidFill>
                <a:srgbClr val="000000"/>
              </a:solidFill>
              <a:latin typeface="Arial"/>
              <a:cs typeface="Arial"/>
            </a:rPr>
            <a:t>BCX</a:t>
          </a:r>
          <a:r>
            <a:rPr lang="en-US" sz="1000" b="0" i="0" u="none" strike="noStrike" baseline="0">
              <a:solidFill>
                <a:srgbClr val="000000"/>
              </a:solidFill>
              <a:latin typeface="Arial"/>
              <a:cs typeface="Arial"/>
            </a:rPr>
            <a:t> dimension is along the axis of the joist.  As is the case with the "End of Joist" dimension, this dimension </a:t>
          </a:r>
          <a:r>
            <a:rPr lang="en-US" sz="1000" b="0" i="1" u="sng" strike="noStrike" baseline="0">
              <a:solidFill>
                <a:srgbClr val="FF0000"/>
              </a:solidFill>
              <a:latin typeface="Arial"/>
              <a:cs typeface="Arial"/>
            </a:rPr>
            <a:t>will </a:t>
          </a:r>
          <a:r>
            <a:rPr lang="en-US" sz="1000" b="1" i="0" u="sng" strike="noStrike" baseline="0">
              <a:solidFill>
                <a:srgbClr val="FF0000"/>
              </a:solidFill>
              <a:latin typeface="Arial"/>
              <a:cs typeface="Arial"/>
            </a:rPr>
            <a:t>NOT</a:t>
          </a:r>
          <a:r>
            <a:rPr lang="en-US" sz="1000" b="0" i="1" u="sng" strike="noStrike" baseline="0">
              <a:solidFill>
                <a:srgbClr val="FF0000"/>
              </a:solidFill>
              <a:latin typeface="Arial"/>
              <a:cs typeface="Arial"/>
            </a:rPr>
            <a:t> be adjusted</a:t>
          </a:r>
          <a:r>
            <a:rPr lang="en-US" sz="1000" b="0" i="0" u="none" strike="noStrike" baseline="0">
              <a:solidFill>
                <a:srgbClr val="000000"/>
              </a:solidFill>
              <a:latin typeface="Arial"/>
              <a:cs typeface="Arial"/>
            </a:rPr>
            <a:t> if a skew angle is indicated Bill of Material.  This is due to the fact that the width of the Bottom Chord should be considered when determining this dimension if the support is skewed.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 </a:t>
          </a:r>
          <a:r>
            <a:rPr lang="en-US" sz="1000" b="0" i="0" u="none" strike="noStrike" baseline="0">
              <a:solidFill>
                <a:srgbClr val="000000"/>
              </a:solidFill>
              <a:latin typeface="Arial"/>
              <a:cs typeface="Arial"/>
            </a:rPr>
            <a:t>All dimensions on this page are "PLAN DIMENSIONS".  Dims on the BOM pages will be calculated based on the joist slope, as indicated for each mark on the BOM pages.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Lines that are </a:t>
          </a:r>
          <a:r>
            <a:rPr lang="en-US" sz="1000" b="0" i="0" u="none" strike="noStrike" baseline="0">
              <a:solidFill>
                <a:schemeClr val="bg1">
                  <a:lumMod val="50000"/>
                </a:schemeClr>
              </a:solidFill>
              <a:latin typeface="Arial"/>
              <a:cs typeface="Arial"/>
            </a:rPr>
            <a:t>greyed-out</a:t>
          </a:r>
          <a:r>
            <a:rPr lang="en-US" sz="1000" b="0" i="0" u="none" strike="noStrike" baseline="0">
              <a:solidFill>
                <a:srgbClr val="000000"/>
              </a:solidFill>
              <a:latin typeface="Arial"/>
              <a:cs typeface="Arial"/>
            </a:rPr>
            <a:t> indicate Sections that are used on Joist or Girder Marks that have been Release for Fabrication and, thus, are locked down and can NOT be edited.</a:t>
          </a:r>
          <a:endParaRPr lang="en-US" sz="1000" b="1"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a:p>
      </xdr:txBody>
    </xdr:sp>
    <xdr:clientData fPrintsWithSheet="0"/>
  </xdr:twoCellAnchor>
  <xdr:twoCellAnchor editAs="oneCell">
    <xdr:from>
      <xdr:col>14</xdr:col>
      <xdr:colOff>495300</xdr:colOff>
      <xdr:row>43</xdr:row>
      <xdr:rowOff>66675</xdr:rowOff>
    </xdr:from>
    <xdr:to>
      <xdr:col>18</xdr:col>
      <xdr:colOff>180975</xdr:colOff>
      <xdr:row>51</xdr:row>
      <xdr:rowOff>142875</xdr:rowOff>
    </xdr:to>
    <xdr:pic>
      <xdr:nvPicPr>
        <xdr:cNvPr id="2353155" name="Picture 3" descr="sect cmu">
          <a:extLst>
            <a:ext uri="{FF2B5EF4-FFF2-40B4-BE49-F238E27FC236}">
              <a16:creationId xmlns:a16="http://schemas.microsoft.com/office/drawing/2014/main" id="{00000000-0008-0000-1100-000003E8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8343900"/>
          <a:ext cx="1543050"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495300</xdr:colOff>
      <xdr:row>13</xdr:row>
      <xdr:rowOff>95250</xdr:rowOff>
    </xdr:from>
    <xdr:to>
      <xdr:col>18</xdr:col>
      <xdr:colOff>219075</xdr:colOff>
      <xdr:row>21</xdr:row>
      <xdr:rowOff>180975</xdr:rowOff>
    </xdr:to>
    <xdr:grpSp>
      <xdr:nvGrpSpPr>
        <xdr:cNvPr id="2353177" name="Group 25">
          <a:extLst>
            <a:ext uri="{FF2B5EF4-FFF2-40B4-BE49-F238E27FC236}">
              <a16:creationId xmlns:a16="http://schemas.microsoft.com/office/drawing/2014/main" id="{00000000-0008-0000-1100-000019E82300}"/>
            </a:ext>
          </a:extLst>
        </xdr:cNvPr>
        <xdr:cNvGrpSpPr>
          <a:grpSpLocks/>
        </xdr:cNvGrpSpPr>
      </xdr:nvGrpSpPr>
      <xdr:grpSpPr bwMode="auto">
        <a:xfrm>
          <a:off x="7067550" y="2790825"/>
          <a:ext cx="1581150" cy="1609725"/>
          <a:chOff x="777" y="299"/>
          <a:chExt cx="166" cy="169"/>
        </a:xfrm>
      </xdr:grpSpPr>
      <xdr:pic>
        <xdr:nvPicPr>
          <xdr:cNvPr id="2353156" name="Picture 4" descr="sect col">
            <a:extLst>
              <a:ext uri="{FF2B5EF4-FFF2-40B4-BE49-F238E27FC236}">
                <a16:creationId xmlns:a16="http://schemas.microsoft.com/office/drawing/2014/main" id="{00000000-0008-0000-1100-000004E8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7" y="300"/>
            <a:ext cx="163"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0" name="Line 8">
            <a:extLst>
              <a:ext uri="{FF2B5EF4-FFF2-40B4-BE49-F238E27FC236}">
                <a16:creationId xmlns:a16="http://schemas.microsoft.com/office/drawing/2014/main" id="{00000000-0008-0000-1100-000008E82300}"/>
              </a:ext>
            </a:extLst>
          </xdr:cNvPr>
          <xdr:cNvSpPr>
            <a:spLocks noChangeShapeType="1"/>
          </xdr:cNvSpPr>
        </xdr:nvSpPr>
        <xdr:spPr bwMode="auto">
          <a:xfrm flipH="1">
            <a:off x="815" y="315"/>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1" name="Text Box 9">
            <a:extLst>
              <a:ext uri="{FF2B5EF4-FFF2-40B4-BE49-F238E27FC236}">
                <a16:creationId xmlns:a16="http://schemas.microsoft.com/office/drawing/2014/main" id="{00000000-0008-0000-1100-000009E82300}"/>
              </a:ext>
            </a:extLst>
          </xdr:cNvPr>
          <xdr:cNvSpPr txBox="1">
            <a:spLocks noChangeArrowheads="1"/>
          </xdr:cNvSpPr>
        </xdr:nvSpPr>
        <xdr:spPr bwMode="auto">
          <a:xfrm>
            <a:off x="815" y="299"/>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23</xdr:row>
      <xdr:rowOff>76200</xdr:rowOff>
    </xdr:from>
    <xdr:to>
      <xdr:col>18</xdr:col>
      <xdr:colOff>219075</xdr:colOff>
      <xdr:row>31</xdr:row>
      <xdr:rowOff>152400</xdr:rowOff>
    </xdr:to>
    <xdr:grpSp>
      <xdr:nvGrpSpPr>
        <xdr:cNvPr id="2353178" name="Group 26">
          <a:extLst>
            <a:ext uri="{FF2B5EF4-FFF2-40B4-BE49-F238E27FC236}">
              <a16:creationId xmlns:a16="http://schemas.microsoft.com/office/drawing/2014/main" id="{00000000-0008-0000-1100-00001AE82300}"/>
            </a:ext>
          </a:extLst>
        </xdr:cNvPr>
        <xdr:cNvGrpSpPr>
          <a:grpSpLocks/>
        </xdr:cNvGrpSpPr>
      </xdr:nvGrpSpPr>
      <xdr:grpSpPr bwMode="auto">
        <a:xfrm>
          <a:off x="7067550" y="4676775"/>
          <a:ext cx="1581150" cy="1600200"/>
          <a:chOff x="777" y="521"/>
          <a:chExt cx="166" cy="168"/>
        </a:xfrm>
      </xdr:grpSpPr>
      <xdr:pic>
        <xdr:nvPicPr>
          <xdr:cNvPr id="2353157" name="Picture 5" descr="sect bm">
            <a:extLst>
              <a:ext uri="{FF2B5EF4-FFF2-40B4-BE49-F238E27FC236}">
                <a16:creationId xmlns:a16="http://schemas.microsoft.com/office/drawing/2014/main" id="{00000000-0008-0000-1100-000005E82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7" y="5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2" name="Line 10">
            <a:extLst>
              <a:ext uri="{FF2B5EF4-FFF2-40B4-BE49-F238E27FC236}">
                <a16:creationId xmlns:a16="http://schemas.microsoft.com/office/drawing/2014/main" id="{00000000-0008-0000-1100-00000AE82300}"/>
              </a:ext>
            </a:extLst>
          </xdr:cNvPr>
          <xdr:cNvSpPr>
            <a:spLocks noChangeShapeType="1"/>
          </xdr:cNvSpPr>
        </xdr:nvSpPr>
        <xdr:spPr bwMode="auto">
          <a:xfrm flipH="1">
            <a:off x="815" y="537"/>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3" name="Text Box 11">
            <a:extLst>
              <a:ext uri="{FF2B5EF4-FFF2-40B4-BE49-F238E27FC236}">
                <a16:creationId xmlns:a16="http://schemas.microsoft.com/office/drawing/2014/main" id="{00000000-0008-0000-1100-00000BE82300}"/>
              </a:ext>
            </a:extLst>
          </xdr:cNvPr>
          <xdr:cNvSpPr txBox="1">
            <a:spLocks noChangeArrowheads="1"/>
          </xdr:cNvSpPr>
        </xdr:nvSpPr>
        <xdr:spPr bwMode="auto">
          <a:xfrm>
            <a:off x="815" y="521"/>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33</xdr:row>
      <xdr:rowOff>57150</xdr:rowOff>
    </xdr:from>
    <xdr:to>
      <xdr:col>18</xdr:col>
      <xdr:colOff>219075</xdr:colOff>
      <xdr:row>41</xdr:row>
      <xdr:rowOff>133350</xdr:rowOff>
    </xdr:to>
    <xdr:grpSp>
      <xdr:nvGrpSpPr>
        <xdr:cNvPr id="2353179" name="Group 27">
          <a:extLst>
            <a:ext uri="{FF2B5EF4-FFF2-40B4-BE49-F238E27FC236}">
              <a16:creationId xmlns:a16="http://schemas.microsoft.com/office/drawing/2014/main" id="{00000000-0008-0000-1100-00001BE82300}"/>
            </a:ext>
          </a:extLst>
        </xdr:cNvPr>
        <xdr:cNvGrpSpPr>
          <a:grpSpLocks/>
        </xdr:cNvGrpSpPr>
      </xdr:nvGrpSpPr>
      <xdr:grpSpPr bwMode="auto">
        <a:xfrm>
          <a:off x="7067550" y="6562725"/>
          <a:ext cx="1581150" cy="1600200"/>
          <a:chOff x="777" y="741"/>
          <a:chExt cx="166" cy="168"/>
        </a:xfrm>
      </xdr:grpSpPr>
      <xdr:pic>
        <xdr:nvPicPr>
          <xdr:cNvPr id="2353158" name="Picture 6" descr="sect gir">
            <a:extLst>
              <a:ext uri="{FF2B5EF4-FFF2-40B4-BE49-F238E27FC236}">
                <a16:creationId xmlns:a16="http://schemas.microsoft.com/office/drawing/2014/main" id="{00000000-0008-0000-1100-000006E82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7" y="74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4" name="Line 12">
            <a:extLst>
              <a:ext uri="{FF2B5EF4-FFF2-40B4-BE49-F238E27FC236}">
                <a16:creationId xmlns:a16="http://schemas.microsoft.com/office/drawing/2014/main" id="{00000000-0008-0000-1100-00000CE82300}"/>
              </a:ext>
            </a:extLst>
          </xdr:cNvPr>
          <xdr:cNvSpPr>
            <a:spLocks noChangeShapeType="1"/>
          </xdr:cNvSpPr>
        </xdr:nvSpPr>
        <xdr:spPr bwMode="auto">
          <a:xfrm flipH="1">
            <a:off x="815" y="758"/>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5" name="Text Box 13">
            <a:extLst>
              <a:ext uri="{FF2B5EF4-FFF2-40B4-BE49-F238E27FC236}">
                <a16:creationId xmlns:a16="http://schemas.microsoft.com/office/drawing/2014/main" id="{00000000-0008-0000-1100-00000DE82300}"/>
              </a:ext>
            </a:extLst>
          </xdr:cNvPr>
          <xdr:cNvSpPr txBox="1">
            <a:spLocks noChangeArrowheads="1"/>
          </xdr:cNvSpPr>
        </xdr:nvSpPr>
        <xdr:spPr bwMode="auto">
          <a:xfrm>
            <a:off x="815" y="742"/>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15</xdr:col>
      <xdr:colOff>228600</xdr:colOff>
      <xdr:row>43</xdr:row>
      <xdr:rowOff>180975</xdr:rowOff>
    </xdr:from>
    <xdr:to>
      <xdr:col>17</xdr:col>
      <xdr:colOff>66675</xdr:colOff>
      <xdr:row>43</xdr:row>
      <xdr:rowOff>180975</xdr:rowOff>
    </xdr:to>
    <xdr:sp macro="" textlink="">
      <xdr:nvSpPr>
        <xdr:cNvPr id="2353166" name="Line 14">
          <a:extLst>
            <a:ext uri="{FF2B5EF4-FFF2-40B4-BE49-F238E27FC236}">
              <a16:creationId xmlns:a16="http://schemas.microsoft.com/office/drawing/2014/main" id="{00000000-0008-0000-1100-00000EE82300}"/>
            </a:ext>
          </a:extLst>
        </xdr:cNvPr>
        <xdr:cNvSpPr>
          <a:spLocks noChangeShapeType="1"/>
        </xdr:cNvSpPr>
      </xdr:nvSpPr>
      <xdr:spPr bwMode="auto">
        <a:xfrm flipH="1">
          <a:off x="7381875" y="845820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15</xdr:col>
      <xdr:colOff>304800</xdr:colOff>
      <xdr:row>43</xdr:row>
      <xdr:rowOff>28575</xdr:rowOff>
    </xdr:from>
    <xdr:to>
      <xdr:col>19</xdr:col>
      <xdr:colOff>95250</xdr:colOff>
      <xdr:row>43</xdr:row>
      <xdr:rowOff>180975</xdr:rowOff>
    </xdr:to>
    <xdr:sp macro="" textlink="">
      <xdr:nvSpPr>
        <xdr:cNvPr id="2353167" name="Text Box 15">
          <a:extLst>
            <a:ext uri="{FF2B5EF4-FFF2-40B4-BE49-F238E27FC236}">
              <a16:creationId xmlns:a16="http://schemas.microsoft.com/office/drawing/2014/main" id="{00000000-0008-0000-1100-00000FE82300}"/>
            </a:ext>
          </a:extLst>
        </xdr:cNvPr>
        <xdr:cNvSpPr txBox="1">
          <a:spLocks noChangeArrowheads="1"/>
        </xdr:cNvSpPr>
      </xdr:nvSpPr>
      <xdr:spPr bwMode="auto">
        <a:xfrm>
          <a:off x="7458075" y="8305800"/>
          <a:ext cx="12192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clientData/>
  </xdr:twoCellAnchor>
  <xdr:twoCellAnchor editAs="oneCell">
    <xdr:from>
      <xdr:col>14</xdr:col>
      <xdr:colOff>495300</xdr:colOff>
      <xdr:row>53</xdr:row>
      <xdr:rowOff>47625</xdr:rowOff>
    </xdr:from>
    <xdr:to>
      <xdr:col>18</xdr:col>
      <xdr:colOff>219075</xdr:colOff>
      <xdr:row>62</xdr:row>
      <xdr:rowOff>161925</xdr:rowOff>
    </xdr:to>
    <xdr:grpSp>
      <xdr:nvGrpSpPr>
        <xdr:cNvPr id="2353180" name="Group 28">
          <a:extLst>
            <a:ext uri="{FF2B5EF4-FFF2-40B4-BE49-F238E27FC236}">
              <a16:creationId xmlns:a16="http://schemas.microsoft.com/office/drawing/2014/main" id="{00000000-0008-0000-1100-00001CE82300}"/>
            </a:ext>
          </a:extLst>
        </xdr:cNvPr>
        <xdr:cNvGrpSpPr>
          <a:grpSpLocks/>
        </xdr:cNvGrpSpPr>
      </xdr:nvGrpSpPr>
      <xdr:grpSpPr bwMode="auto">
        <a:xfrm>
          <a:off x="7067550" y="10363200"/>
          <a:ext cx="1581150" cy="1828800"/>
          <a:chOff x="777" y="1197"/>
          <a:chExt cx="166" cy="192"/>
        </a:xfrm>
      </xdr:grpSpPr>
      <xdr:pic>
        <xdr:nvPicPr>
          <xdr:cNvPr id="2353159" name="Picture 7" descr="sect cmu cb">
            <a:extLst>
              <a:ext uri="{FF2B5EF4-FFF2-40B4-BE49-F238E27FC236}">
                <a16:creationId xmlns:a16="http://schemas.microsoft.com/office/drawing/2014/main" id="{00000000-0008-0000-1100-000007E823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7" y="12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8" name="Line 16">
            <a:extLst>
              <a:ext uri="{FF2B5EF4-FFF2-40B4-BE49-F238E27FC236}">
                <a16:creationId xmlns:a16="http://schemas.microsoft.com/office/drawing/2014/main" id="{00000000-0008-0000-1100-000010E82300}"/>
              </a:ext>
            </a:extLst>
          </xdr:cNvPr>
          <xdr:cNvSpPr>
            <a:spLocks noChangeShapeType="1"/>
          </xdr:cNvSpPr>
        </xdr:nvSpPr>
        <xdr:spPr bwMode="auto">
          <a:xfrm flipH="1">
            <a:off x="815" y="1213"/>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9" name="Text Box 17">
            <a:extLst>
              <a:ext uri="{FF2B5EF4-FFF2-40B4-BE49-F238E27FC236}">
                <a16:creationId xmlns:a16="http://schemas.microsoft.com/office/drawing/2014/main" id="{00000000-0008-0000-1100-000011E82300}"/>
              </a:ext>
            </a:extLst>
          </xdr:cNvPr>
          <xdr:cNvSpPr txBox="1">
            <a:spLocks noChangeArrowheads="1"/>
          </xdr:cNvSpPr>
        </xdr:nvSpPr>
        <xdr:spPr bwMode="auto">
          <a:xfrm>
            <a:off x="815" y="1197"/>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sp macro="" textlink="">
        <xdr:nvSpPr>
          <xdr:cNvPr id="2353170" name="Line 18">
            <a:extLst>
              <a:ext uri="{FF2B5EF4-FFF2-40B4-BE49-F238E27FC236}">
                <a16:creationId xmlns:a16="http://schemas.microsoft.com/office/drawing/2014/main" id="{00000000-0008-0000-1100-000012E82300}"/>
              </a:ext>
            </a:extLst>
          </xdr:cNvPr>
          <xdr:cNvSpPr>
            <a:spLocks noChangeShapeType="1"/>
          </xdr:cNvSpPr>
        </xdr:nvSpPr>
        <xdr:spPr bwMode="auto">
          <a:xfrm flipV="1">
            <a:off x="815" y="1207"/>
            <a:ext cx="0"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1038225</xdr:colOff>
          <xdr:row>27</xdr:row>
          <xdr:rowOff>47625</xdr:rowOff>
        </xdr:from>
        <xdr:to>
          <xdr:col>4</xdr:col>
          <xdr:colOff>114300</xdr:colOff>
          <xdr:row>27</xdr:row>
          <xdr:rowOff>295275</xdr:rowOff>
        </xdr:to>
        <xdr:sp macro="" textlink="">
          <xdr:nvSpPr>
            <xdr:cNvPr id="414815" name="ckbxRel4Fab" hidden="1">
              <a:extLst>
                <a:ext uri="{63B3BB69-23CF-44E3-9099-C40C66FF867C}">
                  <a14:compatExt spid="_x0000_s414815"/>
                </a:ext>
                <a:ext uri="{FF2B5EF4-FFF2-40B4-BE49-F238E27FC236}">
                  <a16:creationId xmlns:a16="http://schemas.microsoft.com/office/drawing/2014/main" id="{00000000-0008-0000-1200-00005F5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47625</xdr:colOff>
      <xdr:row>35</xdr:row>
      <xdr:rowOff>152399</xdr:rowOff>
    </xdr:from>
    <xdr:to>
      <xdr:col>5</xdr:col>
      <xdr:colOff>600075</xdr:colOff>
      <xdr:row>67</xdr:row>
      <xdr:rowOff>9525</xdr:rowOff>
    </xdr:to>
    <xdr:sp macro="" textlink="">
      <xdr:nvSpPr>
        <xdr:cNvPr id="414944" name="Text Box 224">
          <a:extLst>
            <a:ext uri="{FF2B5EF4-FFF2-40B4-BE49-F238E27FC236}">
              <a16:creationId xmlns:a16="http://schemas.microsoft.com/office/drawing/2014/main" id="{00000000-0008-0000-1200-0000E0540600}"/>
            </a:ext>
          </a:extLst>
        </xdr:cNvPr>
        <xdr:cNvSpPr txBox="1">
          <a:spLocks noChangeArrowheads="1"/>
        </xdr:cNvSpPr>
      </xdr:nvSpPr>
      <xdr:spPr bwMode="auto">
        <a:xfrm>
          <a:off x="47625" y="6191249"/>
          <a:ext cx="5791200" cy="503872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Latest Revisions: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4/13/23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Missing minimum slot-edge distance added for G (2) and all following G sheets.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Logos have been updated to conform with corporate rebranding initiative.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Some plant-specific settings have been added. Please bring any requests to dev. for consideration.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Marks JB1-JB6 will autofill dimensions when added to bridging sheets on Fallon bills.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OHAx, OHPx, OHJx single hole bridging clips now populate in B sheet dropdown depending on current plant.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2/1/23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C sheets no longer throw naming errors if they are the active sheet upon opening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Design Timer report sheet is now allowed to exist peacefully without throwing errors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Printing routines now attempt to scale sheets according to main screen DPI. Should fix odd pg breaks.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Corrected phone number on G sheets (prev showed only Butler phone)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Multiline note lockout on Std J sheets now checks whether designation is blank before locking cells.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Lake City bills now default to printing PTP data (see checkmark on Job Info sheet)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Std Joist BOM now capitalizes designations automatically (requested by JEDI v2 team)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OAL will now highlight red if it doesn't match length calculated from PTP data.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(Std BOM users may delete PTP data if not needed, AutoCalc PTP data is managed automatically)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9/22/22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Girder PTP error highlighting was off by two rows. Corrected.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N, F, B bolting options are now capitalized on output side (for JEDI).</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3/31/22 (+Hotfix 4/21/22)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Cautionary 'C' sheets will now print with the input print set for checking. Please delete C sheets when not wanted.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"Load(K)" columns now restricted to numbers only to help outside detailers.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reference cells will turn red if left blank when distances are present.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Special notes longer than 130 characters will now turn red to let the user know they're too long to print.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Behind-the-scenes cleanup to reduce chances of memory leak. Pop-ups should no longer crash the bill.</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P3 and PLin load types to L() sheets, rearranged some background data.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Validation formatting adjusted for new finishes in paint selection dropdown.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Partial Release now properly locks RE sections for released members.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All paint selection dropdowns are now locked in partial release view.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The discrep. report was excluding sequences found in row 49 of the K sheets. They are now included.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10/15/21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options for member paint/finish</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TYPE, CAT, and POS cells now turn red if incorrectly left blank.</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post-JDS cleanup routine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4/23/21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BOM tab name validation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Allow negative quantities greater than -1000 for G, J and B pages - VA request for add/deduct pricing.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10/5/20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validation now allows use of TL/LL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BOM now asks to include discrepancy report with input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7/31/20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PTP fields to prevent input of string values (manual BOM).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"area load" types to Load Note page.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6/4/2020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Girder A/B Panel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"Release Name" cell on Partial Releases so Detailer can rename the PR prior to "Releasing for Fab".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"Convert CJ Designation"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**Convert xxCJ Factored TL / Fact CLL / Fact CDL designation to xxLH Factored TL / Unfactored LL for JEDI import**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****Press Alt+F8 to display the Macro dialog to run either of the Joist Designation cleanup routines****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Joist Designation Table for SJI 45th Edition.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2/20/2020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User Input fields to group all LE/RE data together (including section over-rides) for better workflow and organization.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column widths slightly to eliminate BOM pages printing on multiple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problem with tab name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11/11/2019</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"Select All Sequences" checkbox to Partial Release dialog box.</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functions to improve speed and reduce "lag time" when running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A/B:Depth Ratio check for BG girders to be the sum of A/B and the adjacent interior panel dimension.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"BCX" columns now allow for "X" to indicate BCX per section OR numeric input on Joist pages, which over-rides the BC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location as shown in the section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 "C" and "Q" TCX's for sections that come in from JDS so that the TCX/BCX dims display correctly in imported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rows locking when manually copy-pasting rows that exclude "Mark" in the selection.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Enabled "Show Manual Changes" and "Accept and Save Manual Changes" features.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Implemented NMBS Tool Ribbon and abandoned old toolbar.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manual change highlighting to Load Note page.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Girder Panel Validation on G(2) and beyond.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Marks to "Move or Copy Mark"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where auto-generated Load Notes (graphical loading) were not being locked when released.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**and for Sp Notes in anticipation of future auto-generated Special Notes.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Function to flag unused Sp/Ld Notes in Master View and hide them in PR views that are "Released".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11/16/18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error-handling.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BL Over-ride to prevent detailer from defining a BL past the end of Joist/Girder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10/19/18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Addressed (hopefully) intermittent "unable to set Page Size property" error when printing to Bluebeam PDF.</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"ActiveWorkbook" calls to "ThisWorkbook" in effort to find resolution to "phantom excel process" issues.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FitUp Check" to Bridging pages for Designers per NMBS Engineering Standard.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so that "X" bolting option now works for bolting to an angle haunch on masonry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Round JDS data down to 1/8" increments for Beam/Girder Widths and Joist Spacing to correct for JDS rounding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Include Gen Info (the "P (x)" tab) in the "Print Check Set"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Row Highlighting to highlight multiple rows.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New Function: Move or Copy Mark.  If entering a duplicate mark, routine asks if you want to copy or move it current location.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"Add Partial Release" code so a cancel or error will leave a partially created PR able to be deleted cleanly.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5/18/18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"Auto-Color Tagging" to K(1) tab.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placeholder for "Trib Area" on "J" Pages, fixed related PTP length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missing "auto-fill" issue.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screen flash and false "change across multiple page" message on several Print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flag and application of BCXR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SectInfo page not appearing to unlock when the BOM opens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Row/Column highlighting to "S(x)" pages, similar to Mk# highlighting on G/J/B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line objects for borders.  Not needed since "Paste All" (formats) has been disabled.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merge from Load Note Remarks column so entire line can be copied in a single operation.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plant-specific validation criteria for minimum A/B girder panel dimensions.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10/6/17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dimensional validation to SectInfo page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8/4/17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Separated &lt;=LH06 from &gt;=LH07 in short bearing validations for LH joists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"Line Highlighting" - Shades entire BOM line that is active to make it easier to see everything for that Mark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OL length check calculations in PTP fields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slope consideration to 40' OSHA Joist Bolting check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"ClearVariables" to try to eliminate VBA Password prompt that occurs for some users.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3/10/17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check the Girder BL dimension against the sum of Panel Layout Dimensions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false warning when printing BOM set.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Girder Load Notes being placed in "[ ]" instead of  "( )"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Panel Layout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the number of panels defined on the first side defined (JDS typically shows the NS first) does not match the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Number of Panels in the Girder Designatin, the "B/N/F" will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Girder TC Gage against Girder TC Width.</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Sp Notes and Load Notes used on Marks that have been Released for Fabrication.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Section Information used on Marks that have been Released for Fabrication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8/30/16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Load Note Locations (if Ld Loct #1 &gt; Ld Loct#2, location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BL Over-Ride for Girders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***Enhanced clear bearing and slot location checks for BL Over-Ridden marks.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overspan check for joists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"A" and "B" dimension check on Girder Panel Layout.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"A" or "B" &lt; Girder Depth/1.15 from BL, the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tab name validation to ensure proper formatting sheet names for JEDI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invalid "Addn'l Joist" locations on Girder Page 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negative BCX formatting when JDS fills out BOM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the negative number format for the End of Joist data on the Section Information page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8/18/16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Increased the seat slot edge distance for Girders to Slot Length/2 + 1/2"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When copying members, added feature to add suffix to duplicate mark numbers instead of deleting the mark number.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full BOM lock upon close.  BOM will unlock upon opening if macros/content is "enabled".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worksheet protection so functions execute faster in Excel 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highlight color for manual changes from yellow to teal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unreleased Bridging Marks not being "hidden" on Partial Releases.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12/31/15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"CleanDesignations" function to remove "SPxx" suffixes from Joist Designations for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**Tool is shown as a macro - select the macro and "run" to execute the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 being displayed when deleting a row of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footer information to SectInfo pages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"paste" function to only paste "values" as opposed to pasting all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"detailer flags" showing even though the rest of the mark is hidden (partial releases).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"white" text color for partial released (hidden joist marks when printed).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to all "feet" dimension columns to prevent entry of non-integer values.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with cell comments not being copied to new BOM pages.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7/7/15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warning with "ALL"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"hidden" setting to BOM Page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Enhanced color coding and mark number locking for released marks.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primer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BC7 &amp; BC8 bridging clips to validation lists.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project name/number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sequence formatting (borders) on Discrepancy Report.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Modified formatting of  manual changes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-preparing to use with traditional BOMs to track/approve manual changes, too.</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Prevent "ck load on tcx" from running on PR's or when BOM is "released for fab" (which resulted in errors).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"KR" and "KA" to validated joist designations (ex: 16KR2).  Forces JEDI to make joist a rod or angle.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Improved PR selection dialog for unsequenced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"Load Case" column/input, deleting "LC" code (column is now dedicated), allow 1-9 load cases.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3/23/15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code to annotate Load Note lines for U/NU/GU loads on joists/girders with TCXL/R &gt;= 12".</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error handling code.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2/25/15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plant locations.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 not filling in quantities.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 check &amp; dialog box to "Release for Fab" to confirm NO Bridging Anchors to be included in PR.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Dialog boxes should be centered in Excel window.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dynamic print range code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Consolidated error handling code.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auto-fill material descritption for Bridging Anchors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&gt;&gt; 2521 for all plants except Fallon, which uses A46A.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for proper formatting of "Additional Joist Locations" on 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plant addresses and phone/fax numbers.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12/2/14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G(1) notes column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10/28/14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Re-organized plant listing to coincide with JEDI plant listing and added OH per IT request.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new material codes and updated material validation to Bridging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Girder BCXR not showing if no BCXL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resolved issue with skewed masonry clr brg being turned on skew angle to match JDS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basic error handling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part. rel. not properly hiding information on the "second page" of the Girder sheets.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W2 widths used to calculate TCX at skewed supports to match widths used by JDS.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the sum of joist spacing on sloping girders not equalling girder BL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6/6/14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retasked "Unbraced BC Length" column to "Number of KB's".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not putting LC numbers in LC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***function executes when Load Note sheet becomes active.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Load Note Sheet will now allow multiple Load Cases in Load Case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multiple load cases.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LRFD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validation of load combinations.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Corrected bolted bridging validation (04 is boltable and 02 is not).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trapping to prevent Partial Releases from being created with no name.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Changed button name to "Create Master Sequence..." (more descriptive of button's action).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totaling joists/girders when J(1) or G(1) does not exist.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error with multi-line G1 marks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Type 1 BCXs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unequal slot gage warning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checking for TCL/R holes with negative End/Girder dimensions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for girders where negative hole location specified in sections.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severe skew reporting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inadvertant cell locking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restoring cell formats when un-releasing a Partial Release.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7/19/12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Revised PTP for importing error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Allow input of non-std girder TC gages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11x17 printing issue on girder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A11 bridging can be used for bolted bridging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6/28/12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J(1) with clear bearing/tcx at masonry support (AutoCalc only)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6/14/12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masonry supports with clear bearing (tcx, short bearing warnings) -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problem with PTP info not printing on J(2) and above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highlighting manual changes on Sect Info tab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Delete formulas in PTP fields on traditional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migrated to Excel 2010 platform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PTP info to BOMs for BIM &amp; PTP Load Note compatability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11X17 printing options for Joist and Girder pages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negative clear bearing in sections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"BL Over-Ride" feature to take advantage of deeper seats by reducing TCX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false error reporting for holes at skewed supports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"X" prefix for all diagonal bridging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"BA2" bridging anchors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warning for A11, A12, A14 &amp; 04 materials used for bolted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removed some restrictions on "unreleasing" partial releases so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are more flexible and easier to use.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"Load Case" column on Load Note page (immediately before "Remarks"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This is a drop-down list so the proper format is used.  There is no "LC1" as Load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Case #1 is always the default (blank = Load Case #1).  LC2-LC5 are permitted in this cell.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Note: JDS does not have a "Load Case" column, so you will need to note the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in the remarks and transfer it to the LC column on the BOM manually.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defRPr sz="1000"/>
          </a:pP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4</xdr:col>
          <xdr:colOff>228600</xdr:colOff>
          <xdr:row>16</xdr:row>
          <xdr:rowOff>76200</xdr:rowOff>
        </xdr:from>
        <xdr:to>
          <xdr:col>5</xdr:col>
          <xdr:colOff>76200</xdr:colOff>
          <xdr:row>18</xdr:row>
          <xdr:rowOff>133350</xdr:rowOff>
        </xdr:to>
        <xdr:grpSp>
          <xdr:nvGrpSpPr>
            <xdr:cNvPr id="4" name="Group 3">
              <a:extLst>
                <a:ext uri="{FF2B5EF4-FFF2-40B4-BE49-F238E27FC236}">
                  <a16:creationId xmlns:a16="http://schemas.microsoft.com/office/drawing/2014/main" id="{00000000-0008-0000-1200-000004000000}"/>
                </a:ext>
              </a:extLst>
            </xdr:cNvPr>
            <xdr:cNvGrpSpPr/>
          </xdr:nvGrpSpPr>
          <xdr:grpSpPr>
            <a:xfrm>
              <a:off x="3752850" y="2762250"/>
              <a:ext cx="1562100" cy="400050"/>
              <a:chOff x="3752850" y="2762250"/>
              <a:chExt cx="1562100" cy="400050"/>
            </a:xfrm>
          </xdr:grpSpPr>
          <xdr:sp macro="" textlink="">
            <xdr:nvSpPr>
              <xdr:cNvPr id="414910" name="ckbxAutoCalcBOM" hidden="1">
                <a:extLst>
                  <a:ext uri="{63B3BB69-23CF-44E3-9099-C40C66FF867C}">
                    <a14:compatExt spid="_x0000_s414910"/>
                  </a:ext>
                  <a:ext uri="{FF2B5EF4-FFF2-40B4-BE49-F238E27FC236}">
                    <a16:creationId xmlns:a16="http://schemas.microsoft.com/office/drawing/2014/main" id="{00000000-0008-0000-1200-0000BE540600}"/>
                  </a:ext>
                </a:extLst>
              </xdr:cNvPr>
              <xdr:cNvSpPr/>
            </xdr:nvSpPr>
            <xdr:spPr bwMode="auto">
              <a:xfrm>
                <a:off x="3867149" y="2886075"/>
                <a:ext cx="1123950" cy="228600"/>
              </a:xfrm>
              <a:prstGeom prst="rect">
                <a:avLst/>
              </a:prstGeom>
              <a:noFill/>
              <a:ln>
                <a:noFill/>
              </a:ln>
              <a:extLst>
                <a:ext uri="{91240B29-F687-4F45-9708-019B960494DF}">
                  <a14:hiddenLine w="9525">
                    <a:noFill/>
                    <a:miter lim="800000"/>
                    <a:headEnd/>
                    <a:tailEnd/>
                  </a14:hiddenLine>
                </a:ext>
              </a:extLst>
            </xdr:spPr>
          </xdr:sp>
          <xdr:sp macro="" textlink="">
            <xdr:nvSpPr>
              <xdr:cNvPr id="414911" name="Group Box 191" hidden="1">
                <a:extLst>
                  <a:ext uri="{63B3BB69-23CF-44E3-9099-C40C66FF867C}">
                    <a14:compatExt spid="_x0000_s414911"/>
                  </a:ext>
                  <a:ext uri="{FF2B5EF4-FFF2-40B4-BE49-F238E27FC236}">
                    <a16:creationId xmlns:a16="http://schemas.microsoft.com/office/drawing/2014/main" id="{00000000-0008-0000-1200-0000BF540600}"/>
                  </a:ext>
                </a:extLst>
              </xdr:cNvPr>
              <xdr:cNvSpPr/>
            </xdr:nvSpPr>
            <xdr:spPr bwMode="auto">
              <a:xfrm>
                <a:off x="3752850" y="2762250"/>
                <a:ext cx="1562100" cy="4000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BOM Type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19</xdr:row>
          <xdr:rowOff>57150</xdr:rowOff>
        </xdr:from>
        <xdr:to>
          <xdr:col>5</xdr:col>
          <xdr:colOff>85725</xdr:colOff>
          <xdr:row>23</xdr:row>
          <xdr:rowOff>66675</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3752850" y="3257550"/>
              <a:ext cx="1571625" cy="695325"/>
              <a:chOff x="3752850" y="3257550"/>
              <a:chExt cx="1571625" cy="695325"/>
            </a:xfrm>
          </xdr:grpSpPr>
          <xdr:sp macro="" textlink="">
            <xdr:nvSpPr>
              <xdr:cNvPr id="414932" name="Group Box 212" hidden="1">
                <a:extLst>
                  <a:ext uri="{63B3BB69-23CF-44E3-9099-C40C66FF867C}">
                    <a14:compatExt spid="_x0000_s414932"/>
                  </a:ext>
                  <a:ext uri="{FF2B5EF4-FFF2-40B4-BE49-F238E27FC236}">
                    <a16:creationId xmlns:a16="http://schemas.microsoft.com/office/drawing/2014/main" id="{00000000-0008-0000-1200-0000D4540600}"/>
                  </a:ext>
                </a:extLst>
              </xdr:cNvPr>
              <xdr:cNvSpPr/>
            </xdr:nvSpPr>
            <xdr:spPr bwMode="auto">
              <a:xfrm>
                <a:off x="3752850" y="3257550"/>
                <a:ext cx="1571625" cy="695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Printing Options</a:t>
                </a:r>
              </a:p>
            </xdr:txBody>
          </xdr:sp>
          <xdr:sp macro="" textlink="">
            <xdr:nvSpPr>
              <xdr:cNvPr id="414933" name="ckbxPrintLedger" hidden="1">
                <a:extLst>
                  <a:ext uri="{63B3BB69-23CF-44E3-9099-C40C66FF867C}">
                    <a14:compatExt spid="_x0000_s414933"/>
                  </a:ext>
                  <a:ext uri="{FF2B5EF4-FFF2-40B4-BE49-F238E27FC236}">
                    <a16:creationId xmlns:a16="http://schemas.microsoft.com/office/drawing/2014/main" id="{00000000-0008-0000-1200-0000D5540600}"/>
                  </a:ext>
                </a:extLst>
              </xdr:cNvPr>
              <xdr:cNvSpPr/>
            </xdr:nvSpPr>
            <xdr:spPr bwMode="auto">
              <a:xfrm>
                <a:off x="3867150" y="3324225"/>
                <a:ext cx="914400" cy="228600"/>
              </a:xfrm>
              <a:prstGeom prst="rect">
                <a:avLst/>
              </a:prstGeom>
              <a:noFill/>
              <a:ln>
                <a:noFill/>
              </a:ln>
              <a:extLst>
                <a:ext uri="{91240B29-F687-4F45-9708-019B960494DF}">
                  <a14:hiddenLine w="9525">
                    <a:noFill/>
                    <a:miter lim="800000"/>
                    <a:headEnd/>
                    <a:tailEnd/>
                  </a14:hiddenLine>
                </a:ext>
              </a:extLst>
            </xdr:spPr>
          </xdr:sp>
          <xdr:sp macro="" textlink="">
            <xdr:nvSpPr>
              <xdr:cNvPr id="414934" name="ckbxPrint_PTP" hidden="1">
                <a:extLst>
                  <a:ext uri="{63B3BB69-23CF-44E3-9099-C40C66FF867C}">
                    <a14:compatExt spid="_x0000_s414934"/>
                  </a:ext>
                  <a:ext uri="{FF2B5EF4-FFF2-40B4-BE49-F238E27FC236}">
                    <a16:creationId xmlns:a16="http://schemas.microsoft.com/office/drawing/2014/main" id="{00000000-0008-0000-1200-0000D6540600}"/>
                  </a:ext>
                </a:extLst>
              </xdr:cNvPr>
              <xdr:cNvSpPr/>
            </xdr:nvSpPr>
            <xdr:spPr bwMode="auto">
              <a:xfrm>
                <a:off x="3867150" y="3514725"/>
                <a:ext cx="857250" cy="228600"/>
              </a:xfrm>
              <a:prstGeom prst="rect">
                <a:avLst/>
              </a:prstGeom>
              <a:noFill/>
              <a:ln>
                <a:noFill/>
              </a:ln>
              <a:extLst>
                <a:ext uri="{91240B29-F687-4F45-9708-019B960494DF}">
                  <a14:hiddenLine w="9525">
                    <a:noFill/>
                    <a:miter lim="800000"/>
                    <a:headEnd/>
                    <a:tailEnd/>
                  </a14:hiddenLine>
                </a:ext>
              </a:extLst>
            </xdr:spPr>
          </xdr:sp>
          <xdr:sp macro="" textlink="">
            <xdr:nvSpPr>
              <xdr:cNvPr id="414948" name="ckbxExpMarg" hidden="1">
                <a:extLst>
                  <a:ext uri="{63B3BB69-23CF-44E3-9099-C40C66FF867C}">
                    <a14:compatExt spid="_x0000_s414948"/>
                  </a:ext>
                  <a:ext uri="{FF2B5EF4-FFF2-40B4-BE49-F238E27FC236}">
                    <a16:creationId xmlns:a16="http://schemas.microsoft.com/office/drawing/2014/main" id="{00000000-0008-0000-1200-0000E4540600}"/>
                  </a:ext>
                </a:extLst>
              </xdr:cNvPr>
              <xdr:cNvSpPr/>
            </xdr:nvSpPr>
            <xdr:spPr bwMode="auto">
              <a:xfrm>
                <a:off x="3867150" y="3714750"/>
                <a:ext cx="11049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29</xdr:row>
          <xdr:rowOff>114300</xdr:rowOff>
        </xdr:from>
        <xdr:to>
          <xdr:col>4</xdr:col>
          <xdr:colOff>495300</xdr:colOff>
          <xdr:row>35</xdr:row>
          <xdr:rowOff>123825</xdr:rowOff>
        </xdr:to>
        <xdr:grpSp>
          <xdr:nvGrpSpPr>
            <xdr:cNvPr id="9" name="Group 8">
              <a:extLst>
                <a:ext uri="{FF2B5EF4-FFF2-40B4-BE49-F238E27FC236}">
                  <a16:creationId xmlns:a16="http://schemas.microsoft.com/office/drawing/2014/main" id="{00000000-0008-0000-1200-000009000000}"/>
                </a:ext>
              </a:extLst>
            </xdr:cNvPr>
            <xdr:cNvGrpSpPr/>
          </xdr:nvGrpSpPr>
          <xdr:grpSpPr>
            <a:xfrm>
              <a:off x="1285875" y="5181600"/>
              <a:ext cx="2733675" cy="981075"/>
              <a:chOff x="1285875" y="5057775"/>
              <a:chExt cx="2733675" cy="981075"/>
            </a:xfrm>
          </xdr:grpSpPr>
          <xdr:sp macro="" textlink="">
            <xdr:nvSpPr>
              <xdr:cNvPr id="414802" name="cmdAddView" hidden="1">
                <a:extLst>
                  <a:ext uri="{63B3BB69-23CF-44E3-9099-C40C66FF867C}">
                    <a14:compatExt spid="_x0000_s414802"/>
                  </a:ext>
                  <a:ext uri="{FF2B5EF4-FFF2-40B4-BE49-F238E27FC236}">
                    <a16:creationId xmlns:a16="http://schemas.microsoft.com/office/drawing/2014/main" id="{00000000-0008-0000-1200-000052540600}"/>
                  </a:ext>
                </a:extLst>
              </xdr:cNvPr>
              <xdr:cNvSpPr/>
            </xdr:nvSpPr>
            <xdr:spPr bwMode="auto">
              <a:xfrm>
                <a:off x="1285875" y="5057775"/>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826" name="cmdDeleteView" hidden="1">
                <a:extLst>
                  <a:ext uri="{63B3BB69-23CF-44E3-9099-C40C66FF867C}">
                    <a14:compatExt spid="_x0000_s414826"/>
                  </a:ext>
                  <a:ext uri="{FF2B5EF4-FFF2-40B4-BE49-F238E27FC236}">
                    <a16:creationId xmlns:a16="http://schemas.microsoft.com/office/drawing/2014/main" id="{00000000-0008-0000-1200-00006A540600}"/>
                  </a:ext>
                </a:extLst>
              </xdr:cNvPr>
              <xdr:cNvSpPr/>
            </xdr:nvSpPr>
            <xdr:spPr bwMode="auto">
              <a:xfrm>
                <a:off x="2686050" y="5057775"/>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27" name="cmdCreateSeq" hidden="1">
                <a:extLst>
                  <a:ext uri="{63B3BB69-23CF-44E3-9099-C40C66FF867C}">
                    <a14:compatExt spid="_x0000_s414927"/>
                  </a:ext>
                  <a:ext uri="{FF2B5EF4-FFF2-40B4-BE49-F238E27FC236}">
                    <a16:creationId xmlns:a16="http://schemas.microsoft.com/office/drawing/2014/main" id="{00000000-0008-0000-1200-0000CF540600}"/>
                  </a:ext>
                </a:extLst>
              </xdr:cNvPr>
              <xdr:cNvSpPr/>
            </xdr:nvSpPr>
            <xdr:spPr bwMode="auto">
              <a:xfrm>
                <a:off x="1285875" y="5581650"/>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53" name="cmdPRxSeq" hidden="1">
                <a:extLst>
                  <a:ext uri="{63B3BB69-23CF-44E3-9099-C40C66FF867C}">
                    <a14:compatExt spid="_x0000_s414953"/>
                  </a:ext>
                  <a:ext uri="{FF2B5EF4-FFF2-40B4-BE49-F238E27FC236}">
                    <a16:creationId xmlns:a16="http://schemas.microsoft.com/office/drawing/2014/main" id="{00000000-0008-0000-1200-0000E9540600}"/>
                  </a:ext>
                </a:extLst>
              </xdr:cNvPr>
              <xdr:cNvSpPr/>
            </xdr:nvSpPr>
            <xdr:spPr bwMode="auto">
              <a:xfrm>
                <a:off x="2686050" y="5581650"/>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grpSp>
        <xdr:clientData/>
      </xdr:twoCellAnchor>
    </mc:Choice>
    <mc:Fallback/>
  </mc:AlternateContent>
  <xdr:twoCellAnchor>
    <xdr:from>
      <xdr:col>19</xdr:col>
      <xdr:colOff>311150</xdr:colOff>
      <xdr:row>19</xdr:row>
      <xdr:rowOff>142876</xdr:rowOff>
    </xdr:from>
    <xdr:to>
      <xdr:col>20</xdr:col>
      <xdr:colOff>800100</xdr:colOff>
      <xdr:row>24</xdr:row>
      <xdr:rowOff>1</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9845675" y="3362326"/>
          <a:ext cx="18224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itchFamily="34" charset="0"/>
              <a:cs typeface="Arial" pitchFamily="34" charset="0"/>
            </a:rPr>
            <a:t>TCX Codes:</a:t>
          </a:r>
        </a:p>
        <a:p>
          <a:r>
            <a:rPr lang="en-US" sz="800">
              <a:latin typeface="Arial" pitchFamily="34" charset="0"/>
              <a:cs typeface="Arial" pitchFamily="34" charset="0"/>
            </a:rPr>
            <a:t>1)</a:t>
          </a:r>
          <a:r>
            <a:rPr lang="en-US" sz="800" baseline="0">
              <a:latin typeface="Arial" pitchFamily="34" charset="0"/>
              <a:cs typeface="Arial" pitchFamily="34" charset="0"/>
            </a:rPr>
            <a:t> BL=CL, minimize BL.</a:t>
          </a:r>
        </a:p>
        <a:p>
          <a:r>
            <a:rPr lang="en-US" sz="800" baseline="0">
              <a:latin typeface="Arial" pitchFamily="34" charset="0"/>
              <a:cs typeface="Arial" pitchFamily="34" charset="0"/>
            </a:rPr>
            <a:t>2) Minimize BL</a:t>
          </a:r>
        </a:p>
        <a:p>
          <a:r>
            <a:rPr lang="en-US" sz="800" baseline="0">
              <a:latin typeface="Arial" pitchFamily="34" charset="0"/>
              <a:cs typeface="Arial" pitchFamily="34" charset="0"/>
            </a:rPr>
            <a:t>3) Minimize TCX</a:t>
          </a:r>
        </a:p>
        <a:p>
          <a:r>
            <a:rPr lang="en-US" sz="800" baseline="0">
              <a:latin typeface="Arial" pitchFamily="34" charset="0"/>
              <a:cs typeface="Arial" pitchFamily="34" charset="0"/>
            </a:rPr>
            <a:t>4) BL=CL, minimize TCX</a:t>
          </a:r>
          <a:endParaRPr lang="en-US" sz="800">
            <a:latin typeface="Arial" pitchFamily="34" charset="0"/>
            <a:cs typeface="Arial" pitchFamily="34" charset="0"/>
          </a:endParaRPr>
        </a:p>
      </xdr:txBody>
    </xdr:sp>
    <xdr:clientData/>
  </xdr:twoCellAnchor>
  <xdr:twoCellAnchor>
    <xdr:from>
      <xdr:col>19</xdr:col>
      <xdr:colOff>196850</xdr:colOff>
      <xdr:row>27</xdr:row>
      <xdr:rowOff>38100</xdr:rowOff>
    </xdr:from>
    <xdr:to>
      <xdr:col>20</xdr:col>
      <xdr:colOff>800100</xdr:colOff>
      <xdr:row>29</xdr:row>
      <xdr:rowOff>155575</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14160500" y="4572000"/>
          <a:ext cx="1450975" cy="555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Added option "Y/N"</a:t>
          </a:r>
          <a:r>
            <a:rPr lang="en-US" sz="800" baseline="0">
              <a:latin typeface="Arial" panose="020B0604020202020204" pitchFamily="34" charset="0"/>
              <a:cs typeface="Arial" panose="020B0604020202020204" pitchFamily="34" charset="0"/>
            </a:rPr>
            <a:t> option for considering skew angle when calculating masonry clear bearings.</a:t>
          </a: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85725</xdr:colOff>
          <xdr:row>16</xdr:row>
          <xdr:rowOff>76200</xdr:rowOff>
        </xdr:from>
        <xdr:to>
          <xdr:col>3</xdr:col>
          <xdr:colOff>1704975</xdr:colOff>
          <xdr:row>21</xdr:row>
          <xdr:rowOff>66675</xdr:rowOff>
        </xdr:to>
        <xdr:grpSp>
          <xdr:nvGrpSpPr>
            <xdr:cNvPr id="14" name="Group 13">
              <a:extLst>
                <a:ext uri="{FF2B5EF4-FFF2-40B4-BE49-F238E27FC236}">
                  <a16:creationId xmlns:a16="http://schemas.microsoft.com/office/drawing/2014/main" id="{00000000-0008-0000-1200-00000E000000}"/>
                </a:ext>
              </a:extLst>
            </xdr:cNvPr>
            <xdr:cNvGrpSpPr/>
          </xdr:nvGrpSpPr>
          <xdr:grpSpPr>
            <a:xfrm>
              <a:off x="466725" y="2762250"/>
              <a:ext cx="3048000" cy="847725"/>
              <a:chOff x="638175" y="2762716"/>
              <a:chExt cx="3048000" cy="847726"/>
            </a:xfrm>
          </xdr:grpSpPr>
          <xdr:sp macro="" textlink="">
            <xdr:nvSpPr>
              <xdr:cNvPr id="414955" name="Group Box 235" hidden="1">
                <a:extLst>
                  <a:ext uri="{63B3BB69-23CF-44E3-9099-C40C66FF867C}">
                    <a14:compatExt spid="_x0000_s414955"/>
                  </a:ext>
                  <a:ext uri="{FF2B5EF4-FFF2-40B4-BE49-F238E27FC236}">
                    <a16:creationId xmlns:a16="http://schemas.microsoft.com/office/drawing/2014/main" id="{00000000-0008-0000-1200-0000EB540600}"/>
                  </a:ext>
                </a:extLst>
              </xdr:cNvPr>
              <xdr:cNvSpPr/>
            </xdr:nvSpPr>
            <xdr:spPr bwMode="auto">
              <a:xfrm>
                <a:off x="638175" y="2762716"/>
                <a:ext cx="3048000" cy="84772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Plant Location</a:t>
                </a:r>
              </a:p>
            </xdr:txBody>
          </xdr:sp>
          <xdr:sp macro="" textlink="">
            <xdr:nvSpPr>
              <xdr:cNvPr id="414956" name="Option Button 236" hidden="1">
                <a:extLst>
                  <a:ext uri="{63B3BB69-23CF-44E3-9099-C40C66FF867C}">
                    <a14:compatExt spid="_x0000_s414956"/>
                  </a:ext>
                  <a:ext uri="{FF2B5EF4-FFF2-40B4-BE49-F238E27FC236}">
                    <a16:creationId xmlns:a16="http://schemas.microsoft.com/office/drawing/2014/main" id="{00000000-0008-0000-1200-0000EC540600}"/>
                  </a:ext>
                </a:extLst>
              </xdr:cNvPr>
              <xdr:cNvSpPr/>
            </xdr:nvSpPr>
            <xdr:spPr bwMode="auto">
              <a:xfrm>
                <a:off x="72390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Butler, IN</a:t>
                </a:r>
              </a:p>
            </xdr:txBody>
          </xdr:sp>
          <xdr:sp macro="" textlink="">
            <xdr:nvSpPr>
              <xdr:cNvPr id="414957" name="Option Button 237" hidden="1">
                <a:extLst>
                  <a:ext uri="{63B3BB69-23CF-44E3-9099-C40C66FF867C}">
                    <a14:compatExt spid="_x0000_s414957"/>
                  </a:ext>
                  <a:ext uri="{FF2B5EF4-FFF2-40B4-BE49-F238E27FC236}">
                    <a16:creationId xmlns:a16="http://schemas.microsoft.com/office/drawing/2014/main" id="{00000000-0008-0000-1200-0000ED540600}"/>
                  </a:ext>
                </a:extLst>
              </xdr:cNvPr>
              <xdr:cNvSpPr/>
            </xdr:nvSpPr>
            <xdr:spPr bwMode="auto">
              <a:xfrm>
                <a:off x="72390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Salem, VA</a:t>
                </a:r>
              </a:p>
            </xdr:txBody>
          </xdr:sp>
          <xdr:sp macro="" textlink="">
            <xdr:nvSpPr>
              <xdr:cNvPr id="414958" name="Option Button 238" hidden="1">
                <a:extLst>
                  <a:ext uri="{63B3BB69-23CF-44E3-9099-C40C66FF867C}">
                    <a14:compatExt spid="_x0000_s414958"/>
                  </a:ext>
                  <a:ext uri="{FF2B5EF4-FFF2-40B4-BE49-F238E27FC236}">
                    <a16:creationId xmlns:a16="http://schemas.microsoft.com/office/drawing/2014/main" id="{00000000-0008-0000-1200-0000EE540600}"/>
                  </a:ext>
                </a:extLst>
              </xdr:cNvPr>
              <xdr:cNvSpPr/>
            </xdr:nvSpPr>
            <xdr:spPr bwMode="auto">
              <a:xfrm>
                <a:off x="72390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Lake City, FL</a:t>
                </a:r>
              </a:p>
            </xdr:txBody>
          </xdr:sp>
          <xdr:sp macro="" textlink="">
            <xdr:nvSpPr>
              <xdr:cNvPr id="414959" name="Option Button 239" hidden="1">
                <a:extLst>
                  <a:ext uri="{63B3BB69-23CF-44E3-9099-C40C66FF867C}">
                    <a14:compatExt spid="_x0000_s414959"/>
                  </a:ext>
                  <a:ext uri="{FF2B5EF4-FFF2-40B4-BE49-F238E27FC236}">
                    <a16:creationId xmlns:a16="http://schemas.microsoft.com/office/drawing/2014/main" id="{00000000-0008-0000-1200-0000EF540600}"/>
                  </a:ext>
                </a:extLst>
              </xdr:cNvPr>
              <xdr:cNvSpPr/>
            </xdr:nvSpPr>
            <xdr:spPr bwMode="auto">
              <a:xfrm>
                <a:off x="1647825"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Hope, AR</a:t>
                </a:r>
              </a:p>
            </xdr:txBody>
          </xdr:sp>
          <xdr:sp macro="" textlink="">
            <xdr:nvSpPr>
              <xdr:cNvPr id="414960" name="Option Button 240" hidden="1">
                <a:extLst>
                  <a:ext uri="{63B3BB69-23CF-44E3-9099-C40C66FF867C}">
                    <a14:compatExt spid="_x0000_s414960"/>
                  </a:ext>
                  <a:ext uri="{FF2B5EF4-FFF2-40B4-BE49-F238E27FC236}">
                    <a16:creationId xmlns:a16="http://schemas.microsoft.com/office/drawing/2014/main" id="{00000000-0008-0000-1200-0000F0540600}"/>
                  </a:ext>
                </a:extLst>
              </xdr:cNvPr>
              <xdr:cNvSpPr/>
            </xdr:nvSpPr>
            <xdr:spPr bwMode="auto">
              <a:xfrm>
                <a:off x="1647825"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El Paso, TX</a:t>
                </a:r>
              </a:p>
            </xdr:txBody>
          </xdr:sp>
          <xdr:sp macro="" textlink="">
            <xdr:nvSpPr>
              <xdr:cNvPr id="414961" name="Option Button 241" hidden="1">
                <a:extLst>
                  <a:ext uri="{63B3BB69-23CF-44E3-9099-C40C66FF867C}">
                    <a14:compatExt spid="_x0000_s414961"/>
                  </a:ext>
                  <a:ext uri="{FF2B5EF4-FFF2-40B4-BE49-F238E27FC236}">
                    <a16:creationId xmlns:a16="http://schemas.microsoft.com/office/drawing/2014/main" id="{00000000-0008-0000-1200-0000F1540600}"/>
                  </a:ext>
                </a:extLst>
              </xdr:cNvPr>
              <xdr:cNvSpPr/>
            </xdr:nvSpPr>
            <xdr:spPr bwMode="auto">
              <a:xfrm>
                <a:off x="1647825"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Fallon, NV</a:t>
                </a:r>
              </a:p>
            </xdr:txBody>
          </xdr:sp>
          <xdr:sp macro="" textlink="">
            <xdr:nvSpPr>
              <xdr:cNvPr id="414962" name="Option Button 242" hidden="1">
                <a:extLst>
                  <a:ext uri="{63B3BB69-23CF-44E3-9099-C40C66FF867C}">
                    <a14:compatExt spid="_x0000_s414962"/>
                  </a:ext>
                  <a:ext uri="{FF2B5EF4-FFF2-40B4-BE49-F238E27FC236}">
                    <a16:creationId xmlns:a16="http://schemas.microsoft.com/office/drawing/2014/main" id="{00000000-0008-0000-1200-0000F2540600}"/>
                  </a:ext>
                </a:extLst>
              </xdr:cNvPr>
              <xdr:cNvSpPr/>
            </xdr:nvSpPr>
            <xdr:spPr bwMode="auto">
              <a:xfrm>
                <a:off x="257175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Continental, OH</a:t>
                </a:r>
              </a:p>
            </xdr:txBody>
          </xdr:sp>
          <xdr:sp macro="" textlink="">
            <xdr:nvSpPr>
              <xdr:cNvPr id="414963" name="Option Button 243" hidden="1">
                <a:extLst>
                  <a:ext uri="{63B3BB69-23CF-44E3-9099-C40C66FF867C}">
                    <a14:compatExt spid="_x0000_s414963"/>
                  </a:ext>
                  <a:ext uri="{FF2B5EF4-FFF2-40B4-BE49-F238E27FC236}">
                    <a16:creationId xmlns:a16="http://schemas.microsoft.com/office/drawing/2014/main" id="{00000000-0008-0000-1200-0000F3540600}"/>
                  </a:ext>
                </a:extLst>
              </xdr:cNvPr>
              <xdr:cNvSpPr/>
            </xdr:nvSpPr>
            <xdr:spPr bwMode="auto">
              <a:xfrm>
                <a:off x="257175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4964" name="Option Button 244" hidden="1">
                <a:extLst>
                  <a:ext uri="{63B3BB69-23CF-44E3-9099-C40C66FF867C}">
                    <a14:compatExt spid="_x0000_s414964"/>
                  </a:ext>
                  <a:ext uri="{FF2B5EF4-FFF2-40B4-BE49-F238E27FC236}">
                    <a16:creationId xmlns:a16="http://schemas.microsoft.com/office/drawing/2014/main" id="{00000000-0008-0000-1200-0000F4540600}"/>
                  </a:ext>
                </a:extLst>
              </xdr:cNvPr>
              <xdr:cNvSpPr/>
            </xdr:nvSpPr>
            <xdr:spPr bwMode="auto">
              <a:xfrm>
                <a:off x="257175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17</xdr:col>
      <xdr:colOff>76200</xdr:colOff>
      <xdr:row>0</xdr:row>
      <xdr:rowOff>9523</xdr:rowOff>
    </xdr:from>
    <xdr:to>
      <xdr:col>17</xdr:col>
      <xdr:colOff>4991099</xdr:colOff>
      <xdr:row>20</xdr:row>
      <xdr:rowOff>9525</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11430000" y="9523"/>
          <a:ext cx="4914899" cy="3371852"/>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Re-do the "Plant Location" similar to the new Deck BOM - disable non-joist locations and OH.</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Re-Arrange SectInfo</a:t>
          </a:r>
          <a:r>
            <a:rPr lang="en-US" sz="1000" baseline="0">
              <a:solidFill>
                <a:schemeClr val="dk1"/>
              </a:solidFill>
              <a:effectLst/>
              <a:latin typeface="Arial" panose="020B0604020202020204" pitchFamily="34" charset="0"/>
              <a:ea typeface="+mn-ea"/>
              <a:cs typeface="Arial" panose="020B0604020202020204" pitchFamily="34" charset="0"/>
            </a:rPr>
            <a:t> Instructions and sketches for better presentation and larger print scale of information.</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Activate "show manual changes" feature.</a:t>
          </a:r>
          <a:endParaRPr lang="en-US" sz="1000" strike="dblStrike" baseline="0">
            <a:effectLst/>
            <a:latin typeface="Arial" panose="020B0604020202020204" pitchFamily="34" charset="0"/>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**I think the code is there to support enabling the checkbox.</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"printing option" activeX to "size control" section on this page's code...</a:t>
          </a:r>
        </a:p>
        <a:p>
          <a:r>
            <a:rPr lang="en-US" sz="1000" baseline="0">
              <a:solidFill>
                <a:schemeClr val="dk1"/>
              </a:solidFill>
              <a:effectLst/>
              <a:latin typeface="Arial" panose="020B0604020202020204" pitchFamily="34" charset="0"/>
              <a:ea typeface="+mn-ea"/>
              <a:cs typeface="Arial" panose="020B0604020202020204" pitchFamily="34" charset="0"/>
            </a:rPr>
            <a:t>  **??  Was I thinking about the code I have in the timesheet add-in for looking up the paper size name?</a:t>
          </a:r>
        </a:p>
        <a:p>
          <a:endParaRPr lang="en-US" sz="100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1) Gray out "Girder TC Hole Information"</a:t>
          </a:r>
          <a:r>
            <a:rPr lang="en-US" sz="1000" baseline="0">
              <a:solidFill>
                <a:schemeClr val="dk1"/>
              </a:solidFill>
              <a:effectLst/>
              <a:latin typeface="Arial" panose="020B0604020202020204" pitchFamily="34" charset="0"/>
              <a:ea typeface="+mn-ea"/>
              <a:cs typeface="Arial" panose="020B0604020202020204" pitchFamily="34" charset="0"/>
            </a:rPr>
            <a:t> if there is no mark number AND there is data in the "N" fields.</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5) Look for Duplicate Section Numbers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a/b/c suffix if duplicate??</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At</a:t>
          </a:r>
          <a:r>
            <a:rPr lang="en-US" sz="1000" baseline="0">
              <a:solidFill>
                <a:schemeClr val="dk1"/>
              </a:solidFill>
              <a:effectLst/>
              <a:latin typeface="Arial" panose="020B0604020202020204" pitchFamily="34" charset="0"/>
              <a:ea typeface="+mn-ea"/>
              <a:cs typeface="Arial" panose="020B0604020202020204" pitchFamily="34" charset="0"/>
            </a:rPr>
            <a:t> Low End of J/G, if there is a TCX...</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&gt;&gt;Allow "flange width" entry</a:t>
          </a:r>
          <a:r>
            <a:rPr lang="en-US" sz="1000" baseline="0">
              <a:solidFill>
                <a:schemeClr val="dk1"/>
              </a:solidFill>
              <a:effectLst/>
              <a:latin typeface="Arial" panose="020B0604020202020204" pitchFamily="34" charset="0"/>
              <a:ea typeface="+mn-ea"/>
              <a:cs typeface="Arial" panose="020B0604020202020204" pitchFamily="34" charset="0"/>
            </a:rPr>
            <a:t> for M sections to be used as a</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"check" at low end for "Max TCX depth to clear wall thickness"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if there is a TCX.</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&gt;&gt;If G or B support, use full width of support for Max TCX check.</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&gt;&gt;If C support, use BCX dim</a:t>
          </a:r>
          <a:r>
            <a:rPr lang="en-US" sz="1000" baseline="0">
              <a:solidFill>
                <a:schemeClr val="dk1"/>
              </a:solidFill>
              <a:effectLst/>
              <a:latin typeface="Arial" panose="020B0604020202020204" pitchFamily="34" charset="0"/>
              <a:ea typeface="+mn-ea"/>
              <a:cs typeface="Arial" panose="020B0604020202020204" pitchFamily="34" charset="0"/>
            </a:rPr>
            <a:t> to "assume" an end/cap plate</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on the backside of the column for Max TCX check.</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effectLst/>
              <a:latin typeface="Arial" panose="020B0604020202020204" pitchFamily="34" charset="0"/>
              <a:cs typeface="Arial" panose="020B0604020202020204" pitchFamily="34" charset="0"/>
            </a:rPr>
            <a:t>- NU Load Note validation for "additional joists" on Girder Page 2??</a:t>
          </a:r>
        </a:p>
      </xdr:txBody>
    </xdr:sp>
    <xdr:clientData/>
  </xdr:twoCellAnchor>
  <mc:AlternateContent xmlns:mc="http://schemas.openxmlformats.org/markup-compatibility/2006">
    <mc:Choice xmlns:a14="http://schemas.microsoft.com/office/drawing/2010/main" Requires="a14">
      <xdr:twoCellAnchor>
        <xdr:from>
          <xdr:col>4</xdr:col>
          <xdr:colOff>228600</xdr:colOff>
          <xdr:row>24</xdr:row>
          <xdr:rowOff>0</xdr:rowOff>
        </xdr:from>
        <xdr:to>
          <xdr:col>5</xdr:col>
          <xdr:colOff>85725</xdr:colOff>
          <xdr:row>29</xdr:row>
          <xdr:rowOff>47625</xdr:rowOff>
        </xdr:to>
        <xdr:grpSp>
          <xdr:nvGrpSpPr>
            <xdr:cNvPr id="5" name="Group 4">
              <a:extLst>
                <a:ext uri="{FF2B5EF4-FFF2-40B4-BE49-F238E27FC236}">
                  <a16:creationId xmlns:a16="http://schemas.microsoft.com/office/drawing/2014/main" id="{00000000-0008-0000-1200-000005000000}"/>
                </a:ext>
              </a:extLst>
            </xdr:cNvPr>
            <xdr:cNvGrpSpPr/>
          </xdr:nvGrpSpPr>
          <xdr:grpSpPr>
            <a:xfrm>
              <a:off x="3752850" y="4048125"/>
              <a:ext cx="1571625" cy="1066800"/>
              <a:chOff x="3752850" y="4048127"/>
              <a:chExt cx="1571625" cy="1066800"/>
            </a:xfrm>
          </xdr:grpSpPr>
          <xdr:sp macro="" textlink="">
            <xdr:nvSpPr>
              <xdr:cNvPr id="414966" name="ckbxShowChanges" hidden="1">
                <a:extLst>
                  <a:ext uri="{63B3BB69-23CF-44E3-9099-C40C66FF867C}">
                    <a14:compatExt spid="_x0000_s414966"/>
                  </a:ext>
                  <a:ext uri="{FF2B5EF4-FFF2-40B4-BE49-F238E27FC236}">
                    <a16:creationId xmlns:a16="http://schemas.microsoft.com/office/drawing/2014/main" id="{00000000-0008-0000-1200-0000F6540600}"/>
                  </a:ext>
                </a:extLst>
              </xdr:cNvPr>
              <xdr:cNvSpPr/>
            </xdr:nvSpPr>
            <xdr:spPr bwMode="auto">
              <a:xfrm>
                <a:off x="3867150" y="4181477"/>
                <a:ext cx="1323975" cy="2286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967" name="cmdAcceptChanges" hidden="1">
                <a:extLst>
                  <a:ext uri="{63B3BB69-23CF-44E3-9099-C40C66FF867C}">
                    <a14:compatExt spid="_x0000_s414967"/>
                  </a:ext>
                  <a:ext uri="{FF2B5EF4-FFF2-40B4-BE49-F238E27FC236}">
                    <a16:creationId xmlns:a16="http://schemas.microsoft.com/office/drawing/2014/main" id="{00000000-0008-0000-1200-0000F7540600}"/>
                  </a:ext>
                </a:extLst>
              </xdr:cNvPr>
              <xdr:cNvSpPr/>
            </xdr:nvSpPr>
            <xdr:spPr bwMode="auto">
              <a:xfrm>
                <a:off x="3914775" y="4476752"/>
                <a:ext cx="1219200" cy="54292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70" name="Group Box 250" hidden="1">
                <a:extLst>
                  <a:ext uri="{63B3BB69-23CF-44E3-9099-C40C66FF867C}">
                    <a14:compatExt spid="_x0000_s414970"/>
                  </a:ext>
                  <a:ext uri="{FF2B5EF4-FFF2-40B4-BE49-F238E27FC236}">
                    <a16:creationId xmlns:a16="http://schemas.microsoft.com/office/drawing/2014/main" id="{00000000-0008-0000-1200-0000FA540600}"/>
                  </a:ext>
                </a:extLst>
              </xdr:cNvPr>
              <xdr:cNvSpPr/>
            </xdr:nvSpPr>
            <xdr:spPr bwMode="auto">
              <a:xfrm>
                <a:off x="3752850" y="4048127"/>
                <a:ext cx="1571625" cy="10668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Manual Change Tracking</a:t>
                </a:r>
              </a:p>
            </xdr:txBody>
          </xdr:sp>
        </xdr:grp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3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3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3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3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3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4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4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4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5" name="Line 9">
          <a:extLst>
            <a:ext uri="{FF2B5EF4-FFF2-40B4-BE49-F238E27FC236}">
              <a16:creationId xmlns:a16="http://schemas.microsoft.com/office/drawing/2014/main" id="{00000000-0008-0000-1400-000005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6" name="CompanyLogo">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5" name="Line 9">
          <a:extLst>
            <a:ext uri="{FF2B5EF4-FFF2-40B4-BE49-F238E27FC236}">
              <a16:creationId xmlns:a16="http://schemas.microsoft.com/office/drawing/2014/main" id="{00000000-0008-0000-1500-000005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6" name="CompanyLogo">
          <a:extLst>
            <a:ext uri="{FF2B5EF4-FFF2-40B4-BE49-F238E27FC236}">
              <a16:creationId xmlns:a16="http://schemas.microsoft.com/office/drawing/2014/main" id="{00000000-0008-0000-15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6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6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6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6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6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6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6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7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7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7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7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7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7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8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8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8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8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8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8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8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4AEF9BED-394C-4F07-A596-981DF8100B79}"/>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328D136C-3378-4C97-83BC-9990422E7287}"/>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C46DD30E-A0E7-44FE-8458-E2E8A729155C}"/>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F0F88975-7B40-443E-A6B1-093220932BD9}"/>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2AB9590F-493D-4881-98A9-CC0BBC90F73B}"/>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CF009A75-B37A-4273-91F6-76B19FD0C5E9}"/>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FEA8B167-E69C-4841-82A4-2E50F4FF5A0D}"/>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E358E9B0-AA7A-40B4-93A4-6379CA1A495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AF00F4CF-07F3-41A8-8491-94F170FC6C31}"/>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8AB57B33-053A-40FA-8FCF-F1D734E6948C}"/>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C445B0A2-89BA-4923-8A50-B9D5793D11E5}"/>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74C84E09-7DD9-4823-BD23-1764282E2C71}"/>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2498E8BC-4714-4944-8547-0C63393AEBA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6E428BC8-0498-4466-AD67-1B29125345EF}"/>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672B0C1-8217-47BD-BD5D-77496DD181C7}"/>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60CA67E7-C4FF-4896-8091-34A66E61459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5B599559-C7B0-4D63-876A-75DB6AF72591}"/>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B4CB4708-89B9-4C19-AAB6-66E1CFAAB989}"/>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AAEFF418-C071-4CD1-BBC2-EE6941500CEA}"/>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3C5BAB75-EEC7-49A5-AD84-585CFF96D9F5}"/>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4DA51D3-3A21-4897-A9BE-069202D58F84}"/>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2A721D97-8675-400D-B4E8-988CCC5C31E7}"/>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8CADADE0-0223-46CB-96B0-4DF88408CA82}"/>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7714C7AD-6DF4-4B5D-8307-3760BADBBDB9}"/>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5716BED4-890A-4930-9EED-66778A496BD3}"/>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B3A460E8-EF5F-4B58-B851-778C4AD3E0A6}"/>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960E00B8-05E1-4D00-A3D0-B73DDAA0C401}"/>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2ACA1F08-9673-409A-8888-63C64E09B668}"/>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590A2414-4AF7-4CA9-A4D1-A7014D71067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E650DCEC-B152-401F-A80D-EBB691AA3EEC}"/>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864A21EE-ED62-450B-8A7F-7EC3D2C1A782}"/>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A23D166-59B6-4763-A654-51A4D31A18B5}"/>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8DD92D2F-C81C-4D75-A55B-6D812FB927B2}"/>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ECE6E4F1-353A-489D-8BAA-8D5FA049D97D}"/>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716191D3-D931-4073-A93F-99C825CA8E67}"/>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702A1941-F66E-433A-B83D-08675D2EA3A1}"/>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F73FACB9-0BE2-4289-95E6-1D19FC4F6FBE}"/>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3CBA6BE-CD23-4DB5-AAAE-C8F0E14E8C6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734DD0D5-46BA-4780-8CC1-51D578305C95}"/>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194D7718-46D1-45AC-9460-4A579B80B5B8}"/>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CB454FD7-ADE5-4A94-BD8E-F39211C9C313}"/>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456236F9-1F67-4B7D-B1FA-0A0FFD4D0EC7}"/>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10DB4D28-3329-4A2E-94A1-62FB747CFF42}"/>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502136A1-3A8E-4478-AE8E-0C8931E19D0C}"/>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396F3DE9-AF36-4949-9585-E64BB355859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E1EC3346-AA25-48B7-B08B-C08F6763B07C}"/>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6588A651-D11E-4333-B67D-E40CF752E043}"/>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E65665C9-388C-4175-9764-64FD194F54DF}"/>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848E8691-A7D3-441C-AAA1-C89D24D2E68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900-000002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900-000003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900-000004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5" name="Line 8">
          <a:extLst>
            <a:ext uri="{FF2B5EF4-FFF2-40B4-BE49-F238E27FC236}">
              <a16:creationId xmlns:a16="http://schemas.microsoft.com/office/drawing/2014/main" id="{00000000-0008-0000-1900-0000050000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6" name="Text Box 23">
          <a:extLst>
            <a:ext uri="{FF2B5EF4-FFF2-40B4-BE49-F238E27FC236}">
              <a16:creationId xmlns:a16="http://schemas.microsoft.com/office/drawing/2014/main" id="{00000000-0008-0000-1900-0000060000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2466817" name="btnColorTag" hidden="1">
              <a:extLst>
                <a:ext uri="{63B3BB69-23CF-44E3-9099-C40C66FF867C}">
                  <a14:compatExt spid="_x0000_s2466817"/>
                </a:ext>
                <a:ext uri="{FF2B5EF4-FFF2-40B4-BE49-F238E27FC236}">
                  <a16:creationId xmlns:a16="http://schemas.microsoft.com/office/drawing/2014/main" id="{00000000-0008-0000-1900-000001A42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123384</xdr:colOff>
      <xdr:row>0</xdr:row>
      <xdr:rowOff>0</xdr:rowOff>
    </xdr:from>
    <xdr:to>
      <xdr:col>5</xdr:col>
      <xdr:colOff>362392</xdr:colOff>
      <xdr:row>3</xdr:row>
      <xdr:rowOff>142875</xdr:rowOff>
    </xdr:to>
    <xdr:pic>
      <xdr:nvPicPr>
        <xdr:cNvPr id="7" name="CompanyLogo">
          <a:extLst>
            <a:ext uri="{FF2B5EF4-FFF2-40B4-BE49-F238E27FC236}">
              <a16:creationId xmlns:a16="http://schemas.microsoft.com/office/drawing/2014/main" id="{00000000-0008-0000-1900-000007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A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A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A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A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A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A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A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A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A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B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B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B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B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B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B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B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B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B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C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C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C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C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C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C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C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C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C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D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D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D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D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D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D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D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D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D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 name="Picture 9" descr="Joist BOM">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85925"/>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3" name="Line 10">
          <a:extLst>
            <a:ext uri="{FF2B5EF4-FFF2-40B4-BE49-F238E27FC236}">
              <a16:creationId xmlns:a16="http://schemas.microsoft.com/office/drawing/2014/main" id="{00000000-0008-0000-1E00-000003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4" name="Line 14">
          <a:extLst>
            <a:ext uri="{FF2B5EF4-FFF2-40B4-BE49-F238E27FC236}">
              <a16:creationId xmlns:a16="http://schemas.microsoft.com/office/drawing/2014/main" id="{00000000-0008-0000-1E00-000004000000}"/>
            </a:ext>
          </a:extLst>
        </xdr:cNvPr>
        <xdr:cNvSpPr>
          <a:spLocks noChangeShapeType="1"/>
        </xdr:cNvSpPr>
      </xdr:nvSpPr>
      <xdr:spPr bwMode="auto">
        <a:xfrm>
          <a:off x="7591425" y="30289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5" name="Line 15">
          <a:extLst>
            <a:ext uri="{FF2B5EF4-FFF2-40B4-BE49-F238E27FC236}">
              <a16:creationId xmlns:a16="http://schemas.microsoft.com/office/drawing/2014/main" id="{00000000-0008-0000-1E00-000005000000}"/>
            </a:ext>
          </a:extLst>
        </xdr:cNvPr>
        <xdr:cNvSpPr>
          <a:spLocks noChangeShapeType="1"/>
        </xdr:cNvSpPr>
      </xdr:nvSpPr>
      <xdr:spPr bwMode="auto">
        <a:xfrm>
          <a:off x="7600950" y="31813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6" name="Line 16">
          <a:extLst>
            <a:ext uri="{FF2B5EF4-FFF2-40B4-BE49-F238E27FC236}">
              <a16:creationId xmlns:a16="http://schemas.microsoft.com/office/drawing/2014/main" id="{00000000-0008-0000-1E00-000006000000}"/>
            </a:ext>
          </a:extLst>
        </xdr:cNvPr>
        <xdr:cNvSpPr>
          <a:spLocks noChangeShapeType="1"/>
        </xdr:cNvSpPr>
      </xdr:nvSpPr>
      <xdr:spPr bwMode="auto">
        <a:xfrm>
          <a:off x="7600950" y="33337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7" name="Line 17">
          <a:extLst>
            <a:ext uri="{FF2B5EF4-FFF2-40B4-BE49-F238E27FC236}">
              <a16:creationId xmlns:a16="http://schemas.microsoft.com/office/drawing/2014/main" id="{00000000-0008-0000-1E00-000007000000}"/>
            </a:ext>
          </a:extLst>
        </xdr:cNvPr>
        <xdr:cNvSpPr>
          <a:spLocks noChangeShapeType="1"/>
        </xdr:cNvSpPr>
      </xdr:nvSpPr>
      <xdr:spPr bwMode="auto">
        <a:xfrm>
          <a:off x="7600950" y="34861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8" name="Line 18">
          <a:extLst>
            <a:ext uri="{FF2B5EF4-FFF2-40B4-BE49-F238E27FC236}">
              <a16:creationId xmlns:a16="http://schemas.microsoft.com/office/drawing/2014/main" id="{00000000-0008-0000-1E00-000008000000}"/>
            </a:ext>
          </a:extLst>
        </xdr:cNvPr>
        <xdr:cNvSpPr>
          <a:spLocks noChangeShapeType="1"/>
        </xdr:cNvSpPr>
      </xdr:nvSpPr>
      <xdr:spPr bwMode="auto">
        <a:xfrm>
          <a:off x="7600950" y="36385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9" name="Line 19">
          <a:extLst>
            <a:ext uri="{FF2B5EF4-FFF2-40B4-BE49-F238E27FC236}">
              <a16:creationId xmlns:a16="http://schemas.microsoft.com/office/drawing/2014/main" id="{00000000-0008-0000-1E00-000009000000}"/>
            </a:ext>
          </a:extLst>
        </xdr:cNvPr>
        <xdr:cNvSpPr>
          <a:spLocks noChangeShapeType="1"/>
        </xdr:cNvSpPr>
      </xdr:nvSpPr>
      <xdr:spPr bwMode="auto">
        <a:xfrm>
          <a:off x="7591425" y="17811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10" name="Text Box 174">
          <a:extLst>
            <a:ext uri="{FF2B5EF4-FFF2-40B4-BE49-F238E27FC236}">
              <a16:creationId xmlns:a16="http://schemas.microsoft.com/office/drawing/2014/main" id="{00000000-0008-0000-1E00-00000A000000}"/>
            </a:ext>
          </a:extLst>
        </xdr:cNvPr>
        <xdr:cNvSpPr txBox="1">
          <a:spLocks noChangeArrowheads="1"/>
        </xdr:cNvSpPr>
      </xdr:nvSpPr>
      <xdr:spPr bwMode="auto">
        <a:xfrm>
          <a:off x="9620250" y="1152525"/>
          <a:ext cx="0"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11" name="Text Box 176">
          <a:extLst>
            <a:ext uri="{FF2B5EF4-FFF2-40B4-BE49-F238E27FC236}">
              <a16:creationId xmlns:a16="http://schemas.microsoft.com/office/drawing/2014/main" id="{00000000-0008-0000-1E00-00000B000000}"/>
            </a:ext>
          </a:extLst>
        </xdr:cNvPr>
        <xdr:cNvSpPr txBox="1">
          <a:spLocks noChangeArrowheads="1"/>
        </xdr:cNvSpPr>
      </xdr:nvSpPr>
      <xdr:spPr bwMode="auto">
        <a:xfrm>
          <a:off x="9620250" y="661954"/>
          <a:ext cx="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12" name="Text Box 180">
          <a:extLst>
            <a:ext uri="{FF2B5EF4-FFF2-40B4-BE49-F238E27FC236}">
              <a16:creationId xmlns:a16="http://schemas.microsoft.com/office/drawing/2014/main" id="{00000000-0008-0000-1E00-00000C000000}"/>
            </a:ext>
          </a:extLst>
        </xdr:cNvPr>
        <xdr:cNvSpPr txBox="1">
          <a:spLocks noChangeArrowheads="1"/>
        </xdr:cNvSpPr>
      </xdr:nvSpPr>
      <xdr:spPr bwMode="auto">
        <a:xfrm>
          <a:off x="9620250" y="1576330"/>
          <a:ext cx="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13" name="Text Box 187">
          <a:extLst>
            <a:ext uri="{FF2B5EF4-FFF2-40B4-BE49-F238E27FC236}">
              <a16:creationId xmlns:a16="http://schemas.microsoft.com/office/drawing/2014/main" id="{00000000-0008-0000-1E00-00000D000000}"/>
            </a:ext>
          </a:extLst>
        </xdr:cNvPr>
        <xdr:cNvSpPr txBox="1">
          <a:spLocks noChangeArrowheads="1"/>
        </xdr:cNvSpPr>
      </xdr:nvSpPr>
      <xdr:spPr bwMode="auto">
        <a:xfrm>
          <a:off x="9620250" y="363855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14" name="Text Box 261">
          <a:extLst>
            <a:ext uri="{FF2B5EF4-FFF2-40B4-BE49-F238E27FC236}">
              <a16:creationId xmlns:a16="http://schemas.microsoft.com/office/drawing/2014/main" id="{00000000-0008-0000-1E00-00000E000000}"/>
            </a:ext>
          </a:extLst>
        </xdr:cNvPr>
        <xdr:cNvSpPr txBox="1">
          <a:spLocks noChangeArrowheads="1"/>
        </xdr:cNvSpPr>
      </xdr:nvSpPr>
      <xdr:spPr bwMode="auto">
        <a:xfrm>
          <a:off x="9620250" y="609600"/>
          <a:ext cx="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53</xdr:col>
      <xdr:colOff>0</xdr:colOff>
      <xdr:row>0</xdr:row>
      <xdr:rowOff>28575</xdr:rowOff>
    </xdr:from>
    <xdr:to>
      <xdr:col>53</xdr:col>
      <xdr:colOff>0</xdr:colOff>
      <xdr:row>10</xdr:row>
      <xdr:rowOff>0</xdr:rowOff>
    </xdr:to>
    <xdr:grpSp>
      <xdr:nvGrpSpPr>
        <xdr:cNvPr id="15" name="Group 286">
          <a:extLst>
            <a:ext uri="{FF2B5EF4-FFF2-40B4-BE49-F238E27FC236}">
              <a16:creationId xmlns:a16="http://schemas.microsoft.com/office/drawing/2014/main" id="{00000000-0008-0000-1E00-00000F000000}"/>
            </a:ext>
          </a:extLst>
        </xdr:cNvPr>
        <xdr:cNvGrpSpPr>
          <a:grpSpLocks/>
        </xdr:cNvGrpSpPr>
      </xdr:nvGrpSpPr>
      <xdr:grpSpPr bwMode="auto">
        <a:xfrm>
          <a:off x="9620250" y="28575"/>
          <a:ext cx="0" cy="1514475"/>
          <a:chOff x="4176" y="123"/>
          <a:chExt cx="353" cy="199"/>
        </a:xfrm>
      </xdr:grpSpPr>
      <xdr:sp macro="" textlink="">
        <xdr:nvSpPr>
          <xdr:cNvPr id="16" name="Rectangle 287">
            <a:extLst>
              <a:ext uri="{FF2B5EF4-FFF2-40B4-BE49-F238E27FC236}">
                <a16:creationId xmlns:a16="http://schemas.microsoft.com/office/drawing/2014/main" id="{00000000-0008-0000-1E00-0000100000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7" name="Text Box 288">
            <a:extLst>
              <a:ext uri="{FF2B5EF4-FFF2-40B4-BE49-F238E27FC236}">
                <a16:creationId xmlns:a16="http://schemas.microsoft.com/office/drawing/2014/main" id="{00000000-0008-0000-1E00-000011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18" name="Group 289">
            <a:extLst>
              <a:ext uri="{FF2B5EF4-FFF2-40B4-BE49-F238E27FC236}">
                <a16:creationId xmlns:a16="http://schemas.microsoft.com/office/drawing/2014/main" id="{00000000-0008-0000-1E00-000012000000}"/>
              </a:ext>
            </a:extLst>
          </xdr:cNvPr>
          <xdr:cNvGrpSpPr>
            <a:grpSpLocks/>
          </xdr:cNvGrpSpPr>
        </xdr:nvGrpSpPr>
        <xdr:grpSpPr bwMode="auto">
          <a:xfrm>
            <a:off x="4211" y="155"/>
            <a:ext cx="103" cy="42"/>
            <a:chOff x="4198" y="199"/>
            <a:chExt cx="96" cy="42"/>
          </a:xfrm>
        </xdr:grpSpPr>
        <xdr:sp macro="" textlink="">
          <xdr:nvSpPr>
            <xdr:cNvPr id="59" name="Line 290">
              <a:extLst>
                <a:ext uri="{FF2B5EF4-FFF2-40B4-BE49-F238E27FC236}">
                  <a16:creationId xmlns:a16="http://schemas.microsoft.com/office/drawing/2014/main" id="{00000000-0008-0000-1E00-00003B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291">
              <a:extLst>
                <a:ext uri="{FF2B5EF4-FFF2-40B4-BE49-F238E27FC236}">
                  <a16:creationId xmlns:a16="http://schemas.microsoft.com/office/drawing/2014/main" id="{00000000-0008-0000-1E00-00003C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292">
              <a:extLst>
                <a:ext uri="{FF2B5EF4-FFF2-40B4-BE49-F238E27FC236}">
                  <a16:creationId xmlns:a16="http://schemas.microsoft.com/office/drawing/2014/main" id="{00000000-0008-0000-1E00-00003D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293">
              <a:extLst>
                <a:ext uri="{FF2B5EF4-FFF2-40B4-BE49-F238E27FC236}">
                  <a16:creationId xmlns:a16="http://schemas.microsoft.com/office/drawing/2014/main" id="{00000000-0008-0000-1E00-00003E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294">
              <a:extLst>
                <a:ext uri="{FF2B5EF4-FFF2-40B4-BE49-F238E27FC236}">
                  <a16:creationId xmlns:a16="http://schemas.microsoft.com/office/drawing/2014/main" id="{00000000-0008-0000-1E00-00003F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295">
              <a:extLst>
                <a:ext uri="{FF2B5EF4-FFF2-40B4-BE49-F238E27FC236}">
                  <a16:creationId xmlns:a16="http://schemas.microsoft.com/office/drawing/2014/main" id="{00000000-0008-0000-1E00-000040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296">
              <a:extLst>
                <a:ext uri="{FF2B5EF4-FFF2-40B4-BE49-F238E27FC236}">
                  <a16:creationId xmlns:a16="http://schemas.microsoft.com/office/drawing/2014/main" id="{00000000-0008-0000-1E00-000041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297">
              <a:extLst>
                <a:ext uri="{FF2B5EF4-FFF2-40B4-BE49-F238E27FC236}">
                  <a16:creationId xmlns:a16="http://schemas.microsoft.com/office/drawing/2014/main" id="{00000000-0008-0000-1E00-000042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298">
              <a:extLst>
                <a:ext uri="{FF2B5EF4-FFF2-40B4-BE49-F238E27FC236}">
                  <a16:creationId xmlns:a16="http://schemas.microsoft.com/office/drawing/2014/main" id="{00000000-0008-0000-1E00-000043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299">
              <a:extLst>
                <a:ext uri="{FF2B5EF4-FFF2-40B4-BE49-F238E27FC236}">
                  <a16:creationId xmlns:a16="http://schemas.microsoft.com/office/drawing/2014/main" id="{00000000-0008-0000-1E00-000044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300">
              <a:extLst>
                <a:ext uri="{FF2B5EF4-FFF2-40B4-BE49-F238E27FC236}">
                  <a16:creationId xmlns:a16="http://schemas.microsoft.com/office/drawing/2014/main" id="{00000000-0008-0000-1E00-000045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19" name="Group 301">
            <a:extLst>
              <a:ext uri="{FF2B5EF4-FFF2-40B4-BE49-F238E27FC236}">
                <a16:creationId xmlns:a16="http://schemas.microsoft.com/office/drawing/2014/main" id="{00000000-0008-0000-1E00-000013000000}"/>
              </a:ext>
            </a:extLst>
          </xdr:cNvPr>
          <xdr:cNvGrpSpPr>
            <a:grpSpLocks/>
          </xdr:cNvGrpSpPr>
        </xdr:nvGrpSpPr>
        <xdr:grpSpPr bwMode="auto">
          <a:xfrm>
            <a:off x="4210" y="245"/>
            <a:ext cx="104" cy="44"/>
            <a:chOff x="4210" y="245"/>
            <a:chExt cx="97" cy="44"/>
          </a:xfrm>
        </xdr:grpSpPr>
        <xdr:sp macro="" textlink="">
          <xdr:nvSpPr>
            <xdr:cNvPr id="48" name="Line 302">
              <a:extLst>
                <a:ext uri="{FF2B5EF4-FFF2-40B4-BE49-F238E27FC236}">
                  <a16:creationId xmlns:a16="http://schemas.microsoft.com/office/drawing/2014/main" id="{00000000-0008-0000-1E00-000030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303">
              <a:extLst>
                <a:ext uri="{FF2B5EF4-FFF2-40B4-BE49-F238E27FC236}">
                  <a16:creationId xmlns:a16="http://schemas.microsoft.com/office/drawing/2014/main" id="{00000000-0008-0000-1E00-000031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304">
              <a:extLst>
                <a:ext uri="{FF2B5EF4-FFF2-40B4-BE49-F238E27FC236}">
                  <a16:creationId xmlns:a16="http://schemas.microsoft.com/office/drawing/2014/main" id="{00000000-0008-0000-1E00-000032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305">
              <a:extLst>
                <a:ext uri="{FF2B5EF4-FFF2-40B4-BE49-F238E27FC236}">
                  <a16:creationId xmlns:a16="http://schemas.microsoft.com/office/drawing/2014/main" id="{00000000-0008-0000-1E00-000033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306">
              <a:extLst>
                <a:ext uri="{FF2B5EF4-FFF2-40B4-BE49-F238E27FC236}">
                  <a16:creationId xmlns:a16="http://schemas.microsoft.com/office/drawing/2014/main" id="{00000000-0008-0000-1E00-000034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307">
              <a:extLst>
                <a:ext uri="{FF2B5EF4-FFF2-40B4-BE49-F238E27FC236}">
                  <a16:creationId xmlns:a16="http://schemas.microsoft.com/office/drawing/2014/main" id="{00000000-0008-0000-1E00-000035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308">
              <a:extLst>
                <a:ext uri="{FF2B5EF4-FFF2-40B4-BE49-F238E27FC236}">
                  <a16:creationId xmlns:a16="http://schemas.microsoft.com/office/drawing/2014/main" id="{00000000-0008-0000-1E00-000036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309">
              <a:extLst>
                <a:ext uri="{FF2B5EF4-FFF2-40B4-BE49-F238E27FC236}">
                  <a16:creationId xmlns:a16="http://schemas.microsoft.com/office/drawing/2014/main" id="{00000000-0008-0000-1E00-000037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310">
              <a:extLst>
                <a:ext uri="{FF2B5EF4-FFF2-40B4-BE49-F238E27FC236}">
                  <a16:creationId xmlns:a16="http://schemas.microsoft.com/office/drawing/2014/main" id="{00000000-0008-0000-1E00-000038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311">
              <a:extLst>
                <a:ext uri="{FF2B5EF4-FFF2-40B4-BE49-F238E27FC236}">
                  <a16:creationId xmlns:a16="http://schemas.microsoft.com/office/drawing/2014/main" id="{00000000-0008-0000-1E00-000039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312">
              <a:extLst>
                <a:ext uri="{FF2B5EF4-FFF2-40B4-BE49-F238E27FC236}">
                  <a16:creationId xmlns:a16="http://schemas.microsoft.com/office/drawing/2014/main" id="{00000000-0008-0000-1E00-00003A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0" name="Text Box 313">
            <a:extLst>
              <a:ext uri="{FF2B5EF4-FFF2-40B4-BE49-F238E27FC236}">
                <a16:creationId xmlns:a16="http://schemas.microsoft.com/office/drawing/2014/main" id="{00000000-0008-0000-1E00-000014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1" name="Text Box 314">
            <a:extLst>
              <a:ext uri="{FF2B5EF4-FFF2-40B4-BE49-F238E27FC236}">
                <a16:creationId xmlns:a16="http://schemas.microsoft.com/office/drawing/2014/main" id="{00000000-0008-0000-1E00-000015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2" name="Group 315">
            <a:extLst>
              <a:ext uri="{FF2B5EF4-FFF2-40B4-BE49-F238E27FC236}">
                <a16:creationId xmlns:a16="http://schemas.microsoft.com/office/drawing/2014/main" id="{00000000-0008-0000-1E00-000016000000}"/>
              </a:ext>
            </a:extLst>
          </xdr:cNvPr>
          <xdr:cNvGrpSpPr>
            <a:grpSpLocks/>
          </xdr:cNvGrpSpPr>
        </xdr:nvGrpSpPr>
        <xdr:grpSpPr bwMode="auto">
          <a:xfrm flipH="1">
            <a:off x="4400" y="155"/>
            <a:ext cx="96" cy="42"/>
            <a:chOff x="4198" y="199"/>
            <a:chExt cx="96" cy="42"/>
          </a:xfrm>
        </xdr:grpSpPr>
        <xdr:sp macro="" textlink="">
          <xdr:nvSpPr>
            <xdr:cNvPr id="37" name="Line 316">
              <a:extLst>
                <a:ext uri="{FF2B5EF4-FFF2-40B4-BE49-F238E27FC236}">
                  <a16:creationId xmlns:a16="http://schemas.microsoft.com/office/drawing/2014/main" id="{00000000-0008-0000-1E00-000025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8" name="Line 317">
              <a:extLst>
                <a:ext uri="{FF2B5EF4-FFF2-40B4-BE49-F238E27FC236}">
                  <a16:creationId xmlns:a16="http://schemas.microsoft.com/office/drawing/2014/main" id="{00000000-0008-0000-1E00-000026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9" name="Line 318">
              <a:extLst>
                <a:ext uri="{FF2B5EF4-FFF2-40B4-BE49-F238E27FC236}">
                  <a16:creationId xmlns:a16="http://schemas.microsoft.com/office/drawing/2014/main" id="{00000000-0008-0000-1E00-000027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0" name="Line 319">
              <a:extLst>
                <a:ext uri="{FF2B5EF4-FFF2-40B4-BE49-F238E27FC236}">
                  <a16:creationId xmlns:a16="http://schemas.microsoft.com/office/drawing/2014/main" id="{00000000-0008-0000-1E00-000028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1" name="Line 320">
              <a:extLst>
                <a:ext uri="{FF2B5EF4-FFF2-40B4-BE49-F238E27FC236}">
                  <a16:creationId xmlns:a16="http://schemas.microsoft.com/office/drawing/2014/main" id="{00000000-0008-0000-1E00-000029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2" name="Line 321">
              <a:extLst>
                <a:ext uri="{FF2B5EF4-FFF2-40B4-BE49-F238E27FC236}">
                  <a16:creationId xmlns:a16="http://schemas.microsoft.com/office/drawing/2014/main" id="{00000000-0008-0000-1E00-00002A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 name="Line 322">
              <a:extLst>
                <a:ext uri="{FF2B5EF4-FFF2-40B4-BE49-F238E27FC236}">
                  <a16:creationId xmlns:a16="http://schemas.microsoft.com/office/drawing/2014/main" id="{00000000-0008-0000-1E00-00002B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4" name="Line 323">
              <a:extLst>
                <a:ext uri="{FF2B5EF4-FFF2-40B4-BE49-F238E27FC236}">
                  <a16:creationId xmlns:a16="http://schemas.microsoft.com/office/drawing/2014/main" id="{00000000-0008-0000-1E00-00002C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5" name="Line 324">
              <a:extLst>
                <a:ext uri="{FF2B5EF4-FFF2-40B4-BE49-F238E27FC236}">
                  <a16:creationId xmlns:a16="http://schemas.microsoft.com/office/drawing/2014/main" id="{00000000-0008-0000-1E00-00002D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325">
              <a:extLst>
                <a:ext uri="{FF2B5EF4-FFF2-40B4-BE49-F238E27FC236}">
                  <a16:creationId xmlns:a16="http://schemas.microsoft.com/office/drawing/2014/main" id="{00000000-0008-0000-1E00-00002E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326">
              <a:extLst>
                <a:ext uri="{FF2B5EF4-FFF2-40B4-BE49-F238E27FC236}">
                  <a16:creationId xmlns:a16="http://schemas.microsoft.com/office/drawing/2014/main" id="{00000000-0008-0000-1E00-00002F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 name="Group 327">
            <a:extLst>
              <a:ext uri="{FF2B5EF4-FFF2-40B4-BE49-F238E27FC236}">
                <a16:creationId xmlns:a16="http://schemas.microsoft.com/office/drawing/2014/main" id="{00000000-0008-0000-1E00-000017000000}"/>
              </a:ext>
            </a:extLst>
          </xdr:cNvPr>
          <xdr:cNvGrpSpPr>
            <a:grpSpLocks/>
          </xdr:cNvGrpSpPr>
        </xdr:nvGrpSpPr>
        <xdr:grpSpPr bwMode="auto">
          <a:xfrm>
            <a:off x="4399" y="245"/>
            <a:ext cx="97" cy="44"/>
            <a:chOff x="4392" y="245"/>
            <a:chExt cx="97" cy="44"/>
          </a:xfrm>
        </xdr:grpSpPr>
        <xdr:sp macro="" textlink="">
          <xdr:nvSpPr>
            <xdr:cNvPr id="26" name="Line 328">
              <a:extLst>
                <a:ext uri="{FF2B5EF4-FFF2-40B4-BE49-F238E27FC236}">
                  <a16:creationId xmlns:a16="http://schemas.microsoft.com/office/drawing/2014/main" id="{00000000-0008-0000-1E00-00001A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329">
              <a:extLst>
                <a:ext uri="{FF2B5EF4-FFF2-40B4-BE49-F238E27FC236}">
                  <a16:creationId xmlns:a16="http://schemas.microsoft.com/office/drawing/2014/main" id="{00000000-0008-0000-1E00-00001B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330">
              <a:extLst>
                <a:ext uri="{FF2B5EF4-FFF2-40B4-BE49-F238E27FC236}">
                  <a16:creationId xmlns:a16="http://schemas.microsoft.com/office/drawing/2014/main" id="{00000000-0008-0000-1E00-00001C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331">
              <a:extLst>
                <a:ext uri="{FF2B5EF4-FFF2-40B4-BE49-F238E27FC236}">
                  <a16:creationId xmlns:a16="http://schemas.microsoft.com/office/drawing/2014/main" id="{00000000-0008-0000-1E00-00001D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332">
              <a:extLst>
                <a:ext uri="{FF2B5EF4-FFF2-40B4-BE49-F238E27FC236}">
                  <a16:creationId xmlns:a16="http://schemas.microsoft.com/office/drawing/2014/main" id="{00000000-0008-0000-1E00-00001E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333">
              <a:extLst>
                <a:ext uri="{FF2B5EF4-FFF2-40B4-BE49-F238E27FC236}">
                  <a16:creationId xmlns:a16="http://schemas.microsoft.com/office/drawing/2014/main" id="{00000000-0008-0000-1E00-00001F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334">
              <a:extLst>
                <a:ext uri="{FF2B5EF4-FFF2-40B4-BE49-F238E27FC236}">
                  <a16:creationId xmlns:a16="http://schemas.microsoft.com/office/drawing/2014/main" id="{00000000-0008-0000-1E00-000020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335">
              <a:extLst>
                <a:ext uri="{FF2B5EF4-FFF2-40B4-BE49-F238E27FC236}">
                  <a16:creationId xmlns:a16="http://schemas.microsoft.com/office/drawing/2014/main" id="{00000000-0008-0000-1E00-000021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4" name="Line 336">
              <a:extLst>
                <a:ext uri="{FF2B5EF4-FFF2-40B4-BE49-F238E27FC236}">
                  <a16:creationId xmlns:a16="http://schemas.microsoft.com/office/drawing/2014/main" id="{00000000-0008-0000-1E00-000022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5" name="Line 337">
              <a:extLst>
                <a:ext uri="{FF2B5EF4-FFF2-40B4-BE49-F238E27FC236}">
                  <a16:creationId xmlns:a16="http://schemas.microsoft.com/office/drawing/2014/main" id="{00000000-0008-0000-1E00-000023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6" name="Line 338">
              <a:extLst>
                <a:ext uri="{FF2B5EF4-FFF2-40B4-BE49-F238E27FC236}">
                  <a16:creationId xmlns:a16="http://schemas.microsoft.com/office/drawing/2014/main" id="{00000000-0008-0000-1E00-000024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4" name="Text Box 339">
            <a:extLst>
              <a:ext uri="{FF2B5EF4-FFF2-40B4-BE49-F238E27FC236}">
                <a16:creationId xmlns:a16="http://schemas.microsoft.com/office/drawing/2014/main" id="{00000000-0008-0000-1E00-000018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5" name="Text Box 340">
            <a:extLst>
              <a:ext uri="{FF2B5EF4-FFF2-40B4-BE49-F238E27FC236}">
                <a16:creationId xmlns:a16="http://schemas.microsoft.com/office/drawing/2014/main" id="{00000000-0008-0000-1E00-000019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xdr:from>
      <xdr:col>53</xdr:col>
      <xdr:colOff>0</xdr:colOff>
      <xdr:row>10</xdr:row>
      <xdr:rowOff>19051</xdr:rowOff>
    </xdr:from>
    <xdr:to>
      <xdr:col>53</xdr:col>
      <xdr:colOff>0</xdr:colOff>
      <xdr:row>14</xdr:row>
      <xdr:rowOff>47626</xdr:rowOff>
    </xdr:to>
    <xdr:grpSp>
      <xdr:nvGrpSpPr>
        <xdr:cNvPr id="70" name="Group 675">
          <a:extLst>
            <a:ext uri="{FF2B5EF4-FFF2-40B4-BE49-F238E27FC236}">
              <a16:creationId xmlns:a16="http://schemas.microsoft.com/office/drawing/2014/main" id="{00000000-0008-0000-1E00-000046000000}"/>
            </a:ext>
          </a:extLst>
        </xdr:cNvPr>
        <xdr:cNvGrpSpPr>
          <a:grpSpLocks/>
        </xdr:cNvGrpSpPr>
      </xdr:nvGrpSpPr>
      <xdr:grpSpPr bwMode="auto">
        <a:xfrm>
          <a:off x="9620250" y="1562101"/>
          <a:ext cx="0" cy="1362075"/>
          <a:chOff x="1487" y="158"/>
          <a:chExt cx="353" cy="179"/>
        </a:xfrm>
      </xdr:grpSpPr>
      <xdr:grpSp>
        <xdr:nvGrpSpPr>
          <xdr:cNvPr id="71" name="Group 262">
            <a:extLst>
              <a:ext uri="{FF2B5EF4-FFF2-40B4-BE49-F238E27FC236}">
                <a16:creationId xmlns:a16="http://schemas.microsoft.com/office/drawing/2014/main" id="{00000000-0008-0000-1E00-000047000000}"/>
              </a:ext>
            </a:extLst>
          </xdr:cNvPr>
          <xdr:cNvGrpSpPr>
            <a:grpSpLocks/>
          </xdr:cNvGrpSpPr>
        </xdr:nvGrpSpPr>
        <xdr:grpSpPr bwMode="auto">
          <a:xfrm>
            <a:off x="1487" y="158"/>
            <a:ext cx="353" cy="179"/>
            <a:chOff x="4176" y="233"/>
            <a:chExt cx="346" cy="217"/>
          </a:xfrm>
        </xdr:grpSpPr>
        <xdr:sp macro="" textlink="">
          <xdr:nvSpPr>
            <xdr:cNvPr id="74" name="Rectangle 263">
              <a:extLst>
                <a:ext uri="{FF2B5EF4-FFF2-40B4-BE49-F238E27FC236}">
                  <a16:creationId xmlns:a16="http://schemas.microsoft.com/office/drawing/2014/main" id="{00000000-0008-0000-1E00-00004A0000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75" name="Text Box 264">
              <a:extLst>
                <a:ext uri="{FF2B5EF4-FFF2-40B4-BE49-F238E27FC236}">
                  <a16:creationId xmlns:a16="http://schemas.microsoft.com/office/drawing/2014/main" id="{00000000-0008-0000-1E00-00004B0000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76" name="Group 265">
              <a:extLst>
                <a:ext uri="{FF2B5EF4-FFF2-40B4-BE49-F238E27FC236}">
                  <a16:creationId xmlns:a16="http://schemas.microsoft.com/office/drawing/2014/main" id="{00000000-0008-0000-1E00-00004C000000}"/>
                </a:ext>
              </a:extLst>
            </xdr:cNvPr>
            <xdr:cNvGrpSpPr>
              <a:grpSpLocks/>
            </xdr:cNvGrpSpPr>
          </xdr:nvGrpSpPr>
          <xdr:grpSpPr bwMode="auto">
            <a:xfrm>
              <a:off x="4194" y="285"/>
              <a:ext cx="146" cy="150"/>
              <a:chOff x="4194" y="285"/>
              <a:chExt cx="146" cy="150"/>
            </a:xfrm>
          </xdr:grpSpPr>
          <xdr:sp macro="" textlink="">
            <xdr:nvSpPr>
              <xdr:cNvPr id="90" name="Line 266">
                <a:extLst>
                  <a:ext uri="{FF2B5EF4-FFF2-40B4-BE49-F238E27FC236}">
                    <a16:creationId xmlns:a16="http://schemas.microsoft.com/office/drawing/2014/main" id="{00000000-0008-0000-1E00-00005A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1" name="Line 267">
                <a:extLst>
                  <a:ext uri="{FF2B5EF4-FFF2-40B4-BE49-F238E27FC236}">
                    <a16:creationId xmlns:a16="http://schemas.microsoft.com/office/drawing/2014/main" id="{00000000-0008-0000-1E00-00005B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2" name="Line 268">
                <a:extLst>
                  <a:ext uri="{FF2B5EF4-FFF2-40B4-BE49-F238E27FC236}">
                    <a16:creationId xmlns:a16="http://schemas.microsoft.com/office/drawing/2014/main" id="{00000000-0008-0000-1E00-00005C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3" name="Line 269">
                <a:extLst>
                  <a:ext uri="{FF2B5EF4-FFF2-40B4-BE49-F238E27FC236}">
                    <a16:creationId xmlns:a16="http://schemas.microsoft.com/office/drawing/2014/main" id="{00000000-0008-0000-1E00-00005D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94" name="Line 270">
                <a:extLst>
                  <a:ext uri="{FF2B5EF4-FFF2-40B4-BE49-F238E27FC236}">
                    <a16:creationId xmlns:a16="http://schemas.microsoft.com/office/drawing/2014/main" id="{00000000-0008-0000-1E00-00005E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5" name="Line 271">
                <a:extLst>
                  <a:ext uri="{FF2B5EF4-FFF2-40B4-BE49-F238E27FC236}">
                    <a16:creationId xmlns:a16="http://schemas.microsoft.com/office/drawing/2014/main" id="{00000000-0008-0000-1E00-00005F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6" name="Line 272">
                <a:extLst>
                  <a:ext uri="{FF2B5EF4-FFF2-40B4-BE49-F238E27FC236}">
                    <a16:creationId xmlns:a16="http://schemas.microsoft.com/office/drawing/2014/main" id="{00000000-0008-0000-1E00-000060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77" name="Group 273">
              <a:extLst>
                <a:ext uri="{FF2B5EF4-FFF2-40B4-BE49-F238E27FC236}">
                  <a16:creationId xmlns:a16="http://schemas.microsoft.com/office/drawing/2014/main" id="{00000000-0008-0000-1E00-00004D000000}"/>
                </a:ext>
              </a:extLst>
            </xdr:cNvPr>
            <xdr:cNvGrpSpPr>
              <a:grpSpLocks/>
            </xdr:cNvGrpSpPr>
          </xdr:nvGrpSpPr>
          <xdr:grpSpPr bwMode="auto">
            <a:xfrm>
              <a:off x="4365" y="285"/>
              <a:ext cx="141" cy="152"/>
              <a:chOff x="4365" y="285"/>
              <a:chExt cx="141" cy="152"/>
            </a:xfrm>
          </xdr:grpSpPr>
          <xdr:sp macro="" textlink="">
            <xdr:nvSpPr>
              <xdr:cNvPr id="83" name="Line 274">
                <a:extLst>
                  <a:ext uri="{FF2B5EF4-FFF2-40B4-BE49-F238E27FC236}">
                    <a16:creationId xmlns:a16="http://schemas.microsoft.com/office/drawing/2014/main" id="{00000000-0008-0000-1E00-000053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275">
                <a:extLst>
                  <a:ext uri="{FF2B5EF4-FFF2-40B4-BE49-F238E27FC236}">
                    <a16:creationId xmlns:a16="http://schemas.microsoft.com/office/drawing/2014/main" id="{00000000-0008-0000-1E00-000054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276">
                <a:extLst>
                  <a:ext uri="{FF2B5EF4-FFF2-40B4-BE49-F238E27FC236}">
                    <a16:creationId xmlns:a16="http://schemas.microsoft.com/office/drawing/2014/main" id="{00000000-0008-0000-1E00-000055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277">
                <a:extLst>
                  <a:ext uri="{FF2B5EF4-FFF2-40B4-BE49-F238E27FC236}">
                    <a16:creationId xmlns:a16="http://schemas.microsoft.com/office/drawing/2014/main" id="{00000000-0008-0000-1E00-000056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7" name="Line 278">
                <a:extLst>
                  <a:ext uri="{FF2B5EF4-FFF2-40B4-BE49-F238E27FC236}">
                    <a16:creationId xmlns:a16="http://schemas.microsoft.com/office/drawing/2014/main" id="{00000000-0008-0000-1E00-000057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279">
                <a:extLst>
                  <a:ext uri="{FF2B5EF4-FFF2-40B4-BE49-F238E27FC236}">
                    <a16:creationId xmlns:a16="http://schemas.microsoft.com/office/drawing/2014/main" id="{00000000-0008-0000-1E00-000058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89" name="Line 280">
                <a:extLst>
                  <a:ext uri="{FF2B5EF4-FFF2-40B4-BE49-F238E27FC236}">
                    <a16:creationId xmlns:a16="http://schemas.microsoft.com/office/drawing/2014/main" id="{00000000-0008-0000-1E00-000059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78" name="Text Box 281">
              <a:extLst>
                <a:ext uri="{FF2B5EF4-FFF2-40B4-BE49-F238E27FC236}">
                  <a16:creationId xmlns:a16="http://schemas.microsoft.com/office/drawing/2014/main" id="{00000000-0008-0000-1E00-00004E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79" name="Text Box 282">
              <a:extLst>
                <a:ext uri="{FF2B5EF4-FFF2-40B4-BE49-F238E27FC236}">
                  <a16:creationId xmlns:a16="http://schemas.microsoft.com/office/drawing/2014/main" id="{00000000-0008-0000-1E00-00004F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0" name="Text Box 283">
              <a:extLst>
                <a:ext uri="{FF2B5EF4-FFF2-40B4-BE49-F238E27FC236}">
                  <a16:creationId xmlns:a16="http://schemas.microsoft.com/office/drawing/2014/main" id="{00000000-0008-0000-1E00-0000500000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81" name="Line 284">
              <a:extLst>
                <a:ext uri="{FF2B5EF4-FFF2-40B4-BE49-F238E27FC236}">
                  <a16:creationId xmlns:a16="http://schemas.microsoft.com/office/drawing/2014/main" id="{00000000-0008-0000-1E00-000051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2" name="Line 285">
              <a:extLst>
                <a:ext uri="{FF2B5EF4-FFF2-40B4-BE49-F238E27FC236}">
                  <a16:creationId xmlns:a16="http://schemas.microsoft.com/office/drawing/2014/main" id="{00000000-0008-0000-1E00-000052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72" name="Text Box 673">
            <a:extLst>
              <a:ext uri="{FF2B5EF4-FFF2-40B4-BE49-F238E27FC236}">
                <a16:creationId xmlns:a16="http://schemas.microsoft.com/office/drawing/2014/main" id="{00000000-0008-0000-1E00-0000480000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73" name="Text Box 674">
            <a:extLst>
              <a:ext uri="{FF2B5EF4-FFF2-40B4-BE49-F238E27FC236}">
                <a16:creationId xmlns:a16="http://schemas.microsoft.com/office/drawing/2014/main" id="{00000000-0008-0000-1E00-0000490000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97" name="TextBox 96">
          <a:extLst>
            <a:ext uri="{FF2B5EF4-FFF2-40B4-BE49-F238E27FC236}">
              <a16:creationId xmlns:a16="http://schemas.microsoft.com/office/drawing/2014/main" id="{00000000-0008-0000-1E00-000061000000}"/>
            </a:ext>
          </a:extLst>
        </xdr:cNvPr>
        <xdr:cNvSpPr txBox="1"/>
      </xdr:nvSpPr>
      <xdr:spPr>
        <a:xfrm>
          <a:off x="2247900" y="8172450"/>
          <a:ext cx="48768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98" name="Text Box 180">
          <a:extLst>
            <a:ext uri="{FF2B5EF4-FFF2-40B4-BE49-F238E27FC236}">
              <a16:creationId xmlns:a16="http://schemas.microsoft.com/office/drawing/2014/main" id="{00000000-0008-0000-1E00-000062000000}"/>
            </a:ext>
          </a:extLst>
        </xdr:cNvPr>
        <xdr:cNvSpPr txBox="1">
          <a:spLocks noChangeArrowheads="1"/>
        </xdr:cNvSpPr>
      </xdr:nvSpPr>
      <xdr:spPr bwMode="auto">
        <a:xfrm>
          <a:off x="9620250" y="2071674"/>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99" name="CompanyLogo">
          <a:extLst>
            <a:ext uri="{FF2B5EF4-FFF2-40B4-BE49-F238E27FC236}">
              <a16:creationId xmlns:a16="http://schemas.microsoft.com/office/drawing/2014/main" id="{00000000-0008-0000-1E00-00006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1F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1F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1F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1F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1F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0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0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0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0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0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1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1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1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1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1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 name="Line 9">
          <a:extLst>
            <a:ext uri="{FF2B5EF4-FFF2-40B4-BE49-F238E27FC236}">
              <a16:creationId xmlns:a16="http://schemas.microsoft.com/office/drawing/2014/main" id="{00000000-0008-0000-2200-0000020000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3" name="Group 869">
          <a:extLst>
            <a:ext uri="{FF2B5EF4-FFF2-40B4-BE49-F238E27FC236}">
              <a16:creationId xmlns:a16="http://schemas.microsoft.com/office/drawing/2014/main" id="{00000000-0008-0000-2200-000003000000}"/>
            </a:ext>
          </a:extLst>
        </xdr:cNvPr>
        <xdr:cNvGrpSpPr>
          <a:grpSpLocks/>
        </xdr:cNvGrpSpPr>
      </xdr:nvGrpSpPr>
      <xdr:grpSpPr bwMode="auto">
        <a:xfrm>
          <a:off x="4524375" y="1514475"/>
          <a:ext cx="2705100" cy="2533650"/>
          <a:chOff x="475" y="163"/>
          <a:chExt cx="284" cy="258"/>
        </a:xfrm>
      </xdr:grpSpPr>
      <xdr:grpSp>
        <xdr:nvGrpSpPr>
          <xdr:cNvPr id="4" name="Group 868">
            <a:extLst>
              <a:ext uri="{FF2B5EF4-FFF2-40B4-BE49-F238E27FC236}">
                <a16:creationId xmlns:a16="http://schemas.microsoft.com/office/drawing/2014/main" id="{00000000-0008-0000-2200-000004000000}"/>
              </a:ext>
            </a:extLst>
          </xdr:cNvPr>
          <xdr:cNvGrpSpPr>
            <a:grpSpLocks/>
          </xdr:cNvGrpSpPr>
        </xdr:nvGrpSpPr>
        <xdr:grpSpPr bwMode="auto">
          <a:xfrm>
            <a:off x="482" y="163"/>
            <a:ext cx="277" cy="178"/>
            <a:chOff x="482" y="163"/>
            <a:chExt cx="277" cy="178"/>
          </a:xfrm>
        </xdr:grpSpPr>
        <xdr:grpSp>
          <xdr:nvGrpSpPr>
            <xdr:cNvPr id="7" name="Group 26">
              <a:extLst>
                <a:ext uri="{FF2B5EF4-FFF2-40B4-BE49-F238E27FC236}">
                  <a16:creationId xmlns:a16="http://schemas.microsoft.com/office/drawing/2014/main" id="{00000000-0008-0000-2200-000007000000}"/>
                </a:ext>
              </a:extLst>
            </xdr:cNvPr>
            <xdr:cNvGrpSpPr>
              <a:grpSpLocks/>
            </xdr:cNvGrpSpPr>
          </xdr:nvGrpSpPr>
          <xdr:grpSpPr bwMode="auto">
            <a:xfrm>
              <a:off x="482" y="174"/>
              <a:ext cx="277" cy="167"/>
              <a:chOff x="635" y="270"/>
              <a:chExt cx="311" cy="210"/>
            </a:xfrm>
          </xdr:grpSpPr>
          <xdr:pic>
            <xdr:nvPicPr>
              <xdr:cNvPr id="12" name="Picture 27" descr="Bridging BOM Sketches1">
                <a:extLst>
                  <a:ext uri="{FF2B5EF4-FFF2-40B4-BE49-F238E27FC236}">
                    <a16:creationId xmlns:a16="http://schemas.microsoft.com/office/drawing/2014/main" id="{00000000-0008-0000-22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 name="Picture 28" descr="Bridging BOM Sketches1">
                <a:extLst>
                  <a:ext uri="{FF2B5EF4-FFF2-40B4-BE49-F238E27FC236}">
                    <a16:creationId xmlns:a16="http://schemas.microsoft.com/office/drawing/2014/main" id="{00000000-0008-0000-22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4" name="Picture 29" descr="Bridging BOM Sketches1">
                <a:extLst>
                  <a:ext uri="{FF2B5EF4-FFF2-40B4-BE49-F238E27FC236}">
                    <a16:creationId xmlns:a16="http://schemas.microsoft.com/office/drawing/2014/main" id="{00000000-0008-0000-22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8" name="Text Box 30">
              <a:extLst>
                <a:ext uri="{FF2B5EF4-FFF2-40B4-BE49-F238E27FC236}">
                  <a16:creationId xmlns:a16="http://schemas.microsoft.com/office/drawing/2014/main" id="{00000000-0008-0000-2200-0000080000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9" name="Text Box 31">
              <a:extLst>
                <a:ext uri="{FF2B5EF4-FFF2-40B4-BE49-F238E27FC236}">
                  <a16:creationId xmlns:a16="http://schemas.microsoft.com/office/drawing/2014/main" id="{00000000-0008-0000-2200-0000090000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10" name="Text Box 32">
              <a:extLst>
                <a:ext uri="{FF2B5EF4-FFF2-40B4-BE49-F238E27FC236}">
                  <a16:creationId xmlns:a16="http://schemas.microsoft.com/office/drawing/2014/main" id="{00000000-0008-0000-2200-00000A0000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11" name="Text Box 33">
              <a:extLst>
                <a:ext uri="{FF2B5EF4-FFF2-40B4-BE49-F238E27FC236}">
                  <a16:creationId xmlns:a16="http://schemas.microsoft.com/office/drawing/2014/main" id="{00000000-0008-0000-2200-00000B0000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5" name="Text Box 34">
            <a:extLst>
              <a:ext uri="{FF2B5EF4-FFF2-40B4-BE49-F238E27FC236}">
                <a16:creationId xmlns:a16="http://schemas.microsoft.com/office/drawing/2014/main" id="{00000000-0008-0000-2200-0000050000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6" name="Text Box 35">
            <a:extLst>
              <a:ext uri="{FF2B5EF4-FFF2-40B4-BE49-F238E27FC236}">
                <a16:creationId xmlns:a16="http://schemas.microsoft.com/office/drawing/2014/main" id="{00000000-0008-0000-2200-0000060000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15" name="Group 867">
          <a:extLst>
            <a:ext uri="{FF2B5EF4-FFF2-40B4-BE49-F238E27FC236}">
              <a16:creationId xmlns:a16="http://schemas.microsoft.com/office/drawing/2014/main" id="{00000000-0008-0000-2200-00000F000000}"/>
            </a:ext>
          </a:extLst>
        </xdr:cNvPr>
        <xdr:cNvGrpSpPr>
          <a:grpSpLocks/>
        </xdr:cNvGrpSpPr>
      </xdr:nvGrpSpPr>
      <xdr:grpSpPr bwMode="auto">
        <a:xfrm>
          <a:off x="1495425" y="1514475"/>
          <a:ext cx="1323975" cy="2533650"/>
          <a:chOff x="157" y="163"/>
          <a:chExt cx="139" cy="258"/>
        </a:xfrm>
      </xdr:grpSpPr>
      <xdr:pic>
        <xdr:nvPicPr>
          <xdr:cNvPr id="16" name="Picture 46" descr="Bridging BOM Sketches1">
            <a:extLst>
              <a:ext uri="{FF2B5EF4-FFF2-40B4-BE49-F238E27FC236}">
                <a16:creationId xmlns:a16="http://schemas.microsoft.com/office/drawing/2014/main" id="{00000000-0008-0000-22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9" descr="Bridging BOM Sketches1">
            <a:extLst>
              <a:ext uri="{FF2B5EF4-FFF2-40B4-BE49-F238E27FC236}">
                <a16:creationId xmlns:a16="http://schemas.microsoft.com/office/drawing/2014/main" id="{00000000-0008-0000-22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44" descr="Bridging BOM Sketches1">
            <a:extLst>
              <a:ext uri="{FF2B5EF4-FFF2-40B4-BE49-F238E27FC236}">
                <a16:creationId xmlns:a16="http://schemas.microsoft.com/office/drawing/2014/main" id="{00000000-0008-0000-22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9" name="Picture 45" descr="Bridging BOM Sketches1">
            <a:extLst>
              <a:ext uri="{FF2B5EF4-FFF2-40B4-BE49-F238E27FC236}">
                <a16:creationId xmlns:a16="http://schemas.microsoft.com/office/drawing/2014/main" id="{00000000-0008-0000-22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Text Box 22">
            <a:extLst>
              <a:ext uri="{FF2B5EF4-FFF2-40B4-BE49-F238E27FC236}">
                <a16:creationId xmlns:a16="http://schemas.microsoft.com/office/drawing/2014/main" id="{00000000-0008-0000-2200-0000140000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1" name="Text Box 40">
            <a:extLst>
              <a:ext uri="{FF2B5EF4-FFF2-40B4-BE49-F238E27FC236}">
                <a16:creationId xmlns:a16="http://schemas.microsoft.com/office/drawing/2014/main" id="{00000000-0008-0000-2200-0000150000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2" name="Text Box 41">
            <a:extLst>
              <a:ext uri="{FF2B5EF4-FFF2-40B4-BE49-F238E27FC236}">
                <a16:creationId xmlns:a16="http://schemas.microsoft.com/office/drawing/2014/main" id="{00000000-0008-0000-2200-0000160000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3" name="Text Box 42">
            <a:extLst>
              <a:ext uri="{FF2B5EF4-FFF2-40B4-BE49-F238E27FC236}">
                <a16:creationId xmlns:a16="http://schemas.microsoft.com/office/drawing/2014/main" id="{00000000-0008-0000-2200-0000170000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 name="Text Box 43">
            <a:extLst>
              <a:ext uri="{FF2B5EF4-FFF2-40B4-BE49-F238E27FC236}">
                <a16:creationId xmlns:a16="http://schemas.microsoft.com/office/drawing/2014/main" id="{00000000-0008-0000-2200-0000180000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5" name="Text Box 23">
            <a:extLst>
              <a:ext uri="{FF2B5EF4-FFF2-40B4-BE49-F238E27FC236}">
                <a16:creationId xmlns:a16="http://schemas.microsoft.com/office/drawing/2014/main" id="{00000000-0008-0000-2200-0000190000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6" name="Group 871">
          <a:extLst>
            <a:ext uri="{FF2B5EF4-FFF2-40B4-BE49-F238E27FC236}">
              <a16:creationId xmlns:a16="http://schemas.microsoft.com/office/drawing/2014/main" id="{00000000-0008-0000-2200-00001A000000}"/>
            </a:ext>
          </a:extLst>
        </xdr:cNvPr>
        <xdr:cNvGrpSpPr>
          <a:grpSpLocks/>
        </xdr:cNvGrpSpPr>
      </xdr:nvGrpSpPr>
      <xdr:grpSpPr bwMode="auto">
        <a:xfrm>
          <a:off x="7143" y="1524000"/>
          <a:ext cx="9015413" cy="2533650"/>
          <a:chOff x="0" y="164"/>
          <a:chExt cx="948" cy="258"/>
        </a:xfrm>
      </xdr:grpSpPr>
      <xdr:sp macro="" textlink="">
        <xdr:nvSpPr>
          <xdr:cNvPr id="27" name="Rectangle 2">
            <a:extLst>
              <a:ext uri="{FF2B5EF4-FFF2-40B4-BE49-F238E27FC236}">
                <a16:creationId xmlns:a16="http://schemas.microsoft.com/office/drawing/2014/main" id="{00000000-0008-0000-2200-00001B0000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8" name="Line 3">
            <a:extLst>
              <a:ext uri="{FF2B5EF4-FFF2-40B4-BE49-F238E27FC236}">
                <a16:creationId xmlns:a16="http://schemas.microsoft.com/office/drawing/2014/main" id="{00000000-0008-0000-2200-00001C0000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4">
            <a:extLst>
              <a:ext uri="{FF2B5EF4-FFF2-40B4-BE49-F238E27FC236}">
                <a16:creationId xmlns:a16="http://schemas.microsoft.com/office/drawing/2014/main" id="{00000000-0008-0000-2200-00001D0000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5">
            <a:extLst>
              <a:ext uri="{FF2B5EF4-FFF2-40B4-BE49-F238E27FC236}">
                <a16:creationId xmlns:a16="http://schemas.microsoft.com/office/drawing/2014/main" id="{00000000-0008-0000-2200-00001E0000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48">
            <a:extLst>
              <a:ext uri="{FF2B5EF4-FFF2-40B4-BE49-F238E27FC236}">
                <a16:creationId xmlns:a16="http://schemas.microsoft.com/office/drawing/2014/main" id="{00000000-0008-0000-2200-00001F0000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32" name="Group 861">
          <a:extLst>
            <a:ext uri="{FF2B5EF4-FFF2-40B4-BE49-F238E27FC236}">
              <a16:creationId xmlns:a16="http://schemas.microsoft.com/office/drawing/2014/main" id="{00000000-0008-0000-2200-000020000000}"/>
            </a:ext>
          </a:extLst>
        </xdr:cNvPr>
        <xdr:cNvGrpSpPr>
          <a:grpSpLocks/>
        </xdr:cNvGrpSpPr>
      </xdr:nvGrpSpPr>
      <xdr:grpSpPr bwMode="auto">
        <a:xfrm>
          <a:off x="2914650" y="1514475"/>
          <a:ext cx="1647825" cy="2533650"/>
          <a:chOff x="306" y="163"/>
          <a:chExt cx="173" cy="258"/>
        </a:xfrm>
      </xdr:grpSpPr>
      <xdr:sp macro="" textlink="">
        <xdr:nvSpPr>
          <xdr:cNvPr id="33" name="Text Box 18">
            <a:extLst>
              <a:ext uri="{FF2B5EF4-FFF2-40B4-BE49-F238E27FC236}">
                <a16:creationId xmlns:a16="http://schemas.microsoft.com/office/drawing/2014/main" id="{00000000-0008-0000-2200-0000210000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34" name="Text Box 19">
            <a:extLst>
              <a:ext uri="{FF2B5EF4-FFF2-40B4-BE49-F238E27FC236}">
                <a16:creationId xmlns:a16="http://schemas.microsoft.com/office/drawing/2014/main" id="{00000000-0008-0000-2200-0000220000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35" name="Text Box 20">
            <a:extLst>
              <a:ext uri="{FF2B5EF4-FFF2-40B4-BE49-F238E27FC236}">
                <a16:creationId xmlns:a16="http://schemas.microsoft.com/office/drawing/2014/main" id="{00000000-0008-0000-2200-0000230000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36" name="Text Box 21">
            <a:extLst>
              <a:ext uri="{FF2B5EF4-FFF2-40B4-BE49-F238E27FC236}">
                <a16:creationId xmlns:a16="http://schemas.microsoft.com/office/drawing/2014/main" id="{00000000-0008-0000-2200-0000240000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37" name="Picture 38" descr="Bridging BOM Sketches1">
            <a:extLst>
              <a:ext uri="{FF2B5EF4-FFF2-40B4-BE49-F238E27FC236}">
                <a16:creationId xmlns:a16="http://schemas.microsoft.com/office/drawing/2014/main" id="{00000000-0008-0000-2200-00002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Picture 52" descr="Bridging BOM Sketches1">
            <a:extLst>
              <a:ext uri="{FF2B5EF4-FFF2-40B4-BE49-F238E27FC236}">
                <a16:creationId xmlns:a16="http://schemas.microsoft.com/office/drawing/2014/main" id="{00000000-0008-0000-2200-00002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39" name="Group 870">
          <a:extLst>
            <a:ext uri="{FF2B5EF4-FFF2-40B4-BE49-F238E27FC236}">
              <a16:creationId xmlns:a16="http://schemas.microsoft.com/office/drawing/2014/main" id="{00000000-0008-0000-2200-000027000000}"/>
            </a:ext>
          </a:extLst>
        </xdr:cNvPr>
        <xdr:cNvGrpSpPr>
          <a:grpSpLocks/>
        </xdr:cNvGrpSpPr>
      </xdr:nvGrpSpPr>
      <xdr:grpSpPr bwMode="auto">
        <a:xfrm>
          <a:off x="7239000" y="1514475"/>
          <a:ext cx="1790700" cy="2533650"/>
          <a:chOff x="760" y="163"/>
          <a:chExt cx="188" cy="258"/>
        </a:xfrm>
      </xdr:grpSpPr>
      <xdr:pic>
        <xdr:nvPicPr>
          <xdr:cNvPr id="40" name="Picture 1" descr="Bridging BOM Sketches1">
            <a:extLst>
              <a:ext uri="{FF2B5EF4-FFF2-40B4-BE49-F238E27FC236}">
                <a16:creationId xmlns:a16="http://schemas.microsoft.com/office/drawing/2014/main" id="{00000000-0008-0000-2200-00002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1" name="Text Box 13">
            <a:extLst>
              <a:ext uri="{FF2B5EF4-FFF2-40B4-BE49-F238E27FC236}">
                <a16:creationId xmlns:a16="http://schemas.microsoft.com/office/drawing/2014/main" id="{00000000-0008-0000-2200-0000290000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42" name="Text Box 14">
            <a:extLst>
              <a:ext uri="{FF2B5EF4-FFF2-40B4-BE49-F238E27FC236}">
                <a16:creationId xmlns:a16="http://schemas.microsoft.com/office/drawing/2014/main" id="{00000000-0008-0000-2200-00002A0000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43" name="Text Box 15">
            <a:extLst>
              <a:ext uri="{FF2B5EF4-FFF2-40B4-BE49-F238E27FC236}">
                <a16:creationId xmlns:a16="http://schemas.microsoft.com/office/drawing/2014/main" id="{00000000-0008-0000-2200-00002B0000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4" name="Text Box 16">
            <a:extLst>
              <a:ext uri="{FF2B5EF4-FFF2-40B4-BE49-F238E27FC236}">
                <a16:creationId xmlns:a16="http://schemas.microsoft.com/office/drawing/2014/main" id="{00000000-0008-0000-2200-00002C0000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45" name="Text Box 17">
            <a:extLst>
              <a:ext uri="{FF2B5EF4-FFF2-40B4-BE49-F238E27FC236}">
                <a16:creationId xmlns:a16="http://schemas.microsoft.com/office/drawing/2014/main" id="{00000000-0008-0000-2200-00002D0000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46" name="Text Box 36">
            <a:extLst>
              <a:ext uri="{FF2B5EF4-FFF2-40B4-BE49-F238E27FC236}">
                <a16:creationId xmlns:a16="http://schemas.microsoft.com/office/drawing/2014/main" id="{00000000-0008-0000-2200-00002E0000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47" name="Text Box 53">
            <a:extLst>
              <a:ext uri="{FF2B5EF4-FFF2-40B4-BE49-F238E27FC236}">
                <a16:creationId xmlns:a16="http://schemas.microsoft.com/office/drawing/2014/main" id="{00000000-0008-0000-2200-00002F0000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8" name="Text Box 54">
            <a:extLst>
              <a:ext uri="{FF2B5EF4-FFF2-40B4-BE49-F238E27FC236}">
                <a16:creationId xmlns:a16="http://schemas.microsoft.com/office/drawing/2014/main" id="{00000000-0008-0000-2200-0000300000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xdr:from>
      <xdr:col>0</xdr:col>
      <xdr:colOff>161925</xdr:colOff>
      <xdr:row>10</xdr:row>
      <xdr:rowOff>133350</xdr:rowOff>
    </xdr:from>
    <xdr:to>
      <xdr:col>3</xdr:col>
      <xdr:colOff>371475</xdr:colOff>
      <xdr:row>11</xdr:row>
      <xdr:rowOff>0</xdr:rowOff>
    </xdr:to>
    <xdr:pic>
      <xdr:nvPicPr>
        <xdr:cNvPr id="49" name="Picture 37" descr="Bridging BOM Sketches1">
          <a:extLst>
            <a:ext uri="{FF2B5EF4-FFF2-40B4-BE49-F238E27FC236}">
              <a16:creationId xmlns:a16="http://schemas.microsoft.com/office/drawing/2014/main" id="{00000000-0008-0000-2200-00003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50" name="Picture 47" descr="Bridging BOM Sketches1">
          <a:extLst>
            <a:ext uri="{FF2B5EF4-FFF2-40B4-BE49-F238E27FC236}">
              <a16:creationId xmlns:a16="http://schemas.microsoft.com/office/drawing/2014/main" id="{00000000-0008-0000-2200-00003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51" name="Text Box 49">
          <a:extLst>
            <a:ext uri="{FF2B5EF4-FFF2-40B4-BE49-F238E27FC236}">
              <a16:creationId xmlns:a16="http://schemas.microsoft.com/office/drawing/2014/main" id="{00000000-0008-0000-2200-0000330000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52" name="Text Box 50">
          <a:extLst>
            <a:ext uri="{FF2B5EF4-FFF2-40B4-BE49-F238E27FC236}">
              <a16:creationId xmlns:a16="http://schemas.microsoft.com/office/drawing/2014/main" id="{00000000-0008-0000-2200-0000340000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53" name="Text Box 51">
          <a:extLst>
            <a:ext uri="{FF2B5EF4-FFF2-40B4-BE49-F238E27FC236}">
              <a16:creationId xmlns:a16="http://schemas.microsoft.com/office/drawing/2014/main" id="{00000000-0008-0000-2200-0000350000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54" name="Text Box 863">
          <a:extLst>
            <a:ext uri="{FF2B5EF4-FFF2-40B4-BE49-F238E27FC236}">
              <a16:creationId xmlns:a16="http://schemas.microsoft.com/office/drawing/2014/main" id="{00000000-0008-0000-2200-0000360000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55" name="Picture 864" descr="Bridging BOM Sketches1">
          <a:extLst>
            <a:ext uri="{FF2B5EF4-FFF2-40B4-BE49-F238E27FC236}">
              <a16:creationId xmlns:a16="http://schemas.microsoft.com/office/drawing/2014/main" id="{00000000-0008-0000-2200-00003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104334</xdr:colOff>
      <xdr:row>0</xdr:row>
      <xdr:rowOff>0</xdr:rowOff>
    </xdr:from>
    <xdr:to>
      <xdr:col>5</xdr:col>
      <xdr:colOff>124267</xdr:colOff>
      <xdr:row>3</xdr:row>
      <xdr:rowOff>142875</xdr:rowOff>
    </xdr:to>
    <xdr:pic>
      <xdr:nvPicPr>
        <xdr:cNvPr id="56" name="CompanyLogo">
          <a:extLst>
            <a:ext uri="{FF2B5EF4-FFF2-40B4-BE49-F238E27FC236}">
              <a16:creationId xmlns:a16="http://schemas.microsoft.com/office/drawing/2014/main" id="{00000000-0008-0000-2200-000038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CCCD05-2D3C-4DCC-A6EE-0DCED6E3C460}" name="tblFinishList" displayName="tblFinishList" ref="AR1:AR7" totalsRowShown="0" headerRowDxfId="486" dataDxfId="485">
  <autoFilter ref="AR1:AR7" xr:uid="{83CCCD05-2D3C-4DCC-A6EE-0DCED6E3C460}"/>
  <tableColumns count="1">
    <tableColumn id="1" xr3:uid="{A2876915-0FD7-4875-B316-012ABAE4381E}" name="Finish Types" dataDxfId="484"/>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13" Type="http://schemas.openxmlformats.org/officeDocument/2006/relationships/image" Target="../media/image16.emf"/><Relationship Id="rId18" Type="http://schemas.openxmlformats.org/officeDocument/2006/relationships/control" Target="../activeX/activeX9.xml"/><Relationship Id="rId26" Type="http://schemas.openxmlformats.org/officeDocument/2006/relationships/ctrlProp" Target="../ctrlProps/ctrlProp1.xml"/><Relationship Id="rId39" Type="http://schemas.openxmlformats.org/officeDocument/2006/relationships/table" Target="../tables/table1.xml"/><Relationship Id="rId21" Type="http://schemas.openxmlformats.org/officeDocument/2006/relationships/image" Target="../media/image20.emf"/><Relationship Id="rId34" Type="http://schemas.openxmlformats.org/officeDocument/2006/relationships/ctrlProp" Target="../ctrlProps/ctrlProp9.xml"/><Relationship Id="rId7" Type="http://schemas.openxmlformats.org/officeDocument/2006/relationships/image" Target="../media/image13.emf"/><Relationship Id="rId12" Type="http://schemas.openxmlformats.org/officeDocument/2006/relationships/control" Target="../activeX/activeX6.xml"/><Relationship Id="rId17" Type="http://schemas.openxmlformats.org/officeDocument/2006/relationships/image" Target="../media/image18.emf"/><Relationship Id="rId25" Type="http://schemas.openxmlformats.org/officeDocument/2006/relationships/image" Target="../media/image22.emf"/><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17.xm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ctrlProp" Target="../ctrlProps/ctrlProp4.xml"/><Relationship Id="rId1" Type="http://schemas.openxmlformats.org/officeDocument/2006/relationships/printerSettings" Target="../printerSettings/printerSettings19.bin"/><Relationship Id="rId6" Type="http://schemas.openxmlformats.org/officeDocument/2006/relationships/control" Target="../activeX/activeX3.xml"/><Relationship Id="rId11" Type="http://schemas.openxmlformats.org/officeDocument/2006/relationships/image" Target="../media/image15.emf"/><Relationship Id="rId24" Type="http://schemas.openxmlformats.org/officeDocument/2006/relationships/control" Target="../activeX/activeX12.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12.emf"/><Relationship Id="rId15" Type="http://schemas.openxmlformats.org/officeDocument/2006/relationships/image" Target="../media/image17.emf"/><Relationship Id="rId23" Type="http://schemas.openxmlformats.org/officeDocument/2006/relationships/image" Target="../media/image21.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5.xml"/><Relationship Id="rId19" Type="http://schemas.openxmlformats.org/officeDocument/2006/relationships/image" Target="../media/image19.emf"/><Relationship Id="rId31" Type="http://schemas.openxmlformats.org/officeDocument/2006/relationships/ctrlProp" Target="../ctrlProps/ctrlProp6.xml"/><Relationship Id="rId4" Type="http://schemas.openxmlformats.org/officeDocument/2006/relationships/control" Target="../activeX/activeX2.xml"/><Relationship Id="rId9" Type="http://schemas.openxmlformats.org/officeDocument/2006/relationships/image" Target="../media/image14.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 Id="rId8" Type="http://schemas.openxmlformats.org/officeDocument/2006/relationships/control" Target="../activeX/activeX4.xml"/><Relationship Id="rId3"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omments" Target="../comments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1.xml"/><Relationship Id="rId1" Type="http://schemas.openxmlformats.org/officeDocument/2006/relationships/printerSettings" Target="../printerSettings/printerSettings23.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omments" Target="../comments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3.xml"/><Relationship Id="rId1" Type="http://schemas.openxmlformats.org/officeDocument/2006/relationships/printerSettings" Target="../printerSettings/printerSettings25.bin"/><Relationship Id="rId4" Type="http://schemas.openxmlformats.org/officeDocument/2006/relationships/comments" Target="../comments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omments" Target="../comments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5.xml"/><Relationship Id="rId1" Type="http://schemas.openxmlformats.org/officeDocument/2006/relationships/printerSettings" Target="../printerSettings/printerSettings27.bin"/><Relationship Id="rId4" Type="http://schemas.openxmlformats.org/officeDocument/2006/relationships/comments" Target="../comments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6.xml"/><Relationship Id="rId1" Type="http://schemas.openxmlformats.org/officeDocument/2006/relationships/printerSettings" Target="../printerSettings/printerSettings28.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7.xml"/><Relationship Id="rId1" Type="http://schemas.openxmlformats.org/officeDocument/2006/relationships/printerSettings" Target="../printerSettings/printerSettings29.bin"/><Relationship Id="rId4" Type="http://schemas.openxmlformats.org/officeDocument/2006/relationships/comments" Target="../comments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8.xml"/><Relationship Id="rId1" Type="http://schemas.openxmlformats.org/officeDocument/2006/relationships/printerSettings" Target="../printerSettings/printerSettings30.bin"/><Relationship Id="rId4" Type="http://schemas.openxmlformats.org/officeDocument/2006/relationships/comments" Target="../comments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9.xml"/><Relationship Id="rId1" Type="http://schemas.openxmlformats.org/officeDocument/2006/relationships/printerSettings" Target="../printerSettings/printerSettings31.bin"/><Relationship Id="rId4" Type="http://schemas.openxmlformats.org/officeDocument/2006/relationships/comments" Target="../comments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0.xml"/><Relationship Id="rId1" Type="http://schemas.openxmlformats.org/officeDocument/2006/relationships/printerSettings" Target="../printerSettings/printerSettings32.bin"/><Relationship Id="rId4" Type="http://schemas.openxmlformats.org/officeDocument/2006/relationships/comments" Target="../comments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mments" Target="../comments23.xml"/><Relationship Id="rId5" Type="http://schemas.openxmlformats.org/officeDocument/2006/relationships/image" Target="../media/image23.emf"/><Relationship Id="rId4" Type="http://schemas.openxmlformats.org/officeDocument/2006/relationships/control" Target="../activeX/activeX1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2.xml"/><Relationship Id="rId1" Type="http://schemas.openxmlformats.org/officeDocument/2006/relationships/printerSettings" Target="../printerSettings/printerSettings34.bin"/><Relationship Id="rId4" Type="http://schemas.openxmlformats.org/officeDocument/2006/relationships/comments" Target="../comments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3.xml"/><Relationship Id="rId1" Type="http://schemas.openxmlformats.org/officeDocument/2006/relationships/printerSettings" Target="../printerSettings/printerSettings35.bin"/><Relationship Id="rId4" Type="http://schemas.openxmlformats.org/officeDocument/2006/relationships/comments" Target="../comments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4.xml"/><Relationship Id="rId1" Type="http://schemas.openxmlformats.org/officeDocument/2006/relationships/printerSettings" Target="../printerSettings/printerSettings36.bin"/><Relationship Id="rId4" Type="http://schemas.openxmlformats.org/officeDocument/2006/relationships/comments" Target="../comments2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5.xml"/><Relationship Id="rId1" Type="http://schemas.openxmlformats.org/officeDocument/2006/relationships/printerSettings" Target="../printerSettings/printerSettings37.bin"/><Relationship Id="rId4" Type="http://schemas.openxmlformats.org/officeDocument/2006/relationships/comments" Target="../comments2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6.xml"/><Relationship Id="rId1" Type="http://schemas.openxmlformats.org/officeDocument/2006/relationships/printerSettings" Target="../printerSettings/printerSettings38.bin"/><Relationship Id="rId4" Type="http://schemas.openxmlformats.org/officeDocument/2006/relationships/comments" Target="../comments2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7.xml"/><Relationship Id="rId1" Type="http://schemas.openxmlformats.org/officeDocument/2006/relationships/printerSettings" Target="../printerSettings/printerSettings39.bin"/><Relationship Id="rId4" Type="http://schemas.openxmlformats.org/officeDocument/2006/relationships/comments" Target="../comments2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8.xml"/><Relationship Id="rId1" Type="http://schemas.openxmlformats.org/officeDocument/2006/relationships/printerSettings" Target="../printerSettings/printerSettings40.bin"/><Relationship Id="rId4" Type="http://schemas.openxmlformats.org/officeDocument/2006/relationships/comments" Target="../comments3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9.xml"/><Relationship Id="rId1" Type="http://schemas.openxmlformats.org/officeDocument/2006/relationships/printerSettings" Target="../printerSettings/printerSettings41.bin"/><Relationship Id="rId4" Type="http://schemas.openxmlformats.org/officeDocument/2006/relationships/comments" Target="../comments3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40.xml"/><Relationship Id="rId1" Type="http://schemas.openxmlformats.org/officeDocument/2006/relationships/printerSettings" Target="../printerSettings/printerSettings42.bin"/><Relationship Id="rId4" Type="http://schemas.openxmlformats.org/officeDocument/2006/relationships/comments" Target="../comments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S359"/>
  <sheetViews>
    <sheetView workbookViewId="0">
      <selection activeCell="P11" sqref="P11"/>
    </sheetView>
  </sheetViews>
  <sheetFormatPr defaultRowHeight="12.75" x14ac:dyDescent="0.2"/>
  <cols>
    <col min="1" max="1" width="9.5703125" bestFit="1" customWidth="1"/>
  </cols>
  <sheetData>
    <row r="1" spans="1:19" x14ac:dyDescent="0.2">
      <c r="A1" t="s">
        <v>76</v>
      </c>
      <c r="B1" s="94"/>
      <c r="F1" s="94"/>
      <c r="G1" s="94"/>
      <c r="H1" s="94"/>
      <c r="I1" s="94"/>
      <c r="J1" s="94"/>
      <c r="K1" s="94"/>
      <c r="M1" s="1817" t="s">
        <v>565</v>
      </c>
      <c r="N1" s="1817"/>
      <c r="O1" s="94"/>
      <c r="P1" s="94"/>
      <c r="Q1" s="94"/>
      <c r="R1" s="94"/>
      <c r="S1" s="94"/>
    </row>
    <row r="2" spans="1:19" x14ac:dyDescent="0.2">
      <c r="A2" t="s">
        <v>180</v>
      </c>
      <c r="B2" s="94"/>
      <c r="C2" s="94"/>
      <c r="D2" s="94"/>
      <c r="E2" s="94"/>
      <c r="G2" s="94"/>
      <c r="H2" s="94"/>
      <c r="I2" s="94"/>
      <c r="J2" s="94"/>
      <c r="K2" s="94"/>
      <c r="M2" s="121" t="s">
        <v>566</v>
      </c>
      <c r="N2" s="121"/>
      <c r="O2" s="94"/>
      <c r="P2" s="94"/>
      <c r="Q2" s="94"/>
      <c r="R2" s="94"/>
      <c r="S2" s="94"/>
    </row>
    <row r="3" spans="1:19" x14ac:dyDescent="0.2">
      <c r="A3" t="s">
        <v>181</v>
      </c>
      <c r="B3" s="94"/>
      <c r="C3" s="94"/>
      <c r="D3" s="94"/>
      <c r="E3" s="94"/>
      <c r="G3" s="94"/>
      <c r="H3" s="94"/>
      <c r="I3" s="94"/>
      <c r="J3" s="94"/>
      <c r="K3" s="94"/>
      <c r="M3" s="122">
        <v>6</v>
      </c>
      <c r="N3" s="122">
        <v>4.5</v>
      </c>
      <c r="O3" s="94"/>
      <c r="P3" s="94"/>
      <c r="Q3" s="94"/>
      <c r="R3" s="94"/>
      <c r="S3" s="94"/>
    </row>
    <row r="4" spans="1:19" x14ac:dyDescent="0.2">
      <c r="A4" t="s">
        <v>182</v>
      </c>
      <c r="B4" s="94"/>
      <c r="C4" s="94"/>
      <c r="D4" s="94"/>
      <c r="E4" s="94"/>
      <c r="G4" s="94"/>
      <c r="H4" s="94"/>
      <c r="I4" s="94"/>
      <c r="J4" s="94"/>
      <c r="K4" s="94"/>
      <c r="M4" s="122">
        <v>7</v>
      </c>
      <c r="N4" s="122">
        <v>5</v>
      </c>
      <c r="O4" s="94"/>
      <c r="P4" s="94"/>
      <c r="Q4" s="94"/>
      <c r="R4" s="94"/>
      <c r="S4" s="94"/>
    </row>
    <row r="5" spans="1:19" x14ac:dyDescent="0.2">
      <c r="A5" t="s">
        <v>183</v>
      </c>
      <c r="B5" s="94"/>
      <c r="C5" s="94"/>
      <c r="D5" s="94"/>
      <c r="E5" s="94"/>
      <c r="G5" s="94"/>
      <c r="H5" s="94"/>
      <c r="I5" s="94"/>
      <c r="J5" s="94"/>
      <c r="K5" s="94"/>
      <c r="M5" s="122"/>
      <c r="N5" s="122"/>
      <c r="O5" s="94"/>
      <c r="P5" s="94"/>
      <c r="Q5" s="94"/>
      <c r="R5" s="94"/>
      <c r="S5" s="94"/>
    </row>
    <row r="6" spans="1:19" x14ac:dyDescent="0.2">
      <c r="A6" t="s">
        <v>184</v>
      </c>
      <c r="B6" s="94"/>
      <c r="C6" s="94"/>
      <c r="D6" s="94"/>
      <c r="E6" s="94"/>
      <c r="G6" s="94"/>
      <c r="H6" s="94"/>
      <c r="I6" s="94"/>
      <c r="J6" s="94"/>
      <c r="K6" s="94"/>
      <c r="M6" s="122"/>
      <c r="N6" s="122"/>
      <c r="O6" s="94"/>
      <c r="P6" s="94"/>
      <c r="Q6" s="94"/>
      <c r="R6" s="94"/>
      <c r="S6" s="94"/>
    </row>
    <row r="7" spans="1:19" x14ac:dyDescent="0.2">
      <c r="A7" t="s">
        <v>185</v>
      </c>
      <c r="B7" s="94"/>
      <c r="C7" s="94"/>
      <c r="D7" s="94"/>
      <c r="E7" s="94"/>
      <c r="G7" s="94"/>
      <c r="H7" s="94"/>
      <c r="I7" s="94"/>
      <c r="J7" s="94"/>
      <c r="K7" s="94"/>
      <c r="M7" s="121"/>
      <c r="N7" s="121"/>
      <c r="O7" s="94"/>
      <c r="P7" s="94"/>
      <c r="Q7" s="94"/>
      <c r="R7" s="94"/>
      <c r="S7" s="94"/>
    </row>
    <row r="8" spans="1:19" x14ac:dyDescent="0.2">
      <c r="A8" t="s">
        <v>186</v>
      </c>
      <c r="B8" s="94"/>
      <c r="C8" s="94"/>
      <c r="D8" s="94"/>
      <c r="E8" s="94"/>
      <c r="G8" s="94"/>
      <c r="H8" s="94"/>
      <c r="I8" s="94"/>
      <c r="J8" s="94"/>
      <c r="K8" s="94"/>
      <c r="M8" s="121"/>
      <c r="N8" s="121"/>
      <c r="O8" s="94"/>
      <c r="P8" s="94"/>
      <c r="Q8" s="94"/>
      <c r="R8" s="94"/>
      <c r="S8" s="94"/>
    </row>
    <row r="9" spans="1:19" x14ac:dyDescent="0.2">
      <c r="A9" t="s">
        <v>187</v>
      </c>
      <c r="B9" s="94"/>
      <c r="C9" s="94"/>
      <c r="D9" s="94"/>
      <c r="E9" s="94"/>
      <c r="G9" s="94"/>
      <c r="H9" s="94"/>
      <c r="I9" s="94"/>
      <c r="J9" s="94"/>
      <c r="K9" s="94"/>
      <c r="M9" s="121"/>
      <c r="N9" s="121"/>
      <c r="O9" s="94"/>
      <c r="P9" s="94"/>
      <c r="Q9" s="94"/>
      <c r="R9" s="94"/>
      <c r="S9" s="94"/>
    </row>
    <row r="10" spans="1:19" x14ac:dyDescent="0.2">
      <c r="A10" t="s">
        <v>188</v>
      </c>
      <c r="B10" s="94"/>
      <c r="C10" s="94"/>
      <c r="D10" s="94"/>
      <c r="E10" s="94"/>
      <c r="G10" s="94"/>
      <c r="H10" s="94"/>
      <c r="I10" s="94"/>
      <c r="J10" s="94"/>
      <c r="K10" s="94"/>
      <c r="M10" s="121"/>
      <c r="N10" s="121"/>
      <c r="O10" s="94"/>
      <c r="P10" s="94"/>
      <c r="Q10" s="94"/>
      <c r="R10" s="94"/>
      <c r="S10" s="94"/>
    </row>
    <row r="11" spans="1:19" x14ac:dyDescent="0.2">
      <c r="A11" t="s">
        <v>189</v>
      </c>
      <c r="B11" s="94"/>
      <c r="C11" s="94"/>
      <c r="D11" s="94"/>
      <c r="E11" s="94"/>
      <c r="G11" s="94"/>
      <c r="H11" s="94"/>
      <c r="I11" s="94"/>
      <c r="J11" s="94"/>
      <c r="K11" s="94"/>
      <c r="O11" s="94"/>
      <c r="P11" s="94"/>
      <c r="Q11" s="94"/>
      <c r="R11" s="94"/>
      <c r="S11" s="94"/>
    </row>
    <row r="12" spans="1:19" x14ac:dyDescent="0.2">
      <c r="A12" t="s">
        <v>190</v>
      </c>
      <c r="B12" s="94"/>
      <c r="C12" s="94"/>
      <c r="D12" s="94"/>
      <c r="E12" s="94"/>
      <c r="G12" s="94"/>
      <c r="H12" s="94"/>
      <c r="I12" s="94"/>
      <c r="J12" s="94"/>
      <c r="K12" s="94"/>
      <c r="M12" s="121" t="s">
        <v>567</v>
      </c>
      <c r="N12" s="121"/>
      <c r="O12" s="94"/>
      <c r="P12" s="94"/>
      <c r="Q12" s="94"/>
      <c r="R12" s="94"/>
      <c r="S12" s="94"/>
    </row>
    <row r="13" spans="1:19" x14ac:dyDescent="0.2">
      <c r="A13" t="s">
        <v>191</v>
      </c>
      <c r="B13" s="94"/>
      <c r="C13" s="94"/>
      <c r="D13" s="94"/>
      <c r="E13" s="94"/>
      <c r="G13" s="94"/>
      <c r="H13" s="94"/>
      <c r="I13" s="94"/>
      <c r="J13" s="94"/>
      <c r="K13" s="94"/>
      <c r="M13" s="122"/>
      <c r="N13" s="122"/>
      <c r="O13" s="94"/>
      <c r="P13" s="94"/>
      <c r="Q13" s="94"/>
      <c r="R13" s="94"/>
      <c r="S13" s="94"/>
    </row>
    <row r="14" spans="1:19" x14ac:dyDescent="0.2">
      <c r="A14" t="s">
        <v>192</v>
      </c>
      <c r="B14" s="94"/>
      <c r="C14" s="94"/>
      <c r="D14" s="94"/>
      <c r="E14" s="94"/>
      <c r="G14" s="94"/>
      <c r="H14" s="94"/>
      <c r="I14" s="94"/>
      <c r="J14" s="94"/>
      <c r="K14" s="94"/>
      <c r="M14" s="122"/>
      <c r="N14" s="122"/>
      <c r="O14" s="94"/>
      <c r="P14" s="94"/>
      <c r="Q14" s="94"/>
      <c r="R14" s="94"/>
      <c r="S14" s="94"/>
    </row>
    <row r="15" spans="1:19" x14ac:dyDescent="0.2">
      <c r="A15" t="s">
        <v>193</v>
      </c>
      <c r="B15" s="94"/>
      <c r="C15" s="94"/>
      <c r="D15" s="94"/>
      <c r="E15" s="94"/>
      <c r="G15" s="94"/>
      <c r="H15" s="94"/>
      <c r="I15" s="94"/>
      <c r="J15" s="119"/>
      <c r="K15" s="94"/>
      <c r="M15" s="122"/>
      <c r="N15" s="122"/>
      <c r="O15" s="94"/>
      <c r="P15" s="94"/>
      <c r="Q15" s="94"/>
      <c r="R15" s="119"/>
      <c r="S15" s="94"/>
    </row>
    <row r="16" spans="1:19" x14ac:dyDescent="0.2">
      <c r="A16" t="s">
        <v>175</v>
      </c>
      <c r="B16" s="94"/>
      <c r="C16" s="94"/>
      <c r="D16" s="94"/>
      <c r="E16" s="94"/>
      <c r="G16" s="94"/>
      <c r="H16" s="94"/>
      <c r="I16" s="94"/>
      <c r="J16" s="94"/>
      <c r="K16" s="94"/>
      <c r="M16" s="122"/>
      <c r="N16" s="122"/>
      <c r="O16" s="94"/>
      <c r="P16" s="94"/>
      <c r="Q16" s="94"/>
      <c r="R16" s="94"/>
      <c r="S16" s="94"/>
    </row>
    <row r="17" spans="1:19" x14ac:dyDescent="0.2">
      <c r="A17" t="s">
        <v>194</v>
      </c>
      <c r="B17" s="94"/>
      <c r="C17" s="94"/>
      <c r="D17" s="94"/>
      <c r="E17" s="94"/>
      <c r="G17" s="94"/>
      <c r="H17" s="94"/>
      <c r="I17" s="94"/>
      <c r="J17" s="94"/>
      <c r="K17" s="94"/>
      <c r="M17" s="121"/>
      <c r="N17" s="123"/>
      <c r="O17" s="94"/>
      <c r="P17" s="94"/>
      <c r="Q17" s="94"/>
      <c r="R17" s="94"/>
      <c r="S17" s="94"/>
    </row>
    <row r="18" spans="1:19" x14ac:dyDescent="0.2">
      <c r="A18" t="s">
        <v>195</v>
      </c>
      <c r="B18" s="94"/>
      <c r="C18" s="94"/>
      <c r="D18" s="94"/>
      <c r="E18" s="94"/>
      <c r="G18" s="94"/>
      <c r="H18" s="94"/>
      <c r="I18" s="94"/>
      <c r="J18" s="94"/>
      <c r="K18" s="94"/>
      <c r="M18" s="121"/>
      <c r="N18" s="123"/>
      <c r="O18" s="94"/>
      <c r="P18" s="94"/>
      <c r="Q18" s="94"/>
      <c r="R18" s="94"/>
      <c r="S18" s="94"/>
    </row>
    <row r="19" spans="1:19" x14ac:dyDescent="0.2">
      <c r="A19" t="s">
        <v>196</v>
      </c>
      <c r="B19" s="120"/>
      <c r="C19" s="94"/>
      <c r="D19" s="94"/>
      <c r="E19" s="94"/>
      <c r="G19" s="94"/>
      <c r="H19" s="94"/>
      <c r="I19" s="94"/>
      <c r="J19" s="94"/>
      <c r="K19" s="94"/>
      <c r="M19" s="121"/>
      <c r="N19" s="123"/>
      <c r="O19" s="94"/>
      <c r="P19" s="94"/>
      <c r="Q19" s="94"/>
      <c r="R19" s="94"/>
      <c r="S19" s="94"/>
    </row>
    <row r="20" spans="1:19" x14ac:dyDescent="0.2">
      <c r="A20" t="s">
        <v>197</v>
      </c>
      <c r="B20" s="120"/>
      <c r="C20" s="94"/>
      <c r="D20" s="94"/>
      <c r="E20" s="94"/>
      <c r="G20" s="94"/>
      <c r="H20" s="94"/>
      <c r="I20" s="94"/>
      <c r="J20" s="94"/>
      <c r="K20" s="94"/>
      <c r="M20" s="121"/>
      <c r="N20" s="123"/>
      <c r="O20" s="94"/>
      <c r="P20" s="94"/>
      <c r="Q20" s="94"/>
      <c r="R20" s="94"/>
      <c r="S20" s="94"/>
    </row>
    <row r="21" spans="1:19" x14ac:dyDescent="0.2">
      <c r="A21" t="s">
        <v>198</v>
      </c>
      <c r="B21" s="94"/>
      <c r="C21" s="94"/>
      <c r="D21" s="94"/>
      <c r="E21" s="94"/>
      <c r="G21" s="94"/>
      <c r="H21" s="94"/>
      <c r="I21" s="94"/>
      <c r="J21" s="94"/>
      <c r="K21" s="94"/>
      <c r="M21" s="121"/>
      <c r="N21" s="123"/>
      <c r="O21" s="94"/>
      <c r="P21" s="94"/>
      <c r="Q21" s="94"/>
      <c r="R21" s="94"/>
      <c r="S21" s="94"/>
    </row>
    <row r="22" spans="1:19" x14ac:dyDescent="0.2">
      <c r="A22" t="s">
        <v>199</v>
      </c>
      <c r="B22" s="94"/>
      <c r="C22" s="94"/>
      <c r="D22" s="94"/>
      <c r="E22" s="94"/>
      <c r="G22" s="94"/>
      <c r="H22" s="94"/>
      <c r="I22" s="94"/>
      <c r="J22" s="94"/>
      <c r="K22" s="94"/>
      <c r="M22" s="121"/>
      <c r="N22" s="123"/>
      <c r="O22" s="94"/>
      <c r="P22" s="94"/>
      <c r="Q22" s="94"/>
      <c r="R22" s="94"/>
      <c r="S22" s="94"/>
    </row>
    <row r="23" spans="1:19" x14ac:dyDescent="0.2">
      <c r="A23" t="s">
        <v>200</v>
      </c>
      <c r="B23" s="120"/>
      <c r="C23" s="94"/>
      <c r="D23" s="94"/>
      <c r="E23" s="94"/>
      <c r="G23" s="94"/>
      <c r="H23" s="94"/>
      <c r="I23" s="94"/>
      <c r="J23" s="94"/>
      <c r="K23" s="94"/>
      <c r="M23" s="121"/>
      <c r="N23" s="123"/>
      <c r="O23" s="94"/>
      <c r="P23" s="94"/>
      <c r="Q23" s="94"/>
      <c r="R23" s="94"/>
      <c r="S23" s="94"/>
    </row>
    <row r="24" spans="1:19" x14ac:dyDescent="0.2">
      <c r="A24" t="s">
        <v>201</v>
      </c>
      <c r="B24" s="120"/>
      <c r="C24" s="94"/>
      <c r="D24" s="94"/>
      <c r="E24" s="94"/>
      <c r="G24" s="94"/>
      <c r="H24" s="94"/>
      <c r="I24" s="94"/>
      <c r="J24" s="94"/>
      <c r="K24" s="94"/>
      <c r="M24" s="121"/>
      <c r="N24" s="123"/>
      <c r="O24" s="94"/>
      <c r="P24" s="94"/>
      <c r="Q24" s="94"/>
      <c r="R24" s="94"/>
      <c r="S24" s="94"/>
    </row>
    <row r="25" spans="1:19" x14ac:dyDescent="0.2">
      <c r="A25" t="s">
        <v>202</v>
      </c>
      <c r="B25" s="94"/>
      <c r="C25" s="94"/>
      <c r="D25" s="94"/>
      <c r="E25" s="94"/>
      <c r="G25" s="94"/>
      <c r="H25" s="94"/>
      <c r="I25" s="94"/>
      <c r="J25" s="94"/>
      <c r="K25" s="94"/>
      <c r="M25" s="121"/>
      <c r="N25" s="123"/>
      <c r="O25" s="94"/>
      <c r="P25" s="94"/>
      <c r="Q25" s="94"/>
      <c r="R25" s="94"/>
      <c r="S25" s="94"/>
    </row>
    <row r="26" spans="1:19" x14ac:dyDescent="0.2">
      <c r="A26" t="s">
        <v>203</v>
      </c>
      <c r="B26" s="94"/>
      <c r="C26" s="94"/>
      <c r="D26" s="94"/>
      <c r="E26" s="94"/>
      <c r="G26" s="94"/>
      <c r="H26" s="94"/>
      <c r="I26" s="94"/>
      <c r="J26" s="94"/>
      <c r="K26" s="94"/>
      <c r="M26" s="121"/>
      <c r="N26" s="123"/>
      <c r="O26" s="94"/>
      <c r="P26" s="94"/>
      <c r="Q26" s="94"/>
      <c r="R26" s="94"/>
      <c r="S26" s="94"/>
    </row>
    <row r="27" spans="1:19" x14ac:dyDescent="0.2">
      <c r="A27" t="s">
        <v>204</v>
      </c>
      <c r="B27" s="120"/>
      <c r="C27" s="94"/>
      <c r="D27" s="94"/>
      <c r="E27" s="94"/>
      <c r="G27" s="94"/>
      <c r="H27" s="94"/>
      <c r="I27" s="94"/>
      <c r="J27" s="94"/>
      <c r="K27" s="94"/>
      <c r="M27" s="121"/>
      <c r="N27" s="123"/>
      <c r="O27" s="94"/>
      <c r="P27" s="94"/>
      <c r="Q27" s="94"/>
      <c r="R27" s="94"/>
      <c r="S27" s="94"/>
    </row>
    <row r="28" spans="1:19" x14ac:dyDescent="0.2">
      <c r="A28" t="s">
        <v>205</v>
      </c>
      <c r="B28" s="120"/>
      <c r="C28" s="94"/>
      <c r="D28" s="94"/>
      <c r="E28" s="94"/>
      <c r="G28" s="94"/>
      <c r="H28" s="94"/>
      <c r="I28" s="94"/>
      <c r="J28" s="94"/>
      <c r="K28" s="94"/>
      <c r="M28" s="121"/>
      <c r="N28" s="123"/>
      <c r="O28" s="94"/>
      <c r="P28" s="94"/>
      <c r="Q28" s="94"/>
      <c r="R28" s="94"/>
      <c r="S28" s="94"/>
    </row>
    <row r="29" spans="1:19" x14ac:dyDescent="0.2">
      <c r="A29" t="s">
        <v>206</v>
      </c>
      <c r="B29" s="94"/>
      <c r="C29" s="94"/>
      <c r="D29" s="94"/>
      <c r="E29" s="94"/>
      <c r="G29" s="94"/>
      <c r="H29" s="94"/>
      <c r="I29" s="94"/>
      <c r="J29" s="94"/>
      <c r="K29" s="94"/>
      <c r="N29" s="120"/>
      <c r="O29" s="94"/>
      <c r="P29" s="94"/>
      <c r="Q29" s="94"/>
      <c r="R29" s="94"/>
      <c r="S29" s="94"/>
    </row>
    <row r="30" spans="1:19" x14ac:dyDescent="0.2">
      <c r="A30" t="s">
        <v>207</v>
      </c>
      <c r="B30" s="94"/>
      <c r="C30" s="94"/>
      <c r="D30" s="94"/>
      <c r="E30" s="94"/>
      <c r="G30" s="94"/>
      <c r="H30" s="94"/>
      <c r="I30" s="94"/>
      <c r="J30" s="94"/>
      <c r="K30" s="94"/>
      <c r="N30" s="120"/>
      <c r="O30" s="94"/>
      <c r="P30" s="94"/>
      <c r="Q30" s="94"/>
      <c r="R30" s="94"/>
      <c r="S30" s="94"/>
    </row>
    <row r="31" spans="1:19" x14ac:dyDescent="0.2">
      <c r="A31" t="s">
        <v>208</v>
      </c>
      <c r="B31" s="120"/>
      <c r="C31" s="94"/>
      <c r="D31" s="94"/>
      <c r="E31" s="94"/>
      <c r="G31" s="94"/>
      <c r="H31" s="94"/>
      <c r="I31" s="94"/>
      <c r="J31" s="94"/>
      <c r="K31" s="94"/>
      <c r="N31" s="120"/>
      <c r="O31" s="94"/>
      <c r="P31" s="94"/>
      <c r="Q31" s="94"/>
      <c r="R31" s="94"/>
      <c r="S31" s="94"/>
    </row>
    <row r="32" spans="1:19" x14ac:dyDescent="0.2">
      <c r="A32" t="s">
        <v>209</v>
      </c>
      <c r="B32" s="120"/>
      <c r="C32" s="94"/>
      <c r="D32" s="94"/>
      <c r="E32" s="94"/>
      <c r="G32" s="94"/>
      <c r="H32" s="94"/>
      <c r="I32" s="94"/>
      <c r="J32" s="94"/>
      <c r="K32" s="94"/>
      <c r="N32" s="120"/>
      <c r="O32" s="94"/>
      <c r="P32" s="94"/>
      <c r="Q32" s="94"/>
      <c r="R32" s="94"/>
      <c r="S32" s="94"/>
    </row>
    <row r="33" spans="1:19" x14ac:dyDescent="0.2">
      <c r="A33" t="s">
        <v>210</v>
      </c>
      <c r="B33" s="120"/>
      <c r="C33" s="94"/>
      <c r="D33" s="94"/>
      <c r="E33" s="94"/>
      <c r="G33" s="94"/>
      <c r="H33" s="94"/>
      <c r="I33" s="94"/>
      <c r="J33" s="94"/>
      <c r="K33" s="94"/>
      <c r="N33" s="94"/>
      <c r="O33" s="94"/>
      <c r="P33" s="94"/>
      <c r="Q33" s="94"/>
      <c r="R33" s="94"/>
      <c r="S33" s="94"/>
    </row>
    <row r="34" spans="1:19" x14ac:dyDescent="0.2">
      <c r="A34" t="s">
        <v>211</v>
      </c>
      <c r="B34" s="120"/>
      <c r="C34" s="94"/>
      <c r="D34" s="94"/>
      <c r="E34" s="94"/>
      <c r="G34" s="94"/>
      <c r="H34" s="94"/>
      <c r="I34" s="94"/>
      <c r="J34" s="94"/>
      <c r="K34" s="94"/>
      <c r="N34" s="94"/>
      <c r="O34" s="94"/>
      <c r="P34" s="94"/>
      <c r="Q34" s="94"/>
      <c r="R34" s="94"/>
      <c r="S34" s="94"/>
    </row>
    <row r="35" spans="1:19" x14ac:dyDescent="0.2">
      <c r="A35" t="s">
        <v>212</v>
      </c>
      <c r="B35" s="120"/>
      <c r="C35" s="94"/>
      <c r="D35" s="94"/>
      <c r="E35" s="94"/>
      <c r="G35" s="94"/>
      <c r="H35" s="94"/>
      <c r="I35" s="94"/>
      <c r="J35" s="94"/>
      <c r="K35" s="94"/>
      <c r="N35" s="94"/>
      <c r="O35" s="94"/>
      <c r="P35" s="94"/>
      <c r="Q35" s="94"/>
      <c r="R35" s="94"/>
      <c r="S35" s="94"/>
    </row>
    <row r="36" spans="1:19" x14ac:dyDescent="0.2">
      <c r="A36" t="s">
        <v>213</v>
      </c>
      <c r="B36" s="120"/>
      <c r="C36" s="94"/>
      <c r="D36" s="94"/>
      <c r="E36" s="94"/>
      <c r="G36" s="94"/>
      <c r="H36" s="94"/>
      <c r="I36" s="94"/>
      <c r="J36" s="94"/>
      <c r="K36" s="94"/>
      <c r="N36" s="120"/>
      <c r="O36" s="94"/>
      <c r="P36" s="94"/>
      <c r="Q36" s="94"/>
      <c r="R36" s="94"/>
      <c r="S36" s="94"/>
    </row>
    <row r="37" spans="1:19" x14ac:dyDescent="0.2">
      <c r="A37" t="s">
        <v>214</v>
      </c>
      <c r="B37" s="120"/>
      <c r="C37" s="94"/>
      <c r="D37" s="94"/>
      <c r="E37" s="94"/>
      <c r="G37" s="94"/>
      <c r="H37" s="94"/>
      <c r="I37" s="94"/>
      <c r="J37" s="94"/>
      <c r="K37" s="94"/>
      <c r="N37" s="120"/>
      <c r="O37" s="94"/>
      <c r="P37" s="94"/>
      <c r="Q37" s="94"/>
      <c r="R37" s="94"/>
      <c r="S37" s="94"/>
    </row>
    <row r="38" spans="1:19" x14ac:dyDescent="0.2">
      <c r="A38" t="s">
        <v>215</v>
      </c>
      <c r="B38" s="120"/>
      <c r="C38" s="94"/>
      <c r="D38" s="94"/>
      <c r="E38" s="94"/>
      <c r="G38" s="94"/>
      <c r="H38" s="94"/>
      <c r="I38" s="94"/>
      <c r="J38" s="94"/>
      <c r="K38" s="94"/>
      <c r="N38" s="120"/>
      <c r="O38" s="94"/>
      <c r="P38" s="94"/>
      <c r="Q38" s="94"/>
      <c r="R38" s="94"/>
      <c r="S38" s="94"/>
    </row>
    <row r="39" spans="1:19" x14ac:dyDescent="0.2">
      <c r="A39" t="s">
        <v>216</v>
      </c>
      <c r="B39" s="120"/>
      <c r="C39" s="94"/>
      <c r="D39" s="94"/>
      <c r="E39" s="94"/>
      <c r="G39" s="94"/>
      <c r="H39" s="94"/>
      <c r="I39" s="94"/>
      <c r="J39" s="94"/>
      <c r="K39" s="94"/>
      <c r="N39" s="120"/>
      <c r="O39" s="94"/>
      <c r="P39" s="94"/>
      <c r="Q39" s="94"/>
      <c r="R39" s="94"/>
      <c r="S39" s="94"/>
    </row>
    <row r="40" spans="1:19" x14ac:dyDescent="0.2">
      <c r="A40" t="s">
        <v>217</v>
      </c>
      <c r="B40" s="120"/>
      <c r="C40" s="94"/>
      <c r="D40" s="94"/>
      <c r="E40" s="94"/>
      <c r="G40" s="94"/>
      <c r="H40" s="94"/>
      <c r="I40" s="94"/>
      <c r="J40" s="94"/>
      <c r="K40" s="94"/>
      <c r="N40" s="120"/>
      <c r="O40" s="94"/>
      <c r="P40" s="94"/>
      <c r="Q40" s="94"/>
      <c r="R40" s="94"/>
      <c r="S40" s="94"/>
    </row>
    <row r="41" spans="1:19" x14ac:dyDescent="0.2">
      <c r="A41" t="s">
        <v>218</v>
      </c>
      <c r="B41" s="120"/>
      <c r="C41" s="94"/>
      <c r="D41" s="94"/>
      <c r="E41" s="94"/>
      <c r="G41" s="94"/>
      <c r="H41" s="94"/>
      <c r="I41" s="94"/>
      <c r="J41" s="94"/>
      <c r="K41" s="94"/>
      <c r="N41" s="120"/>
      <c r="O41" s="94"/>
      <c r="P41" s="94"/>
      <c r="Q41" s="94"/>
      <c r="R41" s="94"/>
      <c r="S41" s="94"/>
    </row>
    <row r="42" spans="1:19" x14ac:dyDescent="0.2">
      <c r="A42" t="s">
        <v>219</v>
      </c>
      <c r="B42" s="94"/>
      <c r="F42" s="94"/>
      <c r="G42" s="94"/>
      <c r="H42" s="94"/>
      <c r="I42" s="94"/>
      <c r="J42" s="94"/>
      <c r="K42" s="94"/>
      <c r="N42" s="94"/>
      <c r="O42" s="94"/>
      <c r="P42" s="94"/>
      <c r="Q42" s="94"/>
      <c r="R42" s="94"/>
      <c r="S42" s="94"/>
    </row>
    <row r="43" spans="1:19" x14ac:dyDescent="0.2">
      <c r="A43" t="s">
        <v>220</v>
      </c>
      <c r="B43" s="94"/>
      <c r="F43" s="120"/>
      <c r="G43" s="94"/>
      <c r="H43" s="94"/>
      <c r="I43" s="94"/>
      <c r="J43" s="94"/>
      <c r="K43" s="94"/>
      <c r="N43" s="120"/>
      <c r="O43" s="94"/>
      <c r="P43" s="94"/>
      <c r="Q43" s="94"/>
      <c r="R43" s="94"/>
      <c r="S43" s="94"/>
    </row>
    <row r="44" spans="1:19" x14ac:dyDescent="0.2">
      <c r="A44" t="s">
        <v>221</v>
      </c>
      <c r="B44" s="94"/>
      <c r="F44" s="120"/>
      <c r="G44" s="94"/>
      <c r="H44" s="94"/>
      <c r="I44" s="94"/>
      <c r="J44" s="94"/>
      <c r="K44" s="94"/>
      <c r="N44" s="120"/>
      <c r="O44" s="94"/>
      <c r="P44" s="94"/>
      <c r="Q44" s="94"/>
      <c r="R44" s="94"/>
      <c r="S44" s="94"/>
    </row>
    <row r="45" spans="1:19" x14ac:dyDescent="0.2">
      <c r="A45" t="s">
        <v>222</v>
      </c>
      <c r="B45" s="94"/>
      <c r="F45" s="120"/>
      <c r="G45" s="94"/>
      <c r="H45" s="94"/>
      <c r="I45" s="94"/>
      <c r="J45" s="94"/>
      <c r="K45" s="94"/>
      <c r="N45" s="120"/>
      <c r="O45" s="94"/>
      <c r="P45" s="94"/>
      <c r="Q45" s="94"/>
      <c r="R45" s="94"/>
      <c r="S45" s="94"/>
    </row>
    <row r="46" spans="1:19" x14ac:dyDescent="0.2">
      <c r="A46" t="s">
        <v>223</v>
      </c>
      <c r="B46" s="94"/>
      <c r="F46" s="120"/>
      <c r="G46" s="94"/>
      <c r="H46" s="94"/>
      <c r="I46" s="94"/>
      <c r="J46" s="94"/>
      <c r="K46" s="94"/>
      <c r="N46" s="120"/>
      <c r="O46" s="94"/>
      <c r="P46" s="94"/>
      <c r="Q46" s="94"/>
      <c r="R46" s="94"/>
      <c r="S46" s="94"/>
    </row>
    <row r="47" spans="1:19" x14ac:dyDescent="0.2">
      <c r="A47" t="s">
        <v>224</v>
      </c>
      <c r="B47" s="94"/>
      <c r="F47" s="120"/>
      <c r="G47" s="94"/>
      <c r="H47" s="94"/>
      <c r="I47" s="94"/>
      <c r="J47" s="94"/>
      <c r="K47" s="94"/>
      <c r="N47" s="120"/>
      <c r="O47" s="94"/>
      <c r="P47" s="94"/>
      <c r="Q47" s="94"/>
      <c r="R47" s="94"/>
      <c r="S47" s="94"/>
    </row>
    <row r="48" spans="1:19" x14ac:dyDescent="0.2">
      <c r="A48" t="s">
        <v>225</v>
      </c>
      <c r="B48" s="94"/>
      <c r="F48" s="94"/>
      <c r="G48" s="94"/>
      <c r="H48" s="94"/>
      <c r="I48" s="94"/>
      <c r="J48" s="94"/>
      <c r="K48" s="94"/>
      <c r="N48" s="120"/>
      <c r="O48" s="94"/>
      <c r="P48" s="94"/>
      <c r="Q48" s="94"/>
      <c r="R48" s="94"/>
      <c r="S48" s="94"/>
    </row>
    <row r="49" spans="1:19" x14ac:dyDescent="0.2">
      <c r="A49" t="s">
        <v>226</v>
      </c>
      <c r="B49" s="94"/>
      <c r="F49" s="94"/>
      <c r="G49" s="94"/>
      <c r="H49" s="94"/>
      <c r="I49" s="94"/>
      <c r="J49" s="94"/>
      <c r="K49" s="94"/>
      <c r="N49" s="120"/>
      <c r="O49" s="94"/>
      <c r="P49" s="94"/>
      <c r="Q49" s="94"/>
      <c r="R49" s="94"/>
      <c r="S49" s="94"/>
    </row>
    <row r="50" spans="1:19" x14ac:dyDescent="0.2">
      <c r="A50" t="s">
        <v>227</v>
      </c>
      <c r="B50" s="94"/>
      <c r="F50" s="120"/>
      <c r="G50" s="94"/>
      <c r="H50" s="94"/>
      <c r="I50" s="94"/>
      <c r="J50" s="94"/>
      <c r="K50" s="94"/>
      <c r="N50" s="120"/>
      <c r="O50" s="94"/>
      <c r="P50" s="94"/>
      <c r="Q50" s="94"/>
      <c r="R50" s="94"/>
      <c r="S50" s="94"/>
    </row>
    <row r="51" spans="1:19" x14ac:dyDescent="0.2">
      <c r="A51" t="s">
        <v>228</v>
      </c>
      <c r="B51" s="94"/>
      <c r="F51" s="120"/>
      <c r="G51" s="94"/>
      <c r="H51" s="94"/>
      <c r="I51" s="94"/>
      <c r="J51" s="94"/>
      <c r="K51" s="94"/>
      <c r="N51" s="120"/>
      <c r="O51" s="94"/>
      <c r="P51" s="94"/>
      <c r="Q51" s="94"/>
      <c r="R51" s="94"/>
      <c r="S51" s="94"/>
    </row>
    <row r="52" spans="1:19" x14ac:dyDescent="0.2">
      <c r="A52" t="s">
        <v>229</v>
      </c>
      <c r="B52" s="94"/>
      <c r="F52" s="120"/>
      <c r="G52" s="94"/>
      <c r="H52" s="94"/>
      <c r="I52" s="94"/>
      <c r="J52" s="94"/>
      <c r="K52" s="94"/>
      <c r="N52" s="120"/>
      <c r="O52" s="94"/>
      <c r="P52" s="94"/>
      <c r="Q52" s="94"/>
      <c r="R52" s="94"/>
      <c r="S52" s="94"/>
    </row>
    <row r="53" spans="1:19" x14ac:dyDescent="0.2">
      <c r="A53" t="s">
        <v>230</v>
      </c>
      <c r="B53" s="94"/>
      <c r="C53" s="94"/>
      <c r="D53" s="94"/>
      <c r="E53" s="94"/>
      <c r="F53" s="94"/>
      <c r="G53" s="94"/>
      <c r="H53" s="94"/>
      <c r="I53" s="94"/>
      <c r="J53" s="94"/>
      <c r="K53" s="94"/>
      <c r="N53" s="120"/>
      <c r="O53" s="94"/>
      <c r="P53" s="94"/>
      <c r="Q53" s="94"/>
      <c r="R53" s="94"/>
      <c r="S53" s="94"/>
    </row>
    <row r="54" spans="1:19" x14ac:dyDescent="0.2">
      <c r="A54" t="s">
        <v>231</v>
      </c>
      <c r="B54" s="94"/>
      <c r="C54" s="94"/>
      <c r="D54" s="94"/>
      <c r="E54" s="94"/>
      <c r="F54" s="94"/>
      <c r="G54" s="94"/>
      <c r="H54" s="94"/>
      <c r="I54" s="94"/>
      <c r="J54" s="94"/>
      <c r="K54" s="94"/>
      <c r="N54" s="120"/>
      <c r="O54" s="94"/>
      <c r="P54" s="94"/>
      <c r="Q54" s="94"/>
      <c r="R54" s="94"/>
      <c r="S54" s="94"/>
    </row>
    <row r="55" spans="1:19" x14ac:dyDescent="0.2">
      <c r="A55" t="s">
        <v>232</v>
      </c>
      <c r="B55" s="94"/>
      <c r="C55" s="94"/>
      <c r="D55" s="94"/>
      <c r="E55" s="94"/>
      <c r="F55" s="119"/>
      <c r="G55" s="94"/>
      <c r="H55" s="94"/>
      <c r="I55" s="94"/>
      <c r="J55" s="94"/>
      <c r="K55" s="94"/>
      <c r="N55" s="120"/>
      <c r="O55" s="94"/>
      <c r="P55" s="94"/>
      <c r="Q55" s="94"/>
      <c r="R55" s="94"/>
      <c r="S55" s="94"/>
    </row>
    <row r="56" spans="1:19" x14ac:dyDescent="0.2">
      <c r="A56" t="s">
        <v>233</v>
      </c>
      <c r="B56" s="94"/>
      <c r="C56" s="94"/>
      <c r="D56" s="94"/>
      <c r="E56" s="94"/>
      <c r="F56" s="94"/>
      <c r="G56" s="94"/>
      <c r="H56" s="94"/>
      <c r="I56" s="94"/>
      <c r="J56" s="94"/>
      <c r="K56" s="94"/>
      <c r="N56" s="94"/>
      <c r="O56" s="94"/>
      <c r="P56" s="94"/>
      <c r="Q56" s="94"/>
      <c r="R56" s="94"/>
      <c r="S56" s="94"/>
    </row>
    <row r="57" spans="1:19" x14ac:dyDescent="0.2">
      <c r="A57" t="s">
        <v>234</v>
      </c>
      <c r="B57" s="94"/>
      <c r="C57" s="94"/>
      <c r="D57" s="94"/>
      <c r="E57" s="94"/>
      <c r="F57" s="94"/>
      <c r="G57" s="94"/>
      <c r="H57" s="94"/>
      <c r="I57" s="94"/>
      <c r="J57" s="94"/>
      <c r="K57" s="94"/>
      <c r="N57" s="94"/>
      <c r="O57" s="94"/>
      <c r="P57" s="94"/>
      <c r="Q57" s="94"/>
      <c r="R57" s="94"/>
      <c r="S57" s="94"/>
    </row>
    <row r="58" spans="1:19" x14ac:dyDescent="0.2">
      <c r="A58" t="s">
        <v>235</v>
      </c>
      <c r="B58" s="94"/>
      <c r="C58" s="94"/>
      <c r="D58" s="94"/>
      <c r="E58" s="94"/>
      <c r="F58" s="94"/>
      <c r="G58" s="94"/>
      <c r="H58" s="94"/>
      <c r="I58" s="94"/>
      <c r="J58" s="94"/>
      <c r="K58" s="94"/>
      <c r="N58" s="120"/>
      <c r="O58" s="94"/>
      <c r="P58" s="94"/>
      <c r="Q58" s="94"/>
      <c r="R58" s="94"/>
      <c r="S58" s="94"/>
    </row>
    <row r="59" spans="1:19" x14ac:dyDescent="0.2">
      <c r="A59" t="s">
        <v>236</v>
      </c>
      <c r="B59" s="94"/>
      <c r="C59" s="94"/>
      <c r="D59" s="94"/>
      <c r="E59" s="94"/>
      <c r="F59" s="94"/>
      <c r="G59" s="94"/>
      <c r="H59" s="94"/>
      <c r="I59" s="94"/>
      <c r="J59" s="94"/>
      <c r="K59" s="94"/>
      <c r="N59" s="120"/>
      <c r="O59" s="94"/>
      <c r="P59" s="94"/>
      <c r="Q59" s="94"/>
      <c r="R59" s="94"/>
      <c r="S59" s="94"/>
    </row>
    <row r="60" spans="1:19" x14ac:dyDescent="0.2">
      <c r="A60" t="s">
        <v>237</v>
      </c>
      <c r="B60" s="94"/>
      <c r="C60" s="94"/>
      <c r="D60" s="94"/>
      <c r="E60" s="94"/>
      <c r="F60" s="94"/>
      <c r="G60" s="94"/>
      <c r="H60" s="94"/>
      <c r="I60" s="94"/>
      <c r="J60" s="94"/>
      <c r="K60" s="94"/>
      <c r="N60" s="120"/>
      <c r="O60" s="94"/>
      <c r="P60" s="94"/>
      <c r="Q60" s="94"/>
      <c r="R60" s="94"/>
      <c r="S60" s="94"/>
    </row>
    <row r="61" spans="1:19" x14ac:dyDescent="0.2">
      <c r="A61" t="s">
        <v>238</v>
      </c>
      <c r="B61" s="94"/>
      <c r="C61" s="94"/>
      <c r="D61" s="94"/>
      <c r="E61" s="94"/>
      <c r="F61" s="94"/>
      <c r="G61" s="94"/>
      <c r="H61" s="94"/>
      <c r="I61" s="94"/>
      <c r="J61" s="94"/>
      <c r="K61" s="94"/>
      <c r="N61" s="120"/>
      <c r="O61" s="94"/>
      <c r="P61" s="94"/>
      <c r="Q61" s="94"/>
      <c r="R61" s="94"/>
      <c r="S61" s="94"/>
    </row>
    <row r="62" spans="1:19" x14ac:dyDescent="0.2">
      <c r="A62" t="s">
        <v>239</v>
      </c>
      <c r="B62" s="94"/>
      <c r="C62" s="94"/>
      <c r="D62" s="94"/>
      <c r="E62" s="94"/>
      <c r="F62" s="94"/>
      <c r="G62" s="94"/>
      <c r="H62" s="94"/>
      <c r="I62" s="94"/>
      <c r="J62" s="94"/>
      <c r="K62" s="94"/>
      <c r="N62" s="120"/>
      <c r="O62" s="94"/>
      <c r="P62" s="94"/>
      <c r="Q62" s="94"/>
      <c r="R62" s="94"/>
      <c r="S62" s="94"/>
    </row>
    <row r="63" spans="1:19" x14ac:dyDescent="0.2">
      <c r="A63" t="s">
        <v>240</v>
      </c>
      <c r="B63" s="94"/>
      <c r="C63" s="94"/>
      <c r="D63" s="94"/>
      <c r="E63" s="94"/>
      <c r="F63" s="94"/>
      <c r="G63" s="94"/>
      <c r="H63" s="94"/>
      <c r="I63" s="94"/>
      <c r="J63" s="94"/>
      <c r="K63" s="94"/>
      <c r="N63" s="120"/>
      <c r="O63" s="94"/>
      <c r="P63" s="94"/>
      <c r="Q63" s="94"/>
      <c r="R63" s="94"/>
      <c r="S63" s="94"/>
    </row>
    <row r="64" spans="1:19" x14ac:dyDescent="0.2">
      <c r="A64" t="s">
        <v>241</v>
      </c>
      <c r="B64" s="94"/>
      <c r="C64" s="94"/>
      <c r="D64" s="94"/>
      <c r="E64" s="94"/>
      <c r="F64" s="94"/>
      <c r="G64" s="94"/>
      <c r="H64" s="94"/>
      <c r="I64" s="94"/>
      <c r="J64" s="94"/>
      <c r="K64" s="94"/>
      <c r="N64" s="120"/>
      <c r="O64" s="94"/>
      <c r="P64" s="94"/>
      <c r="Q64" s="94"/>
      <c r="R64" s="94"/>
      <c r="S64" s="94"/>
    </row>
    <row r="65" spans="1:19" x14ac:dyDescent="0.2">
      <c r="A65" t="s">
        <v>242</v>
      </c>
      <c r="B65" s="94"/>
      <c r="C65" s="94"/>
      <c r="D65" s="94"/>
      <c r="E65" s="94"/>
      <c r="F65" s="94"/>
      <c r="G65" s="94"/>
      <c r="H65" s="94"/>
      <c r="I65" s="94"/>
      <c r="J65" s="94"/>
      <c r="K65" s="94"/>
      <c r="N65" s="120"/>
      <c r="O65" s="94"/>
      <c r="P65" s="94"/>
      <c r="Q65" s="94"/>
      <c r="R65" s="94"/>
      <c r="S65" s="94"/>
    </row>
    <row r="66" spans="1:19" x14ac:dyDescent="0.2">
      <c r="A66" t="s">
        <v>243</v>
      </c>
      <c r="B66" s="94"/>
      <c r="C66" s="94"/>
      <c r="D66" s="94"/>
      <c r="E66" s="94"/>
      <c r="F66" s="94"/>
      <c r="G66" s="94"/>
      <c r="H66" s="94"/>
      <c r="I66" s="94"/>
      <c r="J66" s="94"/>
      <c r="K66" s="94"/>
      <c r="N66" s="120"/>
      <c r="O66" s="94"/>
      <c r="P66" s="94"/>
      <c r="Q66" s="94"/>
      <c r="R66" s="94"/>
      <c r="S66" s="94"/>
    </row>
    <row r="67" spans="1:19" x14ac:dyDescent="0.2">
      <c r="A67" t="s">
        <v>244</v>
      </c>
      <c r="B67" s="94"/>
      <c r="C67" s="94"/>
      <c r="D67" s="94"/>
      <c r="E67" s="94"/>
      <c r="F67" s="94"/>
      <c r="G67" s="94"/>
      <c r="H67" s="94"/>
      <c r="I67" s="94"/>
      <c r="J67" s="94"/>
      <c r="K67" s="94"/>
      <c r="N67" s="120"/>
      <c r="O67" s="94"/>
      <c r="P67" s="94"/>
      <c r="Q67" s="94"/>
      <c r="R67" s="94"/>
      <c r="S67" s="94"/>
    </row>
    <row r="68" spans="1:19" x14ac:dyDescent="0.2">
      <c r="A68" t="s">
        <v>245</v>
      </c>
      <c r="B68" s="94"/>
      <c r="C68" s="94"/>
      <c r="D68" s="94"/>
      <c r="E68" s="94"/>
      <c r="F68" s="94"/>
      <c r="G68" s="94"/>
      <c r="H68" s="94"/>
      <c r="I68" s="94"/>
      <c r="J68" s="94"/>
      <c r="K68" s="94"/>
      <c r="N68" s="120"/>
      <c r="O68" s="94"/>
      <c r="P68" s="94"/>
      <c r="Q68" s="94"/>
      <c r="R68" s="94"/>
      <c r="S68" s="94"/>
    </row>
    <row r="69" spans="1:19" x14ac:dyDescent="0.2">
      <c r="A69" t="s">
        <v>246</v>
      </c>
      <c r="B69" s="120"/>
      <c r="C69" s="94"/>
      <c r="D69" s="94"/>
      <c r="E69" s="94"/>
      <c r="F69" s="94"/>
      <c r="G69" s="94"/>
      <c r="H69" s="94"/>
      <c r="I69" s="94"/>
      <c r="J69" s="94"/>
      <c r="K69" s="94"/>
      <c r="N69" s="120"/>
      <c r="O69" s="94"/>
      <c r="P69" s="94"/>
      <c r="Q69" s="94"/>
      <c r="R69" s="94"/>
      <c r="S69" s="94"/>
    </row>
    <row r="70" spans="1:19" x14ac:dyDescent="0.2">
      <c r="A70" t="s">
        <v>150</v>
      </c>
      <c r="B70" s="120"/>
      <c r="C70" s="94"/>
      <c r="D70" s="94"/>
      <c r="E70" s="94"/>
      <c r="F70" s="94"/>
      <c r="G70" s="94"/>
      <c r="H70" s="94"/>
      <c r="I70" s="94"/>
      <c r="J70" s="94"/>
      <c r="K70" s="94"/>
      <c r="N70" s="120"/>
      <c r="O70" s="94"/>
      <c r="P70" s="94"/>
      <c r="Q70" s="94"/>
      <c r="R70" s="94"/>
      <c r="S70" s="94"/>
    </row>
    <row r="71" spans="1:19" x14ac:dyDescent="0.2">
      <c r="A71" t="s">
        <v>247</v>
      </c>
      <c r="B71" s="120"/>
      <c r="C71" s="94"/>
      <c r="D71" s="94"/>
      <c r="E71" s="94"/>
      <c r="F71" s="94"/>
      <c r="G71" s="94"/>
      <c r="H71" s="94"/>
      <c r="I71" s="94"/>
      <c r="J71" s="94"/>
      <c r="K71" s="94"/>
      <c r="N71" s="120"/>
      <c r="O71" s="94"/>
      <c r="P71" s="94"/>
      <c r="Q71" s="94"/>
      <c r="R71" s="94"/>
      <c r="S71" s="94"/>
    </row>
    <row r="72" spans="1:19" x14ac:dyDescent="0.2">
      <c r="A72" t="s">
        <v>248</v>
      </c>
      <c r="B72" s="120"/>
      <c r="C72" s="94"/>
      <c r="D72" s="94"/>
      <c r="E72" s="94"/>
      <c r="F72" s="94"/>
      <c r="G72" s="94"/>
      <c r="H72" s="94"/>
      <c r="I72" s="94"/>
      <c r="J72" s="94"/>
      <c r="K72" s="94"/>
      <c r="N72" s="120"/>
      <c r="O72" s="94"/>
      <c r="P72" s="94"/>
      <c r="Q72" s="94"/>
      <c r="R72" s="94"/>
      <c r="S72" s="94"/>
    </row>
    <row r="73" spans="1:19" x14ac:dyDescent="0.2">
      <c r="A73" t="s">
        <v>249</v>
      </c>
      <c r="B73" s="94"/>
      <c r="C73" s="94"/>
      <c r="D73" s="94"/>
      <c r="E73" s="94"/>
      <c r="F73" s="94"/>
      <c r="G73" s="94"/>
      <c r="H73" s="94"/>
      <c r="I73" s="94"/>
      <c r="J73" s="94"/>
      <c r="K73" s="94"/>
      <c r="N73" s="120"/>
      <c r="O73" s="94"/>
      <c r="P73" s="94"/>
      <c r="Q73" s="94"/>
      <c r="R73" s="94"/>
      <c r="S73" s="94"/>
    </row>
    <row r="74" spans="1:19" x14ac:dyDescent="0.2">
      <c r="A74" t="s">
        <v>250</v>
      </c>
      <c r="B74" s="94"/>
      <c r="C74" s="94"/>
      <c r="D74" s="94"/>
      <c r="E74" s="94"/>
      <c r="F74" s="94"/>
      <c r="G74" s="94"/>
      <c r="H74" s="94"/>
      <c r="I74" s="94"/>
      <c r="J74" s="94"/>
      <c r="K74" s="94"/>
      <c r="N74" s="120"/>
      <c r="O74" s="94"/>
      <c r="P74" s="94"/>
      <c r="Q74" s="94"/>
      <c r="R74" s="94"/>
      <c r="S74" s="94"/>
    </row>
    <row r="75" spans="1:19" x14ac:dyDescent="0.2">
      <c r="A75" t="s">
        <v>251</v>
      </c>
      <c r="B75" s="94"/>
      <c r="C75" s="94"/>
      <c r="D75" s="94"/>
      <c r="E75" s="94"/>
      <c r="F75" s="94"/>
      <c r="G75" s="94"/>
      <c r="H75" s="94"/>
      <c r="I75" s="94"/>
      <c r="J75" s="94"/>
      <c r="K75" s="94"/>
      <c r="N75" s="120"/>
      <c r="O75" s="94"/>
      <c r="P75" s="94"/>
      <c r="Q75" s="94"/>
      <c r="R75" s="94"/>
      <c r="S75" s="94"/>
    </row>
    <row r="76" spans="1:19" x14ac:dyDescent="0.2">
      <c r="A76" t="s">
        <v>252</v>
      </c>
      <c r="B76" s="120"/>
      <c r="C76" s="94"/>
      <c r="D76" s="94"/>
      <c r="E76" s="94"/>
      <c r="F76" s="94"/>
      <c r="G76" s="94"/>
      <c r="H76" s="94"/>
      <c r="I76" s="94"/>
      <c r="J76" s="94"/>
      <c r="K76" s="94"/>
      <c r="N76" s="120"/>
      <c r="O76" s="94"/>
      <c r="P76" s="94"/>
      <c r="Q76" s="94"/>
      <c r="R76" s="94"/>
      <c r="S76" s="94"/>
    </row>
    <row r="77" spans="1:19" x14ac:dyDescent="0.2">
      <c r="A77" s="34" t="s">
        <v>374</v>
      </c>
      <c r="B77" s="120"/>
      <c r="C77" s="94"/>
      <c r="D77" s="94"/>
      <c r="E77" s="94"/>
      <c r="F77" s="94"/>
      <c r="G77" s="94"/>
      <c r="H77" s="94"/>
      <c r="I77" s="94"/>
      <c r="J77" s="94"/>
      <c r="K77" s="94"/>
      <c r="N77" s="94"/>
      <c r="O77" s="94"/>
      <c r="P77" s="94"/>
      <c r="Q77" s="94"/>
      <c r="R77" s="94"/>
      <c r="S77" s="94"/>
    </row>
    <row r="78" spans="1:19" x14ac:dyDescent="0.2">
      <c r="A78" s="34" t="s">
        <v>375</v>
      </c>
      <c r="B78" s="120"/>
      <c r="C78" s="94"/>
      <c r="D78" s="94"/>
      <c r="E78" s="94"/>
      <c r="F78" s="94"/>
      <c r="G78" s="94"/>
      <c r="H78" s="94"/>
      <c r="I78" s="94"/>
      <c r="J78" s="94"/>
      <c r="K78" s="94"/>
      <c r="N78" s="94"/>
      <c r="O78" s="94"/>
      <c r="P78" s="94"/>
      <c r="Q78" s="94"/>
      <c r="R78" s="94"/>
      <c r="S78" s="94"/>
    </row>
    <row r="79" spans="1:19" x14ac:dyDescent="0.2">
      <c r="A79" s="34" t="s">
        <v>376</v>
      </c>
      <c r="B79" s="120"/>
      <c r="C79" s="94"/>
      <c r="D79" s="94"/>
      <c r="E79" s="94"/>
      <c r="F79" s="94"/>
      <c r="G79" s="94"/>
      <c r="H79" s="94"/>
      <c r="I79" s="94"/>
      <c r="J79" s="94"/>
      <c r="K79" s="94"/>
      <c r="N79" s="94"/>
      <c r="O79" s="94"/>
      <c r="P79" s="94"/>
      <c r="Q79" s="94"/>
      <c r="R79" s="94"/>
      <c r="S79" s="94"/>
    </row>
    <row r="80" spans="1:19" x14ac:dyDescent="0.2">
      <c r="A80" s="34" t="s">
        <v>377</v>
      </c>
      <c r="B80" s="120"/>
      <c r="C80" s="94"/>
      <c r="D80" s="94"/>
      <c r="E80" s="94"/>
      <c r="F80" s="94"/>
      <c r="G80" s="94"/>
      <c r="H80" s="94"/>
      <c r="I80" s="94"/>
      <c r="J80" s="94"/>
      <c r="K80" s="94"/>
      <c r="N80" s="94"/>
      <c r="O80" s="94"/>
      <c r="P80" s="94"/>
      <c r="Q80" s="94"/>
      <c r="R80" s="94"/>
      <c r="S80" s="94"/>
    </row>
    <row r="81" spans="1:19" x14ac:dyDescent="0.2">
      <c r="A81" s="34" t="s">
        <v>378</v>
      </c>
      <c r="B81" s="120"/>
      <c r="C81" s="94"/>
      <c r="D81" s="94"/>
      <c r="E81" s="94"/>
      <c r="F81" s="94"/>
      <c r="G81" s="94"/>
      <c r="H81" s="94"/>
      <c r="I81" s="94"/>
      <c r="J81" s="94"/>
      <c r="K81" s="94"/>
      <c r="N81" s="94"/>
      <c r="O81" s="94"/>
      <c r="P81" s="94"/>
      <c r="Q81" s="94"/>
      <c r="R81" s="94"/>
      <c r="S81" s="94"/>
    </row>
    <row r="82" spans="1:19" x14ac:dyDescent="0.2">
      <c r="A82" s="34" t="s">
        <v>379</v>
      </c>
      <c r="B82" s="94"/>
      <c r="C82" s="94"/>
      <c r="D82" s="94"/>
      <c r="E82" s="94"/>
      <c r="F82" s="94"/>
      <c r="G82" s="94"/>
      <c r="H82" s="94"/>
      <c r="I82" s="94"/>
      <c r="J82" s="94"/>
      <c r="K82" s="94"/>
      <c r="N82" s="94"/>
      <c r="O82" s="94"/>
      <c r="P82" s="94"/>
      <c r="Q82" s="94"/>
      <c r="R82" s="94"/>
      <c r="S82" s="94"/>
    </row>
    <row r="83" spans="1:19" x14ac:dyDescent="0.2">
      <c r="A83" s="34" t="s">
        <v>380</v>
      </c>
      <c r="B83" s="120"/>
      <c r="C83" s="94"/>
      <c r="D83" s="94"/>
      <c r="E83" s="94"/>
      <c r="F83" s="94"/>
      <c r="G83" s="94"/>
      <c r="H83" s="94"/>
      <c r="I83" s="94"/>
      <c r="J83" s="94"/>
      <c r="K83" s="94"/>
      <c r="N83" s="94"/>
      <c r="O83" s="94"/>
      <c r="P83" s="94"/>
      <c r="Q83" s="94"/>
      <c r="R83" s="94"/>
      <c r="S83" s="94"/>
    </row>
    <row r="84" spans="1:19" x14ac:dyDescent="0.2">
      <c r="A84" s="34" t="s">
        <v>381</v>
      </c>
      <c r="B84" s="120"/>
      <c r="C84" s="94"/>
      <c r="D84" s="94"/>
      <c r="E84" s="94"/>
      <c r="F84" s="94"/>
      <c r="G84" s="94"/>
      <c r="H84" s="94"/>
      <c r="I84" s="94"/>
      <c r="J84" s="94"/>
      <c r="K84" s="94"/>
      <c r="N84" s="94"/>
      <c r="O84" s="94"/>
      <c r="P84" s="94"/>
      <c r="Q84" s="94"/>
      <c r="R84" s="94"/>
      <c r="S84" s="94"/>
    </row>
    <row r="85" spans="1:19" x14ac:dyDescent="0.2">
      <c r="A85" s="34" t="s">
        <v>382</v>
      </c>
      <c r="B85" s="120"/>
      <c r="C85" s="94"/>
      <c r="D85" s="94"/>
      <c r="E85" s="94"/>
      <c r="F85" s="94"/>
      <c r="G85" s="94"/>
      <c r="H85" s="94"/>
      <c r="I85" s="94"/>
      <c r="J85" s="94"/>
      <c r="K85" s="94"/>
      <c r="N85" s="94"/>
      <c r="O85" s="94"/>
      <c r="P85" s="94"/>
      <c r="Q85" s="94"/>
      <c r="R85" s="94"/>
      <c r="S85" s="94"/>
    </row>
    <row r="86" spans="1:19" x14ac:dyDescent="0.2">
      <c r="A86" s="34" t="s">
        <v>383</v>
      </c>
      <c r="B86" s="120"/>
      <c r="C86" s="94"/>
      <c r="D86" s="94"/>
      <c r="E86" s="94"/>
      <c r="F86" s="94"/>
      <c r="G86" s="94"/>
      <c r="H86" s="94"/>
      <c r="I86" s="94"/>
      <c r="J86" s="94"/>
      <c r="K86" s="94"/>
      <c r="N86" s="94"/>
      <c r="O86" s="94"/>
      <c r="P86" s="94"/>
      <c r="Q86" s="94"/>
      <c r="R86" s="94"/>
      <c r="S86" s="94"/>
    </row>
    <row r="87" spans="1:19" x14ac:dyDescent="0.2">
      <c r="A87" s="34" t="s">
        <v>384</v>
      </c>
      <c r="B87" s="120"/>
      <c r="C87" s="94"/>
      <c r="D87" s="94"/>
      <c r="E87" s="94"/>
      <c r="F87" s="94"/>
      <c r="G87" s="94"/>
      <c r="H87" s="94"/>
      <c r="I87" s="94"/>
      <c r="J87" s="94"/>
      <c r="K87" s="94"/>
      <c r="N87" s="94"/>
      <c r="O87" s="94"/>
      <c r="P87" s="94"/>
      <c r="Q87" s="94"/>
      <c r="R87" s="94"/>
      <c r="S87" s="94"/>
    </row>
    <row r="88" spans="1:19" x14ac:dyDescent="0.2">
      <c r="A88" s="34" t="s">
        <v>385</v>
      </c>
      <c r="B88" s="94"/>
      <c r="C88" s="94"/>
      <c r="D88" s="94"/>
      <c r="E88" s="94"/>
      <c r="F88" s="94"/>
      <c r="G88" s="94"/>
      <c r="H88" s="94"/>
      <c r="I88" s="94"/>
      <c r="J88" s="94"/>
      <c r="K88" s="94"/>
      <c r="N88" s="94"/>
      <c r="O88" s="94"/>
      <c r="P88" s="94"/>
      <c r="Q88" s="94"/>
      <c r="R88" s="94"/>
      <c r="S88" s="94"/>
    </row>
    <row r="89" spans="1:19" x14ac:dyDescent="0.2">
      <c r="A89" s="34" t="s">
        <v>386</v>
      </c>
      <c r="B89" s="94"/>
      <c r="C89" s="94"/>
      <c r="D89" s="94"/>
      <c r="E89" s="94"/>
      <c r="F89" s="94"/>
      <c r="G89" s="94"/>
      <c r="H89" s="94"/>
      <c r="I89" s="94"/>
      <c r="J89" s="94"/>
      <c r="K89" s="94"/>
      <c r="N89" s="94"/>
      <c r="O89" s="94"/>
      <c r="P89" s="94"/>
      <c r="Q89" s="94"/>
      <c r="R89" s="94"/>
      <c r="S89" s="94"/>
    </row>
    <row r="90" spans="1:19" x14ac:dyDescent="0.2">
      <c r="A90" s="34" t="s">
        <v>387</v>
      </c>
      <c r="B90" s="120"/>
      <c r="C90" s="94"/>
      <c r="D90" s="94"/>
      <c r="E90" s="94"/>
      <c r="F90" s="94"/>
      <c r="G90" s="94"/>
      <c r="H90" s="94"/>
      <c r="I90" s="94"/>
      <c r="J90" s="94"/>
      <c r="K90" s="94"/>
      <c r="N90" s="94"/>
      <c r="O90" s="94"/>
      <c r="P90" s="94"/>
      <c r="Q90" s="94"/>
      <c r="R90" s="94"/>
      <c r="S90" s="94"/>
    </row>
    <row r="91" spans="1:19" x14ac:dyDescent="0.2">
      <c r="A91" s="34" t="s">
        <v>388</v>
      </c>
      <c r="B91" s="120"/>
      <c r="C91" s="94"/>
      <c r="D91" s="94"/>
      <c r="E91" s="94"/>
      <c r="F91" s="94"/>
      <c r="G91" s="94"/>
      <c r="H91" s="94"/>
      <c r="I91" s="94"/>
      <c r="J91" s="94"/>
      <c r="K91" s="94"/>
      <c r="N91" s="94"/>
      <c r="O91" s="94"/>
      <c r="P91" s="94"/>
      <c r="Q91" s="94"/>
      <c r="R91" s="94"/>
      <c r="S91" s="94"/>
    </row>
    <row r="92" spans="1:19" x14ac:dyDescent="0.2">
      <c r="A92" s="34" t="s">
        <v>389</v>
      </c>
      <c r="B92" s="120"/>
      <c r="C92" s="94"/>
      <c r="D92" s="94"/>
      <c r="E92" s="94"/>
      <c r="F92" s="94"/>
      <c r="G92" s="94"/>
      <c r="H92" s="94"/>
      <c r="I92" s="94"/>
      <c r="J92" s="94"/>
      <c r="K92" s="94"/>
      <c r="N92" s="94"/>
      <c r="O92" s="94"/>
      <c r="P92" s="94"/>
      <c r="Q92" s="94"/>
      <c r="R92" s="94"/>
      <c r="S92" s="94"/>
    </row>
    <row r="93" spans="1:19" x14ac:dyDescent="0.2">
      <c r="A93" s="34" t="s">
        <v>390</v>
      </c>
      <c r="B93" s="120"/>
      <c r="C93" s="94"/>
      <c r="D93" s="94"/>
      <c r="E93" s="94"/>
      <c r="F93" s="94"/>
      <c r="G93" s="94"/>
      <c r="H93" s="94"/>
      <c r="I93" s="94"/>
      <c r="J93" s="94"/>
      <c r="K93" s="94"/>
      <c r="N93" s="94"/>
      <c r="O93" s="94"/>
      <c r="P93" s="94"/>
      <c r="Q93" s="94"/>
      <c r="R93" s="94"/>
      <c r="S93" s="94"/>
    </row>
    <row r="94" spans="1:19" x14ac:dyDescent="0.2">
      <c r="A94" s="34" t="s">
        <v>391</v>
      </c>
      <c r="B94" s="120"/>
      <c r="C94" s="94"/>
      <c r="D94" s="94"/>
      <c r="E94" s="94"/>
      <c r="F94" s="94"/>
      <c r="G94" s="94"/>
      <c r="H94" s="94"/>
      <c r="I94" s="94"/>
      <c r="J94" s="94"/>
      <c r="K94" s="94"/>
      <c r="N94" s="94"/>
      <c r="O94" s="94"/>
      <c r="P94" s="94"/>
      <c r="Q94" s="94"/>
      <c r="R94" s="94"/>
      <c r="S94" s="94"/>
    </row>
    <row r="95" spans="1:19" x14ac:dyDescent="0.2">
      <c r="A95" s="34" t="s">
        <v>392</v>
      </c>
      <c r="B95" s="120"/>
      <c r="C95" s="94"/>
      <c r="D95" s="94"/>
      <c r="E95" s="94"/>
      <c r="F95" s="94"/>
      <c r="G95" s="94"/>
      <c r="H95" s="94"/>
      <c r="I95" s="94"/>
      <c r="J95" s="94"/>
      <c r="K95" s="94"/>
      <c r="N95" s="94"/>
      <c r="O95" s="94"/>
      <c r="P95" s="94"/>
      <c r="Q95" s="94"/>
      <c r="R95" s="94"/>
      <c r="S95" s="94"/>
    </row>
    <row r="96" spans="1:19" x14ac:dyDescent="0.2">
      <c r="A96" s="34" t="s">
        <v>393</v>
      </c>
      <c r="B96" s="94"/>
      <c r="C96" s="94"/>
      <c r="D96" s="94"/>
      <c r="E96" s="94"/>
      <c r="F96" s="94"/>
      <c r="G96" s="94"/>
      <c r="H96" s="94"/>
      <c r="I96" s="94"/>
      <c r="J96" s="94"/>
      <c r="K96" s="94"/>
      <c r="N96" s="94"/>
      <c r="O96" s="94"/>
      <c r="P96" s="94"/>
      <c r="Q96" s="94"/>
      <c r="R96" s="94"/>
      <c r="S96" s="94"/>
    </row>
    <row r="97" spans="1:19" x14ac:dyDescent="0.2">
      <c r="A97" s="34" t="s">
        <v>394</v>
      </c>
      <c r="B97" s="94"/>
      <c r="C97" s="94"/>
      <c r="D97" s="94"/>
      <c r="E97" s="94"/>
      <c r="F97" s="94"/>
      <c r="G97" s="94"/>
      <c r="H97" s="94"/>
      <c r="I97" s="94"/>
      <c r="J97" s="94"/>
      <c r="K97" s="94"/>
      <c r="N97" s="94"/>
      <c r="O97" s="94"/>
      <c r="P97" s="94"/>
      <c r="Q97" s="94"/>
      <c r="R97" s="94"/>
      <c r="S97" s="94"/>
    </row>
    <row r="98" spans="1:19" x14ac:dyDescent="0.2">
      <c r="A98" s="34" t="s">
        <v>395</v>
      </c>
      <c r="B98" s="120"/>
      <c r="C98" s="94"/>
      <c r="D98" s="94"/>
      <c r="E98" s="94"/>
      <c r="F98" s="94"/>
      <c r="G98" s="94"/>
      <c r="H98" s="94"/>
      <c r="I98" s="94"/>
      <c r="J98" s="94"/>
      <c r="K98" s="94"/>
      <c r="N98" s="94"/>
      <c r="O98" s="94"/>
      <c r="P98" s="94"/>
      <c r="Q98" s="94"/>
      <c r="R98" s="94"/>
      <c r="S98" s="94"/>
    </row>
    <row r="99" spans="1:19" x14ac:dyDescent="0.2">
      <c r="A99" s="34" t="s">
        <v>396</v>
      </c>
      <c r="B99" s="120"/>
      <c r="C99" s="94"/>
      <c r="D99" s="94"/>
      <c r="E99" s="94"/>
      <c r="F99" s="94"/>
      <c r="G99" s="94"/>
      <c r="H99" s="94"/>
      <c r="I99" s="94"/>
      <c r="J99" s="94"/>
      <c r="K99" s="94"/>
      <c r="N99" s="94"/>
      <c r="O99" s="94"/>
      <c r="P99" s="94"/>
      <c r="Q99" s="94"/>
      <c r="R99" s="94"/>
      <c r="S99" s="94"/>
    </row>
    <row r="100" spans="1:19" x14ac:dyDescent="0.2">
      <c r="A100" s="34" t="s">
        <v>397</v>
      </c>
      <c r="B100" s="120"/>
      <c r="C100" s="94"/>
      <c r="D100" s="94"/>
      <c r="E100" s="94"/>
      <c r="F100" s="94"/>
      <c r="G100" s="94"/>
      <c r="H100" s="94"/>
      <c r="I100" s="94"/>
      <c r="J100" s="94"/>
      <c r="K100" s="94"/>
      <c r="N100" s="94"/>
      <c r="O100" s="94"/>
      <c r="P100" s="94"/>
      <c r="Q100" s="94"/>
      <c r="R100" s="94"/>
      <c r="S100" s="94"/>
    </row>
    <row r="101" spans="1:19" x14ac:dyDescent="0.2">
      <c r="A101" s="34" t="s">
        <v>398</v>
      </c>
      <c r="B101" s="120"/>
      <c r="C101" s="94"/>
      <c r="D101" s="94"/>
      <c r="E101" s="94"/>
      <c r="F101" s="94"/>
      <c r="G101" s="94"/>
      <c r="H101" s="94"/>
      <c r="I101" s="94"/>
      <c r="J101" s="94"/>
      <c r="K101" s="94"/>
      <c r="N101" s="94"/>
      <c r="O101" s="94"/>
      <c r="P101" s="94"/>
      <c r="Q101" s="94"/>
      <c r="R101" s="94"/>
      <c r="S101" s="94"/>
    </row>
    <row r="102" spans="1:19" x14ac:dyDescent="0.2">
      <c r="A102" s="34" t="s">
        <v>399</v>
      </c>
      <c r="B102" s="120"/>
      <c r="C102" s="94"/>
      <c r="D102" s="94"/>
      <c r="E102" s="94"/>
      <c r="F102" s="94"/>
      <c r="G102" s="94"/>
      <c r="H102" s="94"/>
      <c r="I102" s="94"/>
      <c r="J102" s="94"/>
      <c r="K102" s="94"/>
      <c r="N102" s="94"/>
      <c r="O102" s="94"/>
      <c r="P102" s="94"/>
      <c r="Q102" s="94"/>
      <c r="R102" s="94"/>
      <c r="S102" s="94"/>
    </row>
    <row r="103" spans="1:19" x14ac:dyDescent="0.2">
      <c r="A103" s="34" t="s">
        <v>400</v>
      </c>
      <c r="B103" s="120"/>
      <c r="C103" s="94"/>
      <c r="D103" s="94"/>
      <c r="E103" s="94"/>
      <c r="F103" s="94"/>
      <c r="G103" s="94"/>
      <c r="H103" s="94"/>
      <c r="I103" s="94"/>
      <c r="J103" s="94"/>
      <c r="K103" s="94"/>
      <c r="N103" s="94"/>
      <c r="O103" s="94"/>
      <c r="P103" s="94"/>
      <c r="Q103" s="94"/>
      <c r="R103" s="94"/>
      <c r="S103" s="94"/>
    </row>
    <row r="104" spans="1:19" x14ac:dyDescent="0.2">
      <c r="A104" s="34" t="s">
        <v>401</v>
      </c>
      <c r="B104" s="120"/>
      <c r="C104" s="94"/>
      <c r="D104" s="94"/>
      <c r="E104" s="94"/>
      <c r="F104" s="94"/>
      <c r="G104" s="94"/>
      <c r="H104" s="94"/>
      <c r="I104" s="94"/>
      <c r="J104" s="94"/>
      <c r="K104" s="94"/>
      <c r="N104" s="94"/>
      <c r="O104" s="94"/>
      <c r="P104" s="94"/>
      <c r="Q104" s="94"/>
      <c r="R104" s="94"/>
      <c r="S104" s="94"/>
    </row>
    <row r="105" spans="1:19" x14ac:dyDescent="0.2">
      <c r="A105" s="34" t="s">
        <v>402</v>
      </c>
      <c r="B105" s="120"/>
      <c r="C105" s="94"/>
      <c r="D105" s="94"/>
      <c r="E105" s="94"/>
      <c r="F105" s="94"/>
      <c r="G105" s="94"/>
      <c r="H105" s="94"/>
      <c r="I105" s="94"/>
      <c r="J105" s="94"/>
      <c r="K105" s="94"/>
      <c r="N105" s="94"/>
      <c r="O105" s="94"/>
      <c r="P105" s="94"/>
      <c r="Q105" s="94"/>
      <c r="R105" s="94"/>
      <c r="S105" s="94"/>
    </row>
    <row r="106" spans="1:19" x14ac:dyDescent="0.2">
      <c r="A106" s="34" t="s">
        <v>403</v>
      </c>
      <c r="B106" s="120"/>
      <c r="C106" s="94"/>
      <c r="D106" s="94"/>
      <c r="E106" s="94"/>
      <c r="F106" s="94"/>
      <c r="G106" s="94"/>
      <c r="H106" s="94"/>
      <c r="I106" s="94"/>
      <c r="J106" s="94"/>
      <c r="K106" s="94"/>
      <c r="N106" s="94"/>
      <c r="O106" s="94"/>
      <c r="P106" s="94"/>
      <c r="Q106" s="94"/>
      <c r="R106" s="94"/>
      <c r="S106" s="94"/>
    </row>
    <row r="107" spans="1:19" x14ac:dyDescent="0.2">
      <c r="A107" s="34" t="s">
        <v>404</v>
      </c>
      <c r="B107" s="120"/>
      <c r="C107" s="94"/>
      <c r="D107" s="94"/>
      <c r="E107" s="94"/>
      <c r="F107" s="94"/>
      <c r="G107" s="94"/>
      <c r="H107" s="94"/>
      <c r="I107" s="94"/>
      <c r="J107" s="94"/>
      <c r="K107" s="94"/>
      <c r="N107" s="94"/>
      <c r="O107" s="94"/>
      <c r="P107" s="94"/>
      <c r="Q107" s="94"/>
      <c r="R107" s="94"/>
      <c r="S107" s="94"/>
    </row>
    <row r="108" spans="1:19" x14ac:dyDescent="0.2">
      <c r="A108" s="34" t="s">
        <v>405</v>
      </c>
      <c r="B108" s="120"/>
      <c r="C108" s="94"/>
      <c r="D108" s="94"/>
      <c r="E108" s="94"/>
      <c r="F108" s="94"/>
      <c r="G108" s="94"/>
      <c r="H108" s="94"/>
      <c r="I108" s="94"/>
      <c r="J108" s="94"/>
      <c r="K108" s="94"/>
      <c r="N108" s="94"/>
      <c r="O108" s="94"/>
      <c r="P108" s="94"/>
      <c r="Q108" s="94"/>
      <c r="R108" s="94"/>
      <c r="S108" s="94"/>
    </row>
    <row r="109" spans="1:19" x14ac:dyDescent="0.2">
      <c r="A109" s="34" t="s">
        <v>406</v>
      </c>
      <c r="B109" s="120"/>
      <c r="C109" s="94"/>
      <c r="D109" s="94"/>
      <c r="E109" s="94"/>
      <c r="F109" s="94"/>
      <c r="G109" s="94"/>
      <c r="H109" s="94"/>
      <c r="I109" s="94"/>
      <c r="J109" s="94"/>
      <c r="K109" s="94"/>
      <c r="N109" s="94"/>
      <c r="O109" s="94"/>
      <c r="P109" s="94"/>
      <c r="Q109" s="94"/>
      <c r="R109" s="94"/>
      <c r="S109" s="94"/>
    </row>
    <row r="110" spans="1:19" x14ac:dyDescent="0.2">
      <c r="A110" s="34" t="s">
        <v>407</v>
      </c>
      <c r="B110" s="120"/>
      <c r="C110" s="94"/>
      <c r="D110" s="94"/>
      <c r="E110" s="94"/>
      <c r="F110" s="94"/>
      <c r="G110" s="94"/>
      <c r="H110" s="94"/>
      <c r="I110" s="94"/>
      <c r="J110" s="94"/>
      <c r="K110" s="94"/>
      <c r="N110" s="94"/>
      <c r="O110" s="94"/>
      <c r="P110" s="94"/>
      <c r="Q110" s="94"/>
      <c r="R110" s="94"/>
      <c r="S110" s="94"/>
    </row>
    <row r="111" spans="1:19" x14ac:dyDescent="0.2">
      <c r="A111" s="34" t="s">
        <v>408</v>
      </c>
      <c r="B111" s="120"/>
      <c r="C111" s="94"/>
      <c r="D111" s="94"/>
      <c r="E111" s="94"/>
      <c r="F111" s="94"/>
      <c r="G111" s="94"/>
      <c r="H111" s="94"/>
      <c r="I111" s="94"/>
      <c r="J111" s="94"/>
      <c r="K111" s="94"/>
      <c r="N111" s="94"/>
      <c r="O111" s="94"/>
      <c r="P111" s="94"/>
      <c r="Q111" s="94"/>
      <c r="R111" s="94"/>
      <c r="S111" s="94"/>
    </row>
    <row r="112" spans="1:19" x14ac:dyDescent="0.2">
      <c r="A112" s="34" t="s">
        <v>409</v>
      </c>
      <c r="B112" s="120"/>
      <c r="C112" s="94"/>
      <c r="D112" s="94"/>
      <c r="E112" s="94"/>
      <c r="F112" s="94"/>
      <c r="G112" s="94"/>
      <c r="H112" s="94"/>
      <c r="I112" s="94"/>
      <c r="J112" s="94"/>
      <c r="K112" s="94"/>
      <c r="N112" s="94"/>
      <c r="O112" s="94"/>
      <c r="P112" s="94"/>
      <c r="Q112" s="94"/>
      <c r="R112" s="94"/>
      <c r="S112" s="94"/>
    </row>
    <row r="113" spans="1:19" x14ac:dyDescent="0.2">
      <c r="A113" s="34" t="s">
        <v>410</v>
      </c>
      <c r="B113" s="120"/>
      <c r="C113" s="94"/>
      <c r="D113" s="94"/>
      <c r="E113" s="94"/>
      <c r="F113" s="94"/>
      <c r="G113" s="94"/>
      <c r="H113" s="94"/>
      <c r="I113" s="94"/>
      <c r="J113" s="94"/>
      <c r="K113" s="94"/>
      <c r="N113" s="94"/>
      <c r="O113" s="94"/>
      <c r="P113" s="94"/>
      <c r="Q113" s="94"/>
      <c r="R113" s="94"/>
      <c r="S113" s="94"/>
    </row>
    <row r="114" spans="1:19" x14ac:dyDescent="0.2">
      <c r="A114" s="34" t="s">
        <v>411</v>
      </c>
      <c r="B114" s="120"/>
      <c r="C114" s="94"/>
      <c r="D114" s="94"/>
      <c r="E114" s="94"/>
      <c r="F114" s="94"/>
      <c r="G114" s="94"/>
      <c r="H114" s="94"/>
      <c r="I114" s="94"/>
      <c r="J114" s="94"/>
      <c r="K114" s="94"/>
      <c r="N114" s="94"/>
      <c r="O114" s="94"/>
      <c r="P114" s="94"/>
      <c r="Q114" s="94"/>
      <c r="R114" s="94"/>
      <c r="S114" s="94"/>
    </row>
    <row r="115" spans="1:19" x14ac:dyDescent="0.2">
      <c r="A115" s="34" t="s">
        <v>412</v>
      </c>
      <c r="B115" s="120"/>
      <c r="C115" s="94"/>
      <c r="D115" s="94"/>
      <c r="E115" s="94"/>
      <c r="F115" s="94"/>
      <c r="G115" s="94"/>
      <c r="H115" s="94"/>
      <c r="I115" s="94"/>
      <c r="J115" s="94"/>
      <c r="K115" s="94"/>
      <c r="N115" s="94"/>
      <c r="O115" s="94"/>
      <c r="P115" s="94"/>
      <c r="Q115" s="94"/>
      <c r="R115" s="94"/>
      <c r="S115" s="94"/>
    </row>
    <row r="116" spans="1:19" x14ac:dyDescent="0.2">
      <c r="A116" s="34" t="s">
        <v>413</v>
      </c>
      <c r="B116" s="120"/>
      <c r="C116" s="94"/>
      <c r="D116" s="94"/>
      <c r="E116" s="94"/>
      <c r="F116" s="94"/>
      <c r="G116" s="94"/>
      <c r="H116" s="94"/>
      <c r="I116" s="94"/>
      <c r="J116" s="94"/>
      <c r="K116" s="94"/>
      <c r="N116" s="94"/>
      <c r="O116" s="94"/>
      <c r="P116" s="94"/>
      <c r="Q116" s="94"/>
      <c r="R116" s="94"/>
      <c r="S116" s="94"/>
    </row>
    <row r="117" spans="1:19" x14ac:dyDescent="0.2">
      <c r="A117" t="s">
        <v>253</v>
      </c>
      <c r="B117" s="94"/>
      <c r="C117" s="94"/>
      <c r="F117" s="94"/>
      <c r="G117" s="94"/>
      <c r="H117" s="94"/>
      <c r="I117" s="94"/>
      <c r="J117" s="94"/>
      <c r="K117" s="94"/>
      <c r="N117" s="94"/>
      <c r="O117" s="94"/>
      <c r="P117" s="94"/>
      <c r="Q117" s="94"/>
      <c r="R117" s="94"/>
      <c r="S117" s="94"/>
    </row>
    <row r="118" spans="1:19" x14ac:dyDescent="0.2">
      <c r="A118" t="s">
        <v>254</v>
      </c>
      <c r="B118" s="94"/>
      <c r="C118" s="94"/>
      <c r="F118" s="94"/>
      <c r="G118" s="94"/>
      <c r="H118" s="94"/>
      <c r="I118" s="94"/>
      <c r="J118" s="94"/>
      <c r="K118" s="94"/>
      <c r="N118" s="94"/>
      <c r="O118" s="94"/>
      <c r="P118" s="94"/>
      <c r="Q118" s="94"/>
      <c r="R118" s="94"/>
      <c r="S118" s="94"/>
    </row>
    <row r="119" spans="1:19" x14ac:dyDescent="0.2">
      <c r="A119" t="s">
        <v>255</v>
      </c>
      <c r="B119" s="94"/>
      <c r="C119" s="94"/>
      <c r="F119" s="94"/>
      <c r="G119" s="94"/>
      <c r="H119" s="94"/>
      <c r="I119" s="94"/>
      <c r="J119" s="94"/>
      <c r="K119" s="94"/>
      <c r="N119" s="94"/>
      <c r="O119" s="94"/>
      <c r="P119" s="94"/>
      <c r="Q119" s="94"/>
      <c r="R119" s="94"/>
      <c r="S119" s="94"/>
    </row>
    <row r="120" spans="1:19" x14ac:dyDescent="0.2">
      <c r="A120" t="s">
        <v>256</v>
      </c>
      <c r="B120" s="94"/>
      <c r="C120" s="94"/>
      <c r="F120" s="94"/>
      <c r="G120" s="94"/>
      <c r="H120" s="94"/>
      <c r="I120" s="94"/>
      <c r="J120" s="94"/>
      <c r="K120" s="94"/>
      <c r="N120" s="94"/>
      <c r="O120" s="94"/>
      <c r="P120" s="94"/>
      <c r="Q120" s="94"/>
      <c r="R120" s="94"/>
      <c r="S120" s="94"/>
    </row>
    <row r="121" spans="1:19" x14ac:dyDescent="0.2">
      <c r="A121" t="s">
        <v>257</v>
      </c>
      <c r="B121" s="94"/>
      <c r="C121" s="94"/>
      <c r="F121" s="94"/>
      <c r="G121" s="94"/>
      <c r="H121" s="94"/>
      <c r="I121" s="94"/>
      <c r="J121" s="94"/>
      <c r="K121" s="94"/>
      <c r="N121" s="94"/>
      <c r="O121" s="94"/>
      <c r="P121" s="94"/>
      <c r="Q121" s="94"/>
      <c r="R121" s="94"/>
      <c r="S121" s="94"/>
    </row>
    <row r="122" spans="1:19" x14ac:dyDescent="0.2">
      <c r="A122" t="s">
        <v>258</v>
      </c>
      <c r="B122" s="94"/>
      <c r="C122" s="94"/>
      <c r="F122" s="94"/>
      <c r="G122" s="94"/>
      <c r="H122" s="94"/>
      <c r="I122" s="94"/>
      <c r="J122" s="94"/>
      <c r="K122" s="94"/>
      <c r="N122" s="94"/>
      <c r="O122" s="94"/>
      <c r="P122" s="94"/>
      <c r="Q122" s="94"/>
      <c r="R122" s="94"/>
      <c r="S122" s="94"/>
    </row>
    <row r="123" spans="1:19" x14ac:dyDescent="0.2">
      <c r="A123" t="s">
        <v>259</v>
      </c>
      <c r="B123" s="94"/>
      <c r="C123" s="94"/>
      <c r="F123" s="94"/>
      <c r="G123" s="94"/>
      <c r="H123" s="94"/>
      <c r="I123" s="94"/>
      <c r="J123" s="94"/>
      <c r="K123" s="94"/>
      <c r="N123" s="94"/>
      <c r="O123" s="94"/>
      <c r="P123" s="94"/>
      <c r="Q123" s="94"/>
      <c r="R123" s="94"/>
      <c r="S123" s="94"/>
    </row>
    <row r="124" spans="1:19" x14ac:dyDescent="0.2">
      <c r="A124" t="s">
        <v>260</v>
      </c>
      <c r="B124" s="94"/>
      <c r="C124" s="94"/>
      <c r="F124" s="94"/>
      <c r="G124" s="94"/>
      <c r="H124" s="94"/>
      <c r="I124" s="94"/>
      <c r="J124" s="94"/>
      <c r="K124" s="94"/>
      <c r="N124" s="94"/>
      <c r="O124" s="94"/>
      <c r="P124" s="94"/>
      <c r="Q124" s="94"/>
      <c r="R124" s="94"/>
      <c r="S124" s="94"/>
    </row>
    <row r="125" spans="1:19" x14ac:dyDescent="0.2">
      <c r="A125" t="s">
        <v>1296</v>
      </c>
      <c r="B125" s="94"/>
      <c r="C125" s="94"/>
      <c r="F125" s="94"/>
      <c r="G125" s="94"/>
      <c r="H125" s="94"/>
      <c r="I125" s="94"/>
      <c r="J125" s="94"/>
      <c r="K125" s="94"/>
      <c r="N125" s="94"/>
      <c r="O125" s="94"/>
      <c r="P125" s="94"/>
      <c r="Q125" s="94"/>
      <c r="R125" s="94"/>
      <c r="S125" s="94"/>
    </row>
    <row r="126" spans="1:19" x14ac:dyDescent="0.2">
      <c r="A126" t="s">
        <v>1297</v>
      </c>
      <c r="B126" s="94"/>
      <c r="C126" s="94"/>
      <c r="F126" s="94"/>
      <c r="G126" s="94"/>
      <c r="H126" s="94"/>
      <c r="I126" s="94"/>
      <c r="J126" s="94"/>
      <c r="K126" s="94"/>
      <c r="N126" s="94"/>
      <c r="O126" s="94"/>
      <c r="P126" s="94"/>
      <c r="Q126" s="94"/>
      <c r="R126" s="94"/>
      <c r="S126" s="94"/>
    </row>
    <row r="127" spans="1:19" x14ac:dyDescent="0.2">
      <c r="A127" t="s">
        <v>1298</v>
      </c>
      <c r="B127" s="94"/>
      <c r="C127" s="94"/>
      <c r="F127" s="94"/>
      <c r="G127" s="94"/>
      <c r="H127" s="94"/>
      <c r="I127" s="94"/>
      <c r="J127" s="94"/>
      <c r="K127" s="94"/>
      <c r="N127" s="94"/>
      <c r="O127" s="94"/>
      <c r="P127" s="94"/>
      <c r="Q127" s="94"/>
      <c r="R127" s="94"/>
      <c r="S127" s="94"/>
    </row>
    <row r="128" spans="1:19" x14ac:dyDescent="0.2">
      <c r="A128" t="s">
        <v>1299</v>
      </c>
      <c r="B128" s="94"/>
      <c r="C128" s="94"/>
      <c r="F128" s="94"/>
      <c r="G128" s="94"/>
      <c r="H128" s="94"/>
      <c r="I128" s="94"/>
      <c r="J128" s="94"/>
      <c r="K128" s="94"/>
      <c r="N128" s="94"/>
      <c r="O128" s="94"/>
      <c r="P128" s="94"/>
      <c r="Q128" s="94"/>
      <c r="R128" s="94"/>
      <c r="S128" s="94"/>
    </row>
    <row r="129" spans="1:19" x14ac:dyDescent="0.2">
      <c r="A129" t="s">
        <v>1300</v>
      </c>
      <c r="B129" s="94"/>
      <c r="C129" s="94"/>
      <c r="F129" s="94"/>
      <c r="G129" s="94"/>
      <c r="H129" s="94"/>
      <c r="I129" s="94"/>
      <c r="J129" s="94"/>
      <c r="K129" s="94"/>
      <c r="N129" s="94"/>
      <c r="O129" s="94"/>
      <c r="P129" s="94"/>
      <c r="Q129" s="94"/>
      <c r="R129" s="94"/>
      <c r="S129" s="94"/>
    </row>
    <row r="130" spans="1:19" x14ac:dyDescent="0.2">
      <c r="A130" t="s">
        <v>1301</v>
      </c>
      <c r="B130" s="94"/>
      <c r="C130" s="94"/>
      <c r="F130" s="94"/>
      <c r="G130" s="94"/>
      <c r="H130" s="94"/>
      <c r="I130" s="94"/>
      <c r="J130" s="94"/>
      <c r="K130" s="94"/>
      <c r="N130" s="94"/>
      <c r="O130" s="94"/>
      <c r="P130" s="94"/>
      <c r="Q130" s="94"/>
      <c r="R130" s="94"/>
      <c r="S130" s="94"/>
    </row>
    <row r="131" spans="1:19" x14ac:dyDescent="0.2">
      <c r="A131" t="s">
        <v>1302</v>
      </c>
      <c r="B131" s="94"/>
      <c r="C131" s="94"/>
      <c r="F131" s="94"/>
      <c r="G131" s="94"/>
      <c r="H131" s="94"/>
      <c r="I131" s="94"/>
      <c r="J131" s="94"/>
      <c r="K131" s="94"/>
      <c r="N131" s="94"/>
      <c r="O131" s="94"/>
      <c r="P131" s="94"/>
      <c r="Q131" s="94"/>
      <c r="R131" s="94"/>
      <c r="S131" s="94"/>
    </row>
    <row r="132" spans="1:19" x14ac:dyDescent="0.2">
      <c r="A132" t="s">
        <v>1303</v>
      </c>
      <c r="B132" s="94"/>
      <c r="C132" s="94"/>
      <c r="F132" s="94"/>
      <c r="G132" s="94"/>
      <c r="H132" s="94"/>
      <c r="I132" s="94"/>
      <c r="J132" s="94"/>
      <c r="K132" s="94"/>
      <c r="N132" s="94"/>
      <c r="O132" s="94"/>
      <c r="P132" s="94"/>
      <c r="Q132" s="94"/>
      <c r="R132" s="94"/>
      <c r="S132" s="94"/>
    </row>
    <row r="133" spans="1:19" x14ac:dyDescent="0.2">
      <c r="A133" t="s">
        <v>1304</v>
      </c>
      <c r="B133" s="94"/>
      <c r="C133" s="94"/>
      <c r="F133" s="94"/>
      <c r="G133" s="94"/>
      <c r="H133" s="94"/>
      <c r="I133" s="94"/>
      <c r="J133" s="94"/>
      <c r="K133" s="94"/>
      <c r="N133" s="94"/>
      <c r="O133" s="94"/>
      <c r="P133" s="94"/>
      <c r="Q133" s="94"/>
      <c r="R133" s="94"/>
      <c r="S133" s="94"/>
    </row>
    <row r="134" spans="1:19" x14ac:dyDescent="0.2">
      <c r="A134" t="s">
        <v>1305</v>
      </c>
      <c r="B134" s="94"/>
      <c r="C134" s="94"/>
      <c r="F134" s="94"/>
      <c r="G134" s="94"/>
      <c r="H134" s="94"/>
      <c r="I134" s="94"/>
      <c r="J134" s="94"/>
      <c r="K134" s="94"/>
      <c r="N134" s="94"/>
      <c r="O134" s="94"/>
      <c r="P134" s="94"/>
      <c r="Q134" s="94"/>
      <c r="R134" s="94"/>
      <c r="S134" s="94"/>
    </row>
    <row r="135" spans="1:19" x14ac:dyDescent="0.2">
      <c r="A135" t="s">
        <v>1306</v>
      </c>
      <c r="B135" s="94"/>
      <c r="C135" s="94"/>
      <c r="F135" s="94"/>
      <c r="G135" s="94"/>
      <c r="H135" s="94"/>
      <c r="I135" s="94"/>
      <c r="J135" s="94"/>
      <c r="K135" s="94"/>
      <c r="N135" s="94"/>
      <c r="O135" s="94"/>
      <c r="P135" s="94"/>
      <c r="Q135" s="94"/>
      <c r="R135" s="94"/>
      <c r="S135" s="94"/>
    </row>
    <row r="136" spans="1:19" x14ac:dyDescent="0.2">
      <c r="A136" t="s">
        <v>261</v>
      </c>
      <c r="B136" s="94"/>
      <c r="C136" s="94"/>
      <c r="F136" s="94"/>
      <c r="G136" s="94"/>
      <c r="H136" s="94"/>
      <c r="I136" s="94"/>
      <c r="J136" s="94"/>
      <c r="K136" s="94"/>
      <c r="N136" s="94"/>
      <c r="O136" s="94"/>
      <c r="P136" s="94"/>
      <c r="Q136" s="94"/>
      <c r="R136" s="94"/>
      <c r="S136" s="94"/>
    </row>
    <row r="137" spans="1:19" x14ac:dyDescent="0.2">
      <c r="A137" t="s">
        <v>262</v>
      </c>
      <c r="B137" s="94"/>
      <c r="C137" s="94"/>
      <c r="F137" s="94"/>
      <c r="G137" s="94"/>
      <c r="H137" s="94"/>
      <c r="I137" s="94"/>
      <c r="J137" s="94"/>
      <c r="K137" s="94"/>
      <c r="N137" s="94"/>
      <c r="O137" s="94"/>
      <c r="P137" s="94"/>
      <c r="Q137" s="94"/>
      <c r="R137" s="94"/>
      <c r="S137" s="94"/>
    </row>
    <row r="138" spans="1:19" x14ac:dyDescent="0.2">
      <c r="A138" t="s">
        <v>263</v>
      </c>
      <c r="B138" s="94"/>
      <c r="C138" s="94"/>
      <c r="F138" s="94"/>
      <c r="G138" s="94"/>
      <c r="H138" s="94"/>
      <c r="I138" s="94"/>
      <c r="J138" s="94"/>
      <c r="K138" s="94"/>
      <c r="N138" s="94"/>
      <c r="O138" s="94"/>
      <c r="P138" s="94"/>
      <c r="Q138" s="94"/>
      <c r="R138" s="94"/>
      <c r="S138" s="94"/>
    </row>
    <row r="139" spans="1:19" x14ac:dyDescent="0.2">
      <c r="A139" t="s">
        <v>264</v>
      </c>
      <c r="B139" s="94"/>
      <c r="C139" s="94"/>
      <c r="F139" s="94"/>
      <c r="G139" s="94"/>
      <c r="H139" s="94"/>
      <c r="I139" s="94"/>
      <c r="J139" s="94"/>
      <c r="K139" s="94"/>
      <c r="N139" s="94"/>
      <c r="O139" s="94"/>
      <c r="P139" s="94"/>
      <c r="Q139" s="94"/>
      <c r="R139" s="94"/>
      <c r="S139" s="94"/>
    </row>
    <row r="140" spans="1:19" x14ac:dyDescent="0.2">
      <c r="A140" t="s">
        <v>265</v>
      </c>
      <c r="B140" s="94"/>
      <c r="C140" s="94"/>
      <c r="F140" s="94"/>
      <c r="G140" s="94"/>
      <c r="H140" s="94"/>
      <c r="I140" s="94"/>
      <c r="J140" s="94"/>
      <c r="K140" s="94"/>
      <c r="N140" s="94"/>
      <c r="O140" s="94"/>
      <c r="P140" s="94"/>
      <c r="Q140" s="94"/>
      <c r="R140" s="94"/>
      <c r="S140" s="94"/>
    </row>
    <row r="141" spans="1:19" x14ac:dyDescent="0.2">
      <c r="A141" t="s">
        <v>266</v>
      </c>
      <c r="B141" s="94"/>
      <c r="C141" s="94"/>
      <c r="F141" s="94"/>
      <c r="G141" s="94"/>
      <c r="H141" s="94"/>
      <c r="I141" s="94"/>
      <c r="J141" s="94"/>
      <c r="K141" s="94"/>
      <c r="N141" s="94"/>
      <c r="O141" s="94"/>
      <c r="P141" s="94"/>
      <c r="Q141" s="94"/>
      <c r="R141" s="94"/>
      <c r="S141" s="94"/>
    </row>
    <row r="142" spans="1:19" x14ac:dyDescent="0.2">
      <c r="A142" t="s">
        <v>267</v>
      </c>
      <c r="B142" s="94"/>
      <c r="C142" s="94"/>
      <c r="F142" s="94"/>
      <c r="G142" s="94"/>
      <c r="H142" s="94"/>
      <c r="I142" s="94"/>
      <c r="J142" s="94"/>
      <c r="K142" s="94"/>
      <c r="N142" s="94"/>
      <c r="O142" s="94"/>
      <c r="P142" s="94"/>
      <c r="Q142" s="94"/>
      <c r="R142" s="94"/>
      <c r="S142" s="94"/>
    </row>
    <row r="143" spans="1:19" x14ac:dyDescent="0.2">
      <c r="A143" t="s">
        <v>268</v>
      </c>
      <c r="B143" s="94"/>
      <c r="C143" s="94"/>
      <c r="F143" s="94"/>
      <c r="G143" s="94"/>
      <c r="H143" s="94"/>
      <c r="I143" s="94"/>
      <c r="J143" s="94"/>
      <c r="K143" s="94"/>
      <c r="N143" s="94"/>
      <c r="O143" s="94"/>
      <c r="P143" s="94"/>
      <c r="Q143" s="94"/>
      <c r="R143" s="94"/>
      <c r="S143" s="94"/>
    </row>
    <row r="144" spans="1:19" x14ac:dyDescent="0.2">
      <c r="A144" t="s">
        <v>269</v>
      </c>
      <c r="B144" s="94"/>
      <c r="C144" s="94"/>
      <c r="F144" s="94"/>
      <c r="G144" s="94"/>
      <c r="H144" s="94"/>
      <c r="I144" s="94"/>
      <c r="J144" s="94"/>
      <c r="K144" s="94"/>
      <c r="N144" s="94"/>
      <c r="O144" s="94"/>
      <c r="P144" s="94"/>
      <c r="Q144" s="94"/>
      <c r="R144" s="94"/>
      <c r="S144" s="94"/>
    </row>
    <row r="145" spans="1:19" x14ac:dyDescent="0.2">
      <c r="A145" t="s">
        <v>1307</v>
      </c>
      <c r="B145" s="94"/>
      <c r="C145" s="94"/>
      <c r="F145" s="94"/>
      <c r="G145" s="94"/>
      <c r="H145" s="94"/>
      <c r="I145" s="94"/>
      <c r="J145" s="94"/>
      <c r="K145" s="94"/>
      <c r="N145" s="94"/>
      <c r="O145" s="94"/>
      <c r="P145" s="94"/>
      <c r="Q145" s="94"/>
      <c r="R145" s="94"/>
      <c r="S145" s="94"/>
    </row>
    <row r="146" spans="1:19" x14ac:dyDescent="0.2">
      <c r="A146" t="s">
        <v>1308</v>
      </c>
      <c r="B146" s="94"/>
      <c r="C146" s="94"/>
      <c r="F146" s="94"/>
      <c r="G146" s="94"/>
      <c r="H146" s="94"/>
      <c r="I146" s="94"/>
      <c r="J146" s="94"/>
      <c r="K146" s="94"/>
      <c r="N146" s="94"/>
      <c r="O146" s="94"/>
      <c r="P146" s="94"/>
      <c r="Q146" s="94"/>
      <c r="R146" s="94"/>
      <c r="S146" s="94"/>
    </row>
    <row r="147" spans="1:19" x14ac:dyDescent="0.2">
      <c r="A147" t="s">
        <v>1309</v>
      </c>
      <c r="B147" s="94"/>
      <c r="C147" s="94"/>
      <c r="F147" s="94"/>
      <c r="G147" s="94"/>
      <c r="H147" s="94"/>
      <c r="I147" s="94"/>
      <c r="J147" s="94"/>
      <c r="K147" s="94"/>
      <c r="N147" s="94"/>
      <c r="O147" s="94"/>
      <c r="P147" s="94"/>
      <c r="Q147" s="94"/>
      <c r="R147" s="94"/>
      <c r="S147" s="94"/>
    </row>
    <row r="148" spans="1:19" x14ac:dyDescent="0.2">
      <c r="A148" t="s">
        <v>1310</v>
      </c>
      <c r="B148" s="94"/>
      <c r="C148" s="94"/>
      <c r="F148" s="94"/>
      <c r="G148" s="94"/>
      <c r="H148" s="94"/>
      <c r="I148" s="94"/>
      <c r="J148" s="94"/>
      <c r="K148" s="94"/>
      <c r="N148" s="94"/>
      <c r="O148" s="94"/>
      <c r="P148" s="94"/>
      <c r="Q148" s="94"/>
      <c r="R148" s="94"/>
      <c r="S148" s="94"/>
    </row>
    <row r="149" spans="1:19" x14ac:dyDescent="0.2">
      <c r="A149" t="s">
        <v>1311</v>
      </c>
      <c r="B149" s="94"/>
      <c r="C149" s="94"/>
      <c r="F149" s="94"/>
      <c r="G149" s="94"/>
      <c r="H149" s="94"/>
      <c r="I149" s="94"/>
      <c r="J149" s="94"/>
      <c r="K149" s="94"/>
      <c r="N149" s="94"/>
      <c r="O149" s="94"/>
      <c r="P149" s="94"/>
      <c r="Q149" s="94"/>
      <c r="R149" s="94"/>
      <c r="S149" s="94"/>
    </row>
    <row r="150" spans="1:19" x14ac:dyDescent="0.2">
      <c r="A150" t="s">
        <v>1312</v>
      </c>
      <c r="B150" s="94"/>
      <c r="C150" s="94"/>
      <c r="F150" s="94"/>
      <c r="G150" s="94"/>
      <c r="H150" s="94"/>
      <c r="I150" s="94"/>
      <c r="J150" s="94"/>
      <c r="K150" s="94"/>
      <c r="N150" s="94"/>
      <c r="O150" s="94"/>
      <c r="P150" s="94"/>
      <c r="Q150" s="94"/>
      <c r="R150" s="94"/>
      <c r="S150" s="94"/>
    </row>
    <row r="151" spans="1:19" x14ac:dyDescent="0.2">
      <c r="A151" t="s">
        <v>1313</v>
      </c>
      <c r="B151" s="94"/>
      <c r="C151" s="94"/>
      <c r="F151" s="94"/>
      <c r="G151" s="94"/>
      <c r="H151" s="94"/>
      <c r="I151" s="94"/>
      <c r="J151" s="94"/>
      <c r="K151" s="94"/>
      <c r="N151" s="94"/>
      <c r="O151" s="94"/>
      <c r="P151" s="94"/>
      <c r="Q151" s="94"/>
      <c r="R151" s="94"/>
      <c r="S151" s="94"/>
    </row>
    <row r="152" spans="1:19" x14ac:dyDescent="0.2">
      <c r="A152" t="s">
        <v>1314</v>
      </c>
      <c r="B152" s="94"/>
      <c r="C152" s="94"/>
      <c r="F152" s="94"/>
      <c r="G152" s="94"/>
      <c r="H152" s="94"/>
      <c r="I152" s="94"/>
      <c r="J152" s="94"/>
      <c r="K152" s="94"/>
      <c r="N152" s="94"/>
      <c r="O152" s="94"/>
      <c r="P152" s="94"/>
      <c r="Q152" s="94"/>
      <c r="R152" s="94"/>
      <c r="S152" s="94"/>
    </row>
    <row r="153" spans="1:19" x14ac:dyDescent="0.2">
      <c r="A153" t="s">
        <v>1315</v>
      </c>
      <c r="B153" s="94"/>
      <c r="C153" s="94"/>
      <c r="F153" s="94"/>
      <c r="G153" s="94"/>
      <c r="H153" s="94"/>
      <c r="I153" s="94"/>
      <c r="J153" s="94"/>
      <c r="K153" s="94"/>
      <c r="N153" s="94"/>
      <c r="O153" s="94"/>
      <c r="P153" s="94"/>
      <c r="Q153" s="94"/>
      <c r="R153" s="94"/>
      <c r="S153" s="94"/>
    </row>
    <row r="154" spans="1:19" x14ac:dyDescent="0.2">
      <c r="A154" t="s">
        <v>1316</v>
      </c>
      <c r="B154" s="94"/>
      <c r="C154" s="94"/>
      <c r="F154" s="94"/>
      <c r="G154" s="94"/>
      <c r="H154" s="94"/>
      <c r="I154" s="94"/>
      <c r="J154" s="94"/>
      <c r="K154" s="94"/>
      <c r="N154" s="94"/>
      <c r="O154" s="94"/>
      <c r="P154" s="94"/>
      <c r="Q154" s="94"/>
      <c r="R154" s="94"/>
      <c r="S154" s="94"/>
    </row>
    <row r="155" spans="1:19" x14ac:dyDescent="0.2">
      <c r="A155" t="s">
        <v>270</v>
      </c>
      <c r="B155" s="94"/>
      <c r="C155" s="94"/>
      <c r="F155" s="94"/>
      <c r="G155" s="94"/>
      <c r="H155" s="94"/>
      <c r="I155" s="94"/>
      <c r="J155" s="94"/>
      <c r="K155" s="94"/>
      <c r="N155" s="94"/>
      <c r="O155" s="94"/>
      <c r="P155" s="94"/>
      <c r="Q155" s="94"/>
      <c r="R155" s="94"/>
      <c r="S155" s="94"/>
    </row>
    <row r="156" spans="1:19" x14ac:dyDescent="0.2">
      <c r="A156" t="s">
        <v>271</v>
      </c>
      <c r="B156" s="94"/>
      <c r="C156" s="94"/>
      <c r="F156" s="94"/>
      <c r="G156" s="94"/>
      <c r="H156" s="94"/>
      <c r="I156" s="94"/>
      <c r="J156" s="94"/>
      <c r="K156" s="94"/>
      <c r="N156" s="94"/>
      <c r="O156" s="94"/>
      <c r="P156" s="94"/>
      <c r="Q156" s="94"/>
      <c r="R156" s="94"/>
      <c r="S156" s="94"/>
    </row>
    <row r="157" spans="1:19" x14ac:dyDescent="0.2">
      <c r="A157" t="s">
        <v>272</v>
      </c>
      <c r="B157" s="94"/>
      <c r="C157" s="94"/>
      <c r="F157" s="94"/>
      <c r="G157" s="94"/>
      <c r="H157" s="94"/>
      <c r="I157" s="94"/>
      <c r="J157" s="94"/>
      <c r="K157" s="94"/>
      <c r="N157" s="94"/>
      <c r="O157" s="94"/>
      <c r="P157" s="94"/>
      <c r="Q157" s="94"/>
      <c r="R157" s="94"/>
      <c r="S157" s="94"/>
    </row>
    <row r="158" spans="1:19" x14ac:dyDescent="0.2">
      <c r="A158" t="s">
        <v>273</v>
      </c>
      <c r="B158" s="94"/>
      <c r="C158" s="94"/>
      <c r="F158" s="94"/>
      <c r="G158" s="94"/>
      <c r="H158" s="94"/>
      <c r="I158" s="94"/>
      <c r="J158" s="94"/>
      <c r="K158" s="94"/>
      <c r="N158" s="94"/>
      <c r="O158" s="94"/>
      <c r="P158" s="94"/>
      <c r="Q158" s="94"/>
      <c r="R158" s="94"/>
      <c r="S158" s="94"/>
    </row>
    <row r="159" spans="1:19" x14ac:dyDescent="0.2">
      <c r="A159" t="s">
        <v>274</v>
      </c>
      <c r="B159" s="94"/>
      <c r="C159" s="94"/>
      <c r="F159" s="94"/>
      <c r="G159" s="94"/>
      <c r="H159" s="94"/>
      <c r="I159" s="94"/>
      <c r="J159" s="94"/>
      <c r="K159" s="94"/>
      <c r="N159" s="94"/>
      <c r="O159" s="94"/>
      <c r="P159" s="94"/>
      <c r="Q159" s="94"/>
      <c r="R159" s="94"/>
      <c r="S159" s="94"/>
    </row>
    <row r="160" spans="1:19" x14ac:dyDescent="0.2">
      <c r="A160" t="s">
        <v>275</v>
      </c>
      <c r="B160" s="94"/>
      <c r="C160" s="94"/>
      <c r="F160" s="94"/>
      <c r="G160" s="94"/>
      <c r="H160" s="94"/>
      <c r="I160" s="94"/>
      <c r="J160" s="94"/>
      <c r="K160" s="94"/>
      <c r="N160" s="94"/>
      <c r="O160" s="94"/>
      <c r="P160" s="94"/>
      <c r="Q160" s="94"/>
      <c r="R160" s="94"/>
      <c r="S160" s="94"/>
    </row>
    <row r="161" spans="1:19" x14ac:dyDescent="0.2">
      <c r="A161" t="s">
        <v>276</v>
      </c>
      <c r="B161" s="94"/>
      <c r="C161" s="94"/>
      <c r="F161" s="94"/>
      <c r="G161" s="94"/>
      <c r="H161" s="94"/>
      <c r="I161" s="94"/>
      <c r="J161" s="94"/>
      <c r="K161" s="94"/>
      <c r="N161" s="94"/>
      <c r="O161" s="94"/>
      <c r="P161" s="94"/>
      <c r="Q161" s="94"/>
      <c r="R161" s="94"/>
      <c r="S161" s="94"/>
    </row>
    <row r="162" spans="1:19" x14ac:dyDescent="0.2">
      <c r="A162" t="s">
        <v>277</v>
      </c>
      <c r="B162" s="94"/>
      <c r="C162" s="94"/>
      <c r="F162" s="94"/>
      <c r="G162" s="94"/>
      <c r="H162" s="94"/>
      <c r="I162" s="94"/>
      <c r="J162" s="94"/>
      <c r="K162" s="94"/>
      <c r="N162" s="94"/>
      <c r="O162" s="94"/>
      <c r="P162" s="94"/>
      <c r="Q162" s="94"/>
      <c r="R162" s="94"/>
      <c r="S162" s="94"/>
    </row>
    <row r="163" spans="1:19" x14ac:dyDescent="0.2">
      <c r="A163" t="s">
        <v>278</v>
      </c>
      <c r="B163" s="94"/>
      <c r="C163" s="94"/>
      <c r="F163" s="94"/>
      <c r="G163" s="94"/>
      <c r="H163" s="94"/>
      <c r="I163" s="94"/>
      <c r="J163" s="94"/>
      <c r="K163" s="94"/>
      <c r="N163" s="94"/>
      <c r="O163" s="94"/>
      <c r="P163" s="94"/>
      <c r="Q163" s="94"/>
      <c r="R163" s="94"/>
      <c r="S163" s="94"/>
    </row>
    <row r="164" spans="1:19" x14ac:dyDescent="0.2">
      <c r="A164" t="s">
        <v>1317</v>
      </c>
      <c r="B164" s="94"/>
      <c r="C164" s="94"/>
      <c r="F164" s="94"/>
      <c r="G164" s="94"/>
      <c r="H164" s="94"/>
      <c r="I164" s="94"/>
      <c r="J164" s="94"/>
      <c r="K164" s="94"/>
      <c r="N164" s="94"/>
      <c r="O164" s="94"/>
      <c r="P164" s="94"/>
      <c r="Q164" s="94"/>
      <c r="R164" s="94"/>
      <c r="S164" s="94"/>
    </row>
    <row r="165" spans="1:19" x14ac:dyDescent="0.2">
      <c r="A165" t="s">
        <v>1318</v>
      </c>
      <c r="B165" s="94"/>
      <c r="C165" s="94"/>
      <c r="F165" s="94"/>
      <c r="G165" s="94"/>
      <c r="H165" s="94"/>
      <c r="I165" s="94"/>
      <c r="J165" s="94"/>
      <c r="K165" s="94"/>
      <c r="N165" s="94"/>
      <c r="O165" s="94"/>
      <c r="P165" s="94"/>
      <c r="Q165" s="94"/>
      <c r="R165" s="94"/>
      <c r="S165" s="94"/>
    </row>
    <row r="166" spans="1:19" x14ac:dyDescent="0.2">
      <c r="A166" t="s">
        <v>1319</v>
      </c>
      <c r="B166" s="94"/>
      <c r="C166" s="94"/>
      <c r="F166" s="94"/>
      <c r="G166" s="94"/>
      <c r="H166" s="94"/>
      <c r="I166" s="94"/>
      <c r="J166" s="94"/>
      <c r="K166" s="94"/>
      <c r="N166" s="94"/>
      <c r="O166" s="94"/>
      <c r="P166" s="94"/>
      <c r="Q166" s="94"/>
      <c r="R166" s="94"/>
      <c r="S166" s="94"/>
    </row>
    <row r="167" spans="1:19" x14ac:dyDescent="0.2">
      <c r="A167" t="s">
        <v>1320</v>
      </c>
      <c r="B167" s="94"/>
      <c r="C167" s="94"/>
      <c r="F167" s="94"/>
      <c r="G167" s="94"/>
      <c r="H167" s="94"/>
      <c r="I167" s="94"/>
      <c r="J167" s="94"/>
      <c r="K167" s="94"/>
      <c r="N167" s="94"/>
      <c r="O167" s="94"/>
      <c r="P167" s="94"/>
      <c r="Q167" s="94"/>
      <c r="R167" s="94"/>
      <c r="S167" s="94"/>
    </row>
    <row r="168" spans="1:19" x14ac:dyDescent="0.2">
      <c r="A168" t="s">
        <v>1321</v>
      </c>
      <c r="B168" s="94"/>
      <c r="C168" s="94"/>
      <c r="F168" s="94"/>
      <c r="G168" s="94"/>
      <c r="H168" s="94"/>
      <c r="I168" s="94"/>
      <c r="J168" s="94"/>
      <c r="K168" s="94"/>
      <c r="N168" s="94"/>
      <c r="O168" s="94"/>
      <c r="P168" s="94"/>
      <c r="Q168" s="94"/>
      <c r="R168" s="94"/>
      <c r="S168" s="94"/>
    </row>
    <row r="169" spans="1:19" x14ac:dyDescent="0.2">
      <c r="A169" t="s">
        <v>1322</v>
      </c>
      <c r="B169" s="94"/>
      <c r="C169" s="94"/>
      <c r="F169" s="94"/>
      <c r="G169" s="94"/>
      <c r="H169" s="94"/>
      <c r="I169" s="94"/>
      <c r="J169" s="94"/>
      <c r="K169" s="94"/>
      <c r="N169" s="94"/>
      <c r="O169" s="94"/>
      <c r="P169" s="94"/>
      <c r="Q169" s="94"/>
      <c r="R169" s="94"/>
      <c r="S169" s="94"/>
    </row>
    <row r="170" spans="1:19" x14ac:dyDescent="0.2">
      <c r="A170" t="s">
        <v>1323</v>
      </c>
      <c r="B170" s="94"/>
      <c r="C170" s="94"/>
      <c r="F170" s="94"/>
      <c r="G170" s="94"/>
      <c r="H170" s="94"/>
      <c r="I170" s="94"/>
      <c r="J170" s="94"/>
      <c r="K170" s="94"/>
      <c r="N170" s="94"/>
      <c r="O170" s="94"/>
      <c r="P170" s="94"/>
      <c r="Q170" s="94"/>
      <c r="R170" s="94"/>
      <c r="S170" s="94"/>
    </row>
    <row r="171" spans="1:19" x14ac:dyDescent="0.2">
      <c r="A171" t="s">
        <v>1324</v>
      </c>
      <c r="B171" s="94"/>
      <c r="C171" s="94"/>
      <c r="F171" s="94"/>
      <c r="G171" s="94"/>
      <c r="H171" s="94"/>
      <c r="I171" s="94"/>
      <c r="J171" s="94"/>
      <c r="K171" s="94"/>
      <c r="N171" s="94"/>
      <c r="O171" s="94"/>
      <c r="P171" s="94"/>
      <c r="Q171" s="94"/>
      <c r="R171" s="94"/>
      <c r="S171" s="94"/>
    </row>
    <row r="172" spans="1:19" x14ac:dyDescent="0.2">
      <c r="A172" t="s">
        <v>1325</v>
      </c>
      <c r="B172" s="94"/>
      <c r="C172" s="94"/>
      <c r="F172" s="94"/>
      <c r="G172" s="94"/>
      <c r="H172" s="94"/>
      <c r="I172" s="94"/>
      <c r="J172" s="94"/>
      <c r="K172" s="94"/>
      <c r="N172" s="94"/>
      <c r="O172" s="94"/>
      <c r="P172" s="94"/>
      <c r="Q172" s="94"/>
      <c r="R172" s="94"/>
      <c r="S172" s="94"/>
    </row>
    <row r="173" spans="1:19" x14ac:dyDescent="0.2">
      <c r="A173" t="s">
        <v>1326</v>
      </c>
      <c r="B173" s="94"/>
      <c r="C173" s="94"/>
      <c r="F173" s="94"/>
      <c r="G173" s="94"/>
      <c r="H173" s="94"/>
      <c r="I173" s="94"/>
      <c r="J173" s="94"/>
      <c r="K173" s="94"/>
      <c r="N173" s="94"/>
      <c r="O173" s="94"/>
      <c r="P173" s="94"/>
      <c r="Q173" s="94"/>
      <c r="R173" s="94"/>
      <c r="S173" s="94"/>
    </row>
    <row r="174" spans="1:19" x14ac:dyDescent="0.2">
      <c r="A174" t="s">
        <v>279</v>
      </c>
      <c r="B174" s="94"/>
      <c r="C174" s="94"/>
      <c r="F174" s="94"/>
      <c r="G174" s="94"/>
      <c r="H174" s="94"/>
      <c r="I174" s="94"/>
      <c r="J174" s="94"/>
      <c r="K174" s="94"/>
      <c r="N174" s="94"/>
      <c r="O174" s="94"/>
      <c r="P174" s="94"/>
      <c r="Q174" s="94"/>
      <c r="R174" s="94"/>
      <c r="S174" s="94"/>
    </row>
    <row r="175" spans="1:19" x14ac:dyDescent="0.2">
      <c r="A175" t="s">
        <v>280</v>
      </c>
      <c r="B175" s="94"/>
      <c r="C175" s="94"/>
      <c r="F175" s="94"/>
      <c r="G175" s="94"/>
      <c r="H175" s="94"/>
      <c r="I175" s="94"/>
      <c r="J175" s="94"/>
      <c r="K175" s="94"/>
      <c r="N175" s="94"/>
      <c r="O175" s="94"/>
      <c r="P175" s="94"/>
      <c r="Q175" s="94"/>
      <c r="R175" s="94"/>
      <c r="S175" s="94"/>
    </row>
    <row r="176" spans="1:19" x14ac:dyDescent="0.2">
      <c r="A176" t="s">
        <v>281</v>
      </c>
      <c r="B176" s="94"/>
      <c r="C176" s="94"/>
      <c r="F176" s="94"/>
      <c r="G176" s="94"/>
      <c r="H176" s="94"/>
      <c r="I176" s="94"/>
      <c r="J176" s="94"/>
      <c r="K176" s="94"/>
      <c r="N176" s="94"/>
      <c r="O176" s="94"/>
      <c r="P176" s="94"/>
      <c r="Q176" s="94"/>
      <c r="R176" s="94"/>
      <c r="S176" s="94"/>
    </row>
    <row r="177" spans="1:19" x14ac:dyDescent="0.2">
      <c r="A177" t="s">
        <v>282</v>
      </c>
      <c r="B177" s="94"/>
      <c r="C177" s="94"/>
      <c r="F177" s="94"/>
      <c r="G177" s="94"/>
      <c r="H177" s="94"/>
      <c r="I177" s="94"/>
      <c r="J177" s="94"/>
      <c r="K177" s="94"/>
      <c r="N177" s="94"/>
      <c r="O177" s="94"/>
      <c r="P177" s="94"/>
      <c r="Q177" s="94"/>
      <c r="R177" s="94"/>
      <c r="S177" s="94"/>
    </row>
    <row r="178" spans="1:19" x14ac:dyDescent="0.2">
      <c r="A178" t="s">
        <v>283</v>
      </c>
      <c r="B178" s="94"/>
      <c r="C178" s="94"/>
      <c r="F178" s="94"/>
      <c r="G178" s="94"/>
      <c r="H178" s="94"/>
      <c r="I178" s="94"/>
      <c r="J178" s="94"/>
      <c r="K178" s="94"/>
      <c r="N178" s="94"/>
      <c r="O178" s="94"/>
      <c r="P178" s="94"/>
      <c r="Q178" s="94"/>
      <c r="R178" s="94"/>
      <c r="S178" s="94"/>
    </row>
    <row r="179" spans="1:19" x14ac:dyDescent="0.2">
      <c r="A179" t="s">
        <v>284</v>
      </c>
      <c r="B179" s="94"/>
      <c r="C179" s="94"/>
      <c r="F179" s="94"/>
      <c r="G179" s="94"/>
      <c r="H179" s="94"/>
      <c r="I179" s="94"/>
      <c r="J179" s="94"/>
      <c r="K179" s="94"/>
      <c r="N179" s="94"/>
      <c r="O179" s="94"/>
      <c r="P179" s="94"/>
      <c r="Q179" s="94"/>
      <c r="R179" s="94"/>
      <c r="S179" s="94"/>
    </row>
    <row r="180" spans="1:19" x14ac:dyDescent="0.2">
      <c r="A180" t="s">
        <v>285</v>
      </c>
      <c r="B180" s="94"/>
      <c r="C180" s="94"/>
      <c r="F180" s="94"/>
      <c r="G180" s="94"/>
      <c r="H180" s="94"/>
      <c r="I180" s="94"/>
      <c r="J180" s="94"/>
      <c r="K180" s="94"/>
      <c r="N180" s="94"/>
      <c r="O180" s="94"/>
      <c r="P180" s="94"/>
      <c r="Q180" s="94"/>
      <c r="R180" s="94"/>
      <c r="S180" s="94"/>
    </row>
    <row r="181" spans="1:19" x14ac:dyDescent="0.2">
      <c r="A181" t="s">
        <v>286</v>
      </c>
      <c r="B181" s="94"/>
      <c r="C181" s="94"/>
      <c r="F181" s="94"/>
      <c r="G181" s="94"/>
      <c r="H181" s="94"/>
      <c r="I181" s="94"/>
      <c r="J181" s="94"/>
      <c r="K181" s="94"/>
      <c r="N181" s="94"/>
      <c r="O181" s="94"/>
      <c r="P181" s="94"/>
      <c r="Q181" s="94"/>
      <c r="R181" s="94"/>
      <c r="S181" s="94"/>
    </row>
    <row r="182" spans="1:19" x14ac:dyDescent="0.2">
      <c r="A182" t="s">
        <v>287</v>
      </c>
      <c r="B182" s="94"/>
      <c r="C182" s="94"/>
      <c r="F182" s="94"/>
      <c r="G182" s="94"/>
      <c r="H182" s="94"/>
      <c r="I182" s="94"/>
      <c r="J182" s="94"/>
      <c r="K182" s="94"/>
      <c r="N182" s="94"/>
      <c r="O182" s="94"/>
      <c r="P182" s="94"/>
      <c r="Q182" s="94"/>
      <c r="R182" s="94"/>
      <c r="S182" s="94"/>
    </row>
    <row r="183" spans="1:19" x14ac:dyDescent="0.2">
      <c r="A183" t="s">
        <v>1327</v>
      </c>
      <c r="B183" s="94"/>
      <c r="C183" s="94"/>
      <c r="F183" s="94"/>
      <c r="G183" s="94"/>
      <c r="H183" s="94"/>
      <c r="I183" s="94"/>
      <c r="J183" s="94"/>
      <c r="K183" s="94"/>
      <c r="N183" s="94"/>
      <c r="O183" s="94"/>
      <c r="P183" s="94"/>
      <c r="Q183" s="94"/>
      <c r="R183" s="94"/>
      <c r="S183" s="94"/>
    </row>
    <row r="184" spans="1:19" x14ac:dyDescent="0.2">
      <c r="A184" t="s">
        <v>1328</v>
      </c>
      <c r="B184" s="94"/>
      <c r="C184" s="94"/>
      <c r="F184" s="94"/>
      <c r="G184" s="94"/>
      <c r="H184" s="94"/>
      <c r="I184" s="94"/>
      <c r="J184" s="94"/>
      <c r="K184" s="94"/>
      <c r="N184" s="94"/>
      <c r="O184" s="94"/>
      <c r="P184" s="94"/>
      <c r="Q184" s="94"/>
      <c r="R184" s="94"/>
      <c r="S184" s="94"/>
    </row>
    <row r="185" spans="1:19" x14ac:dyDescent="0.2">
      <c r="A185" t="s">
        <v>1329</v>
      </c>
      <c r="B185" s="94"/>
      <c r="C185" s="94"/>
      <c r="F185" s="94"/>
      <c r="G185" s="94"/>
      <c r="H185" s="94"/>
      <c r="I185" s="94"/>
      <c r="J185" s="94"/>
      <c r="K185" s="94"/>
      <c r="N185" s="94"/>
      <c r="O185" s="94"/>
      <c r="P185" s="94"/>
      <c r="Q185" s="94"/>
      <c r="R185" s="94"/>
      <c r="S185" s="94"/>
    </row>
    <row r="186" spans="1:19" x14ac:dyDescent="0.2">
      <c r="A186" t="s">
        <v>1330</v>
      </c>
      <c r="B186" s="94"/>
      <c r="C186" s="94"/>
      <c r="F186" s="94"/>
      <c r="G186" s="94"/>
      <c r="H186" s="94"/>
      <c r="I186" s="94"/>
      <c r="J186" s="94"/>
      <c r="K186" s="94"/>
      <c r="N186" s="94"/>
      <c r="O186" s="94"/>
      <c r="P186" s="94"/>
      <c r="Q186" s="94"/>
      <c r="R186" s="94"/>
      <c r="S186" s="94"/>
    </row>
    <row r="187" spans="1:19" x14ac:dyDescent="0.2">
      <c r="A187" t="s">
        <v>1331</v>
      </c>
      <c r="B187" s="94"/>
      <c r="C187" s="94"/>
      <c r="F187" s="94"/>
      <c r="G187" s="94"/>
      <c r="H187" s="94"/>
      <c r="I187" s="94"/>
      <c r="J187" s="94"/>
      <c r="K187" s="94"/>
      <c r="N187" s="94"/>
      <c r="O187" s="94"/>
      <c r="P187" s="94"/>
      <c r="Q187" s="94"/>
      <c r="R187" s="94"/>
      <c r="S187" s="94"/>
    </row>
    <row r="188" spans="1:19" x14ac:dyDescent="0.2">
      <c r="A188" t="s">
        <v>1332</v>
      </c>
      <c r="B188" s="94"/>
      <c r="C188" s="94"/>
      <c r="F188" s="94"/>
      <c r="G188" s="94"/>
      <c r="H188" s="94"/>
      <c r="I188" s="94"/>
      <c r="J188" s="94"/>
      <c r="K188" s="94"/>
      <c r="N188" s="94"/>
      <c r="O188" s="94"/>
      <c r="P188" s="94"/>
      <c r="Q188" s="94"/>
      <c r="R188" s="94"/>
      <c r="S188" s="94"/>
    </row>
    <row r="189" spans="1:19" x14ac:dyDescent="0.2">
      <c r="A189" t="s">
        <v>1333</v>
      </c>
      <c r="B189" s="94"/>
      <c r="C189" s="94"/>
      <c r="F189" s="94"/>
      <c r="G189" s="94"/>
      <c r="H189" s="94"/>
      <c r="I189" s="94"/>
      <c r="J189" s="94"/>
      <c r="K189" s="94"/>
      <c r="N189" s="94"/>
      <c r="O189" s="94"/>
      <c r="P189" s="94"/>
      <c r="Q189" s="94"/>
      <c r="R189" s="94"/>
      <c r="S189" s="94"/>
    </row>
    <row r="190" spans="1:19" x14ac:dyDescent="0.2">
      <c r="A190" t="s">
        <v>1334</v>
      </c>
      <c r="B190" s="94"/>
      <c r="C190" s="94"/>
      <c r="F190" s="94"/>
      <c r="G190" s="94"/>
      <c r="H190" s="94"/>
      <c r="I190" s="94"/>
      <c r="J190" s="94"/>
      <c r="K190" s="94"/>
      <c r="N190" s="94"/>
      <c r="O190" s="94"/>
      <c r="P190" s="94"/>
      <c r="Q190" s="94"/>
      <c r="R190" s="94"/>
      <c r="S190" s="94"/>
    </row>
    <row r="191" spans="1:19" x14ac:dyDescent="0.2">
      <c r="A191" t="s">
        <v>1335</v>
      </c>
      <c r="B191" s="94"/>
      <c r="C191" s="94"/>
      <c r="F191" s="94"/>
      <c r="G191" s="94"/>
      <c r="H191" s="94"/>
      <c r="I191" s="94"/>
      <c r="J191" s="94"/>
      <c r="K191" s="94"/>
      <c r="N191" s="94"/>
      <c r="O191" s="94"/>
      <c r="P191" s="94"/>
      <c r="Q191" s="94"/>
      <c r="R191" s="94"/>
      <c r="S191" s="94"/>
    </row>
    <row r="192" spans="1:19" x14ac:dyDescent="0.2">
      <c r="A192" t="s">
        <v>1336</v>
      </c>
      <c r="B192" s="94"/>
      <c r="C192" s="94"/>
      <c r="F192" s="94"/>
      <c r="G192" s="94"/>
      <c r="H192" s="94"/>
      <c r="I192" s="94"/>
      <c r="J192" s="94"/>
      <c r="K192" s="94"/>
      <c r="N192" s="94"/>
      <c r="O192" s="94"/>
      <c r="P192" s="94"/>
      <c r="Q192" s="94"/>
      <c r="R192" s="94"/>
      <c r="S192" s="94"/>
    </row>
    <row r="193" spans="1:19" x14ac:dyDescent="0.2">
      <c r="A193" t="s">
        <v>288</v>
      </c>
      <c r="B193" s="94"/>
      <c r="C193" s="94"/>
      <c r="F193" s="94"/>
      <c r="G193" s="94"/>
      <c r="H193" s="94"/>
      <c r="I193" s="94"/>
      <c r="J193" s="94"/>
      <c r="K193" s="94"/>
      <c r="N193" s="94"/>
      <c r="O193" s="94"/>
      <c r="P193" s="94"/>
      <c r="Q193" s="94"/>
      <c r="R193" s="94"/>
      <c r="S193" s="94"/>
    </row>
    <row r="194" spans="1:19" x14ac:dyDescent="0.2">
      <c r="A194" t="s">
        <v>289</v>
      </c>
      <c r="B194" s="94"/>
      <c r="C194" s="94"/>
      <c r="F194" s="94"/>
      <c r="G194" s="94"/>
      <c r="H194" s="94"/>
      <c r="I194" s="94"/>
      <c r="J194" s="94"/>
      <c r="K194" s="94"/>
      <c r="N194" s="94"/>
      <c r="O194" s="94"/>
      <c r="P194" s="94"/>
      <c r="Q194" s="94"/>
      <c r="R194" s="94"/>
      <c r="S194" s="94"/>
    </row>
    <row r="195" spans="1:19" x14ac:dyDescent="0.2">
      <c r="A195" t="s">
        <v>290</v>
      </c>
      <c r="B195" s="94"/>
      <c r="C195" s="94"/>
      <c r="F195" s="94"/>
      <c r="G195" s="94"/>
      <c r="H195" s="94"/>
      <c r="I195" s="94"/>
      <c r="J195" s="94"/>
      <c r="K195" s="94"/>
      <c r="N195" s="94"/>
      <c r="O195" s="94"/>
      <c r="P195" s="94"/>
      <c r="Q195" s="94"/>
      <c r="R195" s="94"/>
      <c r="S195" s="94"/>
    </row>
    <row r="196" spans="1:19" x14ac:dyDescent="0.2">
      <c r="A196" t="s">
        <v>291</v>
      </c>
      <c r="B196" s="94"/>
      <c r="C196" s="94"/>
      <c r="F196" s="94"/>
      <c r="G196" s="94"/>
      <c r="H196" s="94"/>
      <c r="I196" s="94"/>
      <c r="J196" s="94"/>
      <c r="K196" s="94"/>
      <c r="N196" s="94"/>
      <c r="O196" s="94"/>
      <c r="P196" s="94"/>
      <c r="Q196" s="94"/>
      <c r="R196" s="94"/>
      <c r="S196" s="94"/>
    </row>
    <row r="197" spans="1:19" x14ac:dyDescent="0.2">
      <c r="A197" t="s">
        <v>292</v>
      </c>
      <c r="B197" s="94"/>
      <c r="C197" s="94"/>
      <c r="F197" s="94"/>
      <c r="G197" s="94"/>
      <c r="H197" s="94"/>
      <c r="I197" s="94"/>
      <c r="J197" s="94"/>
      <c r="K197" s="94"/>
      <c r="N197" s="94"/>
      <c r="O197" s="94"/>
      <c r="P197" s="94"/>
      <c r="Q197" s="94"/>
      <c r="R197" s="94"/>
      <c r="S197" s="94"/>
    </row>
    <row r="198" spans="1:19" x14ac:dyDescent="0.2">
      <c r="A198" t="s">
        <v>293</v>
      </c>
      <c r="B198" s="94"/>
      <c r="C198" s="94"/>
      <c r="F198" s="94"/>
      <c r="G198" s="94"/>
      <c r="H198" s="94"/>
      <c r="I198" s="94"/>
      <c r="J198" s="94"/>
      <c r="K198" s="94"/>
      <c r="N198" s="94"/>
      <c r="O198" s="94"/>
      <c r="P198" s="94"/>
      <c r="Q198" s="94"/>
      <c r="R198" s="94"/>
      <c r="S198" s="94"/>
    </row>
    <row r="199" spans="1:19" x14ac:dyDescent="0.2">
      <c r="A199" t="s">
        <v>294</v>
      </c>
      <c r="B199" s="94"/>
      <c r="C199" s="94"/>
    </row>
    <row r="200" spans="1:19" x14ac:dyDescent="0.2">
      <c r="A200" t="s">
        <v>295</v>
      </c>
      <c r="B200" s="94"/>
      <c r="C200" s="94"/>
    </row>
    <row r="201" spans="1:19" x14ac:dyDescent="0.2">
      <c r="A201" t="s">
        <v>296</v>
      </c>
      <c r="B201" s="94"/>
      <c r="C201" s="94"/>
    </row>
    <row r="202" spans="1:19" x14ac:dyDescent="0.2">
      <c r="A202" t="s">
        <v>297</v>
      </c>
      <c r="B202" s="94"/>
      <c r="C202" s="94"/>
    </row>
    <row r="203" spans="1:19" x14ac:dyDescent="0.2">
      <c r="A203" t="s">
        <v>1337</v>
      </c>
      <c r="B203" s="94"/>
      <c r="C203" s="94"/>
    </row>
    <row r="204" spans="1:19" x14ac:dyDescent="0.2">
      <c r="A204" t="s">
        <v>1338</v>
      </c>
      <c r="B204" s="94"/>
      <c r="C204" s="94"/>
    </row>
    <row r="205" spans="1:19" x14ac:dyDescent="0.2">
      <c r="A205" t="s">
        <v>1339</v>
      </c>
      <c r="B205" s="94"/>
      <c r="C205" s="94"/>
    </row>
    <row r="206" spans="1:19" x14ac:dyDescent="0.2">
      <c r="A206" t="s">
        <v>1340</v>
      </c>
      <c r="B206" s="94"/>
      <c r="C206" s="94"/>
    </row>
    <row r="207" spans="1:19" x14ac:dyDescent="0.2">
      <c r="A207" t="s">
        <v>1341</v>
      </c>
      <c r="B207" s="94"/>
      <c r="C207" s="94"/>
    </row>
    <row r="208" spans="1:19" x14ac:dyDescent="0.2">
      <c r="A208" t="s">
        <v>1342</v>
      </c>
      <c r="B208" s="94"/>
      <c r="C208" s="94"/>
    </row>
    <row r="209" spans="1:3" x14ac:dyDescent="0.2">
      <c r="A209" t="s">
        <v>1343</v>
      </c>
      <c r="B209" s="94"/>
      <c r="C209" s="94"/>
    </row>
    <row r="210" spans="1:3" x14ac:dyDescent="0.2">
      <c r="A210" t="s">
        <v>1344</v>
      </c>
      <c r="B210" s="94"/>
      <c r="C210" s="94"/>
    </row>
    <row r="211" spans="1:3" x14ac:dyDescent="0.2">
      <c r="A211" t="s">
        <v>1345</v>
      </c>
      <c r="B211" s="94"/>
      <c r="C211" s="94"/>
    </row>
    <row r="212" spans="1:3" x14ac:dyDescent="0.2">
      <c r="A212" t="s">
        <v>298</v>
      </c>
      <c r="B212" s="94"/>
      <c r="C212" s="94"/>
    </row>
    <row r="213" spans="1:3" x14ac:dyDescent="0.2">
      <c r="A213" t="s">
        <v>299</v>
      </c>
      <c r="B213" s="94"/>
      <c r="C213" s="94"/>
    </row>
    <row r="214" spans="1:3" x14ac:dyDescent="0.2">
      <c r="A214" t="s">
        <v>300</v>
      </c>
      <c r="B214" s="94"/>
      <c r="C214" s="94"/>
    </row>
    <row r="215" spans="1:3" x14ac:dyDescent="0.2">
      <c r="A215" t="s">
        <v>301</v>
      </c>
      <c r="B215" s="94"/>
      <c r="C215" s="94"/>
    </row>
    <row r="216" spans="1:3" x14ac:dyDescent="0.2">
      <c r="A216" t="s">
        <v>302</v>
      </c>
      <c r="B216" s="94"/>
      <c r="C216" s="94"/>
    </row>
    <row r="217" spans="1:3" x14ac:dyDescent="0.2">
      <c r="A217" t="s">
        <v>303</v>
      </c>
      <c r="B217" s="94"/>
      <c r="C217" s="94"/>
    </row>
    <row r="218" spans="1:3" x14ac:dyDescent="0.2">
      <c r="A218" t="s">
        <v>304</v>
      </c>
      <c r="B218" s="94"/>
      <c r="C218" s="94"/>
    </row>
    <row r="219" spans="1:3" x14ac:dyDescent="0.2">
      <c r="A219" t="s">
        <v>305</v>
      </c>
      <c r="B219" s="94"/>
      <c r="C219" s="94"/>
    </row>
    <row r="220" spans="1:3" x14ac:dyDescent="0.2">
      <c r="A220" t="s">
        <v>306</v>
      </c>
      <c r="B220" s="94"/>
      <c r="C220" s="94"/>
    </row>
    <row r="221" spans="1:3" x14ac:dyDescent="0.2">
      <c r="A221" t="s">
        <v>1346</v>
      </c>
      <c r="B221" s="94"/>
      <c r="C221" s="94"/>
    </row>
    <row r="222" spans="1:3" x14ac:dyDescent="0.2">
      <c r="A222" t="s">
        <v>1347</v>
      </c>
      <c r="B222" s="94"/>
      <c r="C222" s="94"/>
    </row>
    <row r="223" spans="1:3" x14ac:dyDescent="0.2">
      <c r="A223" t="s">
        <v>1348</v>
      </c>
      <c r="B223" s="94"/>
      <c r="C223" s="94"/>
    </row>
    <row r="224" spans="1:3" x14ac:dyDescent="0.2">
      <c r="A224" t="s">
        <v>1349</v>
      </c>
      <c r="B224" s="94"/>
      <c r="C224" s="94"/>
    </row>
    <row r="225" spans="1:3" x14ac:dyDescent="0.2">
      <c r="A225" t="s">
        <v>1350</v>
      </c>
      <c r="B225" s="94"/>
      <c r="C225" s="94"/>
    </row>
    <row r="226" spans="1:3" x14ac:dyDescent="0.2">
      <c r="A226" t="s">
        <v>1351</v>
      </c>
      <c r="B226" s="94"/>
      <c r="C226" s="94"/>
    </row>
    <row r="227" spans="1:3" x14ac:dyDescent="0.2">
      <c r="A227" t="s">
        <v>1352</v>
      </c>
      <c r="B227" s="94"/>
      <c r="C227" s="94"/>
    </row>
    <row r="228" spans="1:3" x14ac:dyDescent="0.2">
      <c r="A228" t="s">
        <v>1353</v>
      </c>
      <c r="B228" s="94"/>
      <c r="C228" s="94"/>
    </row>
    <row r="229" spans="1:3" x14ac:dyDescent="0.2">
      <c r="A229" t="s">
        <v>1354</v>
      </c>
      <c r="B229" s="94"/>
      <c r="C229" s="94"/>
    </row>
    <row r="230" spans="1:3" x14ac:dyDescent="0.2">
      <c r="A230" t="s">
        <v>1355</v>
      </c>
      <c r="B230" s="94"/>
      <c r="C230" s="94"/>
    </row>
    <row r="231" spans="1:3" x14ac:dyDescent="0.2">
      <c r="A231" t="s">
        <v>307</v>
      </c>
      <c r="B231" s="94"/>
      <c r="C231" s="94"/>
    </row>
    <row r="232" spans="1:3" x14ac:dyDescent="0.2">
      <c r="A232" t="s">
        <v>149</v>
      </c>
      <c r="B232" s="94"/>
      <c r="C232" s="94"/>
    </row>
    <row r="233" spans="1:3" x14ac:dyDescent="0.2">
      <c r="A233" t="s">
        <v>308</v>
      </c>
      <c r="B233" s="94"/>
      <c r="C233" s="94"/>
    </row>
    <row r="234" spans="1:3" x14ac:dyDescent="0.2">
      <c r="A234" t="s">
        <v>309</v>
      </c>
      <c r="B234" s="94"/>
      <c r="C234" s="94"/>
    </row>
    <row r="235" spans="1:3" x14ac:dyDescent="0.2">
      <c r="A235" t="s">
        <v>310</v>
      </c>
      <c r="B235" s="94"/>
      <c r="C235" s="94"/>
    </row>
    <row r="236" spans="1:3" x14ac:dyDescent="0.2">
      <c r="A236" t="s">
        <v>311</v>
      </c>
      <c r="B236" s="94"/>
      <c r="C236" s="94"/>
    </row>
    <row r="237" spans="1:3" x14ac:dyDescent="0.2">
      <c r="A237" t="s">
        <v>312</v>
      </c>
      <c r="B237" s="94"/>
      <c r="C237" s="94"/>
    </row>
    <row r="238" spans="1:3" x14ac:dyDescent="0.2">
      <c r="A238" t="s">
        <v>313</v>
      </c>
      <c r="B238" s="94"/>
      <c r="C238" s="94"/>
    </row>
    <row r="239" spans="1:3" x14ac:dyDescent="0.2">
      <c r="A239" t="s">
        <v>314</v>
      </c>
      <c r="B239" s="94"/>
      <c r="C239" s="94"/>
    </row>
    <row r="240" spans="1:3" x14ac:dyDescent="0.2">
      <c r="A240" t="s">
        <v>1356</v>
      </c>
      <c r="B240" s="94"/>
      <c r="C240" s="94"/>
    </row>
    <row r="241" spans="1:3" x14ac:dyDescent="0.2">
      <c r="A241" t="s">
        <v>1357</v>
      </c>
      <c r="B241" s="94"/>
      <c r="C241" s="94"/>
    </row>
    <row r="242" spans="1:3" x14ac:dyDescent="0.2">
      <c r="A242" t="s">
        <v>1358</v>
      </c>
      <c r="B242" s="94"/>
      <c r="C242" s="94"/>
    </row>
    <row r="243" spans="1:3" x14ac:dyDescent="0.2">
      <c r="A243" t="s">
        <v>1359</v>
      </c>
      <c r="B243" s="94"/>
      <c r="C243" s="94"/>
    </row>
    <row r="244" spans="1:3" x14ac:dyDescent="0.2">
      <c r="A244" t="s">
        <v>1360</v>
      </c>
      <c r="B244" s="94"/>
      <c r="C244" s="94"/>
    </row>
    <row r="245" spans="1:3" x14ac:dyDescent="0.2">
      <c r="A245" t="s">
        <v>1361</v>
      </c>
      <c r="B245" s="94"/>
      <c r="C245" s="94"/>
    </row>
    <row r="246" spans="1:3" x14ac:dyDescent="0.2">
      <c r="A246" t="s">
        <v>1362</v>
      </c>
      <c r="B246" s="94"/>
      <c r="C246" s="94"/>
    </row>
    <row r="247" spans="1:3" x14ac:dyDescent="0.2">
      <c r="A247" t="s">
        <v>1363</v>
      </c>
      <c r="B247" s="94"/>
      <c r="C247" s="94"/>
    </row>
    <row r="248" spans="1:3" x14ac:dyDescent="0.2">
      <c r="A248" t="s">
        <v>1364</v>
      </c>
      <c r="B248" s="94"/>
      <c r="C248" s="94"/>
    </row>
    <row r="249" spans="1:3" x14ac:dyDescent="0.2">
      <c r="A249" t="s">
        <v>315</v>
      </c>
      <c r="B249" s="94"/>
      <c r="C249" s="94"/>
    </row>
    <row r="250" spans="1:3" x14ac:dyDescent="0.2">
      <c r="A250" t="s">
        <v>316</v>
      </c>
      <c r="B250" s="94"/>
      <c r="C250" s="94"/>
    </row>
    <row r="251" spans="1:3" x14ac:dyDescent="0.2">
      <c r="A251" t="s">
        <v>317</v>
      </c>
      <c r="B251" s="94"/>
      <c r="C251" s="94"/>
    </row>
    <row r="252" spans="1:3" x14ac:dyDescent="0.2">
      <c r="A252" t="s">
        <v>318</v>
      </c>
      <c r="B252" s="94"/>
      <c r="C252" s="94"/>
    </row>
    <row r="253" spans="1:3" x14ac:dyDescent="0.2">
      <c r="A253" t="s">
        <v>319</v>
      </c>
      <c r="B253" s="94"/>
      <c r="C253" s="94"/>
    </row>
    <row r="254" spans="1:3" x14ac:dyDescent="0.2">
      <c r="A254" t="s">
        <v>320</v>
      </c>
      <c r="B254" s="94"/>
      <c r="C254" s="94"/>
    </row>
    <row r="255" spans="1:3" x14ac:dyDescent="0.2">
      <c r="A255" t="s">
        <v>321</v>
      </c>
      <c r="B255" s="94"/>
      <c r="C255" s="94"/>
    </row>
    <row r="256" spans="1:3" x14ac:dyDescent="0.2">
      <c r="A256" t="s">
        <v>322</v>
      </c>
      <c r="B256" s="94"/>
      <c r="C256" s="94"/>
    </row>
    <row r="257" spans="1:3" x14ac:dyDescent="0.2">
      <c r="A257" t="s">
        <v>323</v>
      </c>
      <c r="B257" s="94"/>
      <c r="C257" s="94"/>
    </row>
    <row r="258" spans="1:3" x14ac:dyDescent="0.2">
      <c r="A258" t="s">
        <v>1365</v>
      </c>
      <c r="B258" s="94"/>
      <c r="C258" s="94"/>
    </row>
    <row r="259" spans="1:3" x14ac:dyDescent="0.2">
      <c r="A259" t="s">
        <v>1366</v>
      </c>
      <c r="B259" s="94"/>
      <c r="C259" s="94"/>
    </row>
    <row r="260" spans="1:3" x14ac:dyDescent="0.2">
      <c r="A260" t="s">
        <v>1367</v>
      </c>
      <c r="B260" s="94"/>
      <c r="C260" s="94"/>
    </row>
    <row r="261" spans="1:3" x14ac:dyDescent="0.2">
      <c r="A261" t="s">
        <v>1368</v>
      </c>
      <c r="B261" s="94"/>
      <c r="C261" s="94"/>
    </row>
    <row r="262" spans="1:3" x14ac:dyDescent="0.2">
      <c r="A262" t="s">
        <v>1369</v>
      </c>
      <c r="B262" s="94"/>
      <c r="C262" s="94"/>
    </row>
    <row r="263" spans="1:3" x14ac:dyDescent="0.2">
      <c r="A263" t="s">
        <v>1370</v>
      </c>
      <c r="B263" s="94"/>
      <c r="C263" s="94"/>
    </row>
    <row r="264" spans="1:3" x14ac:dyDescent="0.2">
      <c r="A264" t="s">
        <v>1371</v>
      </c>
      <c r="B264" s="94"/>
      <c r="C264" s="94"/>
    </row>
    <row r="265" spans="1:3" x14ac:dyDescent="0.2">
      <c r="A265" t="s">
        <v>1372</v>
      </c>
      <c r="B265" s="94"/>
      <c r="C265" s="94"/>
    </row>
    <row r="266" spans="1:3" x14ac:dyDescent="0.2">
      <c r="A266" t="s">
        <v>324</v>
      </c>
      <c r="B266" s="94"/>
      <c r="C266" s="94"/>
    </row>
    <row r="267" spans="1:3" x14ac:dyDescent="0.2">
      <c r="A267" t="s">
        <v>325</v>
      </c>
      <c r="B267" s="94"/>
      <c r="C267" s="94"/>
    </row>
    <row r="268" spans="1:3" x14ac:dyDescent="0.2">
      <c r="A268" t="s">
        <v>326</v>
      </c>
      <c r="B268" s="94"/>
      <c r="C268" s="94"/>
    </row>
    <row r="269" spans="1:3" x14ac:dyDescent="0.2">
      <c r="A269" t="s">
        <v>327</v>
      </c>
      <c r="B269" s="94"/>
      <c r="C269" s="94"/>
    </row>
    <row r="270" spans="1:3" x14ac:dyDescent="0.2">
      <c r="A270" t="s">
        <v>328</v>
      </c>
      <c r="B270" s="94"/>
      <c r="C270" s="94"/>
    </row>
    <row r="271" spans="1:3" x14ac:dyDescent="0.2">
      <c r="A271" t="s">
        <v>329</v>
      </c>
      <c r="B271" s="94"/>
      <c r="C271" s="94"/>
    </row>
    <row r="272" spans="1:3" x14ac:dyDescent="0.2">
      <c r="A272" t="s">
        <v>330</v>
      </c>
      <c r="B272" s="94"/>
      <c r="C272" s="94"/>
    </row>
    <row r="273" spans="1:3" x14ac:dyDescent="0.2">
      <c r="A273" t="s">
        <v>331</v>
      </c>
      <c r="B273" s="94"/>
      <c r="C273" s="94"/>
    </row>
    <row r="274" spans="1:3" x14ac:dyDescent="0.2">
      <c r="A274" t="s">
        <v>1373</v>
      </c>
      <c r="B274" s="94"/>
      <c r="C274" s="94"/>
    </row>
    <row r="275" spans="1:3" x14ac:dyDescent="0.2">
      <c r="A275" t="s">
        <v>1374</v>
      </c>
      <c r="B275" s="94"/>
      <c r="C275" s="94"/>
    </row>
    <row r="276" spans="1:3" x14ac:dyDescent="0.2">
      <c r="A276" t="s">
        <v>1375</v>
      </c>
      <c r="B276" s="94"/>
      <c r="C276" s="94"/>
    </row>
    <row r="277" spans="1:3" x14ac:dyDescent="0.2">
      <c r="A277" t="s">
        <v>1376</v>
      </c>
      <c r="B277" s="94"/>
      <c r="C277" s="94"/>
    </row>
    <row r="278" spans="1:3" x14ac:dyDescent="0.2">
      <c r="A278" t="s">
        <v>1377</v>
      </c>
      <c r="B278" s="94"/>
      <c r="C278" s="94"/>
    </row>
    <row r="279" spans="1:3" x14ac:dyDescent="0.2">
      <c r="A279" t="s">
        <v>1378</v>
      </c>
      <c r="B279" s="94"/>
      <c r="C279" s="94"/>
    </row>
    <row r="280" spans="1:3" x14ac:dyDescent="0.2">
      <c r="A280" t="s">
        <v>1379</v>
      </c>
      <c r="B280" s="94"/>
      <c r="C280" s="94"/>
    </row>
    <row r="281" spans="1:3" x14ac:dyDescent="0.2">
      <c r="A281" t="s">
        <v>1380</v>
      </c>
      <c r="B281" s="94"/>
      <c r="C281" s="94"/>
    </row>
    <row r="282" spans="1:3" x14ac:dyDescent="0.2">
      <c r="A282" t="s">
        <v>332</v>
      </c>
      <c r="B282" s="94"/>
      <c r="C282" s="94"/>
    </row>
    <row r="283" spans="1:3" x14ac:dyDescent="0.2">
      <c r="A283" t="s">
        <v>333</v>
      </c>
      <c r="B283" s="94"/>
      <c r="C283" s="94"/>
    </row>
    <row r="284" spans="1:3" x14ac:dyDescent="0.2">
      <c r="A284" t="s">
        <v>334</v>
      </c>
      <c r="B284" s="94"/>
      <c r="C284" s="94"/>
    </row>
    <row r="285" spans="1:3" x14ac:dyDescent="0.2">
      <c r="A285" t="s">
        <v>335</v>
      </c>
      <c r="B285" s="94"/>
      <c r="C285" s="94"/>
    </row>
    <row r="286" spans="1:3" x14ac:dyDescent="0.2">
      <c r="A286" t="s">
        <v>336</v>
      </c>
      <c r="B286" s="94"/>
      <c r="C286" s="94"/>
    </row>
    <row r="287" spans="1:3" x14ac:dyDescent="0.2">
      <c r="A287" t="s">
        <v>337</v>
      </c>
      <c r="B287" s="94"/>
      <c r="C287" s="94"/>
    </row>
    <row r="288" spans="1:3" x14ac:dyDescent="0.2">
      <c r="A288" t="s">
        <v>338</v>
      </c>
      <c r="B288" s="94"/>
      <c r="C288" s="94"/>
    </row>
    <row r="289" spans="1:3" x14ac:dyDescent="0.2">
      <c r="A289" t="s">
        <v>339</v>
      </c>
      <c r="B289" s="94"/>
      <c r="C289" s="94"/>
    </row>
    <row r="290" spans="1:3" x14ac:dyDescent="0.2">
      <c r="A290" t="s">
        <v>340</v>
      </c>
      <c r="B290" s="94"/>
      <c r="C290" s="94"/>
    </row>
    <row r="291" spans="1:3" x14ac:dyDescent="0.2">
      <c r="A291" t="s">
        <v>341</v>
      </c>
      <c r="B291" s="94"/>
      <c r="C291" s="94"/>
    </row>
    <row r="292" spans="1:3" x14ac:dyDescent="0.2">
      <c r="A292" t="s">
        <v>342</v>
      </c>
      <c r="B292" s="94"/>
      <c r="C292" s="94"/>
    </row>
    <row r="293" spans="1:3" x14ac:dyDescent="0.2">
      <c r="A293" t="s">
        <v>343</v>
      </c>
      <c r="B293" s="94"/>
      <c r="C293" s="94"/>
    </row>
    <row r="294" spans="1:3" x14ac:dyDescent="0.2">
      <c r="A294" t="s">
        <v>344</v>
      </c>
      <c r="B294" s="94"/>
      <c r="C294" s="94"/>
    </row>
    <row r="295" spans="1:3" x14ac:dyDescent="0.2">
      <c r="A295" t="s">
        <v>345</v>
      </c>
      <c r="B295" s="94"/>
      <c r="C295" s="94"/>
    </row>
    <row r="296" spans="1:3" x14ac:dyDescent="0.2">
      <c r="A296" t="s">
        <v>346</v>
      </c>
      <c r="B296" s="94"/>
      <c r="C296" s="94"/>
    </row>
    <row r="297" spans="1:3" x14ac:dyDescent="0.2">
      <c r="A297" t="s">
        <v>347</v>
      </c>
      <c r="B297" s="94"/>
      <c r="C297" s="94"/>
    </row>
    <row r="298" spans="1:3" x14ac:dyDescent="0.2">
      <c r="A298" t="s">
        <v>348</v>
      </c>
      <c r="B298" s="94"/>
      <c r="C298" s="94"/>
    </row>
    <row r="299" spans="1:3" x14ac:dyDescent="0.2">
      <c r="A299" t="s">
        <v>349</v>
      </c>
      <c r="B299" s="94"/>
      <c r="C299" s="94"/>
    </row>
    <row r="300" spans="1:3" x14ac:dyDescent="0.2">
      <c r="A300" t="s">
        <v>350</v>
      </c>
      <c r="B300" s="94"/>
      <c r="C300" s="94"/>
    </row>
    <row r="301" spans="1:3" x14ac:dyDescent="0.2">
      <c r="A301" t="s">
        <v>351</v>
      </c>
      <c r="B301" s="94"/>
      <c r="C301" s="94"/>
    </row>
    <row r="302" spans="1:3" x14ac:dyDescent="0.2">
      <c r="A302" t="s">
        <v>352</v>
      </c>
      <c r="B302" s="94"/>
      <c r="C302" s="94"/>
    </row>
    <row r="303" spans="1:3" x14ac:dyDescent="0.2">
      <c r="A303" t="s">
        <v>353</v>
      </c>
      <c r="B303" s="94"/>
      <c r="C303" s="94"/>
    </row>
    <row r="304" spans="1:3" x14ac:dyDescent="0.2">
      <c r="A304" t="s">
        <v>354</v>
      </c>
      <c r="B304" s="94"/>
      <c r="C304" s="94"/>
    </row>
    <row r="305" spans="1:3" x14ac:dyDescent="0.2">
      <c r="A305" t="s">
        <v>355</v>
      </c>
      <c r="B305" s="94"/>
      <c r="C305" s="94"/>
    </row>
    <row r="306" spans="1:3" x14ac:dyDescent="0.2">
      <c r="A306" t="s">
        <v>356</v>
      </c>
      <c r="B306" s="94"/>
      <c r="C306" s="94"/>
    </row>
    <row r="307" spans="1:3" x14ac:dyDescent="0.2">
      <c r="A307" t="s">
        <v>357</v>
      </c>
      <c r="B307" s="94"/>
      <c r="C307" s="94"/>
    </row>
    <row r="308" spans="1:3" x14ac:dyDescent="0.2">
      <c r="A308" t="s">
        <v>358</v>
      </c>
      <c r="B308" s="94"/>
      <c r="C308" s="94"/>
    </row>
    <row r="309" spans="1:3" x14ac:dyDescent="0.2">
      <c r="A309" t="s">
        <v>359</v>
      </c>
      <c r="B309" s="94"/>
      <c r="C309" s="94"/>
    </row>
    <row r="310" spans="1:3" x14ac:dyDescent="0.2">
      <c r="A310" t="s">
        <v>360</v>
      </c>
      <c r="B310" s="94"/>
      <c r="C310" s="94"/>
    </row>
    <row r="311" spans="1:3" x14ac:dyDescent="0.2">
      <c r="A311" t="s">
        <v>361</v>
      </c>
    </row>
    <row r="312" spans="1:3" x14ac:dyDescent="0.2">
      <c r="A312" t="s">
        <v>362</v>
      </c>
    </row>
    <row r="313" spans="1:3" x14ac:dyDescent="0.2">
      <c r="A313" t="s">
        <v>363</v>
      </c>
    </row>
    <row r="314" spans="1:3" x14ac:dyDescent="0.2">
      <c r="A314" t="s">
        <v>364</v>
      </c>
    </row>
    <row r="315" spans="1:3" x14ac:dyDescent="0.2">
      <c r="A315" t="s">
        <v>365</v>
      </c>
    </row>
    <row r="316" spans="1:3" x14ac:dyDescent="0.2">
      <c r="A316" t="s">
        <v>366</v>
      </c>
    </row>
    <row r="317" spans="1:3" x14ac:dyDescent="0.2">
      <c r="A317" t="s">
        <v>367</v>
      </c>
    </row>
    <row r="318" spans="1:3" x14ac:dyDescent="0.2">
      <c r="A318" t="s">
        <v>368</v>
      </c>
    </row>
    <row r="319" spans="1:3" x14ac:dyDescent="0.2">
      <c r="A319" t="s">
        <v>369</v>
      </c>
    </row>
    <row r="320" spans="1:3" x14ac:dyDescent="0.2">
      <c r="A320" t="s">
        <v>370</v>
      </c>
    </row>
    <row r="321" spans="1:1" x14ac:dyDescent="0.2">
      <c r="A321" t="s">
        <v>371</v>
      </c>
    </row>
    <row r="322" spans="1:1" x14ac:dyDescent="0.2">
      <c r="A322" t="s">
        <v>372</v>
      </c>
    </row>
    <row r="323" spans="1:1" x14ac:dyDescent="0.2">
      <c r="A323" t="s">
        <v>373</v>
      </c>
    </row>
    <row r="324" spans="1:1" x14ac:dyDescent="0.2">
      <c r="A324" t="s">
        <v>750</v>
      </c>
    </row>
    <row r="325" spans="1:1" x14ac:dyDescent="0.2">
      <c r="A325" t="s">
        <v>751</v>
      </c>
    </row>
    <row r="326" spans="1:1" x14ac:dyDescent="0.2">
      <c r="A326" t="s">
        <v>752</v>
      </c>
    </row>
    <row r="327" spans="1:1" x14ac:dyDescent="0.2">
      <c r="A327" t="s">
        <v>753</v>
      </c>
    </row>
    <row r="328" spans="1:1" x14ac:dyDescent="0.2">
      <c r="A328" t="s">
        <v>754</v>
      </c>
    </row>
    <row r="329" spans="1:1" x14ac:dyDescent="0.2">
      <c r="A329" t="s">
        <v>755</v>
      </c>
    </row>
    <row r="330" spans="1:1" x14ac:dyDescent="0.2">
      <c r="A330" t="s">
        <v>756</v>
      </c>
    </row>
    <row r="331" spans="1:1" x14ac:dyDescent="0.2">
      <c r="A331" t="s">
        <v>757</v>
      </c>
    </row>
    <row r="332" spans="1:1" x14ac:dyDescent="0.2">
      <c r="A332" t="s">
        <v>758</v>
      </c>
    </row>
    <row r="333" spans="1:1" x14ac:dyDescent="0.2">
      <c r="A333" t="s">
        <v>759</v>
      </c>
    </row>
    <row r="334" spans="1:1" x14ac:dyDescent="0.2">
      <c r="A334" t="s">
        <v>760</v>
      </c>
    </row>
    <row r="335" spans="1:1" x14ac:dyDescent="0.2">
      <c r="A335" t="s">
        <v>761</v>
      </c>
    </row>
    <row r="336" spans="1:1" x14ac:dyDescent="0.2">
      <c r="A336" t="s">
        <v>762</v>
      </c>
    </row>
    <row r="337" spans="1:1" x14ac:dyDescent="0.2">
      <c r="A337" t="s">
        <v>763</v>
      </c>
    </row>
    <row r="338" spans="1:1" x14ac:dyDescent="0.2">
      <c r="A338" t="s">
        <v>764</v>
      </c>
    </row>
    <row r="339" spans="1:1" x14ac:dyDescent="0.2">
      <c r="A339" t="s">
        <v>765</v>
      </c>
    </row>
    <row r="340" spans="1:1" x14ac:dyDescent="0.2">
      <c r="A340" t="s">
        <v>766</v>
      </c>
    </row>
    <row r="341" spans="1:1" x14ac:dyDescent="0.2">
      <c r="A341" t="s">
        <v>767</v>
      </c>
    </row>
    <row r="342" spans="1:1" x14ac:dyDescent="0.2">
      <c r="A342" t="s">
        <v>768</v>
      </c>
    </row>
    <row r="343" spans="1:1" x14ac:dyDescent="0.2">
      <c r="A343" t="s">
        <v>769</v>
      </c>
    </row>
    <row r="344" spans="1:1" x14ac:dyDescent="0.2">
      <c r="A344" t="s">
        <v>770</v>
      </c>
    </row>
    <row r="345" spans="1:1" x14ac:dyDescent="0.2">
      <c r="A345" t="s">
        <v>771</v>
      </c>
    </row>
    <row r="346" spans="1:1" x14ac:dyDescent="0.2">
      <c r="A346" t="s">
        <v>772</v>
      </c>
    </row>
    <row r="347" spans="1:1" x14ac:dyDescent="0.2">
      <c r="A347" t="s">
        <v>773</v>
      </c>
    </row>
    <row r="348" spans="1:1" x14ac:dyDescent="0.2">
      <c r="A348" t="s">
        <v>774</v>
      </c>
    </row>
    <row r="349" spans="1:1" x14ac:dyDescent="0.2">
      <c r="A349" t="s">
        <v>775</v>
      </c>
    </row>
    <row r="350" spans="1:1" x14ac:dyDescent="0.2">
      <c r="A350" t="s">
        <v>776</v>
      </c>
    </row>
    <row r="351" spans="1:1" x14ac:dyDescent="0.2">
      <c r="A351" t="s">
        <v>777</v>
      </c>
    </row>
    <row r="352" spans="1:1" x14ac:dyDescent="0.2">
      <c r="A352" t="s">
        <v>778</v>
      </c>
    </row>
    <row r="353" spans="1:1" x14ac:dyDescent="0.2">
      <c r="A353" t="s">
        <v>779</v>
      </c>
    </row>
    <row r="354" spans="1:1" x14ac:dyDescent="0.2">
      <c r="A354" t="s">
        <v>780</v>
      </c>
    </row>
    <row r="355" spans="1:1" x14ac:dyDescent="0.2">
      <c r="A355" t="s">
        <v>781</v>
      </c>
    </row>
    <row r="356" spans="1:1" x14ac:dyDescent="0.2">
      <c r="A356" t="s">
        <v>782</v>
      </c>
    </row>
    <row r="357" spans="1:1" x14ac:dyDescent="0.2">
      <c r="A357" t="s">
        <v>783</v>
      </c>
    </row>
    <row r="358" spans="1:1" x14ac:dyDescent="0.2">
      <c r="A358" t="s">
        <v>784</v>
      </c>
    </row>
    <row r="359" spans="1:1" x14ac:dyDescent="0.2">
      <c r="A359" t="s">
        <v>785</v>
      </c>
    </row>
  </sheetData>
  <sheetProtection selectLockedCells="1"/>
  <dataConsolidate link="1"/>
  <mergeCells count="1">
    <mergeCell ref="M1:N1"/>
  </mergeCells>
  <phoneticPr fontId="2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BL82"/>
  <sheetViews>
    <sheetView zoomScale="75" zoomScaleNormal="75" workbookViewId="0">
      <selection activeCell="A2" sqref="A2"/>
    </sheetView>
  </sheetViews>
  <sheetFormatPr defaultRowHeight="12.75" x14ac:dyDescent="0.2"/>
  <cols>
    <col min="1" max="20" width="9.140625" style="1367"/>
    <col min="21" max="22" width="9.140625" style="1379"/>
    <col min="23" max="54" width="9.140625" style="1367"/>
    <col min="55" max="16384" width="9.140625" style="1374"/>
  </cols>
  <sheetData>
    <row r="1" spans="1:64" ht="30" customHeight="1" x14ac:dyDescent="0.2">
      <c r="A1" s="1371" t="s">
        <v>632</v>
      </c>
      <c r="B1" s="1371" t="s">
        <v>1134</v>
      </c>
      <c r="C1" s="1371" t="s">
        <v>1159</v>
      </c>
      <c r="D1" s="1818" t="str">
        <f>IF($BL$1,"Bay Length","Overall Length")</f>
        <v>Overall Length</v>
      </c>
      <c r="E1" s="1819"/>
      <c r="F1" s="1371" t="str">
        <f>IF($BL$1,"L Sect #","TC Width")</f>
        <v>TC Width</v>
      </c>
      <c r="G1" s="1371" t="str">
        <f>IF($BL$1,"L Min Sup Wid","TCXL Feet")</f>
        <v>TCXL Feet</v>
      </c>
      <c r="H1" s="1371" t="str">
        <f>IF($BL$1,"L Max Sup Wid","TCXL Inch")</f>
        <v>TCXL Inch</v>
      </c>
      <c r="I1" s="1371" t="str">
        <f>IF($BL$1,"L Min Flg Ga","TCXL Type")</f>
        <v>TCXL Type</v>
      </c>
      <c r="J1" s="1371" t="str">
        <f>IF($BL$1,"L Max Flg Ga","TCXR Feet")</f>
        <v>TCXR Feet</v>
      </c>
      <c r="K1" s="1371" t="str">
        <f>IF($BL$1,"L Skew","TCXR Inch")</f>
        <v>TCXR Inch</v>
      </c>
      <c r="L1" s="1371" t="str">
        <f>IF($BL$1,"L Brg Slp","TCXR Type")</f>
        <v>TCXR Type</v>
      </c>
      <c r="M1" s="1371" t="str">
        <f>IF($BL$1,"R Sect #","BDL")</f>
        <v>BDL</v>
      </c>
      <c r="N1" s="1371" t="str">
        <f>IF($BL$1,"R Min Sup Wid","BDR")</f>
        <v>BDR</v>
      </c>
      <c r="O1" s="1371" t="str">
        <f>IF($BL$1,"R Max Sup Wid","BCXL Feet")</f>
        <v>BCXL Feet</v>
      </c>
      <c r="P1" s="1371" t="str">
        <f>IF($BL$1,"R Min Flg Ga","BCXL Inch")</f>
        <v>BCXL Inch</v>
      </c>
      <c r="Q1" s="1371" t="str">
        <f>IF($BL$1,"R Max Flg Ga","BCXR Feet")</f>
        <v>BCXR Feet</v>
      </c>
      <c r="R1" s="1371" t="str">
        <f>IF($BL$1,"R Skew","BCXR Inch")</f>
        <v>BCXR Inch</v>
      </c>
      <c r="S1" s="1371" t="str">
        <f>IF($BL$1,"R Brg Slp","HL Feet")</f>
        <v>HL Feet</v>
      </c>
      <c r="T1" s="1371" t="str">
        <f>IF($BL$1,"TC Slope","HL Inch")</f>
        <v>HL Inch</v>
      </c>
      <c r="U1" s="1371" t="str">
        <f>IF($BL$1,"Load Notes","HR Feet")</f>
        <v>HR Feet</v>
      </c>
      <c r="V1" s="1371" t="str">
        <f>IF($BL$1,"Spcl Notes","HR Inch")</f>
        <v>HR Inch</v>
      </c>
      <c r="W1" s="1371" t="str">
        <f>IF($BL$1,"# KB","Slot Ga")</f>
        <v>Slot Ga</v>
      </c>
      <c r="X1" s="1371" t="str">
        <f>IF($BL$1,"TC Width","L Seat Slp")</f>
        <v>L Seat Slp</v>
      </c>
      <c r="Y1" s="1371" t="str">
        <f>IF($BL$1,"TCL Override","R Seat Slp")</f>
        <v>R Seat Slp</v>
      </c>
      <c r="Z1" s="1371" t="str">
        <f>IF($BL$1,"TCR Override","Load Notes")</f>
        <v>Load Notes</v>
      </c>
      <c r="AA1" s="1371" t="str">
        <f>IF($BL$1,"L-BL Override","Spcl Notes")</f>
        <v>Spcl Notes</v>
      </c>
      <c r="AB1" s="1371" t="str">
        <f>IF($BL$1,"R-BL Override","# KB")</f>
        <v># KB</v>
      </c>
      <c r="AC1" s="1371" t="str">
        <f>IF($BL$1,"BDL Override","-")</f>
        <v>-</v>
      </c>
      <c r="AD1" s="1371" t="str">
        <f>IF($BL$1,"BDR Override","-")</f>
        <v>-</v>
      </c>
      <c r="AE1" s="1372" t="s">
        <v>1161</v>
      </c>
      <c r="AF1" s="1372" t="s">
        <v>1162</v>
      </c>
      <c r="AG1" s="1372" t="s">
        <v>1163</v>
      </c>
      <c r="AH1" s="1372" t="s">
        <v>1164</v>
      </c>
      <c r="AI1" s="1372" t="s">
        <v>1166</v>
      </c>
      <c r="AJ1" s="1372" t="s">
        <v>1165</v>
      </c>
      <c r="AK1" s="1372" t="str">
        <f>IF($BL$1,"Load (Kip)","Panel ""B"" Feet")</f>
        <v>Panel "B" Feet</v>
      </c>
      <c r="AL1" s="1372" t="str">
        <f>IF($BL$1,"OSHA N/F/B","Panel ""B"" Inch")</f>
        <v>Panel "B" Inch</v>
      </c>
      <c r="AM1" s="1372" t="str">
        <f>IF($BL$1,"Girder TC Ga","Load (Kip)")</f>
        <v>Load (Kip)</v>
      </c>
      <c r="AN1" s="1372" t="str">
        <f>IF($BL$1,"Jst Hole (x/16)","OSHA N/F/B")</f>
        <v>OSHA N/F/B</v>
      </c>
      <c r="AO1" s="1372" t="str">
        <f>IF($BL$1,"Joist Gage","Girder TC Gage")</f>
        <v>Girder TC Gage</v>
      </c>
      <c r="AP1" s="1372" t="str">
        <f>IF($BL$1,"TC Hole L","Girder TC Hole (x/16)")</f>
        <v>Girder TC Hole (x/16)</v>
      </c>
      <c r="AQ1" s="1372" t="str">
        <f>IF($BL$1,"TC Hole R","Joist Gage")</f>
        <v>Joist Gage</v>
      </c>
      <c r="AR1" s="1372" t="str">
        <f>IF($BL$1,"Add Jst#1 Feet","TCHoleL")</f>
        <v>TCHoleL</v>
      </c>
      <c r="AS1" s="1372" t="str">
        <f>IF($BL$1,"Add Jst#1 Inch","TC Hole R")</f>
        <v>TC Hole R</v>
      </c>
      <c r="AT1" s="1372" t="str">
        <f>IF($BL$1,"Add Jst#1 Load","Add Jst#1 Feet")</f>
        <v>Add Jst#1 Feet</v>
      </c>
      <c r="AU1" s="1372" t="str">
        <f>IF($BL$1,"Add Jst#1 Bolt N/F/B","Add Jst#1 inch")</f>
        <v>Add Jst#1 inch</v>
      </c>
      <c r="AV1" s="1372" t="str">
        <f>IF($BL$1,"Add Jst#2 Feet","Add Jst#1 Load")</f>
        <v>Add Jst#1 Load</v>
      </c>
      <c r="AW1" s="1372" t="str">
        <f>IF($BL$1,"Add Jst#2 Inch","Add Jst#1 Bolt N/F/B")</f>
        <v>Add Jst#1 Bolt N/F/B</v>
      </c>
      <c r="AX1" s="1372" t="str">
        <f>IF($BL$1,"Add Jst#2 Load","Add Jst#2 Feet")</f>
        <v>Add Jst#2 Feet</v>
      </c>
      <c r="AY1" s="1372" t="str">
        <f>IF($BL$1,"Add Jst#2 Bolt N/F/B","Add Jst#2 inch")</f>
        <v>Add Jst#2 inch</v>
      </c>
      <c r="AZ1" s="1372" t="str">
        <f>IF($BL$1,"Add Jst#3 Feet","Add Jst#2 Load")</f>
        <v>Add Jst#2 Load</v>
      </c>
      <c r="BA1" s="1372" t="str">
        <f>IF($BL$1,"Add Jst#3 Inch","Add Jst#2 Bolt N/F/B")</f>
        <v>Add Jst#2 Bolt N/F/B</v>
      </c>
      <c r="BB1" s="1372" t="str">
        <f>IF($BL$1,"Add Jst#3 Load","Add Jst#3 Feet")</f>
        <v>Add Jst#3 Feet</v>
      </c>
      <c r="BC1" s="1372" t="str">
        <f>IF($BL$1,"Add Jst#3 Bolt N/F/B","Add Jst#3 inch")</f>
        <v>Add Jst#3 inch</v>
      </c>
      <c r="BD1" s="1372" t="str">
        <f>IF($BL$1,"Add Jst#4 Feet","Add Jst#3 Load")</f>
        <v>Add Jst#3 Load</v>
      </c>
      <c r="BE1" s="1372" t="str">
        <f>IF($BL$1,"Add Jst#4 Inch","Add Jst#3 Bolt N/F/B")</f>
        <v>Add Jst#3 Bolt N/F/B</v>
      </c>
      <c r="BF1" s="1372" t="str">
        <f>IF($BL$1,"Add Jst#4 Load","Add Jst#4 Feet")</f>
        <v>Add Jst#4 Feet</v>
      </c>
      <c r="BG1" s="1372" t="str">
        <f>IF($BL$1,"Add Jst#4 Bolt N/F/B","Add Jst#4 inch")</f>
        <v>Add Jst#4 inch</v>
      </c>
      <c r="BH1" s="1372" t="str">
        <f>IF($BL$1,"-","Add Jst#4 Load")</f>
        <v>Add Jst#4 Load</v>
      </c>
      <c r="BI1" s="1372" t="str">
        <f>IF($BL$1,"-","Add Jst#4 Bolt N/F/B")</f>
        <v>Add Jst#4 Bolt N/F/B</v>
      </c>
      <c r="BJ1" s="1372" t="str">
        <f>IF($BL$1,"# Rows Req'd","# Rows Req'd")</f>
        <v># Rows Req'd</v>
      </c>
      <c r="BK1" s="1373" t="s">
        <v>1191</v>
      </c>
      <c r="BL1" s="1374" t="b">
        <f>'Job Info.'!U4</f>
        <v>0</v>
      </c>
    </row>
    <row r="2" spans="1:64" x14ac:dyDescent="0.2">
      <c r="A2" s="1375" t="s">
        <v>1400</v>
      </c>
      <c r="B2" s="1375">
        <v>2</v>
      </c>
      <c r="C2" s="1375" t="s">
        <v>1577</v>
      </c>
      <c r="D2" s="1376">
        <v>56</v>
      </c>
      <c r="E2" s="1377">
        <v>4</v>
      </c>
      <c r="F2" s="1375">
        <v>11.125</v>
      </c>
      <c r="G2" s="1378">
        <v>0</v>
      </c>
      <c r="H2" s="1378">
        <v>1.75</v>
      </c>
      <c r="I2" s="1378" t="s">
        <v>113</v>
      </c>
      <c r="J2" s="1378">
        <v>0</v>
      </c>
      <c r="K2" s="1375">
        <v>0.5</v>
      </c>
      <c r="L2" s="1375" t="s">
        <v>113</v>
      </c>
      <c r="M2" s="1375">
        <v>7.5</v>
      </c>
      <c r="N2" s="1378">
        <v>7.5</v>
      </c>
      <c r="O2" s="1378">
        <v>0</v>
      </c>
      <c r="P2" s="1378">
        <v>6.75</v>
      </c>
      <c r="Q2" s="1378">
        <v>0</v>
      </c>
      <c r="R2" s="1375">
        <v>5.5</v>
      </c>
      <c r="S2" s="1375">
        <v>0</v>
      </c>
      <c r="T2" s="1375">
        <v>6.25</v>
      </c>
      <c r="U2" s="1379">
        <v>0</v>
      </c>
      <c r="V2" s="1379">
        <v>5</v>
      </c>
      <c r="W2" s="1375">
        <v>5</v>
      </c>
      <c r="X2" s="1375"/>
      <c r="Y2" s="1375"/>
      <c r="Z2" s="1380" t="s">
        <v>1620</v>
      </c>
      <c r="AA2" s="1378"/>
      <c r="AB2" s="1375"/>
      <c r="AC2" s="1376"/>
      <c r="AD2" s="1377"/>
      <c r="AE2" s="1375" t="s">
        <v>35</v>
      </c>
      <c r="AF2" s="1375">
        <v>6</v>
      </c>
      <c r="AG2" s="1378">
        <v>0.375</v>
      </c>
      <c r="AH2" s="1375">
        <v>7</v>
      </c>
      <c r="AI2" s="1378">
        <v>6</v>
      </c>
      <c r="AJ2" s="1378">
        <v>2.75</v>
      </c>
      <c r="AK2" s="1378">
        <v>6</v>
      </c>
      <c r="AL2" s="1381">
        <v>6.125</v>
      </c>
      <c r="AM2" s="1377"/>
      <c r="AN2" s="1375" t="s">
        <v>35</v>
      </c>
      <c r="AO2" s="1375">
        <v>5</v>
      </c>
      <c r="AP2" s="1381">
        <v>13</v>
      </c>
      <c r="AQ2" s="1377">
        <v>4</v>
      </c>
      <c r="AR2" s="1375">
        <v>1.75</v>
      </c>
      <c r="AS2" s="1375"/>
      <c r="AT2" s="1381"/>
      <c r="AU2" s="1377"/>
      <c r="AV2" s="1375"/>
      <c r="AW2" s="1375"/>
      <c r="AX2" s="1381"/>
      <c r="AY2" s="1377"/>
      <c r="AZ2" s="1375"/>
      <c r="BA2" s="1375"/>
      <c r="BB2" s="1382"/>
      <c r="BC2" s="1382"/>
      <c r="BD2" s="1382"/>
      <c r="BE2" s="1382"/>
      <c r="BF2" s="1382"/>
      <c r="BG2" s="1382"/>
      <c r="BH2" s="1382"/>
      <c r="BI2" s="1382"/>
      <c r="BJ2" s="1382">
        <v>1</v>
      </c>
      <c r="BK2" s="1383" t="s">
        <v>1190</v>
      </c>
      <c r="BL2" s="1384">
        <f>SUM(BJ:BJ)</f>
        <v>31</v>
      </c>
    </row>
    <row r="3" spans="1:64" x14ac:dyDescent="0.2">
      <c r="A3" s="1375" t="s">
        <v>1402</v>
      </c>
      <c r="B3" s="1375">
        <v>2</v>
      </c>
      <c r="C3" s="1375" t="s">
        <v>1577</v>
      </c>
      <c r="D3" s="1376">
        <v>55</v>
      </c>
      <c r="E3" s="1377">
        <v>11.5</v>
      </c>
      <c r="F3" s="1375">
        <v>11.125</v>
      </c>
      <c r="G3" s="1378">
        <v>0</v>
      </c>
      <c r="H3" s="1378">
        <v>1.75</v>
      </c>
      <c r="I3" s="1378" t="s">
        <v>113</v>
      </c>
      <c r="J3" s="1378">
        <v>0</v>
      </c>
      <c r="K3" s="1375">
        <v>1.75</v>
      </c>
      <c r="L3" s="1375" t="s">
        <v>113</v>
      </c>
      <c r="M3" s="1375">
        <v>7.5</v>
      </c>
      <c r="N3" s="1378">
        <v>7.5</v>
      </c>
      <c r="O3" s="1378">
        <v>0</v>
      </c>
      <c r="P3" s="1378">
        <v>6.75</v>
      </c>
      <c r="Q3" s="1378">
        <v>0</v>
      </c>
      <c r="R3" s="1375">
        <v>6.75</v>
      </c>
      <c r="S3" s="1375">
        <v>0</v>
      </c>
      <c r="T3" s="1375">
        <v>6.25</v>
      </c>
      <c r="U3" s="1379">
        <v>0</v>
      </c>
      <c r="V3" s="1379">
        <v>6.25</v>
      </c>
      <c r="W3" s="1375">
        <v>5</v>
      </c>
      <c r="X3" s="1375"/>
      <c r="Y3" s="1375"/>
      <c r="Z3" s="1380" t="s">
        <v>1621</v>
      </c>
      <c r="AA3" s="1378"/>
      <c r="AB3" s="1375"/>
      <c r="AC3" s="1376"/>
      <c r="AD3" s="1377"/>
      <c r="AE3" s="1375" t="s">
        <v>35</v>
      </c>
      <c r="AF3" s="1375">
        <v>6</v>
      </c>
      <c r="AG3" s="1378">
        <v>0.375</v>
      </c>
      <c r="AH3" s="1375">
        <v>7</v>
      </c>
      <c r="AI3" s="1378">
        <v>6</v>
      </c>
      <c r="AJ3" s="1378">
        <v>2.75</v>
      </c>
      <c r="AK3" s="1378">
        <v>6</v>
      </c>
      <c r="AL3" s="1381">
        <v>0.375</v>
      </c>
      <c r="AM3" s="1377"/>
      <c r="AN3" s="1375" t="s">
        <v>35</v>
      </c>
      <c r="AO3" s="1375">
        <v>5</v>
      </c>
      <c r="AP3" s="1381">
        <v>13</v>
      </c>
      <c r="AQ3" s="1377">
        <v>4</v>
      </c>
      <c r="AR3" s="1375">
        <v>1.75</v>
      </c>
      <c r="AS3" s="1375">
        <v>1.75</v>
      </c>
      <c r="AT3" s="1381"/>
      <c r="AU3" s="1377"/>
      <c r="AV3" s="1375"/>
      <c r="AW3" s="1375"/>
      <c r="AX3" s="1381"/>
      <c r="AY3" s="1377"/>
      <c r="AZ3" s="1375"/>
      <c r="BA3" s="1375"/>
      <c r="BB3" s="1382"/>
      <c r="BC3" s="1382"/>
      <c r="BD3" s="1382"/>
      <c r="BE3" s="1382"/>
      <c r="BF3" s="1382"/>
      <c r="BG3" s="1382"/>
      <c r="BH3" s="1382"/>
      <c r="BI3" s="1382"/>
      <c r="BJ3" s="1382">
        <v>1</v>
      </c>
      <c r="BL3" s="1384"/>
    </row>
    <row r="4" spans="1:64" x14ac:dyDescent="0.2">
      <c r="A4" s="1375" t="s">
        <v>1403</v>
      </c>
      <c r="B4" s="1375">
        <v>2</v>
      </c>
      <c r="C4" s="1375" t="s">
        <v>1577</v>
      </c>
      <c r="D4" s="1376">
        <v>55</v>
      </c>
      <c r="E4" s="1377">
        <v>11.5</v>
      </c>
      <c r="F4" s="1375">
        <v>11.125</v>
      </c>
      <c r="G4" s="1378">
        <v>0</v>
      </c>
      <c r="H4" s="1378">
        <v>1.75</v>
      </c>
      <c r="I4" s="1378" t="s">
        <v>113</v>
      </c>
      <c r="J4" s="1378">
        <v>0</v>
      </c>
      <c r="K4" s="1375">
        <v>1.75</v>
      </c>
      <c r="L4" s="1375" t="s">
        <v>113</v>
      </c>
      <c r="M4" s="1375">
        <v>7.5</v>
      </c>
      <c r="N4" s="1378">
        <v>7.5</v>
      </c>
      <c r="O4" s="1378">
        <v>0</v>
      </c>
      <c r="P4" s="1378">
        <v>6.75</v>
      </c>
      <c r="Q4" s="1378">
        <v>0</v>
      </c>
      <c r="R4" s="1375">
        <v>6.75</v>
      </c>
      <c r="S4" s="1375">
        <v>0</v>
      </c>
      <c r="T4" s="1375">
        <v>6.25</v>
      </c>
      <c r="U4" s="1379">
        <v>0</v>
      </c>
      <c r="V4" s="1379">
        <v>6.25</v>
      </c>
      <c r="W4" s="1375">
        <v>5</v>
      </c>
      <c r="X4" s="1375"/>
      <c r="Y4" s="1375"/>
      <c r="Z4" s="1380" t="s">
        <v>1622</v>
      </c>
      <c r="AA4" s="1378"/>
      <c r="AB4" s="1375"/>
      <c r="AC4" s="1376"/>
      <c r="AD4" s="1377"/>
      <c r="AE4" s="1375" t="s">
        <v>35</v>
      </c>
      <c r="AF4" s="1375">
        <v>6</v>
      </c>
      <c r="AG4" s="1378">
        <v>0.375</v>
      </c>
      <c r="AH4" s="1375">
        <v>7</v>
      </c>
      <c r="AI4" s="1378">
        <v>6</v>
      </c>
      <c r="AJ4" s="1378">
        <v>2.75</v>
      </c>
      <c r="AK4" s="1378">
        <v>6</v>
      </c>
      <c r="AL4" s="1381">
        <v>0.375</v>
      </c>
      <c r="AM4" s="1377"/>
      <c r="AN4" s="1375" t="s">
        <v>35</v>
      </c>
      <c r="AO4" s="1375">
        <v>5</v>
      </c>
      <c r="AP4" s="1381">
        <v>13</v>
      </c>
      <c r="AQ4" s="1377">
        <v>4</v>
      </c>
      <c r="AR4" s="1375">
        <v>1.75</v>
      </c>
      <c r="AS4" s="1375">
        <v>1.75</v>
      </c>
      <c r="AT4" s="1381"/>
      <c r="AU4" s="1377"/>
      <c r="AV4" s="1375"/>
      <c r="AW4" s="1375"/>
      <c r="AX4" s="1381"/>
      <c r="AY4" s="1377"/>
      <c r="AZ4" s="1375"/>
      <c r="BA4" s="1375"/>
      <c r="BB4" s="1382"/>
      <c r="BC4" s="1382"/>
      <c r="BD4" s="1382"/>
      <c r="BE4" s="1382"/>
      <c r="BF4" s="1382"/>
      <c r="BG4" s="1382"/>
      <c r="BH4" s="1382"/>
      <c r="BI4" s="1382"/>
      <c r="BJ4" s="1382">
        <v>1</v>
      </c>
    </row>
    <row r="5" spans="1:64" x14ac:dyDescent="0.2">
      <c r="A5" s="1375" t="s">
        <v>1404</v>
      </c>
      <c r="B5" s="1375">
        <v>1</v>
      </c>
      <c r="C5" s="1375" t="s">
        <v>1577</v>
      </c>
      <c r="D5" s="1376">
        <v>55</v>
      </c>
      <c r="E5" s="1377">
        <v>10.875</v>
      </c>
      <c r="F5" s="1375">
        <v>11.125</v>
      </c>
      <c r="G5" s="1378">
        <v>0</v>
      </c>
      <c r="H5" s="1378">
        <v>1.75</v>
      </c>
      <c r="I5" s="1378" t="s">
        <v>113</v>
      </c>
      <c r="J5" s="1378"/>
      <c r="K5" s="1375"/>
      <c r="L5" s="1375"/>
      <c r="M5" s="1375">
        <v>7.5</v>
      </c>
      <c r="N5" s="1378">
        <v>10</v>
      </c>
      <c r="O5" s="1378">
        <v>0</v>
      </c>
      <c r="P5" s="1378">
        <v>6.75</v>
      </c>
      <c r="Q5" s="1378">
        <v>0</v>
      </c>
      <c r="R5" s="1375">
        <v>6.125</v>
      </c>
      <c r="S5" s="1375">
        <v>0</v>
      </c>
      <c r="T5" s="1375">
        <v>6.25</v>
      </c>
      <c r="U5" s="1379">
        <v>0</v>
      </c>
      <c r="V5" s="1379">
        <v>2.125</v>
      </c>
      <c r="W5" s="1375">
        <v>5</v>
      </c>
      <c r="X5" s="1375"/>
      <c r="Y5" s="1375"/>
      <c r="Z5" s="1380" t="s">
        <v>1623</v>
      </c>
      <c r="AA5" s="1378"/>
      <c r="AB5" s="1375"/>
      <c r="AC5" s="1376"/>
      <c r="AD5" s="1377"/>
      <c r="AE5" s="1375" t="s">
        <v>35</v>
      </c>
      <c r="AF5" s="1375">
        <v>6</v>
      </c>
      <c r="AG5" s="1378">
        <v>0.375</v>
      </c>
      <c r="AH5" s="1375">
        <v>7</v>
      </c>
      <c r="AI5" s="1378">
        <v>6</v>
      </c>
      <c r="AJ5" s="1378">
        <v>2.75</v>
      </c>
      <c r="AK5" s="1378">
        <v>6</v>
      </c>
      <c r="AL5" s="1381">
        <v>1.5</v>
      </c>
      <c r="AM5" s="1377"/>
      <c r="AN5" s="1375" t="s">
        <v>35</v>
      </c>
      <c r="AO5" s="1375">
        <v>5</v>
      </c>
      <c r="AP5" s="1381">
        <v>13</v>
      </c>
      <c r="AQ5" s="1377">
        <v>4</v>
      </c>
      <c r="AR5" s="1375">
        <v>1.75</v>
      </c>
      <c r="AS5" s="1375"/>
      <c r="AT5" s="1381"/>
      <c r="AU5" s="1377"/>
      <c r="AV5" s="1375"/>
      <c r="AW5" s="1375"/>
      <c r="AX5" s="1381"/>
      <c r="AY5" s="1377"/>
      <c r="AZ5" s="1375"/>
      <c r="BA5" s="1375"/>
      <c r="BB5" s="1382"/>
      <c r="BC5" s="1382"/>
      <c r="BD5" s="1382"/>
      <c r="BE5" s="1382"/>
      <c r="BF5" s="1382"/>
      <c r="BG5" s="1382"/>
      <c r="BH5" s="1382"/>
      <c r="BI5" s="1382"/>
      <c r="BJ5" s="1382">
        <v>1</v>
      </c>
    </row>
    <row r="6" spans="1:64" x14ac:dyDescent="0.2">
      <c r="A6" s="1375" t="s">
        <v>1405</v>
      </c>
      <c r="B6" s="1375">
        <v>1</v>
      </c>
      <c r="C6" s="1375" t="s">
        <v>1577</v>
      </c>
      <c r="D6" s="1376">
        <v>55</v>
      </c>
      <c r="E6" s="1377">
        <v>8.75</v>
      </c>
      <c r="F6" s="1375">
        <v>11.125</v>
      </c>
      <c r="G6" s="1378">
        <v>0</v>
      </c>
      <c r="H6" s="1378">
        <v>1.75</v>
      </c>
      <c r="I6" s="1378" t="s">
        <v>113</v>
      </c>
      <c r="J6" s="1378">
        <v>0</v>
      </c>
      <c r="K6" s="1375">
        <v>5</v>
      </c>
      <c r="L6" s="1375" t="s">
        <v>113</v>
      </c>
      <c r="M6" s="1375">
        <v>7.5</v>
      </c>
      <c r="N6" s="1378">
        <v>10</v>
      </c>
      <c r="O6" s="1378">
        <v>0</v>
      </c>
      <c r="P6" s="1378">
        <v>6.75</v>
      </c>
      <c r="Q6" s="1378">
        <v>0</v>
      </c>
      <c r="R6" s="1375">
        <v>4</v>
      </c>
      <c r="S6" s="1375">
        <v>0</v>
      </c>
      <c r="T6" s="1375">
        <v>6.25</v>
      </c>
      <c r="U6" s="1379">
        <v>0</v>
      </c>
      <c r="V6" s="1379">
        <v>4.625</v>
      </c>
      <c r="W6" s="1375">
        <v>5</v>
      </c>
      <c r="X6" s="1375"/>
      <c r="Y6" s="1375"/>
      <c r="Z6" s="1380" t="s">
        <v>1624</v>
      </c>
      <c r="AA6" s="1378"/>
      <c r="AB6" s="1375"/>
      <c r="AC6" s="1376"/>
      <c r="AD6" s="1377"/>
      <c r="AE6" s="1375" t="s">
        <v>35</v>
      </c>
      <c r="AF6" s="1375">
        <v>6</v>
      </c>
      <c r="AG6" s="1378">
        <v>0.375</v>
      </c>
      <c r="AH6" s="1375">
        <v>7</v>
      </c>
      <c r="AI6" s="1378">
        <v>6</v>
      </c>
      <c r="AJ6" s="1378">
        <v>2.75</v>
      </c>
      <c r="AK6" s="1378">
        <v>5</v>
      </c>
      <c r="AL6" s="1381">
        <v>6.375</v>
      </c>
      <c r="AM6" s="1377"/>
      <c r="AN6" s="1375" t="s">
        <v>35</v>
      </c>
      <c r="AO6" s="1375">
        <v>5</v>
      </c>
      <c r="AP6" s="1381">
        <v>13</v>
      </c>
      <c r="AQ6" s="1377">
        <v>4</v>
      </c>
      <c r="AR6" s="1375">
        <v>1.75</v>
      </c>
      <c r="AS6" s="1375"/>
      <c r="AT6" s="1381">
        <v>54</v>
      </c>
      <c r="AU6" s="1377">
        <v>8</v>
      </c>
      <c r="AV6" s="1375">
        <v>16.3</v>
      </c>
      <c r="AW6" s="1375" t="s">
        <v>35</v>
      </c>
      <c r="AX6" s="1381"/>
      <c r="AY6" s="1377"/>
      <c r="AZ6" s="1375"/>
      <c r="BA6" s="1375"/>
      <c r="BB6" s="1382"/>
      <c r="BC6" s="1382"/>
      <c r="BD6" s="1382"/>
      <c r="BE6" s="1382"/>
      <c r="BF6" s="1382"/>
      <c r="BG6" s="1382"/>
      <c r="BH6" s="1382"/>
      <c r="BI6" s="1382"/>
      <c r="BJ6" s="1382">
        <v>1</v>
      </c>
    </row>
    <row r="7" spans="1:64" x14ac:dyDescent="0.2">
      <c r="A7" s="1375" t="s">
        <v>1406</v>
      </c>
      <c r="B7" s="1375">
        <v>1</v>
      </c>
      <c r="C7" s="1375" t="s">
        <v>1577</v>
      </c>
      <c r="D7" s="1376">
        <v>55</v>
      </c>
      <c r="E7" s="1377">
        <v>11.5</v>
      </c>
      <c r="F7" s="1375">
        <v>11.125</v>
      </c>
      <c r="G7" s="1378">
        <v>0</v>
      </c>
      <c r="H7" s="1378">
        <v>1.75</v>
      </c>
      <c r="I7" s="1378" t="s">
        <v>113</v>
      </c>
      <c r="J7" s="1378">
        <v>0</v>
      </c>
      <c r="K7" s="1375">
        <v>1.75</v>
      </c>
      <c r="L7" s="1375" t="s">
        <v>113</v>
      </c>
      <c r="M7" s="1375">
        <v>7.5</v>
      </c>
      <c r="N7" s="1378">
        <v>7.5</v>
      </c>
      <c r="O7" s="1378">
        <v>0</v>
      </c>
      <c r="P7" s="1378">
        <v>6.75</v>
      </c>
      <c r="Q7" s="1378">
        <v>0</v>
      </c>
      <c r="R7" s="1375">
        <v>6.75</v>
      </c>
      <c r="S7" s="1375">
        <v>0</v>
      </c>
      <c r="T7" s="1375">
        <v>6.25</v>
      </c>
      <c r="U7" s="1379">
        <v>0</v>
      </c>
      <c r="V7" s="1379">
        <v>6.25</v>
      </c>
      <c r="W7" s="1375">
        <v>5</v>
      </c>
      <c r="X7" s="1375"/>
      <c r="Y7" s="1375"/>
      <c r="Z7" s="1380" t="s">
        <v>1622</v>
      </c>
      <c r="AA7" s="1378"/>
      <c r="AB7" s="1375"/>
      <c r="AC7" s="1376"/>
      <c r="AD7" s="1377"/>
      <c r="AE7" s="1375" t="s">
        <v>35</v>
      </c>
      <c r="AF7" s="1375">
        <v>6</v>
      </c>
      <c r="AG7" s="1378">
        <v>0.375</v>
      </c>
      <c r="AH7" s="1375">
        <v>7</v>
      </c>
      <c r="AI7" s="1378">
        <v>6</v>
      </c>
      <c r="AJ7" s="1378">
        <v>2.75</v>
      </c>
      <c r="AK7" s="1378">
        <v>6</v>
      </c>
      <c r="AL7" s="1381">
        <v>0.375</v>
      </c>
      <c r="AM7" s="1377"/>
      <c r="AN7" s="1375" t="s">
        <v>35</v>
      </c>
      <c r="AO7" s="1375">
        <v>5</v>
      </c>
      <c r="AP7" s="1381">
        <v>13</v>
      </c>
      <c r="AQ7" s="1377">
        <v>4</v>
      </c>
      <c r="AR7" s="1375">
        <v>1.75</v>
      </c>
      <c r="AS7" s="1375">
        <v>1.75</v>
      </c>
      <c r="AT7" s="1381" t="s">
        <v>1018</v>
      </c>
      <c r="AU7" s="1377" t="s">
        <v>1578</v>
      </c>
      <c r="AV7" s="1375">
        <v>1.1000000000000001</v>
      </c>
      <c r="AW7" s="1375"/>
      <c r="AX7" s="1381" t="s">
        <v>1018</v>
      </c>
      <c r="AY7" s="1377" t="s">
        <v>1579</v>
      </c>
      <c r="AZ7" s="1375">
        <v>1</v>
      </c>
      <c r="BA7" s="1375"/>
      <c r="BB7" s="1382" t="s">
        <v>1018</v>
      </c>
      <c r="BC7" s="1382" t="s">
        <v>1580</v>
      </c>
      <c r="BD7" s="1382">
        <v>0.5</v>
      </c>
      <c r="BE7" s="1382"/>
      <c r="BF7" s="1382" t="s">
        <v>1018</v>
      </c>
      <c r="BG7" s="1382" t="s">
        <v>1581</v>
      </c>
      <c r="BH7" s="1382">
        <v>0.9</v>
      </c>
      <c r="BI7" s="1382"/>
      <c r="BJ7" s="1382">
        <v>2</v>
      </c>
    </row>
    <row r="8" spans="1:64" x14ac:dyDescent="0.2">
      <c r="A8" s="1375"/>
      <c r="B8" s="1375"/>
      <c r="C8" s="1375"/>
      <c r="D8" s="1376"/>
      <c r="E8" s="1377"/>
      <c r="F8" s="1375"/>
      <c r="G8" s="1378"/>
      <c r="H8" s="1378"/>
      <c r="I8" s="1378"/>
      <c r="J8" s="1378"/>
      <c r="K8" s="1375"/>
      <c r="L8" s="1375"/>
      <c r="M8" s="1375"/>
      <c r="N8" s="1378"/>
      <c r="O8" s="1378"/>
      <c r="P8" s="1378"/>
      <c r="Q8" s="1378"/>
      <c r="R8" s="1375"/>
      <c r="S8" s="1375"/>
      <c r="T8" s="1375"/>
      <c r="W8" s="1375"/>
      <c r="X8" s="1375"/>
      <c r="Y8" s="1375"/>
      <c r="Z8" s="1380"/>
      <c r="AA8" s="1378"/>
      <c r="AB8" s="1375"/>
      <c r="AC8" s="1376"/>
      <c r="AD8" s="1377"/>
      <c r="AE8" s="1375"/>
      <c r="AF8" s="1375"/>
      <c r="AG8" s="1378"/>
      <c r="AH8" s="1375"/>
      <c r="AI8" s="1378"/>
      <c r="AJ8" s="1378"/>
      <c r="AK8" s="1378"/>
      <c r="AL8" s="1381"/>
      <c r="AM8" s="1377"/>
      <c r="AN8" s="1375"/>
      <c r="AO8" s="1375"/>
      <c r="AP8" s="1381"/>
      <c r="AQ8" s="1377"/>
      <c r="AR8" s="1375"/>
      <c r="AS8" s="1375"/>
      <c r="AT8" s="1381" t="s">
        <v>1018</v>
      </c>
      <c r="AU8" s="1377" t="s">
        <v>1582</v>
      </c>
      <c r="AV8" s="1375">
        <v>0.9</v>
      </c>
      <c r="AW8" s="1375"/>
      <c r="AX8" s="1381" t="s">
        <v>1018</v>
      </c>
      <c r="AY8" s="1377" t="s">
        <v>1583</v>
      </c>
      <c r="AZ8" s="1375">
        <v>0.6</v>
      </c>
      <c r="BA8" s="1375"/>
      <c r="BB8" s="1382" t="s">
        <v>1018</v>
      </c>
      <c r="BC8" s="1382" t="s">
        <v>1584</v>
      </c>
      <c r="BD8" s="1382">
        <v>0.6</v>
      </c>
      <c r="BE8" s="1382"/>
      <c r="BF8" s="1382"/>
      <c r="BG8" s="1382"/>
      <c r="BH8" s="1382"/>
      <c r="BI8" s="1382"/>
      <c r="BJ8" s="1382"/>
    </row>
    <row r="9" spans="1:64" x14ac:dyDescent="0.2">
      <c r="A9" s="1375" t="s">
        <v>1407</v>
      </c>
      <c r="B9" s="1375">
        <v>2</v>
      </c>
      <c r="C9" s="1375" t="s">
        <v>1585</v>
      </c>
      <c r="D9" s="1376">
        <v>55</v>
      </c>
      <c r="E9" s="1377">
        <v>6.25</v>
      </c>
      <c r="F9" s="1375">
        <v>11.125</v>
      </c>
      <c r="G9" s="1378">
        <v>0</v>
      </c>
      <c r="H9" s="1378">
        <v>1.75</v>
      </c>
      <c r="I9" s="1378" t="s">
        <v>113</v>
      </c>
      <c r="J9" s="1378">
        <v>0</v>
      </c>
      <c r="K9" s="1375">
        <v>0.5</v>
      </c>
      <c r="L9" s="1375" t="s">
        <v>113</v>
      </c>
      <c r="M9" s="1375">
        <v>7.5</v>
      </c>
      <c r="N9" s="1378">
        <v>7.5</v>
      </c>
      <c r="O9" s="1378">
        <v>0</v>
      </c>
      <c r="P9" s="1378">
        <v>6.75</v>
      </c>
      <c r="Q9" s="1378">
        <v>0</v>
      </c>
      <c r="R9" s="1375">
        <v>5.5</v>
      </c>
      <c r="S9" s="1375">
        <v>0</v>
      </c>
      <c r="T9" s="1375">
        <v>6.25</v>
      </c>
      <c r="U9" s="1379">
        <v>0</v>
      </c>
      <c r="V9" s="1379">
        <v>5</v>
      </c>
      <c r="W9" s="1375">
        <v>5</v>
      </c>
      <c r="X9" s="1375"/>
      <c r="Y9" s="1375"/>
      <c r="Z9" s="1380" t="s">
        <v>1625</v>
      </c>
      <c r="AA9" s="1378"/>
      <c r="AB9" s="1375"/>
      <c r="AC9" s="1376"/>
      <c r="AD9" s="1377"/>
      <c r="AE9" s="1375" t="s">
        <v>35</v>
      </c>
      <c r="AF9" s="1375">
        <v>6</v>
      </c>
      <c r="AG9" s="1378">
        <v>0.375</v>
      </c>
      <c r="AH9" s="1375">
        <v>7</v>
      </c>
      <c r="AI9" s="1378">
        <v>6</v>
      </c>
      <c r="AJ9" s="1378">
        <v>2.75</v>
      </c>
      <c r="AK9" s="1378">
        <v>5</v>
      </c>
      <c r="AL9" s="1381">
        <v>8.375</v>
      </c>
      <c r="AM9" s="1377"/>
      <c r="AN9" s="1375" t="s">
        <v>35</v>
      </c>
      <c r="AO9" s="1375">
        <v>5</v>
      </c>
      <c r="AP9" s="1381">
        <v>13</v>
      </c>
      <c r="AQ9" s="1377">
        <v>4</v>
      </c>
      <c r="AR9" s="1375">
        <v>1.75</v>
      </c>
      <c r="AS9" s="1375"/>
      <c r="AT9" s="1381"/>
      <c r="AU9" s="1377"/>
      <c r="AV9" s="1375"/>
      <c r="AW9" s="1375"/>
      <c r="AX9" s="1381"/>
      <c r="AY9" s="1377"/>
      <c r="AZ9" s="1375"/>
      <c r="BA9" s="1375"/>
      <c r="BB9" s="1382"/>
      <c r="BC9" s="1382"/>
      <c r="BD9" s="1382"/>
      <c r="BE9" s="1382"/>
      <c r="BF9" s="1382"/>
      <c r="BG9" s="1382"/>
      <c r="BH9" s="1382"/>
      <c r="BI9" s="1382"/>
      <c r="BJ9" s="1382">
        <v>1</v>
      </c>
    </row>
    <row r="10" spans="1:64" x14ac:dyDescent="0.2">
      <c r="A10" s="1375" t="s">
        <v>1408</v>
      </c>
      <c r="B10" s="1375">
        <v>5</v>
      </c>
      <c r="C10" s="1375" t="s">
        <v>1585</v>
      </c>
      <c r="D10" s="1376">
        <v>55</v>
      </c>
      <c r="E10" s="1377">
        <v>11.5</v>
      </c>
      <c r="F10" s="1375">
        <v>11.125</v>
      </c>
      <c r="G10" s="1378">
        <v>0</v>
      </c>
      <c r="H10" s="1378">
        <v>1.75</v>
      </c>
      <c r="I10" s="1378" t="s">
        <v>113</v>
      </c>
      <c r="J10" s="1378">
        <v>0</v>
      </c>
      <c r="K10" s="1375">
        <v>1.75</v>
      </c>
      <c r="L10" s="1375" t="s">
        <v>113</v>
      </c>
      <c r="M10" s="1375">
        <v>7.5</v>
      </c>
      <c r="N10" s="1378">
        <v>7.5</v>
      </c>
      <c r="O10" s="1378">
        <v>0</v>
      </c>
      <c r="P10" s="1378">
        <v>6.75</v>
      </c>
      <c r="Q10" s="1378">
        <v>0</v>
      </c>
      <c r="R10" s="1375">
        <v>6.75</v>
      </c>
      <c r="S10" s="1375">
        <v>0</v>
      </c>
      <c r="T10" s="1375">
        <v>6.25</v>
      </c>
      <c r="U10" s="1379">
        <v>0</v>
      </c>
      <c r="V10" s="1379">
        <v>6.25</v>
      </c>
      <c r="W10" s="1375">
        <v>5</v>
      </c>
      <c r="X10" s="1375"/>
      <c r="Y10" s="1375"/>
      <c r="Z10" s="1380">
        <v>-27</v>
      </c>
      <c r="AA10" s="1378"/>
      <c r="AB10" s="1375"/>
      <c r="AC10" s="1376"/>
      <c r="AD10" s="1377"/>
      <c r="AE10" s="1375" t="s">
        <v>35</v>
      </c>
      <c r="AF10" s="1375">
        <v>6</v>
      </c>
      <c r="AG10" s="1378">
        <v>0.375</v>
      </c>
      <c r="AH10" s="1375">
        <v>7</v>
      </c>
      <c r="AI10" s="1378">
        <v>6</v>
      </c>
      <c r="AJ10" s="1378">
        <v>2.75</v>
      </c>
      <c r="AK10" s="1378">
        <v>6</v>
      </c>
      <c r="AL10" s="1381">
        <v>0.375</v>
      </c>
      <c r="AM10" s="1377"/>
      <c r="AN10" s="1375" t="s">
        <v>35</v>
      </c>
      <c r="AO10" s="1375">
        <v>5</v>
      </c>
      <c r="AP10" s="1381">
        <v>13</v>
      </c>
      <c r="AQ10" s="1377">
        <v>4</v>
      </c>
      <c r="AR10" s="1375">
        <v>1.75</v>
      </c>
      <c r="AS10" s="1375">
        <v>1.75</v>
      </c>
      <c r="AT10" s="1381"/>
      <c r="AU10" s="1377"/>
      <c r="AV10" s="1375"/>
      <c r="AW10" s="1375"/>
      <c r="AX10" s="1381"/>
      <c r="AY10" s="1377"/>
      <c r="AZ10" s="1375"/>
      <c r="BA10" s="1375"/>
      <c r="BB10" s="1382"/>
      <c r="BC10" s="1382"/>
      <c r="BD10" s="1382"/>
      <c r="BE10" s="1382"/>
      <c r="BF10" s="1382"/>
      <c r="BG10" s="1382"/>
      <c r="BH10" s="1382"/>
      <c r="BI10" s="1382"/>
      <c r="BJ10" s="1382">
        <v>1</v>
      </c>
    </row>
    <row r="11" spans="1:64" x14ac:dyDescent="0.2">
      <c r="A11" s="1375" t="s">
        <v>1409</v>
      </c>
      <c r="B11" s="1375">
        <v>1</v>
      </c>
      <c r="C11" s="1375" t="s">
        <v>1585</v>
      </c>
      <c r="D11" s="1376">
        <v>55</v>
      </c>
      <c r="E11" s="1377">
        <v>10.875</v>
      </c>
      <c r="F11" s="1375">
        <v>11.125</v>
      </c>
      <c r="G11" s="1378">
        <v>0</v>
      </c>
      <c r="H11" s="1378">
        <v>1.75</v>
      </c>
      <c r="I11" s="1378" t="s">
        <v>113</v>
      </c>
      <c r="J11" s="1378"/>
      <c r="K11" s="1375"/>
      <c r="L11" s="1375"/>
      <c r="M11" s="1375">
        <v>7.5</v>
      </c>
      <c r="N11" s="1378">
        <v>10</v>
      </c>
      <c r="O11" s="1378">
        <v>0</v>
      </c>
      <c r="P11" s="1378">
        <v>6.75</v>
      </c>
      <c r="Q11" s="1378">
        <v>0</v>
      </c>
      <c r="R11" s="1375">
        <v>7.125</v>
      </c>
      <c r="S11" s="1375">
        <v>0</v>
      </c>
      <c r="T11" s="1375">
        <v>6.25</v>
      </c>
      <c r="U11" s="1379">
        <v>0</v>
      </c>
      <c r="V11" s="1379">
        <v>2.125</v>
      </c>
      <c r="W11" s="1375">
        <v>5</v>
      </c>
      <c r="X11" s="1375"/>
      <c r="Y11" s="1375"/>
      <c r="Z11" s="1380" t="s">
        <v>1626</v>
      </c>
      <c r="AA11" s="1378"/>
      <c r="AB11" s="1375"/>
      <c r="AC11" s="1376"/>
      <c r="AD11" s="1377"/>
      <c r="AE11" s="1375" t="s">
        <v>35</v>
      </c>
      <c r="AF11" s="1375">
        <v>6</v>
      </c>
      <c r="AG11" s="1378">
        <v>0.375</v>
      </c>
      <c r="AH11" s="1375">
        <v>7</v>
      </c>
      <c r="AI11" s="1378">
        <v>6</v>
      </c>
      <c r="AJ11" s="1378">
        <v>2.75</v>
      </c>
      <c r="AK11" s="1378">
        <v>6</v>
      </c>
      <c r="AL11" s="1381">
        <v>1.5</v>
      </c>
      <c r="AM11" s="1377"/>
      <c r="AN11" s="1375" t="s">
        <v>35</v>
      </c>
      <c r="AO11" s="1375">
        <v>5</v>
      </c>
      <c r="AP11" s="1381">
        <v>13</v>
      </c>
      <c r="AQ11" s="1377">
        <v>4</v>
      </c>
      <c r="AR11" s="1375">
        <v>1.75</v>
      </c>
      <c r="AS11" s="1375"/>
      <c r="AT11" s="1381"/>
      <c r="AU11" s="1377"/>
      <c r="AV11" s="1375"/>
      <c r="AW11" s="1375"/>
      <c r="AX11" s="1381"/>
      <c r="AY11" s="1377"/>
      <c r="AZ11" s="1375"/>
      <c r="BA11" s="1375"/>
      <c r="BB11" s="1382"/>
      <c r="BC11" s="1382"/>
      <c r="BD11" s="1382"/>
      <c r="BE11" s="1382"/>
      <c r="BF11" s="1382"/>
      <c r="BG11" s="1382"/>
      <c r="BH11" s="1382"/>
      <c r="BI11" s="1382"/>
      <c r="BJ11" s="1382">
        <v>1</v>
      </c>
    </row>
    <row r="12" spans="1:64" x14ac:dyDescent="0.2">
      <c r="A12" s="1375" t="s">
        <v>1410</v>
      </c>
      <c r="B12" s="1375">
        <v>1</v>
      </c>
      <c r="C12" s="1375" t="s">
        <v>1585</v>
      </c>
      <c r="D12" s="1376">
        <v>55</v>
      </c>
      <c r="E12" s="1377">
        <v>8.375</v>
      </c>
      <c r="F12" s="1375">
        <v>11.125</v>
      </c>
      <c r="G12" s="1378">
        <v>0</v>
      </c>
      <c r="H12" s="1378">
        <v>1.75</v>
      </c>
      <c r="I12" s="1378" t="s">
        <v>113</v>
      </c>
      <c r="J12" s="1378">
        <v>0</v>
      </c>
      <c r="K12" s="1375">
        <v>5</v>
      </c>
      <c r="L12" s="1375" t="s">
        <v>158</v>
      </c>
      <c r="M12" s="1375">
        <v>7.5</v>
      </c>
      <c r="N12" s="1378">
        <v>10</v>
      </c>
      <c r="O12" s="1378">
        <v>0</v>
      </c>
      <c r="P12" s="1378">
        <v>6.75</v>
      </c>
      <c r="Q12" s="1378">
        <v>0</v>
      </c>
      <c r="R12" s="1375">
        <v>4.625</v>
      </c>
      <c r="S12" s="1375">
        <v>0</v>
      </c>
      <c r="T12" s="1375">
        <v>6.25</v>
      </c>
      <c r="U12" s="1379">
        <v>0</v>
      </c>
      <c r="V12" s="1379">
        <v>4.25</v>
      </c>
      <c r="W12" s="1375">
        <v>5</v>
      </c>
      <c r="X12" s="1375"/>
      <c r="Y12" s="1375"/>
      <c r="Z12" s="1380" t="s">
        <v>1627</v>
      </c>
      <c r="AA12" s="1378"/>
      <c r="AB12" s="1375"/>
      <c r="AC12" s="1376"/>
      <c r="AD12" s="1377"/>
      <c r="AE12" s="1375" t="s">
        <v>35</v>
      </c>
      <c r="AF12" s="1375">
        <v>6</v>
      </c>
      <c r="AG12" s="1378">
        <v>0.375</v>
      </c>
      <c r="AH12" s="1375">
        <v>7</v>
      </c>
      <c r="AI12" s="1378">
        <v>6</v>
      </c>
      <c r="AJ12" s="1378">
        <v>2.75</v>
      </c>
      <c r="AK12" s="1378">
        <v>5</v>
      </c>
      <c r="AL12" s="1381">
        <v>6</v>
      </c>
      <c r="AM12" s="1377"/>
      <c r="AN12" s="1375" t="s">
        <v>35</v>
      </c>
      <c r="AO12" s="1375">
        <v>5</v>
      </c>
      <c r="AP12" s="1381">
        <v>13</v>
      </c>
      <c r="AQ12" s="1377">
        <v>4</v>
      </c>
      <c r="AR12" s="1375">
        <v>1.75</v>
      </c>
      <c r="AS12" s="1375"/>
      <c r="AT12" s="1381">
        <v>54</v>
      </c>
      <c r="AU12" s="1377">
        <v>8</v>
      </c>
      <c r="AV12" s="1375">
        <v>15.3</v>
      </c>
      <c r="AW12" s="1375" t="s">
        <v>35</v>
      </c>
      <c r="AX12" s="1381"/>
      <c r="AY12" s="1377"/>
      <c r="AZ12" s="1375"/>
      <c r="BA12" s="1375"/>
      <c r="BB12" s="1382"/>
      <c r="BC12" s="1382"/>
      <c r="BD12" s="1382"/>
      <c r="BE12" s="1382"/>
      <c r="BF12" s="1382"/>
      <c r="BG12" s="1382"/>
      <c r="BH12" s="1382"/>
      <c r="BI12" s="1382"/>
      <c r="BJ12" s="1382">
        <v>1</v>
      </c>
    </row>
    <row r="13" spans="1:64" x14ac:dyDescent="0.2">
      <c r="A13" s="1375" t="s">
        <v>1411</v>
      </c>
      <c r="B13" s="1375">
        <v>1</v>
      </c>
      <c r="C13" s="1375" t="s">
        <v>1585</v>
      </c>
      <c r="D13" s="1376">
        <v>55</v>
      </c>
      <c r="E13" s="1377">
        <v>11.5</v>
      </c>
      <c r="F13" s="1375">
        <v>11.125</v>
      </c>
      <c r="G13" s="1378">
        <v>0</v>
      </c>
      <c r="H13" s="1378">
        <v>1.75</v>
      </c>
      <c r="I13" s="1378" t="s">
        <v>113</v>
      </c>
      <c r="J13" s="1378">
        <v>0</v>
      </c>
      <c r="K13" s="1375">
        <v>1.75</v>
      </c>
      <c r="L13" s="1375" t="s">
        <v>113</v>
      </c>
      <c r="M13" s="1375">
        <v>7.5</v>
      </c>
      <c r="N13" s="1378">
        <v>7.5</v>
      </c>
      <c r="O13" s="1378">
        <v>0</v>
      </c>
      <c r="P13" s="1378">
        <v>6.75</v>
      </c>
      <c r="Q13" s="1378">
        <v>0</v>
      </c>
      <c r="R13" s="1375">
        <v>6.75</v>
      </c>
      <c r="S13" s="1375">
        <v>0</v>
      </c>
      <c r="T13" s="1375">
        <v>6.25</v>
      </c>
      <c r="U13" s="1379">
        <v>0</v>
      </c>
      <c r="V13" s="1379">
        <v>6.25</v>
      </c>
      <c r="W13" s="1375">
        <v>5</v>
      </c>
      <c r="X13" s="1375"/>
      <c r="Y13" s="1375"/>
      <c r="Z13" s="1380"/>
      <c r="AA13" s="1378"/>
      <c r="AB13" s="1375"/>
      <c r="AC13" s="1376"/>
      <c r="AD13" s="1377"/>
      <c r="AE13" s="1375" t="s">
        <v>35</v>
      </c>
      <c r="AF13" s="1375">
        <v>6</v>
      </c>
      <c r="AG13" s="1378">
        <v>0.375</v>
      </c>
      <c r="AH13" s="1375">
        <v>7</v>
      </c>
      <c r="AI13" s="1378">
        <v>6</v>
      </c>
      <c r="AJ13" s="1378">
        <v>2.75</v>
      </c>
      <c r="AK13" s="1378">
        <v>6</v>
      </c>
      <c r="AL13" s="1381">
        <v>0.375</v>
      </c>
      <c r="AM13" s="1377"/>
      <c r="AN13" s="1375" t="s">
        <v>35</v>
      </c>
      <c r="AO13" s="1375">
        <v>5</v>
      </c>
      <c r="AP13" s="1381">
        <v>13</v>
      </c>
      <c r="AQ13" s="1377">
        <v>4</v>
      </c>
      <c r="AR13" s="1375">
        <v>1.75</v>
      </c>
      <c r="AS13" s="1375">
        <v>1.75</v>
      </c>
      <c r="AT13" s="1381" t="s">
        <v>1018</v>
      </c>
      <c r="AU13" s="1377" t="s">
        <v>1578</v>
      </c>
      <c r="AV13" s="1375">
        <v>0.5</v>
      </c>
      <c r="AW13" s="1375"/>
      <c r="AX13" s="1381" t="s">
        <v>1018</v>
      </c>
      <c r="AY13" s="1377" t="s">
        <v>1581</v>
      </c>
      <c r="AZ13" s="1375">
        <v>0.9</v>
      </c>
      <c r="BA13" s="1375"/>
      <c r="BB13" s="1382" t="s">
        <v>1018</v>
      </c>
      <c r="BC13" s="1382" t="s">
        <v>1582</v>
      </c>
      <c r="BD13" s="1382">
        <v>0.9</v>
      </c>
      <c r="BE13" s="1382"/>
      <c r="BF13" s="1382" t="s">
        <v>1018</v>
      </c>
      <c r="BG13" s="1382" t="s">
        <v>1583</v>
      </c>
      <c r="BH13" s="1382">
        <v>0.6</v>
      </c>
      <c r="BI13" s="1382"/>
      <c r="BJ13" s="1382">
        <v>2</v>
      </c>
    </row>
    <row r="14" spans="1:64" x14ac:dyDescent="0.2">
      <c r="A14" s="1375"/>
      <c r="B14" s="1375"/>
      <c r="C14" s="1375"/>
      <c r="D14" s="1376"/>
      <c r="E14" s="1377"/>
      <c r="F14" s="1375"/>
      <c r="G14" s="1378"/>
      <c r="H14" s="1378"/>
      <c r="I14" s="1378"/>
      <c r="J14" s="1378"/>
      <c r="K14" s="1375"/>
      <c r="L14" s="1375"/>
      <c r="M14" s="1375"/>
      <c r="N14" s="1378"/>
      <c r="O14" s="1378"/>
      <c r="P14" s="1378"/>
      <c r="Q14" s="1378"/>
      <c r="R14" s="1375"/>
      <c r="S14" s="1375"/>
      <c r="T14" s="1375"/>
      <c r="W14" s="1375"/>
      <c r="X14" s="1375"/>
      <c r="Y14" s="1375"/>
      <c r="Z14" s="1380"/>
      <c r="AA14" s="1378"/>
      <c r="AB14" s="1375"/>
      <c r="AC14" s="1376"/>
      <c r="AD14" s="1377"/>
      <c r="AE14" s="1375"/>
      <c r="AF14" s="1375"/>
      <c r="AG14" s="1378"/>
      <c r="AH14" s="1375"/>
      <c r="AI14" s="1378"/>
      <c r="AJ14" s="1378"/>
      <c r="AK14" s="1378"/>
      <c r="AL14" s="1381"/>
      <c r="AM14" s="1377"/>
      <c r="AN14" s="1375"/>
      <c r="AO14" s="1375"/>
      <c r="AP14" s="1381"/>
      <c r="AQ14" s="1377"/>
      <c r="AR14" s="1375"/>
      <c r="AS14" s="1375"/>
      <c r="AT14" s="1381" t="s">
        <v>1018</v>
      </c>
      <c r="AU14" s="1377" t="s">
        <v>1584</v>
      </c>
      <c r="AV14" s="1375">
        <v>0.6</v>
      </c>
      <c r="AW14" s="1375"/>
      <c r="AX14" s="1381"/>
      <c r="AY14" s="1377"/>
      <c r="AZ14" s="1375"/>
      <c r="BA14" s="1375"/>
      <c r="BB14" s="1382"/>
      <c r="BC14" s="1382"/>
      <c r="BD14" s="1382"/>
      <c r="BE14" s="1382"/>
      <c r="BF14" s="1382"/>
      <c r="BG14" s="1382"/>
      <c r="BH14" s="1382"/>
      <c r="BI14" s="1382"/>
      <c r="BJ14" s="1382"/>
    </row>
    <row r="15" spans="1:64" x14ac:dyDescent="0.2">
      <c r="A15" s="1375" t="s">
        <v>1412</v>
      </c>
      <c r="B15" s="1375">
        <v>2</v>
      </c>
      <c r="C15" s="1375" t="s">
        <v>1586</v>
      </c>
      <c r="D15" s="1376">
        <v>55</v>
      </c>
      <c r="E15" s="1377">
        <v>6.25</v>
      </c>
      <c r="F15" s="1375">
        <v>11.125</v>
      </c>
      <c r="G15" s="1378">
        <v>0</v>
      </c>
      <c r="H15" s="1378">
        <v>1.75</v>
      </c>
      <c r="I15" s="1378" t="s">
        <v>113</v>
      </c>
      <c r="J15" s="1378">
        <v>0</v>
      </c>
      <c r="K15" s="1375">
        <v>0.5</v>
      </c>
      <c r="L15" s="1375" t="s">
        <v>113</v>
      </c>
      <c r="M15" s="1375">
        <v>7.5</v>
      </c>
      <c r="N15" s="1378">
        <v>7.5</v>
      </c>
      <c r="O15" s="1378">
        <v>0</v>
      </c>
      <c r="P15" s="1378">
        <v>6.75</v>
      </c>
      <c r="Q15" s="1378">
        <v>0</v>
      </c>
      <c r="R15" s="1375">
        <v>5.5</v>
      </c>
      <c r="S15" s="1375">
        <v>0</v>
      </c>
      <c r="T15" s="1375">
        <v>6.25</v>
      </c>
      <c r="U15" s="1379">
        <v>0</v>
      </c>
      <c r="V15" s="1379">
        <v>5</v>
      </c>
      <c r="W15" s="1375">
        <v>5</v>
      </c>
      <c r="X15" s="1375"/>
      <c r="Y15" s="1375"/>
      <c r="Z15" s="1380" t="s">
        <v>1625</v>
      </c>
      <c r="AA15" s="1378"/>
      <c r="AB15" s="1375"/>
      <c r="AC15" s="1376"/>
      <c r="AD15" s="1377"/>
      <c r="AE15" s="1375" t="s">
        <v>35</v>
      </c>
      <c r="AF15" s="1375">
        <v>6</v>
      </c>
      <c r="AG15" s="1378">
        <v>0.375</v>
      </c>
      <c r="AH15" s="1375">
        <v>7</v>
      </c>
      <c r="AI15" s="1378">
        <v>6</v>
      </c>
      <c r="AJ15" s="1378">
        <v>2.75</v>
      </c>
      <c r="AK15" s="1378">
        <v>5</v>
      </c>
      <c r="AL15" s="1381">
        <v>8.375</v>
      </c>
      <c r="AM15" s="1377"/>
      <c r="AN15" s="1375" t="s">
        <v>35</v>
      </c>
      <c r="AO15" s="1375">
        <v>5</v>
      </c>
      <c r="AP15" s="1381">
        <v>13</v>
      </c>
      <c r="AQ15" s="1377">
        <v>4</v>
      </c>
      <c r="AR15" s="1375">
        <v>1.75</v>
      </c>
      <c r="AS15" s="1375"/>
      <c r="AT15" s="1381"/>
      <c r="AU15" s="1377"/>
      <c r="AV15" s="1375"/>
      <c r="AW15" s="1375"/>
      <c r="AX15" s="1381"/>
      <c r="AY15" s="1377"/>
      <c r="AZ15" s="1375"/>
      <c r="BA15" s="1375"/>
      <c r="BB15" s="1382"/>
      <c r="BC15" s="1382"/>
      <c r="BD15" s="1382"/>
      <c r="BE15" s="1382"/>
      <c r="BF15" s="1382"/>
      <c r="BG15" s="1382"/>
      <c r="BH15" s="1382"/>
      <c r="BI15" s="1382"/>
      <c r="BJ15" s="1382">
        <v>1</v>
      </c>
    </row>
    <row r="16" spans="1:64" x14ac:dyDescent="0.2">
      <c r="A16" s="1375" t="s">
        <v>1413</v>
      </c>
      <c r="B16" s="1375">
        <v>5</v>
      </c>
      <c r="C16" s="1375" t="s">
        <v>1586</v>
      </c>
      <c r="D16" s="1376">
        <v>55</v>
      </c>
      <c r="E16" s="1377">
        <v>11.5</v>
      </c>
      <c r="F16" s="1375">
        <v>11.125</v>
      </c>
      <c r="G16" s="1378">
        <v>0</v>
      </c>
      <c r="H16" s="1378">
        <v>1.75</v>
      </c>
      <c r="I16" s="1378" t="s">
        <v>113</v>
      </c>
      <c r="J16" s="1378">
        <v>0</v>
      </c>
      <c r="K16" s="1375">
        <v>1.75</v>
      </c>
      <c r="L16" s="1375" t="s">
        <v>113</v>
      </c>
      <c r="M16" s="1375">
        <v>7.5</v>
      </c>
      <c r="N16" s="1378">
        <v>7.5</v>
      </c>
      <c r="O16" s="1378">
        <v>0</v>
      </c>
      <c r="P16" s="1378">
        <v>6.75</v>
      </c>
      <c r="Q16" s="1378">
        <v>0</v>
      </c>
      <c r="R16" s="1375">
        <v>6.75</v>
      </c>
      <c r="S16" s="1375">
        <v>0</v>
      </c>
      <c r="T16" s="1375">
        <v>6.25</v>
      </c>
      <c r="U16" s="1379">
        <v>0</v>
      </c>
      <c r="V16" s="1379">
        <v>6.25</v>
      </c>
      <c r="W16" s="1375">
        <v>5</v>
      </c>
      <c r="X16" s="1375"/>
      <c r="Y16" s="1375"/>
      <c r="Z16" s="1380">
        <v>-27</v>
      </c>
      <c r="AA16" s="1378"/>
      <c r="AB16" s="1375"/>
      <c r="AC16" s="1376"/>
      <c r="AD16" s="1377"/>
      <c r="AE16" s="1375" t="s">
        <v>35</v>
      </c>
      <c r="AF16" s="1375">
        <v>6</v>
      </c>
      <c r="AG16" s="1378">
        <v>0.375</v>
      </c>
      <c r="AH16" s="1375">
        <v>7</v>
      </c>
      <c r="AI16" s="1378">
        <v>6</v>
      </c>
      <c r="AJ16" s="1378">
        <v>2.75</v>
      </c>
      <c r="AK16" s="1378">
        <v>6</v>
      </c>
      <c r="AL16" s="1381">
        <v>0.375</v>
      </c>
      <c r="AM16" s="1377"/>
      <c r="AN16" s="1375" t="s">
        <v>35</v>
      </c>
      <c r="AO16" s="1375">
        <v>5</v>
      </c>
      <c r="AP16" s="1381">
        <v>13</v>
      </c>
      <c r="AQ16" s="1377">
        <v>4</v>
      </c>
      <c r="AR16" s="1375">
        <v>1.75</v>
      </c>
      <c r="AS16" s="1375">
        <v>1.75</v>
      </c>
      <c r="AT16" s="1381"/>
      <c r="AU16" s="1377"/>
      <c r="AV16" s="1375"/>
      <c r="AW16" s="1375"/>
      <c r="AX16" s="1381"/>
      <c r="AY16" s="1377"/>
      <c r="AZ16" s="1375"/>
      <c r="BA16" s="1375"/>
      <c r="BB16" s="1382"/>
      <c r="BC16" s="1382"/>
      <c r="BD16" s="1382"/>
      <c r="BE16" s="1382"/>
      <c r="BF16" s="1382"/>
      <c r="BG16" s="1382"/>
      <c r="BH16" s="1382"/>
      <c r="BI16" s="1382"/>
      <c r="BJ16" s="1382">
        <v>1</v>
      </c>
    </row>
    <row r="17" spans="1:62" x14ac:dyDescent="0.2">
      <c r="A17" s="1375" t="s">
        <v>1414</v>
      </c>
      <c r="B17" s="1375">
        <v>2</v>
      </c>
      <c r="C17" s="1375" t="s">
        <v>1586</v>
      </c>
      <c r="D17" s="1376">
        <v>55</v>
      </c>
      <c r="E17" s="1377">
        <v>10.875</v>
      </c>
      <c r="F17" s="1375">
        <v>11.125</v>
      </c>
      <c r="G17" s="1378">
        <v>0</v>
      </c>
      <c r="H17" s="1378">
        <v>1.75</v>
      </c>
      <c r="I17" s="1378" t="s">
        <v>113</v>
      </c>
      <c r="J17" s="1378"/>
      <c r="K17" s="1375"/>
      <c r="L17" s="1375"/>
      <c r="M17" s="1375">
        <v>7.5</v>
      </c>
      <c r="N17" s="1378">
        <v>10</v>
      </c>
      <c r="O17" s="1378">
        <v>0</v>
      </c>
      <c r="P17" s="1378">
        <v>6.75</v>
      </c>
      <c r="Q17" s="1378">
        <v>0</v>
      </c>
      <c r="R17" s="1375">
        <v>7.125</v>
      </c>
      <c r="S17" s="1375">
        <v>0</v>
      </c>
      <c r="T17" s="1375">
        <v>6.25</v>
      </c>
      <c r="U17" s="1379">
        <v>0</v>
      </c>
      <c r="V17" s="1379">
        <v>2.125</v>
      </c>
      <c r="W17" s="1375">
        <v>5</v>
      </c>
      <c r="X17" s="1375"/>
      <c r="Y17" s="1375"/>
      <c r="Z17" s="1380" t="s">
        <v>1628</v>
      </c>
      <c r="AA17" s="1378"/>
      <c r="AB17" s="1375"/>
      <c r="AC17" s="1376"/>
      <c r="AD17" s="1377"/>
      <c r="AE17" s="1375" t="s">
        <v>35</v>
      </c>
      <c r="AF17" s="1375">
        <v>6</v>
      </c>
      <c r="AG17" s="1378">
        <v>0.375</v>
      </c>
      <c r="AH17" s="1375">
        <v>7</v>
      </c>
      <c r="AI17" s="1378">
        <v>6</v>
      </c>
      <c r="AJ17" s="1378">
        <v>2.75</v>
      </c>
      <c r="AK17" s="1378">
        <v>6</v>
      </c>
      <c r="AL17" s="1381">
        <v>1.5</v>
      </c>
      <c r="AM17" s="1377"/>
      <c r="AN17" s="1375" t="s">
        <v>35</v>
      </c>
      <c r="AO17" s="1375">
        <v>5</v>
      </c>
      <c r="AP17" s="1381">
        <v>13</v>
      </c>
      <c r="AQ17" s="1377">
        <v>4</v>
      </c>
      <c r="AR17" s="1375">
        <v>1.75</v>
      </c>
      <c r="AS17" s="1375"/>
      <c r="AT17" s="1381"/>
      <c r="AU17" s="1377"/>
      <c r="AV17" s="1375"/>
      <c r="AW17" s="1375"/>
      <c r="AX17" s="1381"/>
      <c r="AY17" s="1377"/>
      <c r="AZ17" s="1375"/>
      <c r="BA17" s="1375"/>
      <c r="BB17" s="1382"/>
      <c r="BC17" s="1382"/>
      <c r="BD17" s="1382"/>
      <c r="BE17" s="1382"/>
      <c r="BF17" s="1382"/>
      <c r="BG17" s="1382"/>
      <c r="BH17" s="1382"/>
      <c r="BI17" s="1382"/>
      <c r="BJ17" s="1382">
        <v>1</v>
      </c>
    </row>
    <row r="18" spans="1:62" x14ac:dyDescent="0.2">
      <c r="A18" s="1375" t="s">
        <v>1415</v>
      </c>
      <c r="B18" s="1375">
        <v>1</v>
      </c>
      <c r="C18" s="1375" t="s">
        <v>1586</v>
      </c>
      <c r="D18" s="1376">
        <v>55</v>
      </c>
      <c r="E18" s="1377">
        <v>8.375</v>
      </c>
      <c r="F18" s="1375">
        <v>11.125</v>
      </c>
      <c r="G18" s="1378">
        <v>0</v>
      </c>
      <c r="H18" s="1378">
        <v>1.75</v>
      </c>
      <c r="I18" s="1378" t="s">
        <v>113</v>
      </c>
      <c r="J18" s="1378">
        <v>0</v>
      </c>
      <c r="K18" s="1375">
        <v>5</v>
      </c>
      <c r="L18" s="1375" t="s">
        <v>158</v>
      </c>
      <c r="M18" s="1375">
        <v>7.5</v>
      </c>
      <c r="N18" s="1378">
        <v>10</v>
      </c>
      <c r="O18" s="1378">
        <v>0</v>
      </c>
      <c r="P18" s="1378">
        <v>6.75</v>
      </c>
      <c r="Q18" s="1378">
        <v>0</v>
      </c>
      <c r="R18" s="1375">
        <v>4.625</v>
      </c>
      <c r="S18" s="1375">
        <v>0</v>
      </c>
      <c r="T18" s="1375">
        <v>6.25</v>
      </c>
      <c r="U18" s="1379">
        <v>0</v>
      </c>
      <c r="V18" s="1379">
        <v>4.25</v>
      </c>
      <c r="W18" s="1375">
        <v>5</v>
      </c>
      <c r="X18" s="1375"/>
      <c r="Y18" s="1375"/>
      <c r="Z18" s="1380" t="s">
        <v>1627</v>
      </c>
      <c r="AA18" s="1378"/>
      <c r="AB18" s="1375"/>
      <c r="AC18" s="1376"/>
      <c r="AD18" s="1377"/>
      <c r="AE18" s="1375" t="s">
        <v>35</v>
      </c>
      <c r="AF18" s="1375">
        <v>6</v>
      </c>
      <c r="AG18" s="1378">
        <v>0.375</v>
      </c>
      <c r="AH18" s="1375">
        <v>7</v>
      </c>
      <c r="AI18" s="1378">
        <v>6</v>
      </c>
      <c r="AJ18" s="1378">
        <v>2.75</v>
      </c>
      <c r="AK18" s="1378">
        <v>5</v>
      </c>
      <c r="AL18" s="1381">
        <v>6</v>
      </c>
      <c r="AM18" s="1377"/>
      <c r="AN18" s="1375" t="s">
        <v>35</v>
      </c>
      <c r="AO18" s="1375">
        <v>5</v>
      </c>
      <c r="AP18" s="1381">
        <v>13</v>
      </c>
      <c r="AQ18" s="1377">
        <v>4</v>
      </c>
      <c r="AR18" s="1375">
        <v>1.75</v>
      </c>
      <c r="AS18" s="1375"/>
      <c r="AT18" s="1381">
        <v>54</v>
      </c>
      <c r="AU18" s="1377">
        <v>8</v>
      </c>
      <c r="AV18" s="1375">
        <v>13.8</v>
      </c>
      <c r="AW18" s="1375" t="s">
        <v>35</v>
      </c>
      <c r="AX18" s="1381"/>
      <c r="AY18" s="1377"/>
      <c r="AZ18" s="1375"/>
      <c r="BA18" s="1375"/>
      <c r="BB18" s="1382"/>
      <c r="BC18" s="1382"/>
      <c r="BD18" s="1382"/>
      <c r="BE18" s="1382"/>
      <c r="BF18" s="1382"/>
      <c r="BG18" s="1382"/>
      <c r="BH18" s="1382"/>
      <c r="BI18" s="1382"/>
      <c r="BJ18" s="1382">
        <v>1</v>
      </c>
    </row>
    <row r="19" spans="1:62" x14ac:dyDescent="0.2">
      <c r="A19" s="1375" t="s">
        <v>1416</v>
      </c>
      <c r="B19" s="1375">
        <v>1</v>
      </c>
      <c r="C19" s="1375" t="s">
        <v>1586</v>
      </c>
      <c r="D19" s="1376">
        <v>55</v>
      </c>
      <c r="E19" s="1377">
        <v>11.5</v>
      </c>
      <c r="F19" s="1375">
        <v>11.125</v>
      </c>
      <c r="G19" s="1378">
        <v>0</v>
      </c>
      <c r="H19" s="1378">
        <v>1.75</v>
      </c>
      <c r="I19" s="1378" t="s">
        <v>113</v>
      </c>
      <c r="J19" s="1378">
        <v>0</v>
      </c>
      <c r="K19" s="1375">
        <v>1.75</v>
      </c>
      <c r="L19" s="1375" t="s">
        <v>113</v>
      </c>
      <c r="M19" s="1375">
        <v>7.5</v>
      </c>
      <c r="N19" s="1378">
        <v>7.5</v>
      </c>
      <c r="O19" s="1378">
        <v>0</v>
      </c>
      <c r="P19" s="1378">
        <v>6.75</v>
      </c>
      <c r="Q19" s="1378">
        <v>0</v>
      </c>
      <c r="R19" s="1375">
        <v>6.75</v>
      </c>
      <c r="S19" s="1375">
        <v>0</v>
      </c>
      <c r="T19" s="1375">
        <v>6.25</v>
      </c>
      <c r="U19" s="1379">
        <v>0</v>
      </c>
      <c r="V19" s="1379">
        <v>6.25</v>
      </c>
      <c r="W19" s="1375">
        <v>5</v>
      </c>
      <c r="X19" s="1375"/>
      <c r="Y19" s="1375"/>
      <c r="Z19" s="1380"/>
      <c r="AA19" s="1378"/>
      <c r="AB19" s="1375"/>
      <c r="AC19" s="1376"/>
      <c r="AD19" s="1377"/>
      <c r="AE19" s="1375" t="s">
        <v>35</v>
      </c>
      <c r="AF19" s="1375">
        <v>6</v>
      </c>
      <c r="AG19" s="1378">
        <v>0.375</v>
      </c>
      <c r="AH19" s="1375">
        <v>7</v>
      </c>
      <c r="AI19" s="1378">
        <v>6</v>
      </c>
      <c r="AJ19" s="1378">
        <v>2.75</v>
      </c>
      <c r="AK19" s="1378">
        <v>6</v>
      </c>
      <c r="AL19" s="1381">
        <v>0.375</v>
      </c>
      <c r="AM19" s="1377"/>
      <c r="AN19" s="1375" t="s">
        <v>35</v>
      </c>
      <c r="AO19" s="1375">
        <v>5</v>
      </c>
      <c r="AP19" s="1381">
        <v>13</v>
      </c>
      <c r="AQ19" s="1377">
        <v>4</v>
      </c>
      <c r="AR19" s="1375">
        <v>1.75</v>
      </c>
      <c r="AS19" s="1375">
        <v>1.75</v>
      </c>
      <c r="AT19" s="1381"/>
      <c r="AU19" s="1377"/>
      <c r="AV19" s="1375"/>
      <c r="AW19" s="1375"/>
      <c r="AX19" s="1381"/>
      <c r="AY19" s="1377"/>
      <c r="AZ19" s="1375"/>
      <c r="BA19" s="1375"/>
      <c r="BB19" s="1382"/>
      <c r="BC19" s="1382"/>
      <c r="BD19" s="1382"/>
      <c r="BE19" s="1382"/>
      <c r="BF19" s="1382"/>
      <c r="BG19" s="1382"/>
      <c r="BH19" s="1382"/>
      <c r="BI19" s="1382"/>
      <c r="BJ19" s="1382">
        <v>1</v>
      </c>
    </row>
    <row r="20" spans="1:62" x14ac:dyDescent="0.2">
      <c r="A20" s="1375" t="s">
        <v>1417</v>
      </c>
      <c r="B20" s="1375">
        <v>2</v>
      </c>
      <c r="C20" s="1375" t="s">
        <v>1587</v>
      </c>
      <c r="D20" s="1376">
        <v>55</v>
      </c>
      <c r="E20" s="1377">
        <v>6.25</v>
      </c>
      <c r="F20" s="1375">
        <v>11.125</v>
      </c>
      <c r="G20" s="1378">
        <v>0</v>
      </c>
      <c r="H20" s="1378">
        <v>1.75</v>
      </c>
      <c r="I20" s="1378" t="s">
        <v>113</v>
      </c>
      <c r="J20" s="1378">
        <v>0</v>
      </c>
      <c r="K20" s="1375">
        <v>0.5</v>
      </c>
      <c r="L20" s="1375" t="s">
        <v>113</v>
      </c>
      <c r="M20" s="1375">
        <v>7.5</v>
      </c>
      <c r="N20" s="1378">
        <v>7.5</v>
      </c>
      <c r="O20" s="1378">
        <v>0</v>
      </c>
      <c r="P20" s="1378">
        <v>6.75</v>
      </c>
      <c r="Q20" s="1378">
        <v>0</v>
      </c>
      <c r="R20" s="1375">
        <v>5.5</v>
      </c>
      <c r="S20" s="1375">
        <v>0</v>
      </c>
      <c r="T20" s="1375">
        <v>6.25</v>
      </c>
      <c r="U20" s="1379">
        <v>0</v>
      </c>
      <c r="V20" s="1379">
        <v>5</v>
      </c>
      <c r="W20" s="1375">
        <v>5</v>
      </c>
      <c r="X20" s="1375"/>
      <c r="Y20" s="1375"/>
      <c r="Z20" s="1380" t="s">
        <v>1629</v>
      </c>
      <c r="AA20" s="1378"/>
      <c r="AB20" s="1375"/>
      <c r="AC20" s="1376"/>
      <c r="AD20" s="1377"/>
      <c r="AE20" s="1375" t="s">
        <v>35</v>
      </c>
      <c r="AF20" s="1375">
        <v>6</v>
      </c>
      <c r="AG20" s="1378">
        <v>0.375</v>
      </c>
      <c r="AH20" s="1375">
        <v>7</v>
      </c>
      <c r="AI20" s="1378">
        <v>6</v>
      </c>
      <c r="AJ20" s="1378">
        <v>2.75</v>
      </c>
      <c r="AK20" s="1378">
        <v>5</v>
      </c>
      <c r="AL20" s="1381">
        <v>8.375</v>
      </c>
      <c r="AM20" s="1377"/>
      <c r="AN20" s="1375" t="s">
        <v>35</v>
      </c>
      <c r="AO20" s="1375">
        <v>5</v>
      </c>
      <c r="AP20" s="1381">
        <v>13</v>
      </c>
      <c r="AQ20" s="1377">
        <v>4</v>
      </c>
      <c r="AR20" s="1375">
        <v>1.75</v>
      </c>
      <c r="AS20" s="1375"/>
      <c r="AT20" s="1381"/>
      <c r="AU20" s="1377"/>
      <c r="AV20" s="1375"/>
      <c r="AW20" s="1375"/>
      <c r="AX20" s="1381"/>
      <c r="AY20" s="1377"/>
      <c r="AZ20" s="1375"/>
      <c r="BA20" s="1375"/>
      <c r="BB20" s="1382"/>
      <c r="BC20" s="1382"/>
      <c r="BD20" s="1382"/>
      <c r="BE20" s="1382"/>
      <c r="BF20" s="1382"/>
      <c r="BG20" s="1382"/>
      <c r="BH20" s="1382"/>
      <c r="BI20" s="1382"/>
      <c r="BJ20" s="1382">
        <v>1</v>
      </c>
    </row>
    <row r="21" spans="1:62" x14ac:dyDescent="0.2">
      <c r="A21" s="1375" t="s">
        <v>1418</v>
      </c>
      <c r="B21" s="1375">
        <v>3</v>
      </c>
      <c r="C21" s="1375" t="s">
        <v>1587</v>
      </c>
      <c r="D21" s="1376">
        <v>55</v>
      </c>
      <c r="E21" s="1377">
        <v>11.5</v>
      </c>
      <c r="F21" s="1375">
        <v>11.125</v>
      </c>
      <c r="G21" s="1378">
        <v>0</v>
      </c>
      <c r="H21" s="1378">
        <v>1.75</v>
      </c>
      <c r="I21" s="1378" t="s">
        <v>113</v>
      </c>
      <c r="J21" s="1378">
        <v>0</v>
      </c>
      <c r="K21" s="1375">
        <v>1.75</v>
      </c>
      <c r="L21" s="1375" t="s">
        <v>113</v>
      </c>
      <c r="M21" s="1375">
        <v>7.5</v>
      </c>
      <c r="N21" s="1378">
        <v>7.5</v>
      </c>
      <c r="O21" s="1378">
        <v>0</v>
      </c>
      <c r="P21" s="1378">
        <v>6.75</v>
      </c>
      <c r="Q21" s="1378">
        <v>0</v>
      </c>
      <c r="R21" s="1375">
        <v>6.75</v>
      </c>
      <c r="S21" s="1375">
        <v>0</v>
      </c>
      <c r="T21" s="1375">
        <v>6.25</v>
      </c>
      <c r="U21" s="1379">
        <v>0</v>
      </c>
      <c r="V21" s="1379">
        <v>6.25</v>
      </c>
      <c r="W21" s="1375">
        <v>5</v>
      </c>
      <c r="X21" s="1375"/>
      <c r="Y21" s="1375"/>
      <c r="Z21" s="1380" t="s">
        <v>1630</v>
      </c>
      <c r="AA21" s="1378"/>
      <c r="AB21" s="1375"/>
      <c r="AC21" s="1376"/>
      <c r="AD21" s="1377"/>
      <c r="AE21" s="1375" t="s">
        <v>35</v>
      </c>
      <c r="AF21" s="1375">
        <v>6</v>
      </c>
      <c r="AG21" s="1378">
        <v>0.375</v>
      </c>
      <c r="AH21" s="1375">
        <v>7</v>
      </c>
      <c r="AI21" s="1378">
        <v>6</v>
      </c>
      <c r="AJ21" s="1378">
        <v>2.75</v>
      </c>
      <c r="AK21" s="1378">
        <v>6</v>
      </c>
      <c r="AL21" s="1381">
        <v>0.375</v>
      </c>
      <c r="AM21" s="1377"/>
      <c r="AN21" s="1375" t="s">
        <v>35</v>
      </c>
      <c r="AO21" s="1375">
        <v>5</v>
      </c>
      <c r="AP21" s="1381">
        <v>13</v>
      </c>
      <c r="AQ21" s="1377">
        <v>4</v>
      </c>
      <c r="AR21" s="1375">
        <v>1.75</v>
      </c>
      <c r="AS21" s="1375">
        <v>1.75</v>
      </c>
      <c r="AT21" s="1381"/>
      <c r="AU21" s="1377"/>
      <c r="AV21" s="1375"/>
      <c r="AW21" s="1375"/>
      <c r="AX21" s="1381"/>
      <c r="AY21" s="1377"/>
      <c r="AZ21" s="1375"/>
      <c r="BA21" s="1375"/>
      <c r="BB21" s="1382"/>
      <c r="BC21" s="1382"/>
      <c r="BD21" s="1382"/>
      <c r="BE21" s="1382"/>
      <c r="BF21" s="1382"/>
      <c r="BG21" s="1382"/>
      <c r="BH21" s="1382"/>
      <c r="BI21" s="1382"/>
      <c r="BJ21" s="1382">
        <v>1</v>
      </c>
    </row>
    <row r="22" spans="1:62" x14ac:dyDescent="0.2">
      <c r="A22" s="1375" t="s">
        <v>1419</v>
      </c>
      <c r="B22" s="1375">
        <v>2</v>
      </c>
      <c r="C22" s="1375" t="s">
        <v>1587</v>
      </c>
      <c r="D22" s="1376">
        <v>55</v>
      </c>
      <c r="E22" s="1377">
        <v>11.5</v>
      </c>
      <c r="F22" s="1375">
        <v>11.125</v>
      </c>
      <c r="G22" s="1378">
        <v>0</v>
      </c>
      <c r="H22" s="1378">
        <v>1.75</v>
      </c>
      <c r="I22" s="1378" t="s">
        <v>113</v>
      </c>
      <c r="J22" s="1378">
        <v>0</v>
      </c>
      <c r="K22" s="1375">
        <v>1.75</v>
      </c>
      <c r="L22" s="1375" t="s">
        <v>113</v>
      </c>
      <c r="M22" s="1375">
        <v>7.5</v>
      </c>
      <c r="N22" s="1378">
        <v>7.5</v>
      </c>
      <c r="O22" s="1378">
        <v>0</v>
      </c>
      <c r="P22" s="1378">
        <v>6.75</v>
      </c>
      <c r="Q22" s="1378">
        <v>0</v>
      </c>
      <c r="R22" s="1375">
        <v>6.75</v>
      </c>
      <c r="S22" s="1375">
        <v>0</v>
      </c>
      <c r="T22" s="1375">
        <v>6.25</v>
      </c>
      <c r="U22" s="1379">
        <v>0</v>
      </c>
      <c r="V22" s="1379">
        <v>6.25</v>
      </c>
      <c r="W22" s="1375">
        <v>5</v>
      </c>
      <c r="X22" s="1375"/>
      <c r="Y22" s="1375"/>
      <c r="Z22" s="1380" t="s">
        <v>1631</v>
      </c>
      <c r="AA22" s="1378"/>
      <c r="AB22" s="1375"/>
      <c r="AC22" s="1376"/>
      <c r="AD22" s="1377"/>
      <c r="AE22" s="1375" t="s">
        <v>35</v>
      </c>
      <c r="AF22" s="1375">
        <v>6</v>
      </c>
      <c r="AG22" s="1378">
        <v>0.375</v>
      </c>
      <c r="AH22" s="1375">
        <v>7</v>
      </c>
      <c r="AI22" s="1378">
        <v>6</v>
      </c>
      <c r="AJ22" s="1378">
        <v>2.75</v>
      </c>
      <c r="AK22" s="1378">
        <v>6</v>
      </c>
      <c r="AL22" s="1381">
        <v>0.375</v>
      </c>
      <c r="AM22" s="1377"/>
      <c r="AN22" s="1375" t="s">
        <v>35</v>
      </c>
      <c r="AO22" s="1375">
        <v>5</v>
      </c>
      <c r="AP22" s="1381">
        <v>13</v>
      </c>
      <c r="AQ22" s="1377">
        <v>4</v>
      </c>
      <c r="AR22" s="1375">
        <v>1.75</v>
      </c>
      <c r="AS22" s="1375">
        <v>1.75</v>
      </c>
      <c r="AT22" s="1381"/>
      <c r="AU22" s="1377"/>
      <c r="AV22" s="1375"/>
      <c r="AW22" s="1375"/>
      <c r="AX22" s="1381"/>
      <c r="AY22" s="1377"/>
      <c r="AZ22" s="1375"/>
      <c r="BA22" s="1375"/>
      <c r="BB22" s="1382"/>
      <c r="BC22" s="1382"/>
      <c r="BD22" s="1382"/>
      <c r="BE22" s="1382"/>
      <c r="BF22" s="1382"/>
      <c r="BG22" s="1382"/>
      <c r="BH22" s="1382"/>
      <c r="BI22" s="1382"/>
      <c r="BJ22" s="1382">
        <v>1</v>
      </c>
    </row>
    <row r="23" spans="1:62" x14ac:dyDescent="0.2">
      <c r="A23" s="1375" t="s">
        <v>1420</v>
      </c>
      <c r="B23" s="1375">
        <v>2</v>
      </c>
      <c r="C23" s="1375" t="s">
        <v>1587</v>
      </c>
      <c r="D23" s="1376">
        <v>55</v>
      </c>
      <c r="E23" s="1377">
        <v>10.875</v>
      </c>
      <c r="F23" s="1375">
        <v>11.125</v>
      </c>
      <c r="G23" s="1378">
        <v>0</v>
      </c>
      <c r="H23" s="1378">
        <v>1.75</v>
      </c>
      <c r="I23" s="1378" t="s">
        <v>113</v>
      </c>
      <c r="J23" s="1378"/>
      <c r="K23" s="1375"/>
      <c r="L23" s="1375"/>
      <c r="M23" s="1375">
        <v>7.5</v>
      </c>
      <c r="N23" s="1378">
        <v>10</v>
      </c>
      <c r="O23" s="1378">
        <v>0</v>
      </c>
      <c r="P23" s="1378">
        <v>6.75</v>
      </c>
      <c r="Q23" s="1378">
        <v>0</v>
      </c>
      <c r="R23" s="1375">
        <v>6.125</v>
      </c>
      <c r="S23" s="1375">
        <v>0</v>
      </c>
      <c r="T23" s="1375">
        <v>6.25</v>
      </c>
      <c r="U23" s="1379">
        <v>0</v>
      </c>
      <c r="V23" s="1379">
        <v>2.125</v>
      </c>
      <c r="W23" s="1375">
        <v>5</v>
      </c>
      <c r="X23" s="1375"/>
      <c r="Y23" s="1375"/>
      <c r="Z23" s="1380" t="s">
        <v>1632</v>
      </c>
      <c r="AA23" s="1378"/>
      <c r="AB23" s="1375"/>
      <c r="AC23" s="1376"/>
      <c r="AD23" s="1377"/>
      <c r="AE23" s="1375" t="s">
        <v>35</v>
      </c>
      <c r="AF23" s="1375">
        <v>6</v>
      </c>
      <c r="AG23" s="1378">
        <v>0.375</v>
      </c>
      <c r="AH23" s="1375">
        <v>7</v>
      </c>
      <c r="AI23" s="1378">
        <v>6</v>
      </c>
      <c r="AJ23" s="1378">
        <v>2.75</v>
      </c>
      <c r="AK23" s="1378">
        <v>6</v>
      </c>
      <c r="AL23" s="1381">
        <v>1.5</v>
      </c>
      <c r="AM23" s="1377"/>
      <c r="AN23" s="1375" t="s">
        <v>35</v>
      </c>
      <c r="AO23" s="1375">
        <v>5</v>
      </c>
      <c r="AP23" s="1381">
        <v>13</v>
      </c>
      <c r="AQ23" s="1377">
        <v>4</v>
      </c>
      <c r="AR23" s="1375">
        <v>1.75</v>
      </c>
      <c r="AS23" s="1375"/>
      <c r="AT23" s="1381"/>
      <c r="AU23" s="1377"/>
      <c r="AV23" s="1375"/>
      <c r="AW23" s="1375"/>
      <c r="AX23" s="1381"/>
      <c r="AY23" s="1377"/>
      <c r="AZ23" s="1375"/>
      <c r="BA23" s="1375"/>
      <c r="BB23" s="1382"/>
      <c r="BC23" s="1382"/>
      <c r="BD23" s="1382"/>
      <c r="BE23" s="1382"/>
      <c r="BF23" s="1382"/>
      <c r="BG23" s="1382"/>
      <c r="BH23" s="1382"/>
      <c r="BI23" s="1382"/>
      <c r="BJ23" s="1382">
        <v>1</v>
      </c>
    </row>
    <row r="24" spans="1:62" x14ac:dyDescent="0.2">
      <c r="A24" s="1375" t="s">
        <v>1421</v>
      </c>
      <c r="B24" s="1375">
        <v>1</v>
      </c>
      <c r="C24" s="1375" t="s">
        <v>1587</v>
      </c>
      <c r="D24" s="1376">
        <v>55</v>
      </c>
      <c r="E24" s="1377">
        <v>8.75</v>
      </c>
      <c r="F24" s="1375">
        <v>11.125</v>
      </c>
      <c r="G24" s="1378">
        <v>0</v>
      </c>
      <c r="H24" s="1378">
        <v>1.75</v>
      </c>
      <c r="I24" s="1378" t="s">
        <v>113</v>
      </c>
      <c r="J24" s="1378">
        <v>0</v>
      </c>
      <c r="K24" s="1375">
        <v>5</v>
      </c>
      <c r="L24" s="1375" t="s">
        <v>113</v>
      </c>
      <c r="M24" s="1375">
        <v>7.5</v>
      </c>
      <c r="N24" s="1378">
        <v>10</v>
      </c>
      <c r="O24" s="1378">
        <v>0</v>
      </c>
      <c r="P24" s="1378">
        <v>6.75</v>
      </c>
      <c r="Q24" s="1378">
        <v>0</v>
      </c>
      <c r="R24" s="1375">
        <v>4</v>
      </c>
      <c r="S24" s="1375">
        <v>0</v>
      </c>
      <c r="T24" s="1375">
        <v>6.25</v>
      </c>
      <c r="U24" s="1379">
        <v>0</v>
      </c>
      <c r="V24" s="1379">
        <v>4.625</v>
      </c>
      <c r="W24" s="1375">
        <v>5</v>
      </c>
      <c r="X24" s="1375"/>
      <c r="Y24" s="1375"/>
      <c r="Z24" s="1380" t="s">
        <v>1633</v>
      </c>
      <c r="AA24" s="1378"/>
      <c r="AB24" s="1375"/>
      <c r="AC24" s="1376"/>
      <c r="AD24" s="1377"/>
      <c r="AE24" s="1375" t="s">
        <v>35</v>
      </c>
      <c r="AF24" s="1375">
        <v>6</v>
      </c>
      <c r="AG24" s="1378">
        <v>0.375</v>
      </c>
      <c r="AH24" s="1375">
        <v>7</v>
      </c>
      <c r="AI24" s="1378">
        <v>6</v>
      </c>
      <c r="AJ24" s="1378">
        <v>2.75</v>
      </c>
      <c r="AK24" s="1378">
        <v>5</v>
      </c>
      <c r="AL24" s="1381">
        <v>6.375</v>
      </c>
      <c r="AM24" s="1377"/>
      <c r="AN24" s="1375" t="s">
        <v>35</v>
      </c>
      <c r="AO24" s="1375">
        <v>5</v>
      </c>
      <c r="AP24" s="1381">
        <v>13</v>
      </c>
      <c r="AQ24" s="1377">
        <v>4</v>
      </c>
      <c r="AR24" s="1375">
        <v>1.75</v>
      </c>
      <c r="AS24" s="1375"/>
      <c r="AT24" s="1381">
        <v>54</v>
      </c>
      <c r="AU24" s="1377">
        <v>8</v>
      </c>
      <c r="AV24" s="1375">
        <v>18.3</v>
      </c>
      <c r="AW24" s="1375" t="s">
        <v>35</v>
      </c>
      <c r="AX24" s="1381"/>
      <c r="AY24" s="1377"/>
      <c r="AZ24" s="1375"/>
      <c r="BA24" s="1375"/>
      <c r="BB24" s="1382"/>
      <c r="BC24" s="1382"/>
      <c r="BD24" s="1382"/>
      <c r="BE24" s="1382"/>
      <c r="BF24" s="1382"/>
      <c r="BG24" s="1382"/>
      <c r="BH24" s="1382"/>
      <c r="BI24" s="1382"/>
      <c r="BJ24" s="1382">
        <v>1</v>
      </c>
    </row>
    <row r="25" spans="1:62" x14ac:dyDescent="0.2">
      <c r="A25" s="1375" t="s">
        <v>1422</v>
      </c>
      <c r="B25" s="1375">
        <v>1</v>
      </c>
      <c r="C25" s="1375" t="s">
        <v>1577</v>
      </c>
      <c r="D25" s="1376">
        <v>55</v>
      </c>
      <c r="E25" s="1377">
        <v>11.5</v>
      </c>
      <c r="F25" s="1375">
        <v>11.125</v>
      </c>
      <c r="G25" s="1378">
        <v>0</v>
      </c>
      <c r="H25" s="1378">
        <v>1.75</v>
      </c>
      <c r="I25" s="1378" t="s">
        <v>113</v>
      </c>
      <c r="J25" s="1378">
        <v>0</v>
      </c>
      <c r="K25" s="1375">
        <v>1.75</v>
      </c>
      <c r="L25" s="1375" t="s">
        <v>113</v>
      </c>
      <c r="M25" s="1375">
        <v>7.5</v>
      </c>
      <c r="N25" s="1378">
        <v>7.5</v>
      </c>
      <c r="O25" s="1378">
        <v>0</v>
      </c>
      <c r="P25" s="1378">
        <v>6.75</v>
      </c>
      <c r="Q25" s="1378">
        <v>0</v>
      </c>
      <c r="R25" s="1375">
        <v>6.75</v>
      </c>
      <c r="S25" s="1375">
        <v>0</v>
      </c>
      <c r="T25" s="1375">
        <v>6.25</v>
      </c>
      <c r="U25" s="1379">
        <v>0</v>
      </c>
      <c r="V25" s="1379">
        <v>6.25</v>
      </c>
      <c r="W25" s="1375">
        <v>5</v>
      </c>
      <c r="X25" s="1375"/>
      <c r="Y25" s="1375"/>
      <c r="Z25" s="1380" t="s">
        <v>1634</v>
      </c>
      <c r="AA25" s="1378"/>
      <c r="AB25" s="1375"/>
      <c r="AC25" s="1376"/>
      <c r="AD25" s="1377"/>
      <c r="AE25" s="1375" t="s">
        <v>35</v>
      </c>
      <c r="AF25" s="1375">
        <v>6</v>
      </c>
      <c r="AG25" s="1378">
        <v>0.375</v>
      </c>
      <c r="AH25" s="1375">
        <v>7</v>
      </c>
      <c r="AI25" s="1378">
        <v>6</v>
      </c>
      <c r="AJ25" s="1378">
        <v>2.75</v>
      </c>
      <c r="AK25" s="1378">
        <v>6</v>
      </c>
      <c r="AL25" s="1381">
        <v>0.375</v>
      </c>
      <c r="AM25" s="1377"/>
      <c r="AN25" s="1375" t="s">
        <v>35</v>
      </c>
      <c r="AO25" s="1375">
        <v>5</v>
      </c>
      <c r="AP25" s="1381">
        <v>13</v>
      </c>
      <c r="AQ25" s="1377">
        <v>4</v>
      </c>
      <c r="AR25" s="1375">
        <v>1.75</v>
      </c>
      <c r="AS25" s="1375">
        <v>1.75</v>
      </c>
      <c r="AT25" s="1381"/>
      <c r="AU25" s="1377"/>
      <c r="AV25" s="1375"/>
      <c r="AW25" s="1375"/>
      <c r="AX25" s="1381"/>
      <c r="AY25" s="1377"/>
      <c r="AZ25" s="1375"/>
      <c r="BA25" s="1375"/>
      <c r="BB25" s="1382"/>
      <c r="BC25" s="1382"/>
      <c r="BD25" s="1382"/>
      <c r="BE25" s="1382"/>
      <c r="BF25" s="1382"/>
      <c r="BG25" s="1382"/>
      <c r="BH25" s="1382"/>
      <c r="BI25" s="1382"/>
      <c r="BJ25" s="1382">
        <v>1</v>
      </c>
    </row>
    <row r="26" spans="1:62" x14ac:dyDescent="0.2">
      <c r="A26" s="1375" t="s">
        <v>1423</v>
      </c>
      <c r="B26" s="1375">
        <v>1</v>
      </c>
      <c r="C26" s="1375" t="s">
        <v>1577</v>
      </c>
      <c r="D26" s="1376">
        <v>55</v>
      </c>
      <c r="E26" s="1377">
        <v>10.875</v>
      </c>
      <c r="F26" s="1375">
        <v>11.125</v>
      </c>
      <c r="G26" s="1378">
        <v>0</v>
      </c>
      <c r="H26" s="1378">
        <v>1.75</v>
      </c>
      <c r="I26" s="1378" t="s">
        <v>113</v>
      </c>
      <c r="J26" s="1378"/>
      <c r="K26" s="1375"/>
      <c r="L26" s="1375"/>
      <c r="M26" s="1375">
        <v>7.5</v>
      </c>
      <c r="N26" s="1378">
        <v>10</v>
      </c>
      <c r="O26" s="1378">
        <v>0</v>
      </c>
      <c r="P26" s="1378">
        <v>6.75</v>
      </c>
      <c r="Q26" s="1378">
        <v>0</v>
      </c>
      <c r="R26" s="1375">
        <v>6.125</v>
      </c>
      <c r="S26" s="1375">
        <v>0</v>
      </c>
      <c r="T26" s="1375">
        <v>6.25</v>
      </c>
      <c r="U26" s="1379">
        <v>0</v>
      </c>
      <c r="V26" s="1379">
        <v>2.125</v>
      </c>
      <c r="W26" s="1375">
        <v>5</v>
      </c>
      <c r="X26" s="1375"/>
      <c r="Y26" s="1375"/>
      <c r="Z26" s="1380" t="s">
        <v>1635</v>
      </c>
      <c r="AA26" s="1378"/>
      <c r="AB26" s="1375"/>
      <c r="AC26" s="1376"/>
      <c r="AD26" s="1377"/>
      <c r="AE26" s="1375" t="s">
        <v>35</v>
      </c>
      <c r="AF26" s="1375">
        <v>6</v>
      </c>
      <c r="AG26" s="1378">
        <v>0.375</v>
      </c>
      <c r="AH26" s="1375">
        <v>7</v>
      </c>
      <c r="AI26" s="1378">
        <v>6</v>
      </c>
      <c r="AJ26" s="1378">
        <v>2.75</v>
      </c>
      <c r="AK26" s="1378">
        <v>6</v>
      </c>
      <c r="AL26" s="1381">
        <v>1.5</v>
      </c>
      <c r="AM26" s="1377"/>
      <c r="AN26" s="1375" t="s">
        <v>35</v>
      </c>
      <c r="AO26" s="1375">
        <v>5</v>
      </c>
      <c r="AP26" s="1381">
        <v>13</v>
      </c>
      <c r="AQ26" s="1377">
        <v>4</v>
      </c>
      <c r="AR26" s="1375">
        <v>1.75</v>
      </c>
      <c r="AS26" s="1375"/>
      <c r="AT26" s="1381"/>
      <c r="AU26" s="1377"/>
      <c r="AV26" s="1375"/>
      <c r="AW26" s="1375"/>
      <c r="AX26" s="1381"/>
      <c r="AY26" s="1377"/>
      <c r="AZ26" s="1375"/>
      <c r="BA26" s="1375"/>
      <c r="BB26" s="1382"/>
      <c r="BC26" s="1382"/>
      <c r="BD26" s="1382"/>
      <c r="BE26" s="1382"/>
      <c r="BF26" s="1382"/>
      <c r="BG26" s="1382"/>
      <c r="BH26" s="1382"/>
      <c r="BI26" s="1382"/>
      <c r="BJ26" s="1382">
        <v>1</v>
      </c>
    </row>
    <row r="27" spans="1:62" x14ac:dyDescent="0.2">
      <c r="A27" s="1375" t="s">
        <v>1424</v>
      </c>
      <c r="B27" s="1375">
        <v>1</v>
      </c>
      <c r="C27" s="1375" t="s">
        <v>1577</v>
      </c>
      <c r="D27" s="1376">
        <v>55</v>
      </c>
      <c r="E27" s="1377">
        <v>8.75</v>
      </c>
      <c r="F27" s="1375">
        <v>11.125</v>
      </c>
      <c r="G27" s="1378">
        <v>0</v>
      </c>
      <c r="H27" s="1378">
        <v>1.75</v>
      </c>
      <c r="I27" s="1378" t="s">
        <v>113</v>
      </c>
      <c r="J27" s="1378">
        <v>0</v>
      </c>
      <c r="K27" s="1375">
        <v>5</v>
      </c>
      <c r="L27" s="1375" t="s">
        <v>113</v>
      </c>
      <c r="M27" s="1375">
        <v>7.5</v>
      </c>
      <c r="N27" s="1378">
        <v>10</v>
      </c>
      <c r="O27" s="1378">
        <v>0</v>
      </c>
      <c r="P27" s="1378">
        <v>6.75</v>
      </c>
      <c r="Q27" s="1378">
        <v>0</v>
      </c>
      <c r="R27" s="1375">
        <v>4</v>
      </c>
      <c r="S27" s="1375">
        <v>0</v>
      </c>
      <c r="T27" s="1375">
        <v>6.25</v>
      </c>
      <c r="U27" s="1379">
        <v>0</v>
      </c>
      <c r="V27" s="1379">
        <v>4.625</v>
      </c>
      <c r="W27" s="1375">
        <v>5</v>
      </c>
      <c r="X27" s="1375"/>
      <c r="Y27" s="1375"/>
      <c r="Z27" s="1380" t="s">
        <v>1636</v>
      </c>
      <c r="AA27" s="1378"/>
      <c r="AB27" s="1375"/>
      <c r="AC27" s="1376"/>
      <c r="AD27" s="1377"/>
      <c r="AE27" s="1375" t="s">
        <v>35</v>
      </c>
      <c r="AF27" s="1375">
        <v>6</v>
      </c>
      <c r="AG27" s="1378">
        <v>0.375</v>
      </c>
      <c r="AH27" s="1375">
        <v>7</v>
      </c>
      <c r="AI27" s="1378">
        <v>6</v>
      </c>
      <c r="AJ27" s="1378">
        <v>2.75</v>
      </c>
      <c r="AK27" s="1378">
        <v>5</v>
      </c>
      <c r="AL27" s="1381">
        <v>6.375</v>
      </c>
      <c r="AM27" s="1377"/>
      <c r="AN27" s="1375" t="s">
        <v>35</v>
      </c>
      <c r="AO27" s="1375">
        <v>5</v>
      </c>
      <c r="AP27" s="1381">
        <v>13</v>
      </c>
      <c r="AQ27" s="1377">
        <v>4</v>
      </c>
      <c r="AR27" s="1375">
        <v>1.75</v>
      </c>
      <c r="AS27" s="1375"/>
      <c r="AT27" s="1381">
        <v>54</v>
      </c>
      <c r="AU27" s="1377">
        <v>8</v>
      </c>
      <c r="AV27" s="1375">
        <v>16.3</v>
      </c>
      <c r="AW27" s="1375" t="s">
        <v>35</v>
      </c>
      <c r="AX27" s="1381"/>
      <c r="AY27" s="1377"/>
      <c r="AZ27" s="1375"/>
      <c r="BA27" s="1375"/>
      <c r="BB27" s="1382"/>
      <c r="BC27" s="1382"/>
      <c r="BD27" s="1382"/>
      <c r="BE27" s="1382"/>
      <c r="BF27" s="1382"/>
      <c r="BG27" s="1382"/>
      <c r="BH27" s="1382"/>
      <c r="BI27" s="1382"/>
      <c r="BJ27" s="1382">
        <v>1</v>
      </c>
    </row>
    <row r="28" spans="1:62" x14ac:dyDescent="0.2">
      <c r="A28" s="1375" t="s">
        <v>1425</v>
      </c>
      <c r="B28" s="1375">
        <v>1</v>
      </c>
      <c r="C28" s="1375" t="s">
        <v>1585</v>
      </c>
      <c r="D28" s="1376">
        <v>55</v>
      </c>
      <c r="E28" s="1377">
        <v>10.875</v>
      </c>
      <c r="F28" s="1375">
        <v>11.125</v>
      </c>
      <c r="G28" s="1378">
        <v>0</v>
      </c>
      <c r="H28" s="1378">
        <v>1.75</v>
      </c>
      <c r="I28" s="1378" t="s">
        <v>113</v>
      </c>
      <c r="J28" s="1378"/>
      <c r="K28" s="1375"/>
      <c r="L28" s="1375"/>
      <c r="M28" s="1375">
        <v>7.5</v>
      </c>
      <c r="N28" s="1378">
        <v>10</v>
      </c>
      <c r="O28" s="1378">
        <v>0</v>
      </c>
      <c r="P28" s="1378">
        <v>6.75</v>
      </c>
      <c r="Q28" s="1378">
        <v>0</v>
      </c>
      <c r="R28" s="1375">
        <v>7.125</v>
      </c>
      <c r="S28" s="1375">
        <v>0</v>
      </c>
      <c r="T28" s="1375">
        <v>6.25</v>
      </c>
      <c r="U28" s="1379">
        <v>0</v>
      </c>
      <c r="V28" s="1379">
        <v>2.125</v>
      </c>
      <c r="W28" s="1375">
        <v>5</v>
      </c>
      <c r="X28" s="1375"/>
      <c r="Y28" s="1375"/>
      <c r="Z28" s="1380" t="s">
        <v>1637</v>
      </c>
      <c r="AA28" s="1378"/>
      <c r="AB28" s="1375"/>
      <c r="AC28" s="1376"/>
      <c r="AD28" s="1377"/>
      <c r="AE28" s="1375" t="s">
        <v>35</v>
      </c>
      <c r="AF28" s="1375">
        <v>6</v>
      </c>
      <c r="AG28" s="1378">
        <v>0.375</v>
      </c>
      <c r="AH28" s="1375">
        <v>7</v>
      </c>
      <c r="AI28" s="1378">
        <v>6</v>
      </c>
      <c r="AJ28" s="1378">
        <v>2.75</v>
      </c>
      <c r="AK28" s="1378">
        <v>6</v>
      </c>
      <c r="AL28" s="1381">
        <v>1.5</v>
      </c>
      <c r="AM28" s="1377"/>
      <c r="AN28" s="1375" t="s">
        <v>35</v>
      </c>
      <c r="AO28" s="1375">
        <v>5</v>
      </c>
      <c r="AP28" s="1381">
        <v>13</v>
      </c>
      <c r="AQ28" s="1377">
        <v>4</v>
      </c>
      <c r="AR28" s="1375">
        <v>1.75</v>
      </c>
      <c r="AS28" s="1375"/>
      <c r="AT28" s="1381"/>
      <c r="AU28" s="1377"/>
      <c r="AV28" s="1375"/>
      <c r="AW28" s="1375"/>
      <c r="AX28" s="1381"/>
      <c r="AY28" s="1377"/>
      <c r="AZ28" s="1375"/>
      <c r="BA28" s="1375"/>
      <c r="BB28" s="1382"/>
      <c r="BC28" s="1382"/>
      <c r="BD28" s="1382"/>
      <c r="BE28" s="1382"/>
      <c r="BF28" s="1382"/>
      <c r="BG28" s="1382"/>
      <c r="BH28" s="1382"/>
      <c r="BI28" s="1382"/>
      <c r="BJ28" s="1382">
        <v>1</v>
      </c>
    </row>
    <row r="29" spans="1:62" x14ac:dyDescent="0.2">
      <c r="A29" s="1375" t="s">
        <v>1426</v>
      </c>
      <c r="B29" s="1375">
        <v>1</v>
      </c>
      <c r="C29" s="1375" t="s">
        <v>1585</v>
      </c>
      <c r="D29" s="1376">
        <v>55</v>
      </c>
      <c r="E29" s="1377">
        <v>8.375</v>
      </c>
      <c r="F29" s="1375">
        <v>11.125</v>
      </c>
      <c r="G29" s="1378">
        <v>0</v>
      </c>
      <c r="H29" s="1378">
        <v>1.75</v>
      </c>
      <c r="I29" s="1378" t="s">
        <v>113</v>
      </c>
      <c r="J29" s="1378">
        <v>0</v>
      </c>
      <c r="K29" s="1375">
        <v>5</v>
      </c>
      <c r="L29" s="1375" t="s">
        <v>158</v>
      </c>
      <c r="M29" s="1375">
        <v>7.5</v>
      </c>
      <c r="N29" s="1378">
        <v>10</v>
      </c>
      <c r="O29" s="1378">
        <v>0</v>
      </c>
      <c r="P29" s="1378">
        <v>6.75</v>
      </c>
      <c r="Q29" s="1378">
        <v>0</v>
      </c>
      <c r="R29" s="1375">
        <v>4.625</v>
      </c>
      <c r="S29" s="1375">
        <v>0</v>
      </c>
      <c r="T29" s="1375">
        <v>6.25</v>
      </c>
      <c r="U29" s="1379">
        <v>0</v>
      </c>
      <c r="V29" s="1379">
        <v>4.25</v>
      </c>
      <c r="W29" s="1375">
        <v>5</v>
      </c>
      <c r="X29" s="1375"/>
      <c r="Y29" s="1375"/>
      <c r="Z29" s="1380" t="s">
        <v>1638</v>
      </c>
      <c r="AA29" s="1378"/>
      <c r="AB29" s="1375"/>
      <c r="AC29" s="1376"/>
      <c r="AD29" s="1377"/>
      <c r="AE29" s="1375" t="s">
        <v>35</v>
      </c>
      <c r="AF29" s="1375">
        <v>6</v>
      </c>
      <c r="AG29" s="1378">
        <v>0.375</v>
      </c>
      <c r="AH29" s="1375">
        <v>7</v>
      </c>
      <c r="AI29" s="1378">
        <v>6</v>
      </c>
      <c r="AJ29" s="1378">
        <v>2.75</v>
      </c>
      <c r="AK29" s="1378">
        <v>5</v>
      </c>
      <c r="AL29" s="1381">
        <v>6</v>
      </c>
      <c r="AM29" s="1377"/>
      <c r="AN29" s="1375" t="s">
        <v>35</v>
      </c>
      <c r="AO29" s="1375">
        <v>5</v>
      </c>
      <c r="AP29" s="1381">
        <v>13</v>
      </c>
      <c r="AQ29" s="1377">
        <v>4</v>
      </c>
      <c r="AR29" s="1375">
        <v>1.75</v>
      </c>
      <c r="AS29" s="1375"/>
      <c r="AT29" s="1381">
        <v>54</v>
      </c>
      <c r="AU29" s="1377">
        <v>8</v>
      </c>
      <c r="AV29" s="1375">
        <v>15.3</v>
      </c>
      <c r="AW29" s="1375" t="s">
        <v>35</v>
      </c>
      <c r="AX29" s="1381"/>
      <c r="AY29" s="1377"/>
      <c r="AZ29" s="1375"/>
      <c r="BA29" s="1375"/>
      <c r="BB29" s="1382"/>
      <c r="BC29" s="1382"/>
      <c r="BD29" s="1382"/>
      <c r="BE29" s="1382"/>
      <c r="BF29" s="1382"/>
      <c r="BG29" s="1382"/>
      <c r="BH29" s="1382"/>
      <c r="BI29" s="1382"/>
      <c r="BJ29" s="1382">
        <v>1</v>
      </c>
    </row>
    <row r="30" spans="1:62" x14ac:dyDescent="0.2">
      <c r="A30" s="1375" t="s">
        <v>1427</v>
      </c>
      <c r="B30" s="1375">
        <v>1</v>
      </c>
      <c r="C30" s="1375" t="s">
        <v>1586</v>
      </c>
      <c r="D30" s="1376">
        <v>55</v>
      </c>
      <c r="E30" s="1377">
        <v>8.375</v>
      </c>
      <c r="F30" s="1375">
        <v>11.125</v>
      </c>
      <c r="G30" s="1378">
        <v>0</v>
      </c>
      <c r="H30" s="1378">
        <v>1.75</v>
      </c>
      <c r="I30" s="1378" t="s">
        <v>113</v>
      </c>
      <c r="J30" s="1378">
        <v>0</v>
      </c>
      <c r="K30" s="1375">
        <v>5</v>
      </c>
      <c r="L30" s="1375" t="s">
        <v>158</v>
      </c>
      <c r="M30" s="1375">
        <v>7.5</v>
      </c>
      <c r="N30" s="1378">
        <v>10</v>
      </c>
      <c r="O30" s="1378">
        <v>0</v>
      </c>
      <c r="P30" s="1378">
        <v>6.75</v>
      </c>
      <c r="Q30" s="1378">
        <v>0</v>
      </c>
      <c r="R30" s="1375">
        <v>4.625</v>
      </c>
      <c r="S30" s="1375">
        <v>0</v>
      </c>
      <c r="T30" s="1375">
        <v>6.25</v>
      </c>
      <c r="U30" s="1379">
        <v>0</v>
      </c>
      <c r="V30" s="1379">
        <v>4.25</v>
      </c>
      <c r="W30" s="1375">
        <v>5</v>
      </c>
      <c r="X30" s="1375"/>
      <c r="Y30" s="1375"/>
      <c r="Z30" s="1380" t="s">
        <v>1639</v>
      </c>
      <c r="AA30" s="1378"/>
      <c r="AB30" s="1375"/>
      <c r="AC30" s="1376"/>
      <c r="AD30" s="1377"/>
      <c r="AE30" s="1375" t="s">
        <v>35</v>
      </c>
      <c r="AF30" s="1375">
        <v>6</v>
      </c>
      <c r="AG30" s="1378">
        <v>0.375</v>
      </c>
      <c r="AH30" s="1375">
        <v>7</v>
      </c>
      <c r="AI30" s="1378">
        <v>6</v>
      </c>
      <c r="AJ30" s="1378">
        <v>2.75</v>
      </c>
      <c r="AK30" s="1378">
        <v>5</v>
      </c>
      <c r="AL30" s="1381">
        <v>6</v>
      </c>
      <c r="AM30" s="1377"/>
      <c r="AN30" s="1375" t="s">
        <v>35</v>
      </c>
      <c r="AO30" s="1375">
        <v>5</v>
      </c>
      <c r="AP30" s="1381">
        <v>13</v>
      </c>
      <c r="AQ30" s="1377">
        <v>4</v>
      </c>
      <c r="AR30" s="1375">
        <v>1.75</v>
      </c>
      <c r="AS30" s="1375"/>
      <c r="AT30" s="1381">
        <v>54</v>
      </c>
      <c r="AU30" s="1377">
        <v>8</v>
      </c>
      <c r="AV30" s="1375">
        <v>13.8</v>
      </c>
      <c r="AW30" s="1375" t="s">
        <v>35</v>
      </c>
      <c r="AX30" s="1381"/>
      <c r="AY30" s="1377"/>
      <c r="AZ30" s="1375"/>
      <c r="BA30" s="1375"/>
      <c r="BB30" s="1382"/>
      <c r="BC30" s="1382"/>
      <c r="BD30" s="1382"/>
      <c r="BE30" s="1382"/>
      <c r="BF30" s="1382"/>
      <c r="BG30" s="1382"/>
      <c r="BH30" s="1382"/>
      <c r="BI30" s="1382"/>
      <c r="BJ30" s="1382">
        <v>1</v>
      </c>
    </row>
    <row r="31" spans="1:62" x14ac:dyDescent="0.2">
      <c r="A31" s="1375" t="s">
        <v>1428</v>
      </c>
      <c r="B31" s="1375">
        <v>1</v>
      </c>
      <c r="C31" s="1375" t="s">
        <v>1587</v>
      </c>
      <c r="D31" s="1376">
        <v>55</v>
      </c>
      <c r="E31" s="1377">
        <v>11.5</v>
      </c>
      <c r="F31" s="1375">
        <v>11.125</v>
      </c>
      <c r="G31" s="1378">
        <v>0</v>
      </c>
      <c r="H31" s="1378">
        <v>1.75</v>
      </c>
      <c r="I31" s="1378" t="s">
        <v>113</v>
      </c>
      <c r="J31" s="1378">
        <v>0</v>
      </c>
      <c r="K31" s="1375">
        <v>1.75</v>
      </c>
      <c r="L31" s="1375" t="s">
        <v>113</v>
      </c>
      <c r="M31" s="1375">
        <v>7.5</v>
      </c>
      <c r="N31" s="1378">
        <v>7.5</v>
      </c>
      <c r="O31" s="1378">
        <v>0</v>
      </c>
      <c r="P31" s="1378">
        <v>6.75</v>
      </c>
      <c r="Q31" s="1378">
        <v>0</v>
      </c>
      <c r="R31" s="1375">
        <v>6.75</v>
      </c>
      <c r="S31" s="1375">
        <v>0</v>
      </c>
      <c r="T31" s="1375">
        <v>6.25</v>
      </c>
      <c r="U31" s="1379">
        <v>0</v>
      </c>
      <c r="V31" s="1379">
        <v>6.25</v>
      </c>
      <c r="W31" s="1375">
        <v>5</v>
      </c>
      <c r="X31" s="1375"/>
      <c r="Y31" s="1375"/>
      <c r="Z31" s="1380" t="s">
        <v>1640</v>
      </c>
      <c r="AA31" s="1378"/>
      <c r="AB31" s="1375"/>
      <c r="AC31" s="1376"/>
      <c r="AD31" s="1377"/>
      <c r="AE31" s="1375" t="s">
        <v>35</v>
      </c>
      <c r="AF31" s="1375">
        <v>6</v>
      </c>
      <c r="AG31" s="1378">
        <v>0.375</v>
      </c>
      <c r="AH31" s="1375">
        <v>7</v>
      </c>
      <c r="AI31" s="1378">
        <v>6</v>
      </c>
      <c r="AJ31" s="1378">
        <v>2.75</v>
      </c>
      <c r="AK31" s="1378">
        <v>6</v>
      </c>
      <c r="AL31" s="1381">
        <v>0.375</v>
      </c>
      <c r="AM31" s="1377"/>
      <c r="AN31" s="1375" t="s">
        <v>35</v>
      </c>
      <c r="AO31" s="1375">
        <v>5</v>
      </c>
      <c r="AP31" s="1381">
        <v>13</v>
      </c>
      <c r="AQ31" s="1377">
        <v>4</v>
      </c>
      <c r="AR31" s="1375">
        <v>1.75</v>
      </c>
      <c r="AS31" s="1375">
        <v>1.75</v>
      </c>
      <c r="AT31" s="1381"/>
      <c r="AU31" s="1377"/>
      <c r="AV31" s="1375"/>
      <c r="AW31" s="1375"/>
      <c r="AX31" s="1381"/>
      <c r="AY31" s="1377"/>
      <c r="AZ31" s="1375"/>
      <c r="BA31" s="1375"/>
      <c r="BB31" s="1382"/>
      <c r="BC31" s="1382"/>
      <c r="BD31" s="1382"/>
      <c r="BE31" s="1382"/>
      <c r="BF31" s="1382"/>
      <c r="BG31" s="1382"/>
      <c r="BH31" s="1382"/>
      <c r="BI31" s="1382"/>
      <c r="BJ31" s="1382">
        <v>1</v>
      </c>
    </row>
    <row r="32" spans="1:62" x14ac:dyDescent="0.2">
      <c r="A32" s="1375" t="s">
        <v>1429</v>
      </c>
      <c r="B32" s="1375">
        <v>1</v>
      </c>
      <c r="C32" s="1375" t="s">
        <v>1587</v>
      </c>
      <c r="D32" s="1376">
        <v>55</v>
      </c>
      <c r="E32" s="1377">
        <v>8.75</v>
      </c>
      <c r="F32" s="1375">
        <v>11.125</v>
      </c>
      <c r="G32" s="1378">
        <v>0</v>
      </c>
      <c r="H32" s="1378">
        <v>1.75</v>
      </c>
      <c r="I32" s="1378" t="s">
        <v>113</v>
      </c>
      <c r="J32" s="1378">
        <v>0</v>
      </c>
      <c r="K32" s="1375">
        <v>5</v>
      </c>
      <c r="L32" s="1375" t="s">
        <v>113</v>
      </c>
      <c r="M32" s="1375">
        <v>7.5</v>
      </c>
      <c r="N32" s="1378">
        <v>10</v>
      </c>
      <c r="O32" s="1378">
        <v>0</v>
      </c>
      <c r="P32" s="1378">
        <v>6.75</v>
      </c>
      <c r="Q32" s="1378">
        <v>0</v>
      </c>
      <c r="R32" s="1375">
        <v>4</v>
      </c>
      <c r="S32" s="1375">
        <v>0</v>
      </c>
      <c r="T32" s="1375">
        <v>6.25</v>
      </c>
      <c r="U32" s="1379">
        <v>0</v>
      </c>
      <c r="V32" s="1379">
        <v>4.625</v>
      </c>
      <c r="W32" s="1375">
        <v>5</v>
      </c>
      <c r="X32" s="1375"/>
      <c r="Y32" s="1375"/>
      <c r="Z32" s="1380" t="s">
        <v>1641</v>
      </c>
      <c r="AA32" s="1378"/>
      <c r="AB32" s="1375"/>
      <c r="AC32" s="1376"/>
      <c r="AD32" s="1377"/>
      <c r="AE32" s="1375" t="s">
        <v>35</v>
      </c>
      <c r="AF32" s="1375">
        <v>6</v>
      </c>
      <c r="AG32" s="1378">
        <v>0.375</v>
      </c>
      <c r="AH32" s="1375">
        <v>7</v>
      </c>
      <c r="AI32" s="1378">
        <v>6</v>
      </c>
      <c r="AJ32" s="1378">
        <v>2.75</v>
      </c>
      <c r="AK32" s="1378">
        <v>5</v>
      </c>
      <c r="AL32" s="1381">
        <v>6.375</v>
      </c>
      <c r="AM32" s="1377"/>
      <c r="AN32" s="1375" t="s">
        <v>35</v>
      </c>
      <c r="AO32" s="1375">
        <v>5</v>
      </c>
      <c r="AP32" s="1381">
        <v>13</v>
      </c>
      <c r="AQ32" s="1377">
        <v>4</v>
      </c>
      <c r="AR32" s="1375">
        <v>1.75</v>
      </c>
      <c r="AS32" s="1375"/>
      <c r="AT32" s="1381">
        <v>54</v>
      </c>
      <c r="AU32" s="1377">
        <v>8</v>
      </c>
      <c r="AV32" s="1375">
        <v>18.3</v>
      </c>
      <c r="AW32" s="1375" t="s">
        <v>35</v>
      </c>
      <c r="AX32" s="1381"/>
      <c r="AY32" s="1377"/>
      <c r="AZ32" s="1375"/>
      <c r="BA32" s="1375"/>
      <c r="BB32" s="1382"/>
      <c r="BC32" s="1382"/>
      <c r="BD32" s="1382"/>
      <c r="BE32" s="1382"/>
      <c r="BF32" s="1382"/>
      <c r="BG32" s="1382"/>
      <c r="BH32" s="1382"/>
      <c r="BI32" s="1382"/>
      <c r="BJ32" s="1382">
        <v>1</v>
      </c>
    </row>
    <row r="33" spans="1:62" x14ac:dyDescent="0.2">
      <c r="A33" s="1375"/>
      <c r="B33" s="1375"/>
      <c r="C33" s="1375"/>
      <c r="D33" s="1376"/>
      <c r="E33" s="1377"/>
      <c r="F33" s="1375"/>
      <c r="G33" s="1378"/>
      <c r="H33" s="1378"/>
      <c r="I33" s="1378"/>
      <c r="J33" s="1378"/>
      <c r="K33" s="1375"/>
      <c r="L33" s="1375"/>
      <c r="M33" s="1375"/>
      <c r="N33" s="1378"/>
      <c r="O33" s="1378"/>
      <c r="P33" s="1378"/>
      <c r="Q33" s="1378"/>
      <c r="R33" s="1375"/>
      <c r="S33" s="1375"/>
      <c r="T33" s="1375"/>
      <c r="W33" s="1375"/>
      <c r="X33" s="1375"/>
      <c r="Y33" s="1375"/>
      <c r="Z33" s="1380"/>
      <c r="AA33" s="1378"/>
      <c r="AB33" s="1375"/>
      <c r="AC33" s="1376"/>
      <c r="AD33" s="1377"/>
      <c r="AE33" s="1375"/>
      <c r="AF33" s="1375"/>
      <c r="AG33" s="1378"/>
      <c r="AH33" s="1375"/>
      <c r="AI33" s="1378"/>
      <c r="AJ33" s="1378"/>
      <c r="AK33" s="1378"/>
      <c r="AL33" s="1381"/>
      <c r="AM33" s="1377"/>
      <c r="AN33" s="1375"/>
      <c r="AO33" s="1375"/>
      <c r="AP33" s="1381"/>
      <c r="AQ33" s="1377"/>
      <c r="AR33" s="1375"/>
      <c r="AS33" s="1375"/>
      <c r="AT33" s="1381"/>
      <c r="AU33" s="1377"/>
      <c r="AV33" s="1375"/>
      <c r="AW33" s="1375"/>
      <c r="AX33" s="1381"/>
      <c r="AY33" s="1377"/>
      <c r="AZ33" s="1375"/>
      <c r="BA33" s="1375"/>
      <c r="BB33" s="1382"/>
      <c r="BC33" s="1382"/>
      <c r="BD33" s="1382"/>
      <c r="BE33" s="1382"/>
      <c r="BF33" s="1382"/>
      <c r="BG33" s="1382"/>
      <c r="BH33" s="1382"/>
      <c r="BI33" s="1382"/>
      <c r="BJ33" s="1382"/>
    </row>
    <row r="34" spans="1:62" x14ac:dyDescent="0.2">
      <c r="A34" s="1375"/>
      <c r="B34" s="1375"/>
      <c r="C34" s="1375"/>
      <c r="D34" s="1376"/>
      <c r="E34" s="1377"/>
      <c r="F34" s="1375"/>
      <c r="G34" s="1378"/>
      <c r="H34" s="1378"/>
      <c r="I34" s="1378"/>
      <c r="J34" s="1378"/>
      <c r="K34" s="1375"/>
      <c r="L34" s="1375"/>
      <c r="M34" s="1375"/>
      <c r="N34" s="1378"/>
      <c r="O34" s="1378"/>
      <c r="P34" s="1378"/>
      <c r="Q34" s="1378"/>
      <c r="R34" s="1375"/>
      <c r="S34" s="1375"/>
      <c r="T34" s="1375"/>
      <c r="W34" s="1375"/>
      <c r="X34" s="1375"/>
      <c r="Y34" s="1375"/>
      <c r="Z34" s="1380"/>
      <c r="AA34" s="1378"/>
      <c r="AB34" s="1375"/>
      <c r="AC34" s="1376"/>
      <c r="AD34" s="1377"/>
      <c r="AE34" s="1375"/>
      <c r="AF34" s="1375"/>
      <c r="AG34" s="1378"/>
      <c r="AH34" s="1375"/>
      <c r="AI34" s="1378"/>
      <c r="AJ34" s="1378"/>
      <c r="AK34" s="1378"/>
      <c r="AL34" s="1381"/>
      <c r="AM34" s="1377"/>
      <c r="AN34" s="1375"/>
      <c r="AO34" s="1375"/>
      <c r="AP34" s="1381"/>
      <c r="AQ34" s="1377"/>
      <c r="AR34" s="1375"/>
      <c r="AS34" s="1375"/>
      <c r="AT34" s="1381"/>
      <c r="AU34" s="1377"/>
      <c r="AV34" s="1375"/>
      <c r="AW34" s="1375"/>
      <c r="AX34" s="1381"/>
      <c r="AY34" s="1377"/>
      <c r="AZ34" s="1375"/>
      <c r="BA34" s="1375"/>
      <c r="BB34" s="1382"/>
      <c r="BC34" s="1382"/>
      <c r="BD34" s="1382"/>
      <c r="BE34" s="1382"/>
      <c r="BF34" s="1382"/>
      <c r="BG34" s="1382"/>
      <c r="BH34" s="1382"/>
      <c r="BI34" s="1382"/>
      <c r="BJ34" s="1382"/>
    </row>
    <row r="35" spans="1:62" x14ac:dyDescent="0.2">
      <c r="A35" s="1375"/>
      <c r="B35" s="1375"/>
      <c r="C35" s="1375"/>
      <c r="D35" s="1376"/>
      <c r="E35" s="1377"/>
      <c r="F35" s="1375"/>
      <c r="G35" s="1378"/>
      <c r="H35" s="1378"/>
      <c r="I35" s="1378"/>
      <c r="J35" s="1378"/>
      <c r="K35" s="1375"/>
      <c r="L35" s="1375"/>
      <c r="M35" s="1375"/>
      <c r="N35" s="1378"/>
      <c r="O35" s="1378"/>
      <c r="P35" s="1378"/>
      <c r="Q35" s="1378"/>
      <c r="R35" s="1375"/>
      <c r="S35" s="1375"/>
      <c r="T35" s="1375"/>
      <c r="W35" s="1375"/>
      <c r="X35" s="1375"/>
      <c r="Y35" s="1375"/>
      <c r="Z35" s="1380"/>
      <c r="AA35" s="1378"/>
      <c r="AB35" s="1375"/>
      <c r="AC35" s="1376"/>
      <c r="AD35" s="1377"/>
      <c r="AE35" s="1375"/>
      <c r="AF35" s="1375"/>
      <c r="AG35" s="1378"/>
      <c r="AH35" s="1375"/>
      <c r="AI35" s="1378"/>
      <c r="AJ35" s="1378"/>
      <c r="AK35" s="1378"/>
      <c r="AL35" s="1381"/>
      <c r="AM35" s="1377"/>
      <c r="AN35" s="1375"/>
      <c r="AO35" s="1375"/>
      <c r="AP35" s="1381"/>
      <c r="AQ35" s="1377"/>
      <c r="AR35" s="1375"/>
      <c r="AS35" s="1375"/>
      <c r="AT35" s="1381"/>
      <c r="AU35" s="1377"/>
      <c r="AV35" s="1375"/>
      <c r="AW35" s="1375"/>
      <c r="AX35" s="1381"/>
      <c r="AY35" s="1377"/>
      <c r="AZ35" s="1375"/>
      <c r="BA35" s="1375"/>
      <c r="BB35" s="1382"/>
      <c r="BC35" s="1382"/>
      <c r="BD35" s="1382"/>
      <c r="BE35" s="1382"/>
      <c r="BF35" s="1382"/>
      <c r="BG35" s="1382"/>
      <c r="BH35" s="1382"/>
      <c r="BI35" s="1382"/>
      <c r="BJ35" s="1382"/>
    </row>
    <row r="36" spans="1:62" x14ac:dyDescent="0.2">
      <c r="A36" s="1375"/>
      <c r="B36" s="1375"/>
      <c r="C36" s="1375"/>
      <c r="D36" s="1376"/>
      <c r="E36" s="1377"/>
      <c r="F36" s="1375"/>
      <c r="G36" s="1378"/>
      <c r="H36" s="1378"/>
      <c r="I36" s="1378"/>
      <c r="J36" s="1378"/>
      <c r="K36" s="1375"/>
      <c r="L36" s="1375"/>
      <c r="M36" s="1375"/>
      <c r="N36" s="1378"/>
      <c r="O36" s="1378"/>
      <c r="P36" s="1378"/>
      <c r="Q36" s="1378"/>
      <c r="R36" s="1375"/>
      <c r="S36" s="1375"/>
      <c r="T36" s="1375"/>
      <c r="W36" s="1375"/>
      <c r="X36" s="1375"/>
      <c r="Y36" s="1375"/>
      <c r="Z36" s="1380"/>
      <c r="AA36" s="1378"/>
      <c r="AB36" s="1375"/>
      <c r="AC36" s="1376"/>
      <c r="AD36" s="1377"/>
      <c r="AE36" s="1375"/>
      <c r="AF36" s="1375"/>
      <c r="AG36" s="1378"/>
      <c r="AH36" s="1375"/>
      <c r="AI36" s="1378"/>
      <c r="AJ36" s="1378"/>
      <c r="AK36" s="1378"/>
      <c r="AL36" s="1381"/>
      <c r="AM36" s="1377"/>
      <c r="AN36" s="1375"/>
      <c r="AO36" s="1375"/>
      <c r="AP36" s="1381"/>
      <c r="AQ36" s="1377"/>
      <c r="AR36" s="1375"/>
      <c r="AS36" s="1375"/>
      <c r="AT36" s="1381"/>
      <c r="AU36" s="1377"/>
      <c r="AV36" s="1375"/>
      <c r="AW36" s="1375"/>
      <c r="AX36" s="1381"/>
      <c r="AY36" s="1377"/>
      <c r="AZ36" s="1375"/>
      <c r="BA36" s="1375"/>
      <c r="BB36" s="1382"/>
      <c r="BC36" s="1382"/>
      <c r="BD36" s="1382"/>
      <c r="BE36" s="1382"/>
      <c r="BF36" s="1382"/>
      <c r="BG36" s="1382"/>
      <c r="BH36" s="1382"/>
      <c r="BI36" s="1382"/>
      <c r="BJ36" s="1382"/>
    </row>
    <row r="37" spans="1:62" x14ac:dyDescent="0.2">
      <c r="A37" s="1375"/>
      <c r="B37" s="1375"/>
      <c r="C37" s="1375"/>
      <c r="D37" s="1376"/>
      <c r="E37" s="1377"/>
      <c r="F37" s="1375"/>
      <c r="G37" s="1378"/>
      <c r="H37" s="1378"/>
      <c r="I37" s="1378"/>
      <c r="J37" s="1378"/>
      <c r="K37" s="1375"/>
      <c r="L37" s="1375"/>
      <c r="M37" s="1375"/>
      <c r="N37" s="1378"/>
      <c r="O37" s="1378"/>
      <c r="P37" s="1378"/>
      <c r="Q37" s="1378"/>
      <c r="R37" s="1375"/>
      <c r="S37" s="1375"/>
      <c r="T37" s="1375"/>
      <c r="W37" s="1375"/>
      <c r="X37" s="1375"/>
      <c r="Y37" s="1375"/>
      <c r="Z37" s="1380"/>
      <c r="AA37" s="1378"/>
      <c r="AB37" s="1375"/>
      <c r="AC37" s="1376"/>
      <c r="AD37" s="1377"/>
      <c r="AE37" s="1375"/>
      <c r="AF37" s="1375"/>
      <c r="AG37" s="1378"/>
      <c r="AH37" s="1375"/>
      <c r="AI37" s="1378"/>
      <c r="AJ37" s="1378"/>
      <c r="AK37" s="1378"/>
      <c r="AL37" s="1381"/>
      <c r="AM37" s="1377"/>
      <c r="AN37" s="1375"/>
      <c r="AO37" s="1375"/>
      <c r="AP37" s="1381"/>
      <c r="AQ37" s="1377"/>
      <c r="AR37" s="1375"/>
      <c r="AS37" s="1375"/>
      <c r="AT37" s="1381"/>
      <c r="AU37" s="1377"/>
      <c r="AV37" s="1375"/>
      <c r="AW37" s="1375"/>
      <c r="AX37" s="1381"/>
      <c r="AY37" s="1377"/>
      <c r="AZ37" s="1375"/>
      <c r="BA37" s="1375"/>
      <c r="BB37" s="1382"/>
      <c r="BC37" s="1382"/>
      <c r="BD37" s="1382"/>
      <c r="BE37" s="1382"/>
      <c r="BF37" s="1382"/>
      <c r="BG37" s="1382"/>
      <c r="BH37" s="1382"/>
      <c r="BI37" s="1382"/>
      <c r="BJ37" s="1382"/>
    </row>
    <row r="38" spans="1:62" x14ac:dyDescent="0.2">
      <c r="A38" s="1375"/>
      <c r="B38" s="1375"/>
      <c r="C38" s="1375"/>
      <c r="D38" s="1376"/>
      <c r="E38" s="1377"/>
      <c r="F38" s="1375"/>
      <c r="G38" s="1378"/>
      <c r="H38" s="1378"/>
      <c r="I38" s="1378"/>
      <c r="J38" s="1378"/>
      <c r="K38" s="1375"/>
      <c r="L38" s="1375"/>
      <c r="M38" s="1375"/>
      <c r="N38" s="1378"/>
      <c r="O38" s="1378"/>
      <c r="P38" s="1378"/>
      <c r="Q38" s="1378"/>
      <c r="R38" s="1375"/>
      <c r="S38" s="1375"/>
      <c r="T38" s="1375"/>
      <c r="W38" s="1375"/>
      <c r="X38" s="1375"/>
      <c r="Y38" s="1375"/>
      <c r="Z38" s="1380"/>
      <c r="AA38" s="1378"/>
      <c r="AB38" s="1375"/>
      <c r="AC38" s="1376"/>
      <c r="AD38" s="1377"/>
      <c r="AE38" s="1375"/>
      <c r="AF38" s="1375"/>
      <c r="AG38" s="1378"/>
      <c r="AH38" s="1375"/>
      <c r="AI38" s="1378"/>
      <c r="AJ38" s="1378"/>
      <c r="AK38" s="1378"/>
      <c r="AL38" s="1381"/>
      <c r="AM38" s="1377"/>
      <c r="AN38" s="1375"/>
      <c r="AO38" s="1375"/>
      <c r="AP38" s="1381"/>
      <c r="AQ38" s="1377"/>
      <c r="AR38" s="1375"/>
      <c r="AS38" s="1375"/>
      <c r="AT38" s="1381"/>
      <c r="AU38" s="1377"/>
      <c r="AV38" s="1375"/>
      <c r="AW38" s="1375"/>
      <c r="AX38" s="1381"/>
      <c r="AY38" s="1377"/>
      <c r="AZ38" s="1375"/>
      <c r="BA38" s="1375"/>
      <c r="BB38" s="1382"/>
      <c r="BC38" s="1382"/>
      <c r="BD38" s="1382"/>
      <c r="BE38" s="1382"/>
      <c r="BF38" s="1382"/>
      <c r="BG38" s="1382"/>
      <c r="BH38" s="1382"/>
      <c r="BI38" s="1382"/>
      <c r="BJ38" s="1382"/>
    </row>
    <row r="39" spans="1:62" x14ac:dyDescent="0.2">
      <c r="A39" s="1375"/>
      <c r="B39" s="1375"/>
      <c r="C39" s="1375"/>
      <c r="D39" s="1376"/>
      <c r="E39" s="1377"/>
      <c r="F39" s="1375"/>
      <c r="G39" s="1378"/>
      <c r="H39" s="1378"/>
      <c r="I39" s="1378"/>
      <c r="J39" s="1378"/>
      <c r="K39" s="1375"/>
      <c r="L39" s="1375"/>
      <c r="M39" s="1375"/>
      <c r="N39" s="1378"/>
      <c r="O39" s="1378"/>
      <c r="P39" s="1378"/>
      <c r="Q39" s="1378"/>
      <c r="R39" s="1375"/>
      <c r="S39" s="1375"/>
      <c r="T39" s="1375"/>
      <c r="W39" s="1375"/>
      <c r="X39" s="1375"/>
      <c r="Y39" s="1375"/>
      <c r="Z39" s="1380"/>
      <c r="AA39" s="1378"/>
      <c r="AB39" s="1375"/>
      <c r="AC39" s="1376"/>
      <c r="AD39" s="1377"/>
      <c r="AE39" s="1375"/>
      <c r="AF39" s="1375"/>
      <c r="AG39" s="1378"/>
      <c r="AH39" s="1375"/>
      <c r="AI39" s="1378"/>
      <c r="AJ39" s="1378"/>
      <c r="AK39" s="1378"/>
      <c r="AL39" s="1381"/>
      <c r="AM39" s="1377"/>
      <c r="AN39" s="1375"/>
      <c r="AO39" s="1375"/>
      <c r="AP39" s="1381"/>
      <c r="AQ39" s="1377"/>
      <c r="AR39" s="1375"/>
      <c r="AS39" s="1375"/>
      <c r="AT39" s="1381"/>
      <c r="AU39" s="1377"/>
      <c r="AV39" s="1375"/>
      <c r="AW39" s="1375"/>
      <c r="AX39" s="1381"/>
      <c r="AY39" s="1377"/>
      <c r="AZ39" s="1375"/>
      <c r="BA39" s="1375"/>
      <c r="BB39" s="1382"/>
      <c r="BC39" s="1382"/>
      <c r="BD39" s="1382"/>
      <c r="BE39" s="1382"/>
      <c r="BF39" s="1382"/>
      <c r="BG39" s="1382"/>
      <c r="BH39" s="1382"/>
      <c r="BI39" s="1382"/>
      <c r="BJ39" s="1382"/>
    </row>
    <row r="40" spans="1:62" x14ac:dyDescent="0.2">
      <c r="A40" s="1375"/>
      <c r="B40" s="1375"/>
      <c r="C40" s="1375"/>
      <c r="D40" s="1376"/>
      <c r="E40" s="1377"/>
      <c r="F40" s="1375"/>
      <c r="G40" s="1378"/>
      <c r="H40" s="1378"/>
      <c r="I40" s="1378"/>
      <c r="J40" s="1378"/>
      <c r="K40" s="1375"/>
      <c r="L40" s="1375"/>
      <c r="M40" s="1375"/>
      <c r="N40" s="1378"/>
      <c r="O40" s="1378"/>
      <c r="P40" s="1378"/>
      <c r="Q40" s="1378"/>
      <c r="R40" s="1375"/>
      <c r="S40" s="1375"/>
      <c r="T40" s="1375"/>
      <c r="W40" s="1375"/>
      <c r="X40" s="1375"/>
      <c r="Y40" s="1375"/>
      <c r="Z40" s="1380"/>
      <c r="AA40" s="1378"/>
      <c r="AB40" s="1375"/>
      <c r="AC40" s="1376"/>
      <c r="AD40" s="1377"/>
      <c r="AE40" s="1375"/>
      <c r="AF40" s="1375"/>
      <c r="AG40" s="1378"/>
      <c r="AH40" s="1375"/>
      <c r="AI40" s="1378"/>
      <c r="AJ40" s="1378"/>
      <c r="AK40" s="1378"/>
      <c r="AL40" s="1381"/>
      <c r="AM40" s="1377"/>
      <c r="AN40" s="1375"/>
      <c r="AO40" s="1375"/>
      <c r="AP40" s="1381"/>
      <c r="AQ40" s="1377"/>
      <c r="AR40" s="1375"/>
      <c r="AS40" s="1375"/>
      <c r="AT40" s="1381"/>
      <c r="AU40" s="1377"/>
      <c r="AV40" s="1375"/>
      <c r="AW40" s="1375"/>
      <c r="AX40" s="1381"/>
      <c r="AY40" s="1377"/>
      <c r="AZ40" s="1375"/>
      <c r="BA40" s="1375"/>
      <c r="BB40" s="1382"/>
      <c r="BC40" s="1382"/>
      <c r="BD40" s="1382"/>
      <c r="BE40" s="1382"/>
      <c r="BF40" s="1382"/>
      <c r="BG40" s="1382"/>
      <c r="BH40" s="1382"/>
      <c r="BI40" s="1382"/>
      <c r="BJ40" s="1382"/>
    </row>
    <row r="41" spans="1:62" x14ac:dyDescent="0.2">
      <c r="A41" s="1375"/>
      <c r="B41" s="1375"/>
      <c r="C41" s="1375"/>
      <c r="D41" s="1376"/>
      <c r="E41" s="1377"/>
      <c r="F41" s="1375"/>
      <c r="G41" s="1378"/>
      <c r="H41" s="1378"/>
      <c r="I41" s="1378"/>
      <c r="J41" s="1378"/>
      <c r="K41" s="1375"/>
      <c r="L41" s="1375"/>
      <c r="M41" s="1375"/>
      <c r="N41" s="1378"/>
      <c r="O41" s="1378"/>
      <c r="P41" s="1378"/>
      <c r="Q41" s="1378"/>
      <c r="R41" s="1375"/>
      <c r="S41" s="1375"/>
      <c r="T41" s="1375"/>
      <c r="W41" s="1375"/>
      <c r="X41" s="1375"/>
      <c r="Y41" s="1375"/>
      <c r="Z41" s="1380"/>
      <c r="AA41" s="1378"/>
      <c r="AB41" s="1375"/>
      <c r="AC41" s="1376"/>
      <c r="AD41" s="1377"/>
      <c r="AE41" s="1375"/>
      <c r="AF41" s="1375"/>
      <c r="AG41" s="1378"/>
      <c r="AH41" s="1375"/>
      <c r="AI41" s="1378"/>
      <c r="AJ41" s="1378"/>
      <c r="AK41" s="1378"/>
      <c r="AL41" s="1381"/>
      <c r="AM41" s="1377"/>
      <c r="AN41" s="1375"/>
      <c r="AO41" s="1375"/>
      <c r="AP41" s="1381"/>
      <c r="AQ41" s="1377"/>
      <c r="AR41" s="1375"/>
      <c r="AS41" s="1375"/>
      <c r="AT41" s="1381"/>
      <c r="AU41" s="1377"/>
      <c r="AV41" s="1375"/>
      <c r="AW41" s="1375"/>
      <c r="AX41" s="1381"/>
      <c r="AY41" s="1377"/>
      <c r="AZ41" s="1375"/>
      <c r="BA41" s="1375"/>
      <c r="BB41" s="1382"/>
      <c r="BC41" s="1382"/>
      <c r="BD41" s="1382"/>
      <c r="BE41" s="1382"/>
      <c r="BF41" s="1382"/>
      <c r="BG41" s="1382"/>
      <c r="BH41" s="1382"/>
      <c r="BI41" s="1382"/>
      <c r="BJ41" s="1382"/>
    </row>
    <row r="42" spans="1:62" x14ac:dyDescent="0.2">
      <c r="A42" s="1375"/>
      <c r="B42" s="1375"/>
      <c r="C42" s="1375"/>
      <c r="D42" s="1376"/>
      <c r="E42" s="1377"/>
      <c r="F42" s="1375"/>
      <c r="G42" s="1378"/>
      <c r="H42" s="1378"/>
      <c r="I42" s="1378"/>
      <c r="J42" s="1378"/>
      <c r="K42" s="1375"/>
      <c r="L42" s="1375"/>
      <c r="M42" s="1375"/>
      <c r="N42" s="1378"/>
      <c r="O42" s="1378"/>
      <c r="P42" s="1378"/>
      <c r="Q42" s="1378"/>
      <c r="R42" s="1375"/>
      <c r="S42" s="1375"/>
      <c r="T42" s="1375"/>
      <c r="W42" s="1375"/>
      <c r="X42" s="1375"/>
      <c r="Y42" s="1375"/>
      <c r="Z42" s="1380"/>
      <c r="AA42" s="1378"/>
      <c r="AB42" s="1375"/>
      <c r="AC42" s="1376"/>
      <c r="AD42" s="1377"/>
      <c r="AE42" s="1375"/>
      <c r="AF42" s="1375"/>
      <c r="AG42" s="1378"/>
      <c r="AH42" s="1375"/>
      <c r="AI42" s="1378"/>
      <c r="AJ42" s="1378"/>
      <c r="AK42" s="1378"/>
      <c r="AL42" s="1381"/>
      <c r="AM42" s="1377"/>
      <c r="AN42" s="1375"/>
      <c r="AO42" s="1375"/>
      <c r="AP42" s="1381"/>
      <c r="AQ42" s="1377"/>
      <c r="AR42" s="1375"/>
      <c r="AS42" s="1375"/>
      <c r="AT42" s="1381"/>
      <c r="AU42" s="1377"/>
      <c r="AV42" s="1375"/>
      <c r="AW42" s="1375"/>
      <c r="AX42" s="1381"/>
      <c r="AY42" s="1377"/>
      <c r="AZ42" s="1375"/>
      <c r="BA42" s="1375"/>
      <c r="BB42" s="1382"/>
      <c r="BC42" s="1382"/>
      <c r="BD42" s="1382"/>
      <c r="BE42" s="1382"/>
      <c r="BF42" s="1382"/>
      <c r="BG42" s="1382"/>
      <c r="BH42" s="1382"/>
      <c r="BI42" s="1382"/>
      <c r="BJ42" s="1382"/>
    </row>
    <row r="43" spans="1:62" x14ac:dyDescent="0.2">
      <c r="A43" s="1375"/>
      <c r="B43" s="1375"/>
      <c r="C43" s="1375"/>
      <c r="D43" s="1376"/>
      <c r="E43" s="1377"/>
      <c r="F43" s="1375"/>
      <c r="G43" s="1378"/>
      <c r="H43" s="1378"/>
      <c r="I43" s="1378"/>
      <c r="J43" s="1378"/>
      <c r="K43" s="1375"/>
      <c r="L43" s="1375"/>
      <c r="M43" s="1375"/>
      <c r="N43" s="1378"/>
      <c r="O43" s="1378"/>
      <c r="P43" s="1378"/>
      <c r="Q43" s="1378"/>
      <c r="R43" s="1375"/>
      <c r="S43" s="1375"/>
      <c r="T43" s="1375"/>
      <c r="W43" s="1375"/>
      <c r="X43" s="1375"/>
      <c r="Y43" s="1375"/>
      <c r="Z43" s="1380"/>
      <c r="AA43" s="1378"/>
      <c r="AB43" s="1375"/>
      <c r="AC43" s="1376"/>
      <c r="AD43" s="1377"/>
      <c r="AE43" s="1375"/>
      <c r="AF43" s="1375"/>
      <c r="AG43" s="1378"/>
      <c r="AH43" s="1375"/>
      <c r="AI43" s="1378"/>
      <c r="AJ43" s="1378"/>
      <c r="AK43" s="1378"/>
      <c r="AL43" s="1381"/>
      <c r="AM43" s="1377"/>
      <c r="AN43" s="1375"/>
      <c r="AO43" s="1375"/>
      <c r="AP43" s="1381"/>
      <c r="AQ43" s="1377"/>
      <c r="AR43" s="1375"/>
      <c r="AS43" s="1375"/>
      <c r="AT43" s="1381"/>
      <c r="AU43" s="1377"/>
      <c r="AV43" s="1375"/>
      <c r="AW43" s="1375"/>
      <c r="AX43" s="1381"/>
      <c r="AY43" s="1377"/>
      <c r="AZ43" s="1375"/>
      <c r="BA43" s="1375"/>
      <c r="BB43" s="1382"/>
      <c r="BC43" s="1382"/>
      <c r="BD43" s="1382"/>
      <c r="BE43" s="1382"/>
      <c r="BF43" s="1382"/>
      <c r="BG43" s="1382"/>
      <c r="BH43" s="1382"/>
      <c r="BI43" s="1382"/>
      <c r="BJ43" s="1382"/>
    </row>
    <row r="44" spans="1:62" x14ac:dyDescent="0.2">
      <c r="A44" s="1375"/>
      <c r="B44" s="1375"/>
      <c r="C44" s="1375"/>
      <c r="D44" s="1376"/>
      <c r="E44" s="1377"/>
      <c r="F44" s="1375"/>
      <c r="G44" s="1378"/>
      <c r="H44" s="1378"/>
      <c r="I44" s="1378"/>
      <c r="J44" s="1378"/>
      <c r="K44" s="1375"/>
      <c r="L44" s="1375"/>
      <c r="M44" s="1375"/>
      <c r="N44" s="1378"/>
      <c r="O44" s="1378"/>
      <c r="P44" s="1378"/>
      <c r="Q44" s="1378"/>
      <c r="R44" s="1375"/>
      <c r="S44" s="1375"/>
      <c r="T44" s="1375"/>
      <c r="W44" s="1375"/>
      <c r="X44" s="1375"/>
      <c r="Y44" s="1375"/>
      <c r="Z44" s="1380"/>
      <c r="AA44" s="1378"/>
      <c r="AB44" s="1375"/>
      <c r="AC44" s="1376"/>
      <c r="AD44" s="1377"/>
      <c r="AE44" s="1375"/>
      <c r="AF44" s="1375"/>
      <c r="AG44" s="1378"/>
      <c r="AH44" s="1375"/>
      <c r="AI44" s="1378"/>
      <c r="AJ44" s="1378"/>
      <c r="AK44" s="1378"/>
      <c r="AL44" s="1381"/>
      <c r="AM44" s="1377"/>
      <c r="AN44" s="1375"/>
      <c r="AO44" s="1375"/>
      <c r="AP44" s="1381"/>
      <c r="AQ44" s="1377"/>
      <c r="AR44" s="1375"/>
      <c r="AS44" s="1375"/>
      <c r="AT44" s="1381"/>
      <c r="AU44" s="1377"/>
      <c r="AV44" s="1375"/>
      <c r="AW44" s="1375"/>
      <c r="AX44" s="1381"/>
      <c r="AY44" s="1377"/>
      <c r="AZ44" s="1375"/>
      <c r="BA44" s="1375"/>
      <c r="BB44" s="1382"/>
      <c r="BC44" s="1382"/>
      <c r="BD44" s="1382"/>
      <c r="BE44" s="1382"/>
      <c r="BF44" s="1382"/>
      <c r="BG44" s="1382"/>
      <c r="BH44" s="1382"/>
      <c r="BI44" s="1382"/>
      <c r="BJ44" s="1382"/>
    </row>
    <row r="45" spans="1:62" x14ac:dyDescent="0.2">
      <c r="A45" s="1375"/>
      <c r="B45" s="1375"/>
      <c r="C45" s="1375"/>
      <c r="D45" s="1376"/>
      <c r="E45" s="1377"/>
      <c r="F45" s="1375"/>
      <c r="G45" s="1378"/>
      <c r="H45" s="1378"/>
      <c r="I45" s="1378"/>
      <c r="J45" s="1378"/>
      <c r="K45" s="1375"/>
      <c r="L45" s="1375"/>
      <c r="M45" s="1375"/>
      <c r="N45" s="1378"/>
      <c r="O45" s="1378"/>
      <c r="P45" s="1378"/>
      <c r="Q45" s="1378"/>
      <c r="R45" s="1375"/>
      <c r="S45" s="1375"/>
      <c r="T45" s="1375"/>
      <c r="W45" s="1375"/>
      <c r="X45" s="1375"/>
      <c r="Y45" s="1375"/>
      <c r="Z45" s="1380"/>
      <c r="AA45" s="1378"/>
      <c r="AB45" s="1375"/>
      <c r="AC45" s="1376"/>
      <c r="AD45" s="1377"/>
      <c r="AE45" s="1375"/>
      <c r="AF45" s="1375"/>
      <c r="AG45" s="1378"/>
      <c r="AH45" s="1375"/>
      <c r="AI45" s="1378"/>
      <c r="AJ45" s="1378"/>
      <c r="AK45" s="1378"/>
      <c r="AL45" s="1381"/>
      <c r="AM45" s="1377"/>
      <c r="AN45" s="1375"/>
      <c r="AO45" s="1375"/>
      <c r="AP45" s="1381"/>
      <c r="AQ45" s="1377"/>
      <c r="AR45" s="1375"/>
      <c r="AS45" s="1375"/>
      <c r="AT45" s="1381"/>
      <c r="AU45" s="1377"/>
      <c r="AV45" s="1375"/>
      <c r="AW45" s="1375"/>
      <c r="AX45" s="1381"/>
      <c r="AY45" s="1377"/>
      <c r="AZ45" s="1375"/>
      <c r="BA45" s="1375"/>
      <c r="BB45" s="1382"/>
      <c r="BC45" s="1382"/>
      <c r="BD45" s="1382"/>
      <c r="BE45" s="1382"/>
      <c r="BF45" s="1382"/>
      <c r="BG45" s="1382"/>
      <c r="BH45" s="1382"/>
      <c r="BI45" s="1382"/>
      <c r="BJ45" s="1382"/>
    </row>
    <row r="46" spans="1:62" x14ac:dyDescent="0.2">
      <c r="A46" s="1375"/>
      <c r="B46" s="1375"/>
      <c r="C46" s="1375"/>
      <c r="D46" s="1376"/>
      <c r="E46" s="1377"/>
      <c r="F46" s="1375"/>
      <c r="G46" s="1378"/>
      <c r="H46" s="1378"/>
      <c r="I46" s="1378"/>
      <c r="J46" s="1378"/>
      <c r="K46" s="1375"/>
      <c r="L46" s="1375"/>
      <c r="M46" s="1375"/>
      <c r="N46" s="1378"/>
      <c r="O46" s="1378"/>
      <c r="P46" s="1378"/>
      <c r="Q46" s="1378"/>
      <c r="R46" s="1375"/>
      <c r="S46" s="1375"/>
      <c r="T46" s="1375"/>
      <c r="W46" s="1375"/>
      <c r="X46" s="1375"/>
      <c r="Y46" s="1375"/>
      <c r="Z46" s="1380"/>
      <c r="AA46" s="1378"/>
      <c r="AB46" s="1375"/>
      <c r="AC46" s="1376"/>
      <c r="AD46" s="1377"/>
      <c r="AE46" s="1375"/>
      <c r="AF46" s="1375"/>
      <c r="AG46" s="1378"/>
      <c r="AH46" s="1375"/>
      <c r="AI46" s="1378"/>
      <c r="AJ46" s="1378"/>
      <c r="AK46" s="1378"/>
      <c r="AL46" s="1381"/>
      <c r="AM46" s="1377"/>
      <c r="AN46" s="1375"/>
      <c r="AO46" s="1375"/>
      <c r="AP46" s="1381"/>
      <c r="AQ46" s="1377"/>
      <c r="AR46" s="1375"/>
      <c r="AS46" s="1375"/>
      <c r="AT46" s="1381"/>
      <c r="AU46" s="1377"/>
      <c r="AV46" s="1375"/>
      <c r="AW46" s="1375"/>
      <c r="AX46" s="1381"/>
      <c r="AY46" s="1377"/>
      <c r="AZ46" s="1375"/>
      <c r="BA46" s="1375"/>
      <c r="BB46" s="1382"/>
      <c r="BC46" s="1382"/>
      <c r="BD46" s="1382"/>
      <c r="BE46" s="1382"/>
      <c r="BF46" s="1382"/>
      <c r="BG46" s="1382"/>
      <c r="BH46" s="1382"/>
      <c r="BI46" s="1382"/>
      <c r="BJ46" s="1382"/>
    </row>
    <row r="47" spans="1:62" x14ac:dyDescent="0.2">
      <c r="A47" s="1375"/>
      <c r="B47" s="1375"/>
      <c r="C47" s="1375"/>
      <c r="D47" s="1376"/>
      <c r="E47" s="1377"/>
      <c r="F47" s="1375"/>
      <c r="G47" s="1378"/>
      <c r="H47" s="1378"/>
      <c r="I47" s="1378"/>
      <c r="J47" s="1378"/>
      <c r="K47" s="1375"/>
      <c r="L47" s="1375"/>
      <c r="M47" s="1375"/>
      <c r="N47" s="1378"/>
      <c r="O47" s="1378"/>
      <c r="P47" s="1378"/>
      <c r="Q47" s="1378"/>
      <c r="R47" s="1375"/>
      <c r="S47" s="1375"/>
      <c r="T47" s="1375"/>
      <c r="W47" s="1375"/>
      <c r="X47" s="1375"/>
      <c r="Y47" s="1375"/>
      <c r="Z47" s="1380"/>
      <c r="AA47" s="1378"/>
      <c r="AB47" s="1375"/>
      <c r="AC47" s="1376"/>
      <c r="AD47" s="1377"/>
      <c r="AE47" s="1375"/>
      <c r="AF47" s="1375"/>
      <c r="AG47" s="1378"/>
      <c r="AH47" s="1375"/>
      <c r="AI47" s="1378"/>
      <c r="AJ47" s="1378"/>
      <c r="AK47" s="1378"/>
      <c r="AL47" s="1381"/>
      <c r="AM47" s="1377"/>
      <c r="AN47" s="1375"/>
      <c r="AO47" s="1375"/>
      <c r="AP47" s="1381"/>
      <c r="AQ47" s="1377"/>
      <c r="AR47" s="1375"/>
      <c r="AS47" s="1375"/>
      <c r="AT47" s="1381"/>
      <c r="AU47" s="1377"/>
      <c r="AV47" s="1375"/>
      <c r="AW47" s="1375"/>
      <c r="AX47" s="1381"/>
      <c r="AY47" s="1377"/>
      <c r="AZ47" s="1375"/>
      <c r="BA47" s="1375"/>
      <c r="BB47" s="1382"/>
      <c r="BC47" s="1382"/>
      <c r="BD47" s="1382"/>
      <c r="BE47" s="1382"/>
      <c r="BF47" s="1382"/>
      <c r="BG47" s="1382"/>
      <c r="BH47" s="1382"/>
      <c r="BI47" s="1382"/>
      <c r="BJ47" s="1382"/>
    </row>
    <row r="48" spans="1:62" x14ac:dyDescent="0.2">
      <c r="A48" s="1375"/>
      <c r="B48" s="1375"/>
      <c r="C48" s="1375"/>
      <c r="D48" s="1376"/>
      <c r="E48" s="1377"/>
      <c r="F48" s="1375"/>
      <c r="G48" s="1378"/>
      <c r="H48" s="1378"/>
      <c r="I48" s="1378"/>
      <c r="J48" s="1378"/>
      <c r="K48" s="1375"/>
      <c r="L48" s="1375"/>
      <c r="M48" s="1375"/>
      <c r="N48" s="1378"/>
      <c r="O48" s="1378"/>
      <c r="P48" s="1378"/>
      <c r="Q48" s="1378"/>
      <c r="R48" s="1375"/>
      <c r="S48" s="1375"/>
      <c r="T48" s="1375"/>
      <c r="W48" s="1375"/>
      <c r="X48" s="1375"/>
      <c r="Y48" s="1375"/>
      <c r="Z48" s="1380"/>
      <c r="AA48" s="1378"/>
      <c r="AB48" s="1375"/>
      <c r="AC48" s="1376"/>
      <c r="AD48" s="1377"/>
      <c r="AE48" s="1375"/>
      <c r="AF48" s="1375"/>
      <c r="AG48" s="1378"/>
      <c r="AH48" s="1375"/>
      <c r="AI48" s="1378"/>
      <c r="AJ48" s="1378"/>
      <c r="AK48" s="1378"/>
      <c r="AL48" s="1381"/>
      <c r="AM48" s="1377"/>
      <c r="AN48" s="1375"/>
      <c r="AO48" s="1375"/>
      <c r="AP48" s="1381"/>
      <c r="AQ48" s="1377"/>
      <c r="AR48" s="1375"/>
      <c r="AS48" s="1375"/>
      <c r="AT48" s="1381"/>
      <c r="AU48" s="1377"/>
      <c r="AV48" s="1375"/>
      <c r="AW48" s="1375"/>
      <c r="AX48" s="1381"/>
      <c r="AY48" s="1377"/>
      <c r="AZ48" s="1375"/>
      <c r="BA48" s="1375"/>
      <c r="BB48" s="1382"/>
      <c r="BC48" s="1382"/>
      <c r="BD48" s="1382"/>
      <c r="BE48" s="1382"/>
      <c r="BF48" s="1382"/>
      <c r="BG48" s="1382"/>
      <c r="BH48" s="1382"/>
      <c r="BI48" s="1382"/>
      <c r="BJ48" s="1382"/>
    </row>
    <row r="49" spans="1:62" x14ac:dyDescent="0.2">
      <c r="A49" s="1375"/>
      <c r="B49" s="1375"/>
      <c r="C49" s="1375"/>
      <c r="D49" s="1376"/>
      <c r="E49" s="1377"/>
      <c r="F49" s="1375"/>
      <c r="G49" s="1378"/>
      <c r="H49" s="1378"/>
      <c r="I49" s="1378"/>
      <c r="J49" s="1378"/>
      <c r="K49" s="1375"/>
      <c r="L49" s="1375"/>
      <c r="M49" s="1375"/>
      <c r="N49" s="1378"/>
      <c r="O49" s="1378"/>
      <c r="P49" s="1378"/>
      <c r="Q49" s="1378"/>
      <c r="R49" s="1375"/>
      <c r="S49" s="1375"/>
      <c r="T49" s="1375"/>
      <c r="W49" s="1375"/>
      <c r="X49" s="1375"/>
      <c r="Y49" s="1375"/>
      <c r="Z49" s="1380"/>
      <c r="AA49" s="1378"/>
      <c r="AB49" s="1375"/>
      <c r="AC49" s="1376"/>
      <c r="AD49" s="1377"/>
      <c r="AE49" s="1375"/>
      <c r="AF49" s="1375"/>
      <c r="AG49" s="1378"/>
      <c r="AH49" s="1375"/>
      <c r="AI49" s="1378"/>
      <c r="AJ49" s="1378"/>
      <c r="AK49" s="1378"/>
      <c r="AL49" s="1381"/>
      <c r="AM49" s="1377"/>
      <c r="AN49" s="1375"/>
      <c r="AO49" s="1375"/>
      <c r="AP49" s="1381"/>
      <c r="AQ49" s="1377"/>
      <c r="AR49" s="1375"/>
      <c r="AS49" s="1375"/>
      <c r="AT49" s="1381"/>
      <c r="AU49" s="1377"/>
      <c r="AV49" s="1375"/>
      <c r="AW49" s="1375"/>
      <c r="AX49" s="1381"/>
      <c r="AY49" s="1377"/>
      <c r="AZ49" s="1375"/>
      <c r="BA49" s="1375"/>
      <c r="BB49" s="1382"/>
      <c r="BC49" s="1382"/>
      <c r="BD49" s="1382"/>
      <c r="BE49" s="1382"/>
      <c r="BF49" s="1382"/>
      <c r="BG49" s="1382"/>
      <c r="BH49" s="1382"/>
      <c r="BI49" s="1382"/>
      <c r="BJ49" s="1382"/>
    </row>
    <row r="50" spans="1:62" x14ac:dyDescent="0.2">
      <c r="A50" s="1375"/>
      <c r="B50" s="1375"/>
      <c r="C50" s="1375"/>
      <c r="D50" s="1376"/>
      <c r="E50" s="1377"/>
      <c r="F50" s="1375"/>
      <c r="G50" s="1378"/>
      <c r="H50" s="1378"/>
      <c r="I50" s="1378"/>
      <c r="J50" s="1378"/>
      <c r="K50" s="1375"/>
      <c r="L50" s="1375"/>
      <c r="M50" s="1375"/>
      <c r="N50" s="1378"/>
      <c r="O50" s="1378"/>
      <c r="P50" s="1378"/>
      <c r="Q50" s="1378"/>
      <c r="R50" s="1375"/>
      <c r="S50" s="1375"/>
      <c r="T50" s="1375"/>
      <c r="W50" s="1375"/>
      <c r="X50" s="1375"/>
      <c r="Y50" s="1375"/>
      <c r="Z50" s="1380"/>
      <c r="AA50" s="1378"/>
      <c r="AB50" s="1375"/>
      <c r="AC50" s="1376"/>
      <c r="AD50" s="1377"/>
      <c r="AE50" s="1375"/>
      <c r="AF50" s="1375"/>
      <c r="AG50" s="1378"/>
      <c r="AH50" s="1375"/>
      <c r="AI50" s="1378"/>
      <c r="AJ50" s="1378"/>
      <c r="AK50" s="1378"/>
      <c r="AL50" s="1381"/>
      <c r="AM50" s="1377"/>
      <c r="AN50" s="1375"/>
      <c r="AO50" s="1375"/>
      <c r="AP50" s="1381"/>
      <c r="AQ50" s="1377"/>
      <c r="AR50" s="1375"/>
      <c r="AS50" s="1375"/>
      <c r="AT50" s="1381"/>
      <c r="AU50" s="1377"/>
      <c r="AV50" s="1375"/>
      <c r="AW50" s="1375"/>
      <c r="AX50" s="1381"/>
      <c r="AY50" s="1377"/>
      <c r="AZ50" s="1375"/>
      <c r="BA50" s="1375"/>
      <c r="BB50" s="1382"/>
      <c r="BC50" s="1382"/>
      <c r="BD50" s="1382"/>
      <c r="BE50" s="1382"/>
      <c r="BF50" s="1382"/>
      <c r="BG50" s="1382"/>
      <c r="BH50" s="1382"/>
      <c r="BI50" s="1382"/>
      <c r="BJ50" s="1382"/>
    </row>
    <row r="51" spans="1:62" x14ac:dyDescent="0.2">
      <c r="A51" s="1375"/>
      <c r="B51" s="1375"/>
      <c r="C51" s="1375"/>
      <c r="D51" s="1376"/>
      <c r="E51" s="1377"/>
      <c r="F51" s="1375"/>
      <c r="G51" s="1378"/>
      <c r="H51" s="1378"/>
      <c r="I51" s="1378"/>
      <c r="J51" s="1378"/>
      <c r="K51" s="1375"/>
      <c r="L51" s="1375"/>
      <c r="M51" s="1375"/>
      <c r="N51" s="1378"/>
      <c r="O51" s="1378"/>
      <c r="P51" s="1378"/>
      <c r="Q51" s="1378"/>
      <c r="R51" s="1375"/>
      <c r="S51" s="1375"/>
      <c r="T51" s="1375"/>
      <c r="W51" s="1375"/>
      <c r="X51" s="1375"/>
      <c r="Y51" s="1375"/>
      <c r="Z51" s="1380"/>
      <c r="AA51" s="1378"/>
      <c r="AB51" s="1375"/>
      <c r="AC51" s="1376"/>
      <c r="AD51" s="1377"/>
      <c r="AE51" s="1375"/>
      <c r="AF51" s="1375"/>
      <c r="AG51" s="1378"/>
      <c r="AH51" s="1375"/>
      <c r="AI51" s="1378"/>
      <c r="AJ51" s="1378"/>
      <c r="AK51" s="1378"/>
      <c r="AL51" s="1381"/>
      <c r="AM51" s="1377"/>
      <c r="AN51" s="1375"/>
      <c r="AO51" s="1375"/>
      <c r="AP51" s="1381"/>
      <c r="AQ51" s="1377"/>
      <c r="AR51" s="1375"/>
      <c r="AS51" s="1375"/>
      <c r="AT51" s="1381"/>
      <c r="AU51" s="1377"/>
      <c r="AV51" s="1375"/>
      <c r="AW51" s="1375"/>
      <c r="AX51" s="1381"/>
      <c r="AY51" s="1377"/>
      <c r="AZ51" s="1375"/>
      <c r="BA51" s="1375"/>
      <c r="BB51" s="1382"/>
      <c r="BC51" s="1382"/>
      <c r="BD51" s="1382"/>
      <c r="BE51" s="1382"/>
      <c r="BF51" s="1382"/>
      <c r="BG51" s="1382"/>
      <c r="BH51" s="1382"/>
      <c r="BI51" s="1382"/>
      <c r="BJ51" s="1382"/>
    </row>
    <row r="52" spans="1:62" x14ac:dyDescent="0.2">
      <c r="A52" s="1375"/>
      <c r="B52" s="1375"/>
      <c r="C52" s="1375"/>
      <c r="D52" s="1376"/>
      <c r="E52" s="1377"/>
      <c r="F52" s="1375"/>
      <c r="G52" s="1378"/>
      <c r="H52" s="1378"/>
      <c r="I52" s="1378"/>
      <c r="J52" s="1378"/>
      <c r="K52" s="1375"/>
      <c r="L52" s="1375"/>
      <c r="M52" s="1375"/>
      <c r="N52" s="1378"/>
      <c r="O52" s="1378"/>
      <c r="P52" s="1378"/>
      <c r="Q52" s="1378"/>
      <c r="R52" s="1375"/>
      <c r="S52" s="1375"/>
      <c r="T52" s="1375"/>
      <c r="W52" s="1375"/>
      <c r="X52" s="1375"/>
      <c r="Y52" s="1375"/>
      <c r="Z52" s="1380"/>
      <c r="AA52" s="1378"/>
      <c r="AB52" s="1375"/>
      <c r="AC52" s="1376"/>
      <c r="AD52" s="1377"/>
      <c r="AE52" s="1375"/>
      <c r="AF52" s="1375"/>
      <c r="AG52" s="1378"/>
      <c r="AH52" s="1375"/>
      <c r="AI52" s="1378"/>
      <c r="AJ52" s="1378"/>
      <c r="AK52" s="1378"/>
      <c r="AL52" s="1381"/>
      <c r="AM52" s="1377"/>
      <c r="AN52" s="1375"/>
      <c r="AO52" s="1375"/>
      <c r="AP52" s="1381"/>
      <c r="AQ52" s="1377"/>
      <c r="AR52" s="1375"/>
      <c r="AS52" s="1375"/>
      <c r="AT52" s="1381"/>
      <c r="AU52" s="1377"/>
      <c r="AV52" s="1375"/>
      <c r="AW52" s="1375"/>
      <c r="AX52" s="1381"/>
      <c r="AY52" s="1377"/>
      <c r="AZ52" s="1375"/>
      <c r="BA52" s="1375"/>
      <c r="BB52" s="1382"/>
      <c r="BC52" s="1382"/>
      <c r="BD52" s="1382"/>
      <c r="BE52" s="1382"/>
      <c r="BF52" s="1382"/>
      <c r="BG52" s="1382"/>
      <c r="BH52" s="1382"/>
      <c r="BI52" s="1382"/>
      <c r="BJ52" s="1382"/>
    </row>
    <row r="53" spans="1:62" x14ac:dyDescent="0.2">
      <c r="A53" s="1375"/>
      <c r="B53" s="1375"/>
      <c r="C53" s="1375"/>
      <c r="D53" s="1376"/>
      <c r="E53" s="1377"/>
      <c r="F53" s="1375"/>
      <c r="G53" s="1378"/>
      <c r="H53" s="1378"/>
      <c r="I53" s="1378"/>
      <c r="J53" s="1378"/>
      <c r="K53" s="1375"/>
      <c r="L53" s="1375"/>
      <c r="M53" s="1375"/>
      <c r="N53" s="1378"/>
      <c r="O53" s="1378"/>
      <c r="P53" s="1378"/>
      <c r="Q53" s="1378"/>
      <c r="R53" s="1375"/>
      <c r="S53" s="1375"/>
      <c r="T53" s="1375"/>
      <c r="W53" s="1375"/>
      <c r="X53" s="1375"/>
      <c r="Y53" s="1375"/>
      <c r="Z53" s="1380"/>
      <c r="AA53" s="1378"/>
      <c r="AB53" s="1375"/>
      <c r="AC53" s="1376"/>
      <c r="AD53" s="1377"/>
      <c r="AE53" s="1375"/>
      <c r="AF53" s="1375"/>
      <c r="AG53" s="1378"/>
      <c r="AH53" s="1375"/>
      <c r="AI53" s="1378"/>
      <c r="AJ53" s="1378"/>
      <c r="AK53" s="1378"/>
      <c r="AL53" s="1381"/>
      <c r="AM53" s="1377"/>
      <c r="AN53" s="1375"/>
      <c r="AO53" s="1375"/>
      <c r="AP53" s="1381"/>
      <c r="AQ53" s="1377"/>
      <c r="AR53" s="1375"/>
      <c r="AS53" s="1375"/>
      <c r="AT53" s="1381"/>
      <c r="AU53" s="1377"/>
      <c r="AV53" s="1375"/>
      <c r="AW53" s="1375"/>
      <c r="AX53" s="1381"/>
      <c r="AY53" s="1377"/>
      <c r="AZ53" s="1375"/>
      <c r="BA53" s="1375"/>
      <c r="BB53" s="1382"/>
      <c r="BC53" s="1382"/>
      <c r="BD53" s="1382"/>
      <c r="BE53" s="1382"/>
      <c r="BF53" s="1382"/>
      <c r="BG53" s="1382"/>
      <c r="BH53" s="1382"/>
      <c r="BI53" s="1382"/>
      <c r="BJ53" s="1382"/>
    </row>
    <row r="54" spans="1:62" x14ac:dyDescent="0.2">
      <c r="A54" s="1375"/>
      <c r="B54" s="1375"/>
      <c r="C54" s="1375"/>
      <c r="D54" s="1376"/>
      <c r="E54" s="1377"/>
      <c r="F54" s="1375"/>
      <c r="G54" s="1378"/>
      <c r="H54" s="1378"/>
      <c r="I54" s="1378"/>
      <c r="J54" s="1378"/>
      <c r="K54" s="1375"/>
      <c r="L54" s="1375"/>
      <c r="M54" s="1375"/>
      <c r="N54" s="1378"/>
      <c r="O54" s="1378"/>
      <c r="P54" s="1378"/>
      <c r="Q54" s="1378"/>
      <c r="R54" s="1375"/>
      <c r="S54" s="1375"/>
      <c r="T54" s="1375"/>
      <c r="W54" s="1375"/>
      <c r="X54" s="1375"/>
      <c r="Y54" s="1375"/>
      <c r="Z54" s="1380"/>
      <c r="AA54" s="1378"/>
      <c r="AB54" s="1375"/>
      <c r="AC54" s="1376"/>
      <c r="AD54" s="1377"/>
      <c r="AE54" s="1375"/>
      <c r="AF54" s="1375"/>
      <c r="AG54" s="1378"/>
      <c r="AH54" s="1375"/>
      <c r="AI54" s="1378"/>
      <c r="AJ54" s="1378"/>
      <c r="AK54" s="1378"/>
      <c r="AL54" s="1381"/>
      <c r="AM54" s="1377"/>
      <c r="AN54" s="1375"/>
      <c r="AO54" s="1375"/>
      <c r="AP54" s="1381"/>
      <c r="AQ54" s="1377"/>
      <c r="AR54" s="1375"/>
      <c r="AS54" s="1375"/>
      <c r="AT54" s="1381"/>
      <c r="AU54" s="1377"/>
      <c r="AV54" s="1375"/>
      <c r="AW54" s="1375"/>
      <c r="AX54" s="1381"/>
      <c r="AY54" s="1377"/>
      <c r="AZ54" s="1375"/>
      <c r="BA54" s="1375"/>
      <c r="BB54" s="1382"/>
      <c r="BC54" s="1382"/>
      <c r="BD54" s="1382"/>
      <c r="BE54" s="1382"/>
      <c r="BF54" s="1382"/>
      <c r="BG54" s="1382"/>
      <c r="BH54" s="1382"/>
      <c r="BI54" s="1382"/>
      <c r="BJ54" s="1382"/>
    </row>
    <row r="55" spans="1:62" x14ac:dyDescent="0.2">
      <c r="A55" s="1375"/>
      <c r="B55" s="1375"/>
      <c r="C55" s="1375"/>
      <c r="D55" s="1376"/>
      <c r="E55" s="1377"/>
      <c r="F55" s="1375"/>
      <c r="G55" s="1378"/>
      <c r="H55" s="1378"/>
      <c r="I55" s="1378"/>
      <c r="J55" s="1378"/>
      <c r="K55" s="1375"/>
      <c r="L55" s="1375"/>
      <c r="M55" s="1375"/>
      <c r="N55" s="1378"/>
      <c r="O55" s="1378"/>
      <c r="P55" s="1378"/>
      <c r="Q55" s="1378"/>
      <c r="R55" s="1375"/>
      <c r="S55" s="1375"/>
      <c r="T55" s="1375"/>
      <c r="W55" s="1375"/>
      <c r="X55" s="1375"/>
      <c r="Y55" s="1375"/>
      <c r="Z55" s="1380"/>
      <c r="AA55" s="1378"/>
      <c r="AB55" s="1375"/>
      <c r="AC55" s="1376"/>
      <c r="AD55" s="1377"/>
      <c r="AE55" s="1375"/>
      <c r="AF55" s="1375"/>
      <c r="AG55" s="1378"/>
      <c r="AH55" s="1375"/>
      <c r="AI55" s="1378"/>
      <c r="AJ55" s="1378"/>
      <c r="AK55" s="1378"/>
      <c r="AL55" s="1381"/>
      <c r="AM55" s="1377"/>
      <c r="AN55" s="1375"/>
      <c r="AO55" s="1375"/>
      <c r="AP55" s="1381"/>
      <c r="AQ55" s="1377"/>
      <c r="AR55" s="1375"/>
      <c r="AS55" s="1375"/>
      <c r="AT55" s="1381"/>
      <c r="AU55" s="1377"/>
      <c r="AV55" s="1375"/>
      <c r="AW55" s="1375"/>
      <c r="AX55" s="1381"/>
      <c r="AY55" s="1377"/>
      <c r="AZ55" s="1375"/>
      <c r="BA55" s="1375"/>
      <c r="BB55" s="1382"/>
      <c r="BC55" s="1382"/>
      <c r="BD55" s="1382"/>
      <c r="BE55" s="1382"/>
      <c r="BF55" s="1382"/>
      <c r="BG55" s="1382"/>
      <c r="BH55" s="1382"/>
      <c r="BI55" s="1382"/>
      <c r="BJ55" s="1382"/>
    </row>
    <row r="56" spans="1:62" x14ac:dyDescent="0.2">
      <c r="A56" s="1375"/>
      <c r="B56" s="1375"/>
      <c r="C56" s="1375"/>
      <c r="D56" s="1376"/>
      <c r="E56" s="1377"/>
      <c r="F56" s="1375"/>
      <c r="G56" s="1378"/>
      <c r="H56" s="1378"/>
      <c r="I56" s="1378"/>
      <c r="J56" s="1378"/>
      <c r="K56" s="1375"/>
      <c r="L56" s="1375"/>
      <c r="M56" s="1375"/>
      <c r="N56" s="1378"/>
      <c r="O56" s="1378"/>
      <c r="P56" s="1378"/>
      <c r="Q56" s="1378"/>
      <c r="R56" s="1375"/>
      <c r="S56" s="1375"/>
      <c r="T56" s="1375"/>
      <c r="W56" s="1375"/>
      <c r="X56" s="1375"/>
      <c r="Y56" s="1375"/>
      <c r="Z56" s="1380"/>
      <c r="AA56" s="1378"/>
      <c r="AB56" s="1375"/>
      <c r="AC56" s="1376"/>
      <c r="AD56" s="1377"/>
      <c r="AE56" s="1375"/>
      <c r="AF56" s="1375"/>
      <c r="AG56" s="1378"/>
      <c r="AH56" s="1375"/>
      <c r="AI56" s="1378"/>
      <c r="AJ56" s="1378"/>
      <c r="AK56" s="1378"/>
      <c r="AL56" s="1381"/>
      <c r="AM56" s="1377"/>
      <c r="AN56" s="1375"/>
      <c r="AO56" s="1375"/>
      <c r="AP56" s="1381"/>
      <c r="AQ56" s="1377"/>
      <c r="AR56" s="1375"/>
      <c r="AS56" s="1375"/>
      <c r="AT56" s="1381"/>
      <c r="AU56" s="1377"/>
      <c r="AV56" s="1375"/>
      <c r="AW56" s="1375"/>
      <c r="AX56" s="1381"/>
      <c r="AY56" s="1377"/>
      <c r="AZ56" s="1375"/>
      <c r="BA56" s="1375"/>
      <c r="BB56" s="1382"/>
      <c r="BC56" s="1382"/>
      <c r="BD56" s="1382"/>
      <c r="BE56" s="1382"/>
      <c r="BF56" s="1382"/>
      <c r="BG56" s="1382"/>
      <c r="BH56" s="1382"/>
      <c r="BI56" s="1382"/>
      <c r="BJ56" s="1382"/>
    </row>
    <row r="57" spans="1:62" x14ac:dyDescent="0.2">
      <c r="A57" s="1375"/>
      <c r="B57" s="1375"/>
      <c r="C57" s="1375"/>
      <c r="D57" s="1376"/>
      <c r="E57" s="1377"/>
      <c r="F57" s="1375"/>
      <c r="G57" s="1378"/>
      <c r="H57" s="1378"/>
      <c r="I57" s="1378"/>
      <c r="J57" s="1378"/>
      <c r="K57" s="1375"/>
      <c r="L57" s="1375"/>
      <c r="M57" s="1375"/>
      <c r="N57" s="1378"/>
      <c r="O57" s="1378"/>
      <c r="P57" s="1378"/>
      <c r="Q57" s="1378"/>
      <c r="R57" s="1375"/>
      <c r="S57" s="1375"/>
      <c r="T57" s="1375"/>
      <c r="W57" s="1375"/>
      <c r="X57" s="1375"/>
      <c r="Y57" s="1375"/>
      <c r="Z57" s="1380"/>
      <c r="AA57" s="1378"/>
      <c r="AB57" s="1375"/>
      <c r="AC57" s="1376"/>
      <c r="AD57" s="1377"/>
      <c r="AE57" s="1375"/>
      <c r="AF57" s="1375"/>
      <c r="AG57" s="1378"/>
      <c r="AH57" s="1375"/>
      <c r="AI57" s="1378"/>
      <c r="AJ57" s="1378"/>
      <c r="AK57" s="1378"/>
      <c r="AL57" s="1381"/>
      <c r="AM57" s="1377"/>
      <c r="AN57" s="1375"/>
      <c r="AO57" s="1375"/>
      <c r="AP57" s="1381"/>
      <c r="AQ57" s="1377"/>
      <c r="AR57" s="1375"/>
      <c r="AS57" s="1375"/>
      <c r="AT57" s="1381"/>
      <c r="AU57" s="1377"/>
      <c r="AV57" s="1375"/>
      <c r="AW57" s="1375"/>
      <c r="AX57" s="1381"/>
      <c r="AY57" s="1377"/>
      <c r="AZ57" s="1375"/>
      <c r="BA57" s="1375"/>
      <c r="BB57" s="1382"/>
      <c r="BC57" s="1382"/>
      <c r="BD57" s="1382"/>
      <c r="BE57" s="1382"/>
      <c r="BF57" s="1382"/>
      <c r="BG57" s="1382"/>
      <c r="BH57" s="1382"/>
      <c r="BI57" s="1382"/>
      <c r="BJ57" s="1382"/>
    </row>
    <row r="58" spans="1:62" x14ac:dyDescent="0.2">
      <c r="A58" s="1375"/>
      <c r="B58" s="1375"/>
      <c r="C58" s="1375"/>
      <c r="D58" s="1376"/>
      <c r="E58" s="1377"/>
      <c r="F58" s="1375"/>
      <c r="G58" s="1378"/>
      <c r="H58" s="1378"/>
      <c r="I58" s="1378"/>
      <c r="J58" s="1378"/>
      <c r="K58" s="1375"/>
      <c r="L58" s="1375"/>
      <c r="M58" s="1375"/>
      <c r="N58" s="1378"/>
      <c r="O58" s="1378"/>
      <c r="P58" s="1378"/>
      <c r="Q58" s="1378"/>
      <c r="R58" s="1375"/>
      <c r="S58" s="1375"/>
      <c r="T58" s="1375"/>
      <c r="W58" s="1375"/>
      <c r="X58" s="1375"/>
      <c r="Y58" s="1375"/>
      <c r="Z58" s="1380"/>
      <c r="AA58" s="1378"/>
      <c r="AB58" s="1375"/>
      <c r="AC58" s="1376"/>
      <c r="AD58" s="1377"/>
      <c r="AE58" s="1375"/>
      <c r="AF58" s="1375"/>
      <c r="AG58" s="1378"/>
      <c r="AH58" s="1375"/>
      <c r="AI58" s="1378"/>
      <c r="AJ58" s="1378"/>
      <c r="AK58" s="1378"/>
      <c r="AL58" s="1381"/>
      <c r="AM58" s="1377"/>
      <c r="AN58" s="1375"/>
      <c r="AO58" s="1375"/>
      <c r="AP58" s="1381"/>
      <c r="AQ58" s="1377"/>
      <c r="AR58" s="1375"/>
      <c r="AS58" s="1375"/>
      <c r="AT58" s="1381"/>
      <c r="AU58" s="1377"/>
      <c r="AV58" s="1375"/>
      <c r="AW58" s="1375"/>
      <c r="AX58" s="1381"/>
      <c r="AY58" s="1377"/>
      <c r="AZ58" s="1375"/>
      <c r="BA58" s="1375"/>
      <c r="BB58" s="1382"/>
      <c r="BC58" s="1382"/>
      <c r="BD58" s="1382"/>
      <c r="BE58" s="1382"/>
      <c r="BF58" s="1382"/>
      <c r="BG58" s="1382"/>
      <c r="BH58" s="1382"/>
      <c r="BI58" s="1382"/>
      <c r="BJ58" s="1382"/>
    </row>
    <row r="59" spans="1:62" x14ac:dyDescent="0.2">
      <c r="A59" s="1375"/>
      <c r="B59" s="1375"/>
      <c r="C59" s="1375"/>
      <c r="D59" s="1376"/>
      <c r="E59" s="1377"/>
      <c r="F59" s="1375"/>
      <c r="G59" s="1378"/>
      <c r="H59" s="1378"/>
      <c r="I59" s="1378"/>
      <c r="J59" s="1378"/>
      <c r="K59" s="1375"/>
      <c r="L59" s="1375"/>
      <c r="M59" s="1375"/>
      <c r="N59" s="1378"/>
      <c r="O59" s="1378"/>
      <c r="P59" s="1378"/>
      <c r="Q59" s="1378"/>
      <c r="R59" s="1375"/>
      <c r="S59" s="1375"/>
      <c r="T59" s="1375"/>
      <c r="W59" s="1375"/>
      <c r="X59" s="1375"/>
      <c r="Y59" s="1375"/>
      <c r="Z59" s="1380"/>
      <c r="AA59" s="1378"/>
      <c r="AB59" s="1375"/>
      <c r="AC59" s="1376"/>
      <c r="AD59" s="1377"/>
      <c r="AE59" s="1375"/>
      <c r="AF59" s="1375"/>
      <c r="AG59" s="1378"/>
      <c r="AH59" s="1375"/>
      <c r="AI59" s="1378"/>
      <c r="AJ59" s="1378"/>
      <c r="AK59" s="1378"/>
      <c r="AL59" s="1381"/>
      <c r="AM59" s="1377"/>
      <c r="AN59" s="1375"/>
      <c r="AO59" s="1375"/>
      <c r="AP59" s="1381"/>
      <c r="AQ59" s="1377"/>
      <c r="AR59" s="1375"/>
      <c r="AS59" s="1375"/>
      <c r="AT59" s="1381"/>
      <c r="AU59" s="1377"/>
      <c r="AV59" s="1375"/>
      <c r="AW59" s="1375"/>
      <c r="AX59" s="1381"/>
      <c r="AY59" s="1377"/>
      <c r="AZ59" s="1375"/>
      <c r="BA59" s="1375"/>
      <c r="BB59" s="1382"/>
      <c r="BC59" s="1382"/>
      <c r="BD59" s="1382"/>
      <c r="BE59" s="1382"/>
      <c r="BF59" s="1382"/>
      <c r="BG59" s="1382"/>
      <c r="BH59" s="1382"/>
      <c r="BI59" s="1382"/>
      <c r="BJ59" s="1382"/>
    </row>
    <row r="60" spans="1:62" x14ac:dyDescent="0.2">
      <c r="A60" s="1375"/>
      <c r="B60" s="1375"/>
      <c r="C60" s="1375"/>
      <c r="D60" s="1376"/>
      <c r="E60" s="1377"/>
      <c r="F60" s="1375"/>
      <c r="G60" s="1378"/>
      <c r="H60" s="1378"/>
      <c r="I60" s="1378"/>
      <c r="J60" s="1378"/>
      <c r="K60" s="1375"/>
      <c r="L60" s="1375"/>
      <c r="M60" s="1375"/>
      <c r="N60" s="1378"/>
      <c r="O60" s="1378"/>
      <c r="P60" s="1378"/>
      <c r="Q60" s="1378"/>
      <c r="R60" s="1375"/>
      <c r="S60" s="1375"/>
      <c r="T60" s="1375"/>
      <c r="W60" s="1375"/>
      <c r="X60" s="1375"/>
      <c r="Y60" s="1375"/>
      <c r="Z60" s="1380"/>
      <c r="AA60" s="1378"/>
      <c r="AB60" s="1375"/>
      <c r="AC60" s="1376"/>
      <c r="AD60" s="1377"/>
      <c r="AE60" s="1375"/>
      <c r="AF60" s="1375"/>
      <c r="AG60" s="1378"/>
      <c r="AH60" s="1375"/>
      <c r="AI60" s="1378"/>
      <c r="AJ60" s="1378"/>
      <c r="AK60" s="1378"/>
      <c r="AL60" s="1381"/>
      <c r="AM60" s="1377"/>
      <c r="AN60" s="1375"/>
      <c r="AO60" s="1375"/>
      <c r="AP60" s="1381"/>
      <c r="AQ60" s="1377"/>
      <c r="AR60" s="1375"/>
      <c r="AS60" s="1375"/>
      <c r="AT60" s="1381"/>
      <c r="AU60" s="1377"/>
      <c r="AV60" s="1375"/>
      <c r="AW60" s="1375"/>
      <c r="AX60" s="1381"/>
      <c r="AY60" s="1377"/>
      <c r="AZ60" s="1375"/>
      <c r="BA60" s="1375"/>
      <c r="BB60" s="1382"/>
      <c r="BC60" s="1382"/>
      <c r="BD60" s="1382"/>
      <c r="BE60" s="1382"/>
      <c r="BF60" s="1382"/>
      <c r="BG60" s="1382"/>
      <c r="BH60" s="1382"/>
      <c r="BI60" s="1382"/>
      <c r="BJ60" s="1382"/>
    </row>
    <row r="61" spans="1:62" x14ac:dyDescent="0.2">
      <c r="A61" s="1375"/>
      <c r="B61" s="1375"/>
      <c r="C61" s="1375"/>
      <c r="D61" s="1376"/>
      <c r="E61" s="1377"/>
      <c r="F61" s="1375"/>
      <c r="G61" s="1378"/>
      <c r="H61" s="1378"/>
      <c r="I61" s="1378"/>
      <c r="J61" s="1378"/>
      <c r="K61" s="1375"/>
      <c r="L61" s="1375"/>
      <c r="M61" s="1375"/>
      <c r="N61" s="1378"/>
      <c r="O61" s="1378"/>
      <c r="P61" s="1378"/>
      <c r="Q61" s="1378"/>
      <c r="R61" s="1375"/>
      <c r="S61" s="1375"/>
      <c r="T61" s="1375"/>
      <c r="W61" s="1375"/>
      <c r="X61" s="1375"/>
      <c r="Y61" s="1375"/>
      <c r="Z61" s="1380"/>
      <c r="AA61" s="1378"/>
      <c r="AB61" s="1375"/>
      <c r="AC61" s="1376"/>
      <c r="AD61" s="1377"/>
      <c r="AE61" s="1375"/>
      <c r="AF61" s="1375"/>
      <c r="AG61" s="1378"/>
      <c r="AH61" s="1375"/>
      <c r="AI61" s="1378"/>
      <c r="AJ61" s="1378"/>
      <c r="AK61" s="1378"/>
      <c r="AL61" s="1381"/>
      <c r="AM61" s="1377"/>
      <c r="AN61" s="1375"/>
      <c r="AO61" s="1375"/>
      <c r="AP61" s="1381"/>
      <c r="AQ61" s="1377"/>
      <c r="AR61" s="1375"/>
      <c r="AS61" s="1375"/>
      <c r="AT61" s="1381"/>
      <c r="AU61" s="1377"/>
      <c r="AV61" s="1375"/>
      <c r="AW61" s="1375"/>
      <c r="AX61" s="1381"/>
      <c r="AY61" s="1377"/>
      <c r="AZ61" s="1375"/>
      <c r="BA61" s="1375"/>
      <c r="BB61" s="1382"/>
      <c r="BC61" s="1382"/>
      <c r="BD61" s="1382"/>
      <c r="BE61" s="1382"/>
      <c r="BF61" s="1382"/>
      <c r="BG61" s="1382"/>
      <c r="BH61" s="1382"/>
      <c r="BI61" s="1382"/>
      <c r="BJ61" s="1382"/>
    </row>
    <row r="62" spans="1:62" x14ac:dyDescent="0.2">
      <c r="A62" s="1375"/>
      <c r="B62" s="1375"/>
      <c r="C62" s="1375"/>
      <c r="D62" s="1376"/>
      <c r="E62" s="1377"/>
      <c r="F62" s="1375"/>
      <c r="G62" s="1378"/>
      <c r="H62" s="1378"/>
      <c r="I62" s="1378"/>
      <c r="J62" s="1378"/>
      <c r="K62" s="1375"/>
      <c r="L62" s="1375"/>
      <c r="M62" s="1375"/>
      <c r="N62" s="1378"/>
      <c r="O62" s="1378"/>
      <c r="P62" s="1378"/>
      <c r="Q62" s="1378"/>
      <c r="R62" s="1375"/>
      <c r="S62" s="1375"/>
      <c r="T62" s="1375"/>
      <c r="W62" s="1375"/>
      <c r="X62" s="1375"/>
      <c r="Y62" s="1375"/>
      <c r="Z62" s="1380"/>
      <c r="AA62" s="1378"/>
      <c r="AB62" s="1375"/>
      <c r="AC62" s="1376"/>
      <c r="AD62" s="1377"/>
      <c r="AE62" s="1375"/>
      <c r="AF62" s="1375"/>
      <c r="AG62" s="1378"/>
      <c r="AH62" s="1375"/>
      <c r="AI62" s="1378"/>
      <c r="AJ62" s="1378"/>
      <c r="AK62" s="1378"/>
      <c r="AL62" s="1381"/>
      <c r="AM62" s="1377"/>
      <c r="AN62" s="1375"/>
      <c r="AO62" s="1375"/>
      <c r="AP62" s="1381"/>
      <c r="AQ62" s="1377"/>
      <c r="AR62" s="1375"/>
      <c r="AS62" s="1375"/>
      <c r="AT62" s="1381"/>
      <c r="AU62" s="1377"/>
      <c r="AV62" s="1375"/>
      <c r="AW62" s="1375"/>
      <c r="AX62" s="1381"/>
      <c r="AY62" s="1377"/>
      <c r="AZ62" s="1375"/>
      <c r="BA62" s="1375"/>
      <c r="BB62" s="1382"/>
      <c r="BC62" s="1382"/>
      <c r="BD62" s="1382"/>
      <c r="BE62" s="1382"/>
      <c r="BF62" s="1382"/>
      <c r="BG62" s="1382"/>
      <c r="BH62" s="1382"/>
      <c r="BI62" s="1382"/>
      <c r="BJ62" s="1382"/>
    </row>
    <row r="63" spans="1:62" x14ac:dyDescent="0.2">
      <c r="A63" s="1375"/>
      <c r="B63" s="1375"/>
      <c r="C63" s="1375"/>
      <c r="D63" s="1376"/>
      <c r="E63" s="1377"/>
      <c r="F63" s="1375"/>
      <c r="G63" s="1378"/>
      <c r="H63" s="1378"/>
      <c r="I63" s="1378"/>
      <c r="J63" s="1378"/>
      <c r="K63" s="1375"/>
      <c r="L63" s="1375"/>
      <c r="M63" s="1375"/>
      <c r="N63" s="1378"/>
      <c r="O63" s="1378"/>
      <c r="P63" s="1378"/>
      <c r="Q63" s="1378"/>
      <c r="R63" s="1375"/>
      <c r="S63" s="1375"/>
      <c r="T63" s="1375"/>
      <c r="W63" s="1375"/>
      <c r="X63" s="1375"/>
      <c r="Y63" s="1375"/>
      <c r="Z63" s="1380"/>
      <c r="AA63" s="1378"/>
      <c r="AB63" s="1375"/>
      <c r="AC63" s="1376"/>
      <c r="AD63" s="1377"/>
      <c r="AE63" s="1375"/>
      <c r="AF63" s="1375"/>
      <c r="AG63" s="1378"/>
      <c r="AH63" s="1375"/>
      <c r="AI63" s="1378"/>
      <c r="AJ63" s="1378"/>
      <c r="AK63" s="1378"/>
      <c r="AL63" s="1381"/>
      <c r="AM63" s="1377"/>
      <c r="AN63" s="1375"/>
      <c r="AO63" s="1375"/>
      <c r="AP63" s="1381"/>
      <c r="AQ63" s="1377"/>
      <c r="AR63" s="1375"/>
      <c r="AS63" s="1375"/>
      <c r="AT63" s="1381"/>
      <c r="AU63" s="1377"/>
      <c r="AV63" s="1375"/>
      <c r="AW63" s="1375"/>
      <c r="AX63" s="1381"/>
      <c r="AY63" s="1377"/>
      <c r="AZ63" s="1375"/>
      <c r="BA63" s="1375"/>
      <c r="BB63" s="1382"/>
      <c r="BC63" s="1382"/>
      <c r="BD63" s="1382"/>
      <c r="BE63" s="1382"/>
      <c r="BF63" s="1382"/>
      <c r="BG63" s="1382"/>
      <c r="BH63" s="1382"/>
      <c r="BI63" s="1382"/>
      <c r="BJ63" s="1382"/>
    </row>
    <row r="64" spans="1:62" x14ac:dyDescent="0.2">
      <c r="A64" s="1375"/>
      <c r="B64" s="1375"/>
      <c r="C64" s="1375"/>
      <c r="D64" s="1376"/>
      <c r="E64" s="1377"/>
      <c r="F64" s="1375"/>
      <c r="G64" s="1378"/>
      <c r="H64" s="1378"/>
      <c r="I64" s="1378"/>
      <c r="J64" s="1378"/>
      <c r="K64" s="1375"/>
      <c r="L64" s="1375"/>
      <c r="M64" s="1375"/>
      <c r="N64" s="1378"/>
      <c r="O64" s="1378"/>
      <c r="P64" s="1378"/>
      <c r="Q64" s="1378"/>
      <c r="R64" s="1375"/>
      <c r="S64" s="1375"/>
      <c r="T64" s="1375"/>
      <c r="W64" s="1375"/>
      <c r="X64" s="1375"/>
      <c r="Y64" s="1375"/>
      <c r="Z64" s="1380"/>
      <c r="AA64" s="1378"/>
      <c r="AB64" s="1375"/>
      <c r="AC64" s="1376"/>
      <c r="AD64" s="1377"/>
      <c r="AE64" s="1375"/>
      <c r="AF64" s="1375"/>
      <c r="AG64" s="1378"/>
      <c r="AH64" s="1375"/>
      <c r="AI64" s="1378"/>
      <c r="AJ64" s="1378"/>
      <c r="AK64" s="1378"/>
      <c r="AL64" s="1381"/>
      <c r="AM64" s="1377"/>
      <c r="AN64" s="1375"/>
      <c r="AO64" s="1375"/>
      <c r="AP64" s="1381"/>
      <c r="AQ64" s="1377"/>
      <c r="AR64" s="1375"/>
      <c r="AS64" s="1375"/>
      <c r="AT64" s="1381"/>
      <c r="AU64" s="1377"/>
      <c r="AV64" s="1375"/>
      <c r="AW64" s="1375"/>
      <c r="AX64" s="1381"/>
      <c r="AY64" s="1377"/>
      <c r="AZ64" s="1375"/>
      <c r="BA64" s="1375"/>
      <c r="BB64" s="1382"/>
      <c r="BC64" s="1382"/>
      <c r="BD64" s="1382"/>
      <c r="BE64" s="1382"/>
      <c r="BF64" s="1382"/>
      <c r="BG64" s="1382"/>
      <c r="BH64" s="1382"/>
      <c r="BI64" s="1382"/>
      <c r="BJ64" s="1382"/>
    </row>
    <row r="65" spans="1:62" x14ac:dyDescent="0.2">
      <c r="A65" s="1375"/>
      <c r="B65" s="1375"/>
      <c r="C65" s="1375"/>
      <c r="D65" s="1376"/>
      <c r="E65" s="1377"/>
      <c r="F65" s="1375"/>
      <c r="G65" s="1378"/>
      <c r="H65" s="1378"/>
      <c r="I65" s="1378"/>
      <c r="J65" s="1378"/>
      <c r="K65" s="1375"/>
      <c r="L65" s="1375"/>
      <c r="M65" s="1375"/>
      <c r="N65" s="1378"/>
      <c r="O65" s="1378"/>
      <c r="P65" s="1378"/>
      <c r="Q65" s="1378"/>
      <c r="R65" s="1375"/>
      <c r="S65" s="1375"/>
      <c r="T65" s="1375"/>
      <c r="W65" s="1375"/>
      <c r="X65" s="1375"/>
      <c r="Y65" s="1375"/>
      <c r="Z65" s="1380"/>
      <c r="AA65" s="1378"/>
      <c r="AB65" s="1375"/>
      <c r="AC65" s="1376"/>
      <c r="AD65" s="1377"/>
      <c r="AE65" s="1375"/>
      <c r="AF65" s="1375"/>
      <c r="AG65" s="1378"/>
      <c r="AH65" s="1375"/>
      <c r="AI65" s="1378"/>
      <c r="AJ65" s="1378"/>
      <c r="AK65" s="1378"/>
      <c r="AL65" s="1381"/>
      <c r="AM65" s="1377"/>
      <c r="AN65" s="1375"/>
      <c r="AO65" s="1375"/>
      <c r="AP65" s="1381"/>
      <c r="AQ65" s="1377"/>
      <c r="AR65" s="1375"/>
      <c r="AS65" s="1375"/>
      <c r="AT65" s="1381"/>
      <c r="AU65" s="1377"/>
      <c r="AV65" s="1375"/>
      <c r="AW65" s="1375"/>
      <c r="AX65" s="1381"/>
      <c r="AY65" s="1377"/>
      <c r="AZ65" s="1375"/>
      <c r="BA65" s="1375"/>
      <c r="BB65" s="1382"/>
      <c r="BC65" s="1382"/>
      <c r="BD65" s="1382"/>
      <c r="BE65" s="1382"/>
      <c r="BF65" s="1382"/>
      <c r="BG65" s="1382"/>
      <c r="BH65" s="1382"/>
      <c r="BI65" s="1382"/>
      <c r="BJ65" s="1382"/>
    </row>
    <row r="66" spans="1:62" x14ac:dyDescent="0.2">
      <c r="A66" s="1375"/>
      <c r="B66" s="1375"/>
      <c r="C66" s="1375"/>
      <c r="D66" s="1376"/>
      <c r="E66" s="1377"/>
      <c r="F66" s="1375"/>
      <c r="G66" s="1378"/>
      <c r="H66" s="1378"/>
      <c r="I66" s="1378"/>
      <c r="J66" s="1378"/>
      <c r="K66" s="1375"/>
      <c r="L66" s="1375"/>
      <c r="M66" s="1375"/>
      <c r="N66" s="1378"/>
      <c r="O66" s="1378"/>
      <c r="P66" s="1378"/>
      <c r="Q66" s="1378"/>
      <c r="R66" s="1375"/>
      <c r="S66" s="1375"/>
      <c r="T66" s="1375"/>
      <c r="W66" s="1375"/>
      <c r="X66" s="1375"/>
      <c r="Y66" s="1375"/>
      <c r="Z66" s="1380"/>
      <c r="AA66" s="1378"/>
      <c r="AB66" s="1375"/>
      <c r="AC66" s="1376"/>
      <c r="AD66" s="1377"/>
      <c r="AE66" s="1375"/>
      <c r="AF66" s="1375"/>
      <c r="AG66" s="1378"/>
      <c r="AH66" s="1375"/>
      <c r="AI66" s="1378"/>
      <c r="AJ66" s="1378"/>
      <c r="AK66" s="1378"/>
      <c r="AL66" s="1381"/>
      <c r="AM66" s="1377"/>
      <c r="AN66" s="1375"/>
      <c r="AO66" s="1375"/>
      <c r="AP66" s="1381"/>
      <c r="AQ66" s="1377"/>
      <c r="AR66" s="1375"/>
      <c r="AS66" s="1375"/>
      <c r="AT66" s="1381"/>
      <c r="AU66" s="1377"/>
      <c r="AV66" s="1375"/>
      <c r="AW66" s="1375"/>
      <c r="AX66" s="1381"/>
      <c r="AY66" s="1377"/>
      <c r="AZ66" s="1375"/>
      <c r="BA66" s="1375"/>
      <c r="BB66" s="1382"/>
      <c r="BC66" s="1382"/>
      <c r="BD66" s="1382"/>
      <c r="BE66" s="1382"/>
      <c r="BF66" s="1382"/>
      <c r="BG66" s="1382"/>
      <c r="BH66" s="1382"/>
      <c r="BI66" s="1382"/>
      <c r="BJ66" s="1382"/>
    </row>
    <row r="67" spans="1:62" x14ac:dyDescent="0.2">
      <c r="A67" s="1375"/>
      <c r="B67" s="1375"/>
      <c r="C67" s="1375"/>
      <c r="D67" s="1376"/>
      <c r="E67" s="1377"/>
      <c r="F67" s="1375"/>
      <c r="G67" s="1378"/>
      <c r="H67" s="1378"/>
      <c r="I67" s="1378"/>
      <c r="J67" s="1378"/>
      <c r="K67" s="1375"/>
      <c r="L67" s="1375"/>
      <c r="M67" s="1375"/>
      <c r="N67" s="1378"/>
      <c r="O67" s="1378"/>
      <c r="P67" s="1378"/>
      <c r="Q67" s="1378"/>
      <c r="R67" s="1375"/>
      <c r="S67" s="1375"/>
      <c r="T67" s="1375"/>
      <c r="W67" s="1375"/>
      <c r="X67" s="1375"/>
      <c r="Y67" s="1375"/>
      <c r="Z67" s="1380"/>
      <c r="AA67" s="1378"/>
      <c r="AB67" s="1375"/>
      <c r="AC67" s="1376"/>
      <c r="AD67" s="1377"/>
      <c r="AE67" s="1375"/>
      <c r="AF67" s="1375"/>
      <c r="AG67" s="1378"/>
      <c r="AH67" s="1375"/>
      <c r="AI67" s="1378"/>
      <c r="AJ67" s="1378"/>
      <c r="AK67" s="1378"/>
      <c r="AL67" s="1381"/>
      <c r="AM67" s="1377"/>
      <c r="AN67" s="1375"/>
      <c r="AO67" s="1375"/>
      <c r="AP67" s="1381"/>
      <c r="AQ67" s="1377"/>
      <c r="AR67" s="1375"/>
      <c r="AS67" s="1375"/>
      <c r="AT67" s="1381"/>
      <c r="AU67" s="1377"/>
      <c r="AV67" s="1375"/>
      <c r="AW67" s="1375"/>
      <c r="AX67" s="1381"/>
      <c r="AY67" s="1377"/>
      <c r="AZ67" s="1375"/>
      <c r="BA67" s="1375"/>
      <c r="BB67" s="1382"/>
      <c r="BC67" s="1382"/>
      <c r="BD67" s="1382"/>
      <c r="BE67" s="1382"/>
      <c r="BF67" s="1382"/>
      <c r="BG67" s="1382"/>
      <c r="BH67" s="1382"/>
      <c r="BI67" s="1382"/>
      <c r="BJ67" s="1382"/>
    </row>
    <row r="68" spans="1:62" x14ac:dyDescent="0.2">
      <c r="A68" s="1375"/>
      <c r="B68" s="1375"/>
      <c r="C68" s="1375"/>
      <c r="D68" s="1376"/>
      <c r="E68" s="1377"/>
      <c r="F68" s="1375"/>
      <c r="G68" s="1378"/>
      <c r="H68" s="1378"/>
      <c r="I68" s="1378"/>
      <c r="J68" s="1378"/>
      <c r="K68" s="1375"/>
      <c r="L68" s="1375"/>
      <c r="M68" s="1375"/>
      <c r="N68" s="1378"/>
      <c r="O68" s="1378"/>
      <c r="P68" s="1378"/>
      <c r="Q68" s="1378"/>
      <c r="R68" s="1375"/>
      <c r="S68" s="1375"/>
      <c r="T68" s="1375"/>
      <c r="W68" s="1375"/>
      <c r="X68" s="1375"/>
      <c r="Y68" s="1375"/>
      <c r="Z68" s="1380"/>
      <c r="AA68" s="1378"/>
      <c r="AB68" s="1375"/>
      <c r="AC68" s="1376"/>
      <c r="AD68" s="1377"/>
      <c r="AE68" s="1375"/>
      <c r="AF68" s="1375"/>
      <c r="AG68" s="1378"/>
      <c r="AH68" s="1375"/>
      <c r="AI68" s="1378"/>
      <c r="AJ68" s="1378"/>
      <c r="AK68" s="1378"/>
      <c r="AL68" s="1381"/>
      <c r="AM68" s="1377"/>
      <c r="AN68" s="1375"/>
      <c r="AO68" s="1375"/>
      <c r="AP68" s="1381"/>
      <c r="AQ68" s="1377"/>
      <c r="AR68" s="1375"/>
      <c r="AS68" s="1375"/>
      <c r="AT68" s="1381"/>
      <c r="AU68" s="1377"/>
      <c r="AV68" s="1375"/>
      <c r="AW68" s="1375"/>
      <c r="AX68" s="1381"/>
      <c r="AY68" s="1377"/>
      <c r="AZ68" s="1375"/>
      <c r="BA68" s="1375"/>
      <c r="BB68" s="1382"/>
      <c r="BC68" s="1382"/>
      <c r="BD68" s="1382"/>
      <c r="BE68" s="1382"/>
      <c r="BF68" s="1382"/>
      <c r="BG68" s="1382"/>
      <c r="BH68" s="1382"/>
      <c r="BI68" s="1382"/>
      <c r="BJ68" s="1382"/>
    </row>
    <row r="69" spans="1:62" x14ac:dyDescent="0.2">
      <c r="A69" s="1375"/>
      <c r="B69" s="1375"/>
      <c r="C69" s="1375"/>
      <c r="D69" s="1376"/>
      <c r="E69" s="1377"/>
      <c r="F69" s="1375"/>
      <c r="G69" s="1378"/>
      <c r="H69" s="1378"/>
      <c r="I69" s="1378"/>
      <c r="J69" s="1378"/>
      <c r="K69" s="1375"/>
      <c r="L69" s="1375"/>
      <c r="M69" s="1375"/>
      <c r="N69" s="1378"/>
      <c r="O69" s="1378"/>
      <c r="P69" s="1378"/>
      <c r="Q69" s="1378"/>
      <c r="R69" s="1375"/>
      <c r="S69" s="1375"/>
      <c r="T69" s="1375"/>
      <c r="W69" s="1375"/>
      <c r="X69" s="1375"/>
      <c r="Y69" s="1375"/>
      <c r="Z69" s="1380"/>
      <c r="AA69" s="1378"/>
      <c r="AB69" s="1375"/>
      <c r="AC69" s="1376"/>
      <c r="AD69" s="1377"/>
      <c r="AE69" s="1375"/>
      <c r="AF69" s="1375"/>
      <c r="AG69" s="1378"/>
      <c r="AH69" s="1375"/>
      <c r="AI69" s="1378"/>
      <c r="AJ69" s="1378"/>
      <c r="AK69" s="1378"/>
      <c r="AL69" s="1381"/>
      <c r="AM69" s="1377"/>
      <c r="AN69" s="1375"/>
      <c r="AO69" s="1375"/>
      <c r="AP69" s="1381"/>
      <c r="AQ69" s="1377"/>
      <c r="AR69" s="1375"/>
      <c r="AS69" s="1375"/>
      <c r="AT69" s="1381"/>
      <c r="AU69" s="1377"/>
      <c r="AV69" s="1375"/>
      <c r="AW69" s="1375"/>
      <c r="AX69" s="1381"/>
      <c r="AY69" s="1377"/>
      <c r="AZ69" s="1375"/>
      <c r="BA69" s="1375"/>
      <c r="BB69" s="1382"/>
      <c r="BC69" s="1382"/>
      <c r="BD69" s="1382"/>
      <c r="BE69" s="1382"/>
      <c r="BF69" s="1382"/>
      <c r="BG69" s="1382"/>
      <c r="BH69" s="1382"/>
      <c r="BI69" s="1382"/>
      <c r="BJ69" s="1382"/>
    </row>
    <row r="70" spans="1:62" x14ac:dyDescent="0.2">
      <c r="A70" s="1375"/>
      <c r="B70" s="1375"/>
      <c r="C70" s="1375"/>
      <c r="D70" s="1376"/>
      <c r="E70" s="1377"/>
      <c r="F70" s="1375"/>
      <c r="G70" s="1378"/>
      <c r="H70" s="1378"/>
      <c r="I70" s="1378"/>
      <c r="J70" s="1378"/>
      <c r="K70" s="1375"/>
      <c r="L70" s="1375"/>
      <c r="M70" s="1375"/>
      <c r="N70" s="1378"/>
      <c r="O70" s="1378"/>
      <c r="P70" s="1378"/>
      <c r="Q70" s="1378"/>
      <c r="R70" s="1375"/>
      <c r="S70" s="1375"/>
      <c r="T70" s="1375"/>
      <c r="W70" s="1375"/>
      <c r="X70" s="1375"/>
      <c r="Y70" s="1375"/>
      <c r="Z70" s="1380"/>
      <c r="AA70" s="1378"/>
      <c r="AB70" s="1375"/>
      <c r="AC70" s="1376"/>
      <c r="AD70" s="1377"/>
      <c r="AE70" s="1375"/>
      <c r="AF70" s="1375"/>
      <c r="AG70" s="1378"/>
      <c r="AH70" s="1375"/>
      <c r="AI70" s="1378"/>
      <c r="AJ70" s="1378"/>
      <c r="AK70" s="1378"/>
      <c r="AL70" s="1381"/>
      <c r="AM70" s="1377"/>
      <c r="AN70" s="1375"/>
      <c r="AO70" s="1375"/>
      <c r="AP70" s="1381"/>
      <c r="AQ70" s="1377"/>
      <c r="AR70" s="1375"/>
      <c r="AS70" s="1375"/>
      <c r="AT70" s="1381"/>
      <c r="AU70" s="1377"/>
      <c r="AV70" s="1375"/>
      <c r="AW70" s="1375"/>
      <c r="AX70" s="1381"/>
      <c r="AY70" s="1377"/>
      <c r="AZ70" s="1375"/>
      <c r="BA70" s="1375"/>
      <c r="BB70" s="1382"/>
      <c r="BC70" s="1382"/>
      <c r="BD70" s="1382"/>
      <c r="BE70" s="1382"/>
      <c r="BF70" s="1382"/>
      <c r="BG70" s="1382"/>
      <c r="BH70" s="1382"/>
      <c r="BI70" s="1382"/>
      <c r="BJ70" s="1382"/>
    </row>
    <row r="71" spans="1:62" x14ac:dyDescent="0.2">
      <c r="A71" s="1375"/>
      <c r="B71" s="1375"/>
      <c r="C71" s="1375"/>
      <c r="D71" s="1376"/>
      <c r="E71" s="1377"/>
      <c r="F71" s="1375"/>
      <c r="G71" s="1378"/>
      <c r="H71" s="1378"/>
      <c r="I71" s="1378"/>
      <c r="J71" s="1378"/>
      <c r="K71" s="1375"/>
      <c r="L71" s="1375"/>
      <c r="M71" s="1375"/>
      <c r="N71" s="1378"/>
      <c r="O71" s="1378"/>
      <c r="P71" s="1378"/>
      <c r="Q71" s="1378"/>
      <c r="R71" s="1375"/>
      <c r="S71" s="1375"/>
      <c r="T71" s="1375"/>
      <c r="W71" s="1375"/>
      <c r="X71" s="1375"/>
      <c r="Y71" s="1375"/>
      <c r="Z71" s="1380"/>
      <c r="AA71" s="1378"/>
      <c r="AB71" s="1375"/>
      <c r="AC71" s="1376"/>
      <c r="AD71" s="1377"/>
      <c r="AE71" s="1375"/>
      <c r="AF71" s="1375"/>
      <c r="AG71" s="1378"/>
      <c r="AH71" s="1375"/>
      <c r="AI71" s="1378"/>
      <c r="AJ71" s="1378"/>
      <c r="AK71" s="1378"/>
      <c r="AL71" s="1381"/>
      <c r="AM71" s="1377"/>
      <c r="AN71" s="1375"/>
      <c r="AO71" s="1375"/>
      <c r="AP71" s="1381"/>
      <c r="AQ71" s="1377"/>
      <c r="AR71" s="1375"/>
      <c r="AS71" s="1375"/>
      <c r="AT71" s="1381"/>
      <c r="AU71" s="1377"/>
      <c r="AV71" s="1375"/>
      <c r="AW71" s="1375"/>
      <c r="AX71" s="1381"/>
      <c r="AY71" s="1377"/>
      <c r="AZ71" s="1375"/>
      <c r="BA71" s="1375"/>
      <c r="BB71" s="1382"/>
      <c r="BC71" s="1382"/>
      <c r="BD71" s="1382"/>
      <c r="BE71" s="1382"/>
      <c r="BF71" s="1382"/>
      <c r="BG71" s="1382"/>
      <c r="BH71" s="1382"/>
      <c r="BI71" s="1382"/>
      <c r="BJ71" s="1382"/>
    </row>
    <row r="72" spans="1:62" x14ac:dyDescent="0.2">
      <c r="A72" s="1375"/>
      <c r="B72" s="1375"/>
      <c r="C72" s="1375"/>
      <c r="D72" s="1376"/>
      <c r="E72" s="1377"/>
      <c r="F72" s="1375"/>
      <c r="G72" s="1378"/>
      <c r="H72" s="1378"/>
      <c r="I72" s="1378"/>
      <c r="J72" s="1378"/>
      <c r="K72" s="1375"/>
      <c r="L72" s="1375"/>
      <c r="M72" s="1375"/>
      <c r="N72" s="1378"/>
      <c r="O72" s="1378"/>
      <c r="P72" s="1378"/>
      <c r="Q72" s="1378"/>
      <c r="R72" s="1375"/>
      <c r="S72" s="1375"/>
      <c r="T72" s="1375"/>
      <c r="W72" s="1375"/>
      <c r="X72" s="1375"/>
      <c r="Y72" s="1375"/>
      <c r="Z72" s="1380"/>
      <c r="AA72" s="1378"/>
      <c r="AB72" s="1375"/>
      <c r="AC72" s="1376"/>
      <c r="AD72" s="1377"/>
      <c r="AE72" s="1375"/>
      <c r="AF72" s="1375"/>
      <c r="AG72" s="1378"/>
      <c r="AH72" s="1375"/>
      <c r="AI72" s="1378"/>
      <c r="AJ72" s="1378"/>
      <c r="AK72" s="1378"/>
      <c r="AL72" s="1381"/>
      <c r="AM72" s="1377"/>
      <c r="AN72" s="1375"/>
      <c r="AO72" s="1375"/>
      <c r="AP72" s="1381"/>
      <c r="AQ72" s="1377"/>
      <c r="AR72" s="1375"/>
      <c r="AS72" s="1375"/>
      <c r="AT72" s="1381"/>
      <c r="AU72" s="1377"/>
      <c r="AV72" s="1375"/>
      <c r="AW72" s="1375"/>
      <c r="AX72" s="1381"/>
      <c r="AY72" s="1377"/>
      <c r="AZ72" s="1375"/>
      <c r="BA72" s="1375"/>
      <c r="BB72" s="1382"/>
      <c r="BC72" s="1382"/>
      <c r="BD72" s="1382"/>
      <c r="BE72" s="1382"/>
      <c r="BF72" s="1382"/>
      <c r="BG72" s="1382"/>
      <c r="BH72" s="1382"/>
      <c r="BI72" s="1382"/>
      <c r="BJ72" s="1382"/>
    </row>
    <row r="73" spans="1:62" x14ac:dyDescent="0.2">
      <c r="A73" s="1375"/>
      <c r="B73" s="1375"/>
      <c r="C73" s="1375"/>
      <c r="D73" s="1376"/>
      <c r="E73" s="1377"/>
      <c r="F73" s="1375"/>
      <c r="G73" s="1378"/>
      <c r="H73" s="1378"/>
      <c r="I73" s="1378"/>
      <c r="J73" s="1378"/>
      <c r="K73" s="1375"/>
      <c r="L73" s="1375"/>
      <c r="M73" s="1375"/>
      <c r="N73" s="1378"/>
      <c r="O73" s="1378"/>
      <c r="P73" s="1378"/>
      <c r="Q73" s="1378"/>
      <c r="R73" s="1375"/>
      <c r="S73" s="1375"/>
      <c r="T73" s="1375"/>
      <c r="W73" s="1375"/>
      <c r="X73" s="1375"/>
      <c r="Y73" s="1375"/>
      <c r="Z73" s="1380"/>
      <c r="AA73" s="1378"/>
      <c r="AB73" s="1375"/>
      <c r="AC73" s="1376"/>
      <c r="AD73" s="1377"/>
      <c r="AE73" s="1375"/>
      <c r="AF73" s="1375"/>
      <c r="AG73" s="1378"/>
      <c r="AH73" s="1375"/>
      <c r="AI73" s="1378"/>
      <c r="AJ73" s="1378"/>
      <c r="AK73" s="1378"/>
      <c r="AL73" s="1381"/>
      <c r="AM73" s="1377"/>
      <c r="AN73" s="1375"/>
      <c r="AO73" s="1375"/>
      <c r="AP73" s="1381"/>
      <c r="AQ73" s="1377"/>
      <c r="AR73" s="1375"/>
      <c r="AS73" s="1375"/>
      <c r="AT73" s="1381"/>
      <c r="AU73" s="1377"/>
      <c r="AV73" s="1375"/>
      <c r="AW73" s="1375"/>
      <c r="AX73" s="1381"/>
      <c r="AY73" s="1377"/>
      <c r="AZ73" s="1375"/>
      <c r="BA73" s="1375"/>
      <c r="BB73" s="1382"/>
      <c r="BC73" s="1382"/>
      <c r="BD73" s="1382"/>
      <c r="BE73" s="1382"/>
      <c r="BF73" s="1382"/>
      <c r="BG73" s="1382"/>
      <c r="BH73" s="1382"/>
      <c r="BI73" s="1382"/>
      <c r="BJ73" s="1382"/>
    </row>
    <row r="74" spans="1:62" x14ac:dyDescent="0.2">
      <c r="A74" s="1375"/>
      <c r="B74" s="1375"/>
      <c r="C74" s="1375"/>
      <c r="D74" s="1376"/>
      <c r="E74" s="1377"/>
      <c r="F74" s="1375"/>
      <c r="G74" s="1378"/>
      <c r="H74" s="1378"/>
      <c r="I74" s="1378"/>
      <c r="J74" s="1378"/>
      <c r="K74" s="1375"/>
      <c r="L74" s="1375"/>
      <c r="M74" s="1375"/>
      <c r="N74" s="1378"/>
      <c r="O74" s="1378"/>
      <c r="P74" s="1378"/>
      <c r="Q74" s="1378"/>
      <c r="R74" s="1375"/>
      <c r="S74" s="1375"/>
      <c r="T74" s="1375"/>
      <c r="W74" s="1375"/>
      <c r="X74" s="1375"/>
      <c r="Y74" s="1375"/>
      <c r="Z74" s="1380"/>
      <c r="AA74" s="1378"/>
      <c r="AB74" s="1375"/>
      <c r="AC74" s="1376"/>
      <c r="AD74" s="1377"/>
      <c r="AE74" s="1375"/>
      <c r="AF74" s="1375"/>
      <c r="AG74" s="1378"/>
      <c r="AH74" s="1375"/>
      <c r="AI74" s="1378"/>
      <c r="AJ74" s="1378"/>
      <c r="AK74" s="1378"/>
      <c r="AL74" s="1381"/>
      <c r="AM74" s="1377"/>
      <c r="AN74" s="1375"/>
      <c r="AO74" s="1375"/>
      <c r="AP74" s="1381"/>
      <c r="AQ74" s="1377"/>
      <c r="AR74" s="1375"/>
      <c r="AS74" s="1375"/>
      <c r="AT74" s="1381"/>
      <c r="AU74" s="1377"/>
      <c r="AV74" s="1375"/>
      <c r="AW74" s="1375"/>
      <c r="AX74" s="1381"/>
      <c r="AY74" s="1377"/>
      <c r="AZ74" s="1375"/>
      <c r="BA74" s="1375"/>
      <c r="BB74" s="1382"/>
      <c r="BC74" s="1382"/>
      <c r="BD74" s="1382"/>
      <c r="BE74" s="1382"/>
      <c r="BF74" s="1382"/>
      <c r="BG74" s="1382"/>
      <c r="BH74" s="1382"/>
      <c r="BI74" s="1382"/>
      <c r="BJ74" s="1382"/>
    </row>
    <row r="75" spans="1:62" x14ac:dyDescent="0.2">
      <c r="A75" s="1375"/>
      <c r="B75" s="1375"/>
      <c r="C75" s="1375"/>
      <c r="D75" s="1376"/>
      <c r="E75" s="1377"/>
      <c r="F75" s="1375"/>
      <c r="G75" s="1378"/>
      <c r="H75" s="1378"/>
      <c r="I75" s="1378"/>
      <c r="J75" s="1378"/>
      <c r="K75" s="1375"/>
      <c r="L75" s="1375"/>
      <c r="M75" s="1375"/>
      <c r="N75" s="1378"/>
      <c r="O75" s="1378"/>
      <c r="P75" s="1378"/>
      <c r="Q75" s="1378"/>
      <c r="R75" s="1375"/>
      <c r="S75" s="1375"/>
      <c r="T75" s="1375"/>
      <c r="W75" s="1375"/>
      <c r="X75" s="1375"/>
      <c r="Y75" s="1375"/>
      <c r="Z75" s="1380"/>
      <c r="AA75" s="1378"/>
      <c r="AB75" s="1375"/>
      <c r="AC75" s="1376"/>
      <c r="AD75" s="1377"/>
      <c r="AE75" s="1375"/>
      <c r="AF75" s="1375"/>
      <c r="AG75" s="1378"/>
      <c r="AH75" s="1375"/>
      <c r="AI75" s="1378"/>
      <c r="AJ75" s="1378"/>
      <c r="AK75" s="1378"/>
      <c r="AL75" s="1381"/>
      <c r="AM75" s="1377"/>
      <c r="AN75" s="1375"/>
      <c r="AO75" s="1375"/>
      <c r="AP75" s="1381"/>
      <c r="AQ75" s="1377"/>
      <c r="AR75" s="1375"/>
      <c r="AS75" s="1375"/>
      <c r="AT75" s="1381"/>
      <c r="AU75" s="1377"/>
      <c r="AV75" s="1375"/>
      <c r="AW75" s="1375"/>
      <c r="AX75" s="1381"/>
      <c r="AY75" s="1377"/>
      <c r="AZ75" s="1375"/>
      <c r="BA75" s="1375"/>
      <c r="BB75" s="1382"/>
      <c r="BC75" s="1382"/>
      <c r="BD75" s="1382"/>
      <c r="BE75" s="1382"/>
      <c r="BF75" s="1382"/>
      <c r="BG75" s="1382"/>
      <c r="BH75" s="1382"/>
      <c r="BI75" s="1382"/>
      <c r="BJ75" s="1382"/>
    </row>
    <row r="76" spans="1:62" x14ac:dyDescent="0.2">
      <c r="A76" s="1375"/>
      <c r="B76" s="1375"/>
      <c r="C76" s="1375"/>
      <c r="D76" s="1376"/>
      <c r="E76" s="1377"/>
      <c r="F76" s="1375"/>
      <c r="G76" s="1378"/>
      <c r="H76" s="1378"/>
      <c r="I76" s="1378"/>
      <c r="J76" s="1378"/>
      <c r="K76" s="1375"/>
      <c r="L76" s="1375"/>
      <c r="M76" s="1375"/>
      <c r="N76" s="1378"/>
      <c r="O76" s="1378"/>
      <c r="P76" s="1378"/>
      <c r="Q76" s="1378"/>
      <c r="R76" s="1375"/>
      <c r="S76" s="1375"/>
      <c r="T76" s="1375"/>
      <c r="W76" s="1375"/>
      <c r="X76" s="1375"/>
      <c r="Y76" s="1375"/>
      <c r="Z76" s="1380"/>
      <c r="AA76" s="1378"/>
      <c r="AB76" s="1375"/>
      <c r="AC76" s="1376"/>
      <c r="AD76" s="1377"/>
      <c r="AE76" s="1375"/>
      <c r="AF76" s="1375"/>
      <c r="AG76" s="1378"/>
      <c r="AH76" s="1375"/>
      <c r="AI76" s="1378"/>
      <c r="AJ76" s="1378"/>
      <c r="AK76" s="1378"/>
      <c r="AL76" s="1381"/>
      <c r="AM76" s="1377"/>
      <c r="AN76" s="1375"/>
      <c r="AO76" s="1375"/>
      <c r="AP76" s="1381"/>
      <c r="AQ76" s="1377"/>
      <c r="AR76" s="1375"/>
      <c r="AS76" s="1375"/>
      <c r="AT76" s="1381"/>
      <c r="AU76" s="1377"/>
      <c r="AV76" s="1375"/>
      <c r="AW76" s="1375"/>
      <c r="AX76" s="1381"/>
      <c r="AY76" s="1377"/>
      <c r="AZ76" s="1375"/>
      <c r="BA76" s="1375"/>
      <c r="BB76" s="1382"/>
      <c r="BC76" s="1382"/>
      <c r="BD76" s="1382"/>
      <c r="BE76" s="1382"/>
      <c r="BF76" s="1382"/>
      <c r="BG76" s="1382"/>
      <c r="BH76" s="1382"/>
      <c r="BI76" s="1382"/>
      <c r="BJ76" s="1382"/>
    </row>
    <row r="77" spans="1:62" x14ac:dyDescent="0.2">
      <c r="A77" s="1375"/>
      <c r="B77" s="1375"/>
      <c r="C77" s="1375"/>
      <c r="D77" s="1376"/>
      <c r="E77" s="1377"/>
      <c r="F77" s="1375"/>
      <c r="G77" s="1378"/>
      <c r="H77" s="1378"/>
      <c r="I77" s="1378"/>
      <c r="J77" s="1378"/>
      <c r="K77" s="1375"/>
      <c r="L77" s="1375"/>
      <c r="M77" s="1375"/>
      <c r="N77" s="1378"/>
      <c r="O77" s="1378"/>
      <c r="P77" s="1378"/>
      <c r="Q77" s="1378"/>
      <c r="R77" s="1375"/>
      <c r="S77" s="1375"/>
      <c r="T77" s="1375"/>
      <c r="W77" s="1375"/>
      <c r="X77" s="1375"/>
      <c r="Y77" s="1375"/>
      <c r="Z77" s="1380"/>
      <c r="AA77" s="1378"/>
      <c r="AB77" s="1375"/>
      <c r="AC77" s="1376"/>
      <c r="AD77" s="1377"/>
      <c r="AE77" s="1375"/>
      <c r="AF77" s="1375"/>
      <c r="AG77" s="1378"/>
      <c r="AH77" s="1375"/>
      <c r="AI77" s="1378"/>
      <c r="AJ77" s="1378"/>
      <c r="AK77" s="1378"/>
      <c r="AL77" s="1381"/>
      <c r="AM77" s="1377"/>
      <c r="AN77" s="1375"/>
      <c r="AO77" s="1375"/>
      <c r="AP77" s="1381"/>
      <c r="AQ77" s="1377"/>
      <c r="AR77" s="1375"/>
      <c r="AS77" s="1375"/>
      <c r="AT77" s="1381"/>
      <c r="AU77" s="1377"/>
      <c r="AV77" s="1375"/>
      <c r="AW77" s="1375"/>
      <c r="AX77" s="1381"/>
      <c r="AY77" s="1377"/>
      <c r="AZ77" s="1375"/>
      <c r="BA77" s="1375"/>
      <c r="BB77" s="1382"/>
      <c r="BC77" s="1382"/>
      <c r="BD77" s="1382"/>
      <c r="BE77" s="1382"/>
      <c r="BF77" s="1382"/>
      <c r="BG77" s="1382"/>
      <c r="BH77" s="1382"/>
      <c r="BI77" s="1382"/>
      <c r="BJ77" s="1382"/>
    </row>
    <row r="78" spans="1:62" x14ac:dyDescent="0.2">
      <c r="A78" s="1375"/>
      <c r="B78" s="1375"/>
      <c r="C78" s="1375"/>
      <c r="D78" s="1376"/>
      <c r="E78" s="1377"/>
      <c r="F78" s="1375"/>
      <c r="G78" s="1378"/>
      <c r="H78" s="1378"/>
      <c r="I78" s="1378"/>
      <c r="J78" s="1378"/>
      <c r="K78" s="1375"/>
      <c r="L78" s="1375"/>
      <c r="M78" s="1375"/>
      <c r="N78" s="1378"/>
      <c r="O78" s="1378"/>
      <c r="P78" s="1378"/>
      <c r="Q78" s="1378"/>
      <c r="R78" s="1375"/>
      <c r="S78" s="1375"/>
      <c r="T78" s="1375"/>
      <c r="W78" s="1375"/>
      <c r="X78" s="1375"/>
      <c r="Y78" s="1375"/>
      <c r="Z78" s="1380"/>
      <c r="AA78" s="1378"/>
      <c r="AB78" s="1375"/>
      <c r="AC78" s="1376"/>
      <c r="AD78" s="1377"/>
      <c r="AE78" s="1375"/>
      <c r="AF78" s="1375"/>
      <c r="AG78" s="1378"/>
      <c r="AH78" s="1375"/>
      <c r="AI78" s="1378"/>
      <c r="AJ78" s="1378"/>
      <c r="AK78" s="1378"/>
      <c r="AL78" s="1381"/>
      <c r="AM78" s="1377"/>
      <c r="AN78" s="1375"/>
      <c r="AO78" s="1375"/>
      <c r="AP78" s="1381"/>
      <c r="AQ78" s="1377"/>
      <c r="AR78" s="1375"/>
      <c r="AS78" s="1375"/>
      <c r="AT78" s="1381"/>
      <c r="AU78" s="1377"/>
      <c r="AV78" s="1375"/>
      <c r="AW78" s="1375"/>
      <c r="AX78" s="1381"/>
      <c r="AY78" s="1377"/>
      <c r="AZ78" s="1375"/>
      <c r="BA78" s="1375"/>
      <c r="BB78" s="1382"/>
      <c r="BC78" s="1382"/>
      <c r="BD78" s="1382"/>
      <c r="BE78" s="1382"/>
      <c r="BF78" s="1382"/>
      <c r="BG78" s="1382"/>
      <c r="BH78" s="1382"/>
      <c r="BI78" s="1382"/>
      <c r="BJ78" s="1382"/>
    </row>
    <row r="79" spans="1:62" x14ac:dyDescent="0.2">
      <c r="A79" s="1375"/>
      <c r="B79" s="1375"/>
      <c r="C79" s="1375"/>
      <c r="D79" s="1376"/>
      <c r="E79" s="1377"/>
      <c r="F79" s="1375"/>
      <c r="G79" s="1378"/>
      <c r="H79" s="1378"/>
      <c r="I79" s="1378"/>
      <c r="J79" s="1378"/>
      <c r="K79" s="1375"/>
      <c r="L79" s="1375"/>
      <c r="M79" s="1375"/>
      <c r="N79" s="1378"/>
      <c r="O79" s="1378"/>
      <c r="P79" s="1378"/>
      <c r="Q79" s="1378"/>
      <c r="R79" s="1375"/>
      <c r="S79" s="1375"/>
      <c r="T79" s="1375"/>
      <c r="W79" s="1375"/>
      <c r="X79" s="1375"/>
      <c r="Y79" s="1375"/>
      <c r="Z79" s="1380"/>
      <c r="AA79" s="1378"/>
      <c r="AB79" s="1375"/>
      <c r="AC79" s="1376"/>
      <c r="AD79" s="1377"/>
      <c r="AE79" s="1375"/>
      <c r="AF79" s="1375"/>
      <c r="AG79" s="1378"/>
      <c r="AH79" s="1375"/>
      <c r="AI79" s="1378"/>
      <c r="AJ79" s="1378"/>
      <c r="AK79" s="1378"/>
      <c r="AL79" s="1381"/>
      <c r="AM79" s="1377"/>
      <c r="AN79" s="1375"/>
      <c r="AO79" s="1375"/>
      <c r="AP79" s="1381"/>
      <c r="AQ79" s="1377"/>
      <c r="AR79" s="1375"/>
      <c r="AS79" s="1375"/>
      <c r="AT79" s="1381"/>
      <c r="AU79" s="1377"/>
      <c r="AV79" s="1375"/>
      <c r="AW79" s="1375"/>
      <c r="AX79" s="1381"/>
      <c r="AY79" s="1377"/>
      <c r="AZ79" s="1375"/>
      <c r="BA79" s="1375"/>
      <c r="BB79" s="1382"/>
      <c r="BC79" s="1382"/>
      <c r="BD79" s="1382"/>
      <c r="BE79" s="1382"/>
      <c r="BF79" s="1382"/>
      <c r="BG79" s="1382"/>
      <c r="BH79" s="1382"/>
      <c r="BI79" s="1382"/>
      <c r="BJ79" s="1382"/>
    </row>
    <row r="80" spans="1:62" x14ac:dyDescent="0.2">
      <c r="A80" s="1375"/>
      <c r="B80" s="1375"/>
      <c r="C80" s="1375"/>
      <c r="D80" s="1376"/>
      <c r="E80" s="1377"/>
      <c r="F80" s="1375"/>
      <c r="G80" s="1378"/>
      <c r="H80" s="1378"/>
      <c r="I80" s="1378"/>
      <c r="J80" s="1378"/>
      <c r="K80" s="1375"/>
      <c r="L80" s="1375"/>
      <c r="M80" s="1375"/>
      <c r="N80" s="1378"/>
      <c r="O80" s="1378"/>
      <c r="P80" s="1378"/>
      <c r="Q80" s="1378"/>
      <c r="R80" s="1375"/>
      <c r="S80" s="1375"/>
      <c r="T80" s="1375"/>
      <c r="W80" s="1375"/>
      <c r="X80" s="1375"/>
      <c r="Y80" s="1375"/>
      <c r="Z80" s="1380"/>
      <c r="AA80" s="1378"/>
      <c r="AB80" s="1375"/>
      <c r="AC80" s="1376"/>
      <c r="AD80" s="1377"/>
      <c r="AE80" s="1375"/>
      <c r="AF80" s="1375"/>
      <c r="AG80" s="1378"/>
      <c r="AH80" s="1375"/>
      <c r="AI80" s="1378"/>
      <c r="AJ80" s="1378"/>
      <c r="AK80" s="1378"/>
      <c r="AL80" s="1381"/>
      <c r="AM80" s="1377"/>
      <c r="AN80" s="1375"/>
      <c r="AO80" s="1375"/>
      <c r="AP80" s="1381"/>
      <c r="AQ80" s="1377"/>
      <c r="AR80" s="1375"/>
      <c r="AS80" s="1375"/>
      <c r="AT80" s="1381"/>
      <c r="AU80" s="1377"/>
      <c r="AV80" s="1375"/>
      <c r="AW80" s="1375"/>
      <c r="AX80" s="1381"/>
      <c r="AY80" s="1377"/>
      <c r="AZ80" s="1375"/>
      <c r="BA80" s="1375"/>
      <c r="BB80" s="1382"/>
      <c r="BC80" s="1382"/>
      <c r="BD80" s="1382"/>
      <c r="BE80" s="1382"/>
      <c r="BF80" s="1382"/>
      <c r="BG80" s="1382"/>
      <c r="BH80" s="1382"/>
      <c r="BI80" s="1382"/>
      <c r="BJ80" s="1382"/>
    </row>
    <row r="81" spans="1:62" x14ac:dyDescent="0.2">
      <c r="A81" s="1375"/>
      <c r="B81" s="1375"/>
      <c r="C81" s="1375"/>
      <c r="D81" s="1376"/>
      <c r="E81" s="1377"/>
      <c r="F81" s="1375"/>
      <c r="G81" s="1378"/>
      <c r="H81" s="1378"/>
      <c r="I81" s="1378"/>
      <c r="J81" s="1378"/>
      <c r="K81" s="1375"/>
      <c r="L81" s="1375"/>
      <c r="M81" s="1375"/>
      <c r="N81" s="1378"/>
      <c r="O81" s="1378"/>
      <c r="P81" s="1378"/>
      <c r="Q81" s="1378"/>
      <c r="R81" s="1375"/>
      <c r="S81" s="1375"/>
      <c r="T81" s="1375"/>
      <c r="W81" s="1375"/>
      <c r="X81" s="1375"/>
      <c r="Y81" s="1375"/>
      <c r="Z81" s="1380"/>
      <c r="AA81" s="1378"/>
      <c r="AB81" s="1375"/>
      <c r="AC81" s="1376"/>
      <c r="AD81" s="1377"/>
      <c r="AE81" s="1375"/>
      <c r="AF81" s="1375"/>
      <c r="AG81" s="1378"/>
      <c r="AH81" s="1375"/>
      <c r="AI81" s="1378"/>
      <c r="AJ81" s="1378"/>
      <c r="AK81" s="1378"/>
      <c r="AL81" s="1381"/>
      <c r="AM81" s="1377"/>
      <c r="AN81" s="1375"/>
      <c r="AO81" s="1375"/>
      <c r="AP81" s="1381"/>
      <c r="AQ81" s="1377"/>
      <c r="AR81" s="1375"/>
      <c r="AS81" s="1375"/>
      <c r="AT81" s="1381"/>
      <c r="AU81" s="1377"/>
      <c r="AV81" s="1375"/>
      <c r="AW81" s="1375"/>
      <c r="AX81" s="1381"/>
      <c r="AY81" s="1377"/>
      <c r="AZ81" s="1375"/>
      <c r="BA81" s="1375"/>
      <c r="BB81" s="1382"/>
      <c r="BC81" s="1382"/>
      <c r="BD81" s="1382"/>
      <c r="BE81" s="1382"/>
      <c r="BF81" s="1382"/>
      <c r="BG81" s="1382"/>
      <c r="BH81" s="1382"/>
      <c r="BI81" s="1382"/>
      <c r="BJ81" s="1382"/>
    </row>
    <row r="82" spans="1:62" x14ac:dyDescent="0.2">
      <c r="A82" s="1375"/>
      <c r="B82" s="1375"/>
      <c r="C82" s="1375"/>
      <c r="D82" s="1376"/>
      <c r="E82" s="1377"/>
      <c r="F82" s="1375"/>
      <c r="G82" s="1378"/>
      <c r="H82" s="1378"/>
      <c r="I82" s="1378"/>
      <c r="J82" s="1378"/>
      <c r="K82" s="1375"/>
      <c r="L82" s="1375"/>
      <c r="M82" s="1375"/>
      <c r="N82" s="1378"/>
      <c r="O82" s="1378"/>
      <c r="P82" s="1378"/>
      <c r="Q82" s="1378"/>
      <c r="R82" s="1375"/>
      <c r="S82" s="1375"/>
      <c r="T82" s="1375"/>
      <c r="W82" s="1375"/>
      <c r="X82" s="1375"/>
      <c r="Y82" s="1375"/>
      <c r="Z82" s="1380"/>
      <c r="AA82" s="1378"/>
      <c r="AB82" s="1375"/>
      <c r="AC82" s="1376"/>
      <c r="AD82" s="1377"/>
      <c r="AE82" s="1375"/>
      <c r="AF82" s="1375"/>
      <c r="AG82" s="1378"/>
      <c r="AH82" s="1375"/>
      <c r="AI82" s="1378"/>
      <c r="AJ82" s="1378"/>
      <c r="AK82" s="1378"/>
      <c r="AL82" s="1381"/>
      <c r="AM82" s="1377"/>
      <c r="AN82" s="1375"/>
      <c r="AO82" s="1375"/>
      <c r="AP82" s="1381"/>
      <c r="AQ82" s="1377"/>
      <c r="AR82" s="1375"/>
      <c r="AS82" s="1375"/>
      <c r="AT82" s="1381"/>
      <c r="AU82" s="1377"/>
      <c r="AV82" s="1375"/>
      <c r="AW82" s="1375"/>
      <c r="AX82" s="1381"/>
      <c r="AY82" s="1377"/>
      <c r="AZ82" s="1375"/>
      <c r="BA82" s="1375"/>
      <c r="BB82" s="1382"/>
      <c r="BC82" s="1382"/>
      <c r="BD82" s="1382"/>
      <c r="BE82" s="1382"/>
      <c r="BF82" s="1382"/>
      <c r="BG82" s="1382"/>
      <c r="BH82" s="1382"/>
      <c r="BI82" s="1382"/>
      <c r="BJ82" s="1382"/>
    </row>
  </sheetData>
  <sheetProtection selectLockedCells="1"/>
  <mergeCells count="1">
    <mergeCell ref="D1:E1"/>
  </mergeCells>
  <printOptions headings="1"/>
  <pageMargins left="0.25" right="0.2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C80"/>
  <sheetViews>
    <sheetView zoomScale="75" zoomScaleNormal="75" workbookViewId="0">
      <selection activeCell="E18" sqref="E18"/>
    </sheetView>
  </sheetViews>
  <sheetFormatPr defaultRowHeight="12.75" x14ac:dyDescent="0.2"/>
  <cols>
    <col min="1" max="1" width="9.140625" style="1367"/>
    <col min="2" max="2" width="9.140625" style="1368"/>
    <col min="3" max="3" width="17.5703125" style="1367" customWidth="1"/>
    <col min="4" max="4" width="9.140625" style="1368"/>
    <col min="5" max="5" width="9.140625" style="1369"/>
    <col min="6" max="6" width="9.140625" style="1368"/>
    <col min="7" max="8" width="9.140625" style="1369"/>
    <col min="9" max="9" width="9.140625" style="1370"/>
    <col min="10" max="13" width="9.140625" style="1369"/>
    <col min="14" max="14" width="9.140625" style="1368"/>
    <col min="15" max="16" width="9.140625" style="1369"/>
    <col min="17" max="17" width="9.140625" style="1370"/>
    <col min="18" max="22" width="9.140625" style="1369"/>
    <col min="23" max="24" width="9.140625" style="1370"/>
    <col min="25" max="32" width="10.7109375" style="1370" customWidth="1"/>
    <col min="33" max="34" width="8.7109375" style="1346" customWidth="1"/>
    <col min="35" max="35" width="5.7109375" style="1346" customWidth="1"/>
    <col min="36" max="51" width="2.7109375" style="1346" customWidth="1"/>
    <col min="52" max="52" width="6.7109375" style="1346" customWidth="1"/>
    <col min="53" max="68" width="9.140625" style="1346"/>
    <col min="69" max="70" width="8.7109375" style="1346" customWidth="1"/>
    <col min="71" max="75" width="2.7109375" style="1346" customWidth="1"/>
    <col min="79" max="93" width="9.140625" style="34"/>
    <col min="94" max="94" width="9.140625" style="1349"/>
    <col min="95" max="127" width="9.140625" style="1346"/>
    <col min="128" max="129" width="8.7109375" style="1346" customWidth="1"/>
    <col min="130" max="130" width="6.7109375" style="1346" customWidth="1"/>
    <col min="131" max="131" width="12.7109375" style="1346" customWidth="1"/>
    <col min="132" max="16384" width="9.140625" style="1346"/>
  </cols>
  <sheetData>
    <row r="1" spans="1:133" ht="30" customHeight="1" x14ac:dyDescent="0.2">
      <c r="A1" s="1351" t="s">
        <v>539</v>
      </c>
      <c r="B1" s="1351" t="s">
        <v>130</v>
      </c>
      <c r="C1" s="1351" t="s">
        <v>540</v>
      </c>
      <c r="D1" s="1351" t="str">
        <f>IF($AH$1,"Joist ""BayLength""","Overall Length")</f>
        <v>Overall Length</v>
      </c>
      <c r="E1" s="1351"/>
      <c r="F1" s="1352" t="str">
        <f>IF($AH$1,"Left Sect. #","TCXL Feet")</f>
        <v>TCXL Feet</v>
      </c>
      <c r="G1" s="1352" t="str">
        <f>IF($AH$1,"L Min Sup Width","TCXL Inch")</f>
        <v>TCXL Inch</v>
      </c>
      <c r="H1" s="1352" t="str">
        <f>IF($AH$1,"L Max Sup Width","TCXL Type")</f>
        <v>TCXL Type</v>
      </c>
      <c r="I1" s="1352" t="str">
        <f>IF($AH$1,"Left Bolt ""X""","TCXR Feet")</f>
        <v>TCXR Feet</v>
      </c>
      <c r="J1" s="1352" t="str">
        <f>IF($AH$1,"L Min Flg Ga","TCXR Inch")</f>
        <v>TCXR Inch</v>
      </c>
      <c r="K1" s="1352" t="str">
        <f>IF($AH$1,"L Max Flg Ga","TCXR Type")</f>
        <v>TCXR Type</v>
      </c>
      <c r="L1" s="1352" t="str">
        <f>IF($AH$1,"Left Skew","BDL")</f>
        <v>BDL</v>
      </c>
      <c r="M1" s="1352" t="str">
        <f>IF($AH$1,"Left Brg Slp","BDR")</f>
        <v>BDR</v>
      </c>
      <c r="N1" s="1352" t="str">
        <f>IF($AH$1,"Right Sect. #","BCXL Feet")</f>
        <v>BCXL Feet</v>
      </c>
      <c r="O1" s="1352" t="str">
        <f>IF($AH$1,"R Min Sup Width","BCXL Inch")</f>
        <v>BCXL Inch</v>
      </c>
      <c r="P1" s="1352" t="str">
        <f>IF($AH$1,"R Max Sup Width","BCXL Type")</f>
        <v>BCXL Type</v>
      </c>
      <c r="Q1" s="1352" t="str">
        <f>IF($AH$1,"Right Bolt ""X""","BCXR Feet")</f>
        <v>BCXR Feet</v>
      </c>
      <c r="R1" s="1352" t="str">
        <f>IF($AH$1,"R Min Flg Ga","BCXR Inch")</f>
        <v>BCXR Inch</v>
      </c>
      <c r="S1" s="1352" t="str">
        <f>IF($AH$1,"R Max Flg Ga","BCXR Type")</f>
        <v>BCXR Type</v>
      </c>
      <c r="T1" s="1352" t="str">
        <f>IF($AH$1,"Right Skew","HL Feet")</f>
        <v>HL Feet</v>
      </c>
      <c r="U1" s="1352" t="str">
        <f>IF($AH$1,"Right Brg Slp","HL Inch")</f>
        <v>HL Inch</v>
      </c>
      <c r="V1" s="1352" t="str">
        <f>IF($AH$1,"TC Slope","HR Feet")</f>
        <v>HR Feet</v>
      </c>
      <c r="W1" s="1352" t="str">
        <f>IF($AH$1,"Load Notes","HR Inch")</f>
        <v>HR Inch</v>
      </c>
      <c r="X1" s="1352" t="str">
        <f>IF($AH$1,"Spcl Notes","Slot Ga")</f>
        <v>Slot Ga</v>
      </c>
      <c r="Y1" s="1352" t="str">
        <f>IF($AH$1,"TC L Override","L Seat Slp")</f>
        <v>L Seat Slp</v>
      </c>
      <c r="Z1" s="1352" t="str">
        <f>IF($AH$1,"TCR Override","R Seat Slp")</f>
        <v>R Seat Slp</v>
      </c>
      <c r="AA1" s="1352" t="str">
        <f>IF($AH$1,"L-BL Override","Sp Notes")</f>
        <v>Sp Notes</v>
      </c>
      <c r="AB1" s="1352" t="str">
        <f>IF($AH$1,"R-BL Override","Ld Notes")</f>
        <v>Ld Notes</v>
      </c>
      <c r="AC1" s="1352" t="str">
        <f>IF($AH$1,"BCXL ""X""","-")</f>
        <v>-</v>
      </c>
      <c r="AD1" s="1352" t="str">
        <f>IF($AH$1,"BCXR ""X""","-")</f>
        <v>-</v>
      </c>
      <c r="AE1" s="1352" t="str">
        <f>IF($AH$1,"BDL Override","-")</f>
        <v>-</v>
      </c>
      <c r="AF1" s="1352" t="str">
        <f>IF($AH$1,"BDR Override","-")</f>
        <v>-</v>
      </c>
      <c r="AG1" s="1344" t="s">
        <v>1191</v>
      </c>
      <c r="AH1" s="1345" t="b">
        <f>'Job Info.'!U4</f>
        <v>0</v>
      </c>
      <c r="AZ1" s="1820" t="s">
        <v>1192</v>
      </c>
      <c r="BA1" s="1353" t="s">
        <v>632</v>
      </c>
      <c r="BB1" s="1353" t="s">
        <v>1193</v>
      </c>
      <c r="BC1" s="1354" t="s">
        <v>1134</v>
      </c>
      <c r="BD1" s="1354" t="s">
        <v>1144</v>
      </c>
      <c r="BE1" s="1354" t="s">
        <v>660</v>
      </c>
      <c r="BF1" s="1354" t="s">
        <v>677</v>
      </c>
      <c r="BG1" s="1353" t="s">
        <v>1194</v>
      </c>
      <c r="BH1" s="1353" t="s">
        <v>1195</v>
      </c>
      <c r="BI1" s="1353" t="s">
        <v>1196</v>
      </c>
      <c r="BJ1" s="1353" t="s">
        <v>1197</v>
      </c>
      <c r="BK1" s="1353" t="s">
        <v>1198</v>
      </c>
      <c r="BL1" s="1353" t="s">
        <v>1199</v>
      </c>
      <c r="BM1" s="1354" t="s">
        <v>1145</v>
      </c>
      <c r="BN1" s="1354" t="s">
        <v>1146</v>
      </c>
      <c r="BO1" s="1354" t="s">
        <v>1147</v>
      </c>
      <c r="BP1" s="1354" t="s">
        <v>480</v>
      </c>
      <c r="BQ1" s="1344" t="s">
        <v>1200</v>
      </c>
      <c r="BR1" s="1345">
        <f>COUNTA(BA:BA)-1</f>
        <v>10</v>
      </c>
      <c r="BZ1" s="1820" t="s">
        <v>1220</v>
      </c>
      <c r="CA1" s="1348" t="s">
        <v>1221</v>
      </c>
      <c r="CB1" s="1349" t="s">
        <v>660</v>
      </c>
      <c r="CC1" s="1349" t="s">
        <v>1222</v>
      </c>
      <c r="CD1" s="1349" t="s">
        <v>1223</v>
      </c>
      <c r="CE1" s="1349" t="s">
        <v>1230</v>
      </c>
      <c r="CF1" s="1349" t="s">
        <v>1224</v>
      </c>
      <c r="CG1" s="1349" t="s">
        <v>1226</v>
      </c>
      <c r="CH1" s="1349" t="s">
        <v>1225</v>
      </c>
      <c r="CI1" s="1349" t="s">
        <v>1255</v>
      </c>
      <c r="CJ1" s="1349" t="s">
        <v>1227</v>
      </c>
      <c r="CK1" s="1349" t="s">
        <v>1228</v>
      </c>
      <c r="CL1" s="1349" t="s">
        <v>1214</v>
      </c>
      <c r="CM1" s="1349" t="s">
        <v>1215</v>
      </c>
      <c r="CN1" s="1349" t="s">
        <v>1229</v>
      </c>
      <c r="CO1" s="1347" t="s">
        <v>1231</v>
      </c>
      <c r="CP1" s="1348" t="s">
        <v>1256</v>
      </c>
      <c r="CQ1" s="1349">
        <f>SUM(CO:CO)</f>
        <v>82</v>
      </c>
      <c r="CZ1" s="1820" t="s">
        <v>1265</v>
      </c>
      <c r="DZ1" s="1820" t="s">
        <v>1202</v>
      </c>
      <c r="EA1" s="1355" t="s">
        <v>1203</v>
      </c>
      <c r="EB1" s="1346" t="s">
        <v>1201</v>
      </c>
      <c r="EC1" s="1346">
        <f>COUNTA(EA:EA)-1</f>
        <v>0</v>
      </c>
    </row>
    <row r="2" spans="1:133" x14ac:dyDescent="0.2">
      <c r="A2" s="1356" t="s">
        <v>1431</v>
      </c>
      <c r="B2" s="1357">
        <v>2</v>
      </c>
      <c r="C2" s="1356" t="s">
        <v>1592</v>
      </c>
      <c r="D2" s="1358">
        <v>40</v>
      </c>
      <c r="E2" s="1359">
        <v>0</v>
      </c>
      <c r="F2" s="1357"/>
      <c r="G2" s="1360"/>
      <c r="H2" s="1360"/>
      <c r="I2" s="1361" t="s">
        <v>116</v>
      </c>
      <c r="J2" s="1360"/>
      <c r="K2" s="1360"/>
      <c r="L2" s="1360">
        <v>5</v>
      </c>
      <c r="M2" s="1360">
        <v>5</v>
      </c>
      <c r="N2" s="1357"/>
      <c r="O2" s="1360"/>
      <c r="P2" s="1360"/>
      <c r="Q2" s="1361" t="s">
        <v>116</v>
      </c>
      <c r="R2" s="1360"/>
      <c r="S2" s="1360"/>
      <c r="T2" s="1360">
        <v>0</v>
      </c>
      <c r="U2" s="1360">
        <v>2.25</v>
      </c>
      <c r="V2" s="1360">
        <v>0</v>
      </c>
      <c r="W2" s="1362">
        <v>2</v>
      </c>
      <c r="X2" s="1362">
        <v>4</v>
      </c>
      <c r="Y2" s="1362" t="s">
        <v>116</v>
      </c>
      <c r="Z2" s="1362" t="s">
        <v>116</v>
      </c>
      <c r="AA2" s="1362" t="s">
        <v>1643</v>
      </c>
      <c r="AB2" s="1362"/>
      <c r="AC2" s="1362"/>
      <c r="AD2" s="1362"/>
      <c r="AE2" s="1362"/>
      <c r="AF2" s="1362"/>
      <c r="AG2" s="1350">
        <v>1</v>
      </c>
      <c r="AH2" s="1345">
        <f>COUNTA(A:A)-1</f>
        <v>73</v>
      </c>
      <c r="AZ2" s="1821"/>
      <c r="BA2" s="1346" t="s">
        <v>1505</v>
      </c>
      <c r="BC2" s="1346">
        <v>920</v>
      </c>
      <c r="BD2" s="1346">
        <v>1510</v>
      </c>
      <c r="BE2" s="1346" t="s">
        <v>658</v>
      </c>
      <c r="BK2" s="1346">
        <v>20</v>
      </c>
      <c r="BL2" s="1346">
        <v>0</v>
      </c>
      <c r="BZ2" s="1821"/>
      <c r="CA2" s="1349">
        <v>1</v>
      </c>
      <c r="CB2" s="1349" t="s">
        <v>144</v>
      </c>
      <c r="CC2" s="1349" t="s">
        <v>142</v>
      </c>
      <c r="CD2" s="1349" t="s">
        <v>145</v>
      </c>
      <c r="CE2" s="1349"/>
      <c r="CF2" s="1349">
        <v>119</v>
      </c>
      <c r="CG2" s="1349"/>
      <c r="CH2" s="1349"/>
      <c r="CI2" s="1349"/>
      <c r="CJ2" s="1349"/>
      <c r="CK2" s="1349"/>
      <c r="CL2" s="1349"/>
      <c r="CM2" s="1349">
        <v>2</v>
      </c>
      <c r="CN2" s="1349" t="s">
        <v>1515</v>
      </c>
      <c r="CO2" s="1349">
        <v>1</v>
      </c>
      <c r="CZ2" s="1821"/>
      <c r="DZ2" s="1821"/>
      <c r="EB2" s="1346" t="s">
        <v>1204</v>
      </c>
      <c r="EC2" s="1346">
        <f>COUNTA(EB1:JS1)</f>
        <v>2</v>
      </c>
    </row>
    <row r="3" spans="1:133" x14ac:dyDescent="0.2">
      <c r="A3" s="1356" t="s">
        <v>1432</v>
      </c>
      <c r="B3" s="1357">
        <v>2</v>
      </c>
      <c r="C3" s="1356" t="s">
        <v>1592</v>
      </c>
      <c r="D3" s="1358">
        <v>40</v>
      </c>
      <c r="E3" s="1359">
        <v>0</v>
      </c>
      <c r="F3" s="1357"/>
      <c r="G3" s="1360"/>
      <c r="H3" s="1360"/>
      <c r="I3" s="1361" t="s">
        <v>116</v>
      </c>
      <c r="J3" s="1360"/>
      <c r="K3" s="1360"/>
      <c r="L3" s="1360">
        <v>5</v>
      </c>
      <c r="M3" s="1360">
        <v>5</v>
      </c>
      <c r="N3" s="1357"/>
      <c r="O3" s="1360"/>
      <c r="P3" s="1360"/>
      <c r="Q3" s="1361" t="s">
        <v>116</v>
      </c>
      <c r="R3" s="1360"/>
      <c r="S3" s="1360"/>
      <c r="T3" s="1360">
        <v>0</v>
      </c>
      <c r="U3" s="1360">
        <v>2.25</v>
      </c>
      <c r="V3" s="1360">
        <v>0</v>
      </c>
      <c r="W3" s="1362">
        <v>2</v>
      </c>
      <c r="X3" s="1362">
        <v>4</v>
      </c>
      <c r="Y3" s="1362" t="s">
        <v>116</v>
      </c>
      <c r="Z3" s="1362" t="s">
        <v>116</v>
      </c>
      <c r="AA3" s="1362" t="s">
        <v>1644</v>
      </c>
      <c r="AB3" s="1362"/>
      <c r="AC3" s="1362"/>
      <c r="AD3" s="1362"/>
      <c r="AE3" s="1362"/>
      <c r="AF3" s="1362"/>
      <c r="AG3" s="1346">
        <v>1</v>
      </c>
      <c r="AZ3" s="1821"/>
      <c r="BA3" s="1346" t="s">
        <v>1506</v>
      </c>
      <c r="BC3" s="1346">
        <v>64</v>
      </c>
      <c r="BD3" s="1346">
        <v>1210</v>
      </c>
      <c r="BE3" s="1346" t="s">
        <v>727</v>
      </c>
      <c r="BH3" s="1346">
        <v>32</v>
      </c>
      <c r="BJ3" s="1346">
        <v>32</v>
      </c>
      <c r="BK3" s="1346">
        <v>4</v>
      </c>
      <c r="BL3" s="1346">
        <v>11</v>
      </c>
      <c r="BZ3" s="1821"/>
      <c r="CA3" s="1349">
        <v>2</v>
      </c>
      <c r="CB3" s="1349" t="s">
        <v>144</v>
      </c>
      <c r="CC3" s="1349" t="s">
        <v>142</v>
      </c>
      <c r="CD3" s="1349" t="s">
        <v>145</v>
      </c>
      <c r="CE3" s="1349"/>
      <c r="CF3" s="1349">
        <v>69</v>
      </c>
      <c r="CG3" s="1349"/>
      <c r="CH3" s="1349"/>
      <c r="CI3" s="1349"/>
      <c r="CJ3" s="1349"/>
      <c r="CK3" s="1349"/>
      <c r="CL3" s="1349"/>
      <c r="CM3" s="1349">
        <v>2</v>
      </c>
      <c r="CN3" s="1349" t="s">
        <v>1516</v>
      </c>
      <c r="CO3" s="1349">
        <v>2</v>
      </c>
      <c r="CZ3" s="1821"/>
      <c r="DZ3" s="1821"/>
    </row>
    <row r="4" spans="1:133" x14ac:dyDescent="0.2">
      <c r="A4" s="1356" t="s">
        <v>1433</v>
      </c>
      <c r="B4" s="1357">
        <v>2</v>
      </c>
      <c r="C4" s="1356" t="s">
        <v>1592</v>
      </c>
      <c r="D4" s="1358">
        <v>40</v>
      </c>
      <c r="E4" s="1359">
        <v>0</v>
      </c>
      <c r="F4" s="1357"/>
      <c r="G4" s="1360"/>
      <c r="H4" s="1360"/>
      <c r="I4" s="1361" t="s">
        <v>116</v>
      </c>
      <c r="J4" s="1360"/>
      <c r="K4" s="1360"/>
      <c r="L4" s="1360">
        <v>5</v>
      </c>
      <c r="M4" s="1360">
        <v>5</v>
      </c>
      <c r="N4" s="1357"/>
      <c r="O4" s="1360"/>
      <c r="P4" s="1360"/>
      <c r="Q4" s="1361" t="s">
        <v>116</v>
      </c>
      <c r="R4" s="1360"/>
      <c r="S4" s="1360"/>
      <c r="T4" s="1360">
        <v>0</v>
      </c>
      <c r="U4" s="1360">
        <v>2.25</v>
      </c>
      <c r="V4" s="1360">
        <v>0</v>
      </c>
      <c r="W4" s="1362">
        <v>2</v>
      </c>
      <c r="X4" s="1362">
        <v>4</v>
      </c>
      <c r="Y4" s="1362" t="s">
        <v>116</v>
      </c>
      <c r="Z4" s="1362" t="s">
        <v>116</v>
      </c>
      <c r="AA4" s="1362" t="s">
        <v>1645</v>
      </c>
      <c r="AB4" s="1362"/>
      <c r="AC4" s="1362"/>
      <c r="AD4" s="1362"/>
      <c r="AE4" s="1362"/>
      <c r="AF4" s="1362"/>
      <c r="AG4" s="1346">
        <v>1</v>
      </c>
      <c r="AZ4" s="1821"/>
      <c r="BA4" s="1346" t="s">
        <v>1507</v>
      </c>
      <c r="BC4" s="1346">
        <v>8</v>
      </c>
      <c r="BD4" s="1346">
        <v>1210</v>
      </c>
      <c r="BE4" s="1346" t="s">
        <v>727</v>
      </c>
      <c r="BH4" s="1346">
        <v>44</v>
      </c>
      <c r="BJ4" s="1346">
        <v>44</v>
      </c>
      <c r="BK4" s="1346">
        <v>4</v>
      </c>
      <c r="BL4" s="1346">
        <v>11</v>
      </c>
      <c r="BZ4" s="1821"/>
      <c r="CA4" s="1349"/>
      <c r="CB4" s="1349" t="s">
        <v>144</v>
      </c>
      <c r="CC4" s="1349" t="s">
        <v>142</v>
      </c>
      <c r="CD4" s="1349" t="s">
        <v>145</v>
      </c>
      <c r="CE4" s="1349"/>
      <c r="CF4" s="1349">
        <v>50</v>
      </c>
      <c r="CG4" s="1349">
        <v>0</v>
      </c>
      <c r="CH4" s="1349">
        <v>0</v>
      </c>
      <c r="CI4" s="1349">
        <v>50</v>
      </c>
      <c r="CJ4" s="1349">
        <v>23</v>
      </c>
      <c r="CK4" s="1349">
        <v>0</v>
      </c>
      <c r="CL4" s="1349" t="s">
        <v>702</v>
      </c>
      <c r="CM4" s="1349">
        <v>2</v>
      </c>
      <c r="CN4" s="1349"/>
      <c r="CO4" s="1349"/>
      <c r="CZ4" s="1821"/>
      <c r="DZ4" s="1821"/>
    </row>
    <row r="5" spans="1:133" x14ac:dyDescent="0.2">
      <c r="A5" s="1356" t="s">
        <v>1434</v>
      </c>
      <c r="B5" s="1357">
        <v>2</v>
      </c>
      <c r="C5" s="1356" t="s">
        <v>1592</v>
      </c>
      <c r="D5" s="1358">
        <v>40</v>
      </c>
      <c r="E5" s="1359">
        <v>0</v>
      </c>
      <c r="F5" s="1357"/>
      <c r="G5" s="1360"/>
      <c r="H5" s="1360"/>
      <c r="I5" s="1361" t="s">
        <v>116</v>
      </c>
      <c r="J5" s="1360"/>
      <c r="K5" s="1360"/>
      <c r="L5" s="1360">
        <v>5</v>
      </c>
      <c r="M5" s="1360">
        <v>5</v>
      </c>
      <c r="N5" s="1357"/>
      <c r="O5" s="1360"/>
      <c r="P5" s="1360"/>
      <c r="Q5" s="1361" t="s">
        <v>116</v>
      </c>
      <c r="R5" s="1360"/>
      <c r="S5" s="1360"/>
      <c r="T5" s="1360">
        <v>0</v>
      </c>
      <c r="U5" s="1360">
        <v>2.25</v>
      </c>
      <c r="V5" s="1360">
        <v>0</v>
      </c>
      <c r="W5" s="1362">
        <v>2</v>
      </c>
      <c r="X5" s="1362">
        <v>4</v>
      </c>
      <c r="Y5" s="1362" t="s">
        <v>116</v>
      </c>
      <c r="Z5" s="1362" t="s">
        <v>116</v>
      </c>
      <c r="AA5" s="1362" t="s">
        <v>1646</v>
      </c>
      <c r="AB5" s="1362"/>
      <c r="AC5" s="1362"/>
      <c r="AD5" s="1362"/>
      <c r="AE5" s="1362"/>
      <c r="AF5" s="1362"/>
      <c r="AG5" s="1346">
        <v>1</v>
      </c>
      <c r="AZ5" s="1821"/>
      <c r="BA5" s="1346" t="s">
        <v>1508</v>
      </c>
      <c r="BC5" s="1346">
        <v>8</v>
      </c>
      <c r="BD5" s="1346">
        <v>1510</v>
      </c>
      <c r="BE5" s="1346" t="s">
        <v>665</v>
      </c>
      <c r="BG5" s="1346" t="s">
        <v>1450</v>
      </c>
      <c r="BH5" s="1346">
        <v>32</v>
      </c>
      <c r="BJ5" s="1346">
        <v>32</v>
      </c>
      <c r="BK5" s="1346">
        <v>5</v>
      </c>
      <c r="BL5" s="1346">
        <v>5.375</v>
      </c>
      <c r="BZ5" s="1821"/>
      <c r="CA5" s="1349">
        <v>3</v>
      </c>
      <c r="CB5" s="1349" t="s">
        <v>144</v>
      </c>
      <c r="CC5" s="1349" t="s">
        <v>142</v>
      </c>
      <c r="CD5" s="1349" t="s">
        <v>145</v>
      </c>
      <c r="CE5" s="1349"/>
      <c r="CF5" s="1349">
        <v>69</v>
      </c>
      <c r="CG5" s="1349"/>
      <c r="CH5" s="1349"/>
      <c r="CI5" s="1349"/>
      <c r="CJ5" s="1349"/>
      <c r="CK5" s="1349"/>
      <c r="CL5" s="1349"/>
      <c r="CM5" s="1349">
        <v>2</v>
      </c>
      <c r="CN5" s="1349" t="s">
        <v>1517</v>
      </c>
      <c r="CO5" s="1349">
        <v>1</v>
      </c>
      <c r="CZ5" s="1821"/>
      <c r="DZ5" s="1821"/>
    </row>
    <row r="6" spans="1:133" ht="12.75" customHeight="1" x14ac:dyDescent="0.2">
      <c r="A6" s="1363" t="s">
        <v>1435</v>
      </c>
      <c r="B6" s="1364">
        <v>1</v>
      </c>
      <c r="C6" s="1363" t="s">
        <v>1592</v>
      </c>
      <c r="D6" s="1364">
        <v>40</v>
      </c>
      <c r="E6" s="1365">
        <v>0</v>
      </c>
      <c r="F6" s="1364"/>
      <c r="G6" s="1365"/>
      <c r="H6" s="1365"/>
      <c r="I6" s="1366" t="s">
        <v>116</v>
      </c>
      <c r="J6" s="1365"/>
      <c r="K6" s="1365"/>
      <c r="L6" s="1365">
        <v>5</v>
      </c>
      <c r="M6" s="1365">
        <v>5</v>
      </c>
      <c r="N6" s="1364"/>
      <c r="O6" s="1365"/>
      <c r="P6" s="1365"/>
      <c r="Q6" s="1366" t="s">
        <v>116</v>
      </c>
      <c r="R6" s="1365"/>
      <c r="S6" s="1365"/>
      <c r="T6" s="1365">
        <v>0</v>
      </c>
      <c r="U6" s="1365">
        <v>2.25</v>
      </c>
      <c r="V6" s="1365">
        <v>0</v>
      </c>
      <c r="W6" s="1366">
        <v>2</v>
      </c>
      <c r="X6" s="1366">
        <v>4</v>
      </c>
      <c r="Y6" s="1366" t="s">
        <v>116</v>
      </c>
      <c r="Z6" s="1366" t="s">
        <v>116</v>
      </c>
      <c r="AA6" s="1366" t="s">
        <v>1647</v>
      </c>
      <c r="AB6" s="1366"/>
      <c r="AC6" s="1366"/>
      <c r="AD6" s="1366"/>
      <c r="AE6" s="1366"/>
      <c r="AF6" s="1366"/>
      <c r="AG6" s="1346">
        <v>1</v>
      </c>
      <c r="AZ6" s="1821"/>
      <c r="BA6" s="1346" t="s">
        <v>1509</v>
      </c>
      <c r="BC6" s="1346">
        <v>8</v>
      </c>
      <c r="BD6" s="1346">
        <v>1210</v>
      </c>
      <c r="BE6" s="1346" t="s">
        <v>665</v>
      </c>
      <c r="BF6" s="1346" t="s">
        <v>667</v>
      </c>
      <c r="BG6" s="1346" t="s">
        <v>1450</v>
      </c>
      <c r="BH6" s="1346">
        <v>32</v>
      </c>
      <c r="BJ6" s="1346">
        <v>32</v>
      </c>
      <c r="BK6" s="1346">
        <v>5</v>
      </c>
      <c r="BL6" s="1346">
        <v>5.375</v>
      </c>
      <c r="BZ6" s="1821"/>
      <c r="CA6" s="1349">
        <v>4</v>
      </c>
      <c r="CB6" s="1349" t="s">
        <v>157</v>
      </c>
      <c r="CC6" s="1349" t="s">
        <v>167</v>
      </c>
      <c r="CD6" s="1349" t="s">
        <v>145</v>
      </c>
      <c r="CE6" s="1349"/>
      <c r="CF6" s="1349">
        <v>38500</v>
      </c>
      <c r="CG6" s="1349"/>
      <c r="CH6" s="1349"/>
      <c r="CI6" s="1349"/>
      <c r="CJ6" s="1349"/>
      <c r="CK6" s="1349"/>
      <c r="CL6" s="1349"/>
      <c r="CM6" s="1349"/>
      <c r="CN6" s="1349"/>
      <c r="CO6" s="1349">
        <v>1</v>
      </c>
      <c r="CZ6" s="1821"/>
      <c r="DZ6" s="1821"/>
    </row>
    <row r="7" spans="1:133" x14ac:dyDescent="0.2">
      <c r="A7" s="1363" t="s">
        <v>1436</v>
      </c>
      <c r="B7" s="1364">
        <v>11</v>
      </c>
      <c r="C7" s="1363" t="s">
        <v>1592</v>
      </c>
      <c r="D7" s="1364">
        <v>40</v>
      </c>
      <c r="E7" s="1365">
        <v>0</v>
      </c>
      <c r="F7" s="1364"/>
      <c r="G7" s="1365"/>
      <c r="H7" s="1365"/>
      <c r="I7" s="1366" t="s">
        <v>116</v>
      </c>
      <c r="J7" s="1365"/>
      <c r="K7" s="1365"/>
      <c r="L7" s="1365">
        <v>5</v>
      </c>
      <c r="M7" s="1365">
        <v>5</v>
      </c>
      <c r="N7" s="1364"/>
      <c r="O7" s="1365"/>
      <c r="P7" s="1365"/>
      <c r="Q7" s="1366" t="s">
        <v>116</v>
      </c>
      <c r="R7" s="1365"/>
      <c r="S7" s="1365"/>
      <c r="T7" s="1365">
        <v>0</v>
      </c>
      <c r="U7" s="1365">
        <v>2.25</v>
      </c>
      <c r="V7" s="1365">
        <v>0</v>
      </c>
      <c r="W7" s="1366">
        <v>2</v>
      </c>
      <c r="X7" s="1366">
        <v>4</v>
      </c>
      <c r="Y7" s="1366" t="s">
        <v>116</v>
      </c>
      <c r="Z7" s="1366" t="s">
        <v>116</v>
      </c>
      <c r="AA7" s="1366" t="s">
        <v>1648</v>
      </c>
      <c r="AB7" s="1366"/>
      <c r="AC7" s="1366"/>
      <c r="AD7" s="1366"/>
      <c r="AE7" s="1366"/>
      <c r="AF7" s="1366"/>
      <c r="AG7" s="1346">
        <v>1</v>
      </c>
      <c r="AZ7" s="1821"/>
      <c r="BA7" s="1346" t="s">
        <v>1510</v>
      </c>
      <c r="BC7" s="1346">
        <v>408</v>
      </c>
      <c r="BD7" s="1346">
        <v>1210</v>
      </c>
      <c r="BE7" s="1346" t="s">
        <v>729</v>
      </c>
      <c r="BF7" s="1346" t="s">
        <v>667</v>
      </c>
      <c r="BG7" s="1346" t="s">
        <v>1450</v>
      </c>
      <c r="BH7" s="1346">
        <v>32</v>
      </c>
      <c r="BI7" s="1346" t="s">
        <v>1451</v>
      </c>
      <c r="BJ7" s="1346">
        <v>32</v>
      </c>
      <c r="BK7" s="1346">
        <v>6</v>
      </c>
      <c r="BL7" s="1346">
        <v>2.625</v>
      </c>
      <c r="BZ7" s="1821"/>
      <c r="CA7" s="1349">
        <v>5</v>
      </c>
      <c r="CB7" s="1349" t="s">
        <v>157</v>
      </c>
      <c r="CC7" s="1349" t="s">
        <v>167</v>
      </c>
      <c r="CD7" s="1349" t="s">
        <v>145</v>
      </c>
      <c r="CE7" s="1349"/>
      <c r="CF7" s="1349">
        <v>24500</v>
      </c>
      <c r="CG7" s="1349"/>
      <c r="CH7" s="1349"/>
      <c r="CI7" s="1349"/>
      <c r="CJ7" s="1349"/>
      <c r="CK7" s="1349"/>
      <c r="CL7" s="1349"/>
      <c r="CM7" s="1349"/>
      <c r="CN7" s="1349"/>
      <c r="CO7" s="1349">
        <v>1</v>
      </c>
      <c r="CZ7" s="1821"/>
      <c r="DZ7" s="1821"/>
    </row>
    <row r="8" spans="1:133" x14ac:dyDescent="0.2">
      <c r="A8" s="1363" t="s">
        <v>1437</v>
      </c>
      <c r="B8" s="1364">
        <v>14</v>
      </c>
      <c r="C8" s="1363" t="s">
        <v>1592</v>
      </c>
      <c r="D8" s="1364">
        <v>40</v>
      </c>
      <c r="E8" s="1365">
        <v>0</v>
      </c>
      <c r="F8" s="1364"/>
      <c r="G8" s="1365"/>
      <c r="H8" s="1365"/>
      <c r="I8" s="1366" t="s">
        <v>116</v>
      </c>
      <c r="J8" s="1365"/>
      <c r="K8" s="1365"/>
      <c r="L8" s="1365">
        <v>5</v>
      </c>
      <c r="M8" s="1365">
        <v>5</v>
      </c>
      <c r="N8" s="1364"/>
      <c r="O8" s="1365"/>
      <c r="P8" s="1365"/>
      <c r="Q8" s="1366" t="s">
        <v>116</v>
      </c>
      <c r="R8" s="1365"/>
      <c r="S8" s="1365"/>
      <c r="T8" s="1365">
        <v>0</v>
      </c>
      <c r="U8" s="1365">
        <v>2.25</v>
      </c>
      <c r="V8" s="1365">
        <v>0</v>
      </c>
      <c r="W8" s="1366">
        <v>2</v>
      </c>
      <c r="X8" s="1366">
        <v>4</v>
      </c>
      <c r="Y8" s="1366" t="s">
        <v>116</v>
      </c>
      <c r="Z8" s="1366" t="s">
        <v>116</v>
      </c>
      <c r="AA8" s="1366" t="s">
        <v>1649</v>
      </c>
      <c r="AB8" s="1366"/>
      <c r="AC8" s="1366"/>
      <c r="AD8" s="1366"/>
      <c r="AE8" s="1366"/>
      <c r="AF8" s="1366"/>
      <c r="AG8" s="1346">
        <v>1</v>
      </c>
      <c r="AZ8" s="1821"/>
      <c r="BA8" s="1346" t="s">
        <v>1511</v>
      </c>
      <c r="BC8" s="1346">
        <v>8</v>
      </c>
      <c r="BD8" s="1346">
        <v>1210</v>
      </c>
      <c r="BE8" s="1346" t="s">
        <v>729</v>
      </c>
      <c r="BF8" s="1346" t="s">
        <v>667</v>
      </c>
      <c r="BG8" s="1346" t="s">
        <v>1459</v>
      </c>
      <c r="BH8" s="1346">
        <v>32</v>
      </c>
      <c r="BI8" s="1346" t="s">
        <v>1459</v>
      </c>
      <c r="BJ8" s="1346">
        <v>32</v>
      </c>
      <c r="BK8" s="1346">
        <v>4</v>
      </c>
      <c r="BL8" s="1346">
        <v>10.625</v>
      </c>
      <c r="BZ8" s="1821"/>
      <c r="CA8" s="1349">
        <v>6</v>
      </c>
      <c r="CB8" s="1349" t="s">
        <v>157</v>
      </c>
      <c r="CC8" s="1349" t="s">
        <v>167</v>
      </c>
      <c r="CD8" s="1349" t="s">
        <v>145</v>
      </c>
      <c r="CE8" s="1349"/>
      <c r="CF8" s="1349">
        <v>34300</v>
      </c>
      <c r="CG8" s="1349"/>
      <c r="CH8" s="1349"/>
      <c r="CI8" s="1349"/>
      <c r="CJ8" s="1349"/>
      <c r="CK8" s="1349"/>
      <c r="CL8" s="1349"/>
      <c r="CM8" s="1349"/>
      <c r="CN8" s="1349"/>
      <c r="CO8" s="1349">
        <v>1</v>
      </c>
      <c r="CZ8" s="1821"/>
      <c r="DZ8" s="1821"/>
    </row>
    <row r="9" spans="1:133" x14ac:dyDescent="0.2">
      <c r="A9" s="1363" t="s">
        <v>1438</v>
      </c>
      <c r="B9" s="1364">
        <v>2</v>
      </c>
      <c r="C9" s="1363" t="s">
        <v>1592</v>
      </c>
      <c r="D9" s="1364">
        <v>39</v>
      </c>
      <c r="E9" s="1365">
        <v>2.25</v>
      </c>
      <c r="F9" s="1364"/>
      <c r="G9" s="1365"/>
      <c r="H9" s="1365"/>
      <c r="I9" s="1366" t="s">
        <v>116</v>
      </c>
      <c r="J9" s="1365"/>
      <c r="K9" s="1365"/>
      <c r="L9" s="1365">
        <v>5</v>
      </c>
      <c r="M9" s="1365">
        <v>5</v>
      </c>
      <c r="N9" s="1364">
        <v>0</v>
      </c>
      <c r="O9" s="1365">
        <v>6.75</v>
      </c>
      <c r="P9" s="1365">
        <v>2</v>
      </c>
      <c r="Q9" s="1366" t="s">
        <v>116</v>
      </c>
      <c r="R9" s="1365"/>
      <c r="S9" s="1365"/>
      <c r="T9" s="1365">
        <v>0</v>
      </c>
      <c r="U9" s="1365">
        <v>2.25</v>
      </c>
      <c r="V9" s="1365">
        <v>0</v>
      </c>
      <c r="W9" s="1366">
        <v>2</v>
      </c>
      <c r="X9" s="1366">
        <v>4</v>
      </c>
      <c r="Y9" s="1366" t="s">
        <v>116</v>
      </c>
      <c r="Z9" s="1366" t="s">
        <v>116</v>
      </c>
      <c r="AA9" s="1366" t="s">
        <v>1649</v>
      </c>
      <c r="AB9" s="1366"/>
      <c r="AC9" s="1366"/>
      <c r="AD9" s="1366"/>
      <c r="AE9" s="1366"/>
      <c r="AF9" s="1366"/>
      <c r="AG9" s="1346">
        <v>1</v>
      </c>
      <c r="AZ9" s="1821"/>
      <c r="BA9" s="1346" t="s">
        <v>1512</v>
      </c>
      <c r="BC9" s="1346">
        <v>612</v>
      </c>
      <c r="BD9" s="1346">
        <v>1210</v>
      </c>
      <c r="BE9" s="1346" t="s">
        <v>729</v>
      </c>
      <c r="BF9" s="1346" t="s">
        <v>667</v>
      </c>
      <c r="BG9" s="1346" t="s">
        <v>1477</v>
      </c>
      <c r="BH9" s="1346">
        <v>44</v>
      </c>
      <c r="BI9" s="1346" t="s">
        <v>1478</v>
      </c>
      <c r="BJ9" s="1346">
        <v>44</v>
      </c>
      <c r="BK9" s="1346">
        <v>6</v>
      </c>
      <c r="BL9" s="1346">
        <v>2.625</v>
      </c>
      <c r="BZ9" s="1821"/>
      <c r="CA9" s="1349">
        <v>7</v>
      </c>
      <c r="CB9" s="1349" t="s">
        <v>151</v>
      </c>
      <c r="CC9" s="1349" t="s">
        <v>163</v>
      </c>
      <c r="CD9" s="1349" t="s">
        <v>145</v>
      </c>
      <c r="CE9" s="1349"/>
      <c r="CF9" s="1349">
        <v>446</v>
      </c>
      <c r="CG9" s="1349"/>
      <c r="CH9" s="1349"/>
      <c r="CI9" s="1349"/>
      <c r="CJ9" s="1349"/>
      <c r="CK9" s="1349"/>
      <c r="CL9" s="1349"/>
      <c r="CM9" s="1349"/>
      <c r="CN9" s="1349" t="s">
        <v>1522</v>
      </c>
      <c r="CO9" s="1349">
        <v>2</v>
      </c>
      <c r="CZ9" s="1821"/>
      <c r="DZ9" s="1821"/>
    </row>
    <row r="10" spans="1:133" x14ac:dyDescent="0.2">
      <c r="A10" s="1363" t="s">
        <v>1439</v>
      </c>
      <c r="B10" s="1364">
        <v>35</v>
      </c>
      <c r="C10" s="1363" t="s">
        <v>1592</v>
      </c>
      <c r="D10" s="1364">
        <v>39</v>
      </c>
      <c r="E10" s="1365">
        <v>2.25</v>
      </c>
      <c r="F10" s="1364"/>
      <c r="G10" s="1365"/>
      <c r="H10" s="1365"/>
      <c r="I10" s="1366" t="s">
        <v>116</v>
      </c>
      <c r="J10" s="1365"/>
      <c r="K10" s="1365"/>
      <c r="L10" s="1365">
        <v>5</v>
      </c>
      <c r="M10" s="1365">
        <v>5</v>
      </c>
      <c r="N10" s="1364"/>
      <c r="O10" s="1365"/>
      <c r="P10" s="1365"/>
      <c r="Q10" s="1366" t="s">
        <v>116</v>
      </c>
      <c r="R10" s="1365"/>
      <c r="S10" s="1365"/>
      <c r="T10" s="1365">
        <v>0</v>
      </c>
      <c r="U10" s="1365">
        <v>2.25</v>
      </c>
      <c r="V10" s="1365">
        <v>0</v>
      </c>
      <c r="W10" s="1366">
        <v>2</v>
      </c>
      <c r="X10" s="1366">
        <v>4</v>
      </c>
      <c r="Y10" s="1366" t="s">
        <v>116</v>
      </c>
      <c r="Z10" s="1366" t="s">
        <v>116</v>
      </c>
      <c r="AA10" s="1366" t="s">
        <v>1650</v>
      </c>
      <c r="AB10" s="1366"/>
      <c r="AC10" s="1366"/>
      <c r="AD10" s="1366"/>
      <c r="AE10" s="1366"/>
      <c r="AF10" s="1366"/>
      <c r="AG10" s="1346">
        <v>1</v>
      </c>
      <c r="AZ10" s="1821"/>
      <c r="BA10" s="1346" t="s">
        <v>1513</v>
      </c>
      <c r="BC10" s="1346">
        <v>12</v>
      </c>
      <c r="BD10" s="1346">
        <v>1210</v>
      </c>
      <c r="BE10" s="1346" t="s">
        <v>728</v>
      </c>
      <c r="BF10" s="1346" t="s">
        <v>667</v>
      </c>
      <c r="BG10" s="1346" t="s">
        <v>1487</v>
      </c>
      <c r="BH10" s="1346">
        <v>44</v>
      </c>
      <c r="BJ10" s="1346">
        <v>36</v>
      </c>
      <c r="BK10" s="1346">
        <v>6</v>
      </c>
      <c r="BL10" s="1346">
        <v>2.375</v>
      </c>
      <c r="BZ10" s="1821"/>
      <c r="CA10" s="1349"/>
      <c r="CB10" s="1349" t="s">
        <v>151</v>
      </c>
      <c r="CC10" s="1349" t="s">
        <v>163</v>
      </c>
      <c r="CD10" s="1349" t="s">
        <v>145</v>
      </c>
      <c r="CE10" s="1349"/>
      <c r="CF10" s="1349">
        <v>104</v>
      </c>
      <c r="CG10" s="1349">
        <v>0</v>
      </c>
      <c r="CH10" s="1349">
        <v>0</v>
      </c>
      <c r="CI10" s="1349">
        <v>0</v>
      </c>
      <c r="CJ10" s="1349">
        <v>6</v>
      </c>
      <c r="CK10" s="1349">
        <v>3.125</v>
      </c>
      <c r="CL10" s="1349" t="s">
        <v>702</v>
      </c>
      <c r="CM10" s="1349"/>
      <c r="CN10" s="1349"/>
      <c r="CO10" s="1349"/>
      <c r="CZ10" s="1821"/>
      <c r="DZ10" s="1821"/>
    </row>
    <row r="11" spans="1:133" x14ac:dyDescent="0.2">
      <c r="A11" s="1363" t="s">
        <v>1440</v>
      </c>
      <c r="B11" s="1364">
        <v>7</v>
      </c>
      <c r="C11" s="1363" t="s">
        <v>1592</v>
      </c>
      <c r="D11" s="1364">
        <v>39</v>
      </c>
      <c r="E11" s="1365">
        <v>2.25</v>
      </c>
      <c r="F11" s="1364"/>
      <c r="G11" s="1365"/>
      <c r="H11" s="1365"/>
      <c r="I11" s="1366" t="s">
        <v>116</v>
      </c>
      <c r="J11" s="1365"/>
      <c r="K11" s="1365"/>
      <c r="L11" s="1365">
        <v>5</v>
      </c>
      <c r="M11" s="1365">
        <v>5</v>
      </c>
      <c r="N11" s="1364"/>
      <c r="O11" s="1365"/>
      <c r="P11" s="1365"/>
      <c r="Q11" s="1366" t="s">
        <v>116</v>
      </c>
      <c r="R11" s="1365"/>
      <c r="S11" s="1365"/>
      <c r="T11" s="1365">
        <v>0</v>
      </c>
      <c r="U11" s="1365">
        <v>2.25</v>
      </c>
      <c r="V11" s="1365">
        <v>0</v>
      </c>
      <c r="W11" s="1366">
        <v>2</v>
      </c>
      <c r="X11" s="1366">
        <v>4</v>
      </c>
      <c r="Y11" s="1366" t="s">
        <v>116</v>
      </c>
      <c r="Z11" s="1366" t="s">
        <v>116</v>
      </c>
      <c r="AA11" s="1366" t="s">
        <v>1651</v>
      </c>
      <c r="AB11" s="1366"/>
      <c r="AC11" s="1366"/>
      <c r="AD11" s="1366"/>
      <c r="AE11" s="1366"/>
      <c r="AF11" s="1366"/>
      <c r="AG11" s="1346">
        <v>1</v>
      </c>
      <c r="AZ11" s="1821"/>
      <c r="BA11" s="1346" t="s">
        <v>1514</v>
      </c>
      <c r="BC11" s="1346">
        <v>12</v>
      </c>
      <c r="BD11" s="1346">
        <v>1210</v>
      </c>
      <c r="BE11" s="1346" t="s">
        <v>729</v>
      </c>
      <c r="BF11" s="1346" t="s">
        <v>667</v>
      </c>
      <c r="BG11" s="1346" t="s">
        <v>1488</v>
      </c>
      <c r="BH11" s="1346">
        <v>44</v>
      </c>
      <c r="BI11" s="1346" t="s">
        <v>1488</v>
      </c>
      <c r="BJ11" s="1346">
        <v>44</v>
      </c>
      <c r="BK11" s="1346">
        <v>4</v>
      </c>
      <c r="BL11" s="1346">
        <v>10.625</v>
      </c>
      <c r="BZ11" s="1821"/>
      <c r="CA11" s="1349">
        <v>8</v>
      </c>
      <c r="CB11" s="1349" t="s">
        <v>151</v>
      </c>
      <c r="CC11" s="1349" t="s">
        <v>163</v>
      </c>
      <c r="CD11" s="1349" t="s">
        <v>145</v>
      </c>
      <c r="CE11" s="1349"/>
      <c r="CF11" s="1349">
        <v>342</v>
      </c>
      <c r="CG11" s="1349"/>
      <c r="CH11" s="1349"/>
      <c r="CI11" s="1349"/>
      <c r="CJ11" s="1349"/>
      <c r="CK11" s="1349"/>
      <c r="CL11" s="1349"/>
      <c r="CM11" s="1349"/>
      <c r="CN11" s="1349" t="s">
        <v>1522</v>
      </c>
      <c r="CO11" s="1349">
        <v>2</v>
      </c>
      <c r="CZ11" s="1821"/>
      <c r="DZ11" s="1821"/>
    </row>
    <row r="12" spans="1:133" x14ac:dyDescent="0.2">
      <c r="A12" s="1363" t="s">
        <v>1441</v>
      </c>
      <c r="B12" s="1364">
        <v>4</v>
      </c>
      <c r="C12" s="1363" t="s">
        <v>1592</v>
      </c>
      <c r="D12" s="1364">
        <v>39</v>
      </c>
      <c r="E12" s="1365">
        <v>2.25</v>
      </c>
      <c r="F12" s="1364"/>
      <c r="G12" s="1365"/>
      <c r="H12" s="1365"/>
      <c r="I12" s="1366" t="s">
        <v>116</v>
      </c>
      <c r="J12" s="1365"/>
      <c r="K12" s="1365"/>
      <c r="L12" s="1365">
        <v>5</v>
      </c>
      <c r="M12" s="1365">
        <v>5</v>
      </c>
      <c r="N12" s="1364">
        <v>0</v>
      </c>
      <c r="O12" s="1365">
        <v>6.75</v>
      </c>
      <c r="P12" s="1365">
        <v>2</v>
      </c>
      <c r="Q12" s="1366" t="s">
        <v>116</v>
      </c>
      <c r="R12" s="1365"/>
      <c r="S12" s="1365"/>
      <c r="T12" s="1365">
        <v>0</v>
      </c>
      <c r="U12" s="1365">
        <v>2.25</v>
      </c>
      <c r="V12" s="1365">
        <v>0</v>
      </c>
      <c r="W12" s="1366">
        <v>2</v>
      </c>
      <c r="X12" s="1366">
        <v>4</v>
      </c>
      <c r="Y12" s="1366" t="s">
        <v>116</v>
      </c>
      <c r="Z12" s="1366" t="s">
        <v>116</v>
      </c>
      <c r="AA12" s="1366" t="s">
        <v>1650</v>
      </c>
      <c r="AB12" s="1366"/>
      <c r="AC12" s="1366"/>
      <c r="AD12" s="1366"/>
      <c r="AE12" s="1366"/>
      <c r="AF12" s="1366"/>
      <c r="AG12" s="1346">
        <v>1</v>
      </c>
      <c r="AZ12" s="1821"/>
      <c r="BZ12" s="1821"/>
      <c r="CA12" s="1349"/>
      <c r="CB12" s="1349" t="s">
        <v>151</v>
      </c>
      <c r="CC12" s="1349" t="s">
        <v>163</v>
      </c>
      <c r="CD12" s="1349" t="s">
        <v>145</v>
      </c>
      <c r="CE12" s="1349"/>
      <c r="CF12" s="1349">
        <v>208</v>
      </c>
      <c r="CG12" s="1349">
        <v>0</v>
      </c>
      <c r="CH12" s="1349">
        <v>0</v>
      </c>
      <c r="CI12" s="1349">
        <v>0</v>
      </c>
      <c r="CJ12" s="1349">
        <v>12</v>
      </c>
      <c r="CK12" s="1349">
        <v>6</v>
      </c>
      <c r="CL12" s="1349" t="s">
        <v>702</v>
      </c>
      <c r="CM12" s="1349"/>
      <c r="CN12" s="1349"/>
      <c r="CO12" s="1349"/>
      <c r="CZ12" s="1821"/>
      <c r="DZ12" s="1821"/>
    </row>
    <row r="13" spans="1:133" x14ac:dyDescent="0.2">
      <c r="A13" s="1367" t="s">
        <v>1442</v>
      </c>
      <c r="B13" s="1368">
        <v>1</v>
      </c>
      <c r="C13" s="1367" t="s">
        <v>1592</v>
      </c>
      <c r="D13" s="1368">
        <v>39</v>
      </c>
      <c r="E13" s="1369">
        <v>2.25</v>
      </c>
      <c r="I13" s="1370" t="s">
        <v>116</v>
      </c>
      <c r="L13" s="1369">
        <v>5</v>
      </c>
      <c r="M13" s="1369">
        <v>5</v>
      </c>
      <c r="Q13" s="1370" t="s">
        <v>116</v>
      </c>
      <c r="T13" s="1369">
        <v>0</v>
      </c>
      <c r="U13" s="1369">
        <v>2.25</v>
      </c>
      <c r="V13" s="1369">
        <v>0</v>
      </c>
      <c r="W13" s="1370">
        <v>2</v>
      </c>
      <c r="X13" s="1370">
        <v>4</v>
      </c>
      <c r="Y13" s="1370" t="s">
        <v>116</v>
      </c>
      <c r="Z13" s="1370" t="s">
        <v>116</v>
      </c>
      <c r="AA13" s="1370" t="s">
        <v>1652</v>
      </c>
      <c r="AG13" s="1346">
        <v>1</v>
      </c>
      <c r="AZ13" s="1821"/>
      <c r="BZ13" s="1821"/>
      <c r="CA13" s="1349">
        <v>9</v>
      </c>
      <c r="CB13" s="1349" t="s">
        <v>151</v>
      </c>
      <c r="CC13" s="1349" t="s">
        <v>163</v>
      </c>
      <c r="CD13" s="1349" t="s">
        <v>145</v>
      </c>
      <c r="CE13" s="1349"/>
      <c r="CF13" s="1349">
        <v>238</v>
      </c>
      <c r="CG13" s="1349"/>
      <c r="CH13" s="1349"/>
      <c r="CI13" s="1349"/>
      <c r="CJ13" s="1349"/>
      <c r="CK13" s="1349"/>
      <c r="CL13" s="1349"/>
      <c r="CM13" s="1349"/>
      <c r="CN13" s="1349" t="s">
        <v>1522</v>
      </c>
      <c r="CO13" s="1349">
        <v>2</v>
      </c>
      <c r="CZ13" s="1821"/>
      <c r="DZ13" s="1821"/>
    </row>
    <row r="14" spans="1:133" x14ac:dyDescent="0.2">
      <c r="A14" s="1367" t="s">
        <v>1443</v>
      </c>
      <c r="B14" s="1368">
        <v>1</v>
      </c>
      <c r="C14" s="1367" t="s">
        <v>1592</v>
      </c>
      <c r="D14" s="1368">
        <v>39</v>
      </c>
      <c r="E14" s="1369">
        <v>2.25</v>
      </c>
      <c r="I14" s="1370" t="s">
        <v>116</v>
      </c>
      <c r="L14" s="1369">
        <v>5</v>
      </c>
      <c r="M14" s="1369">
        <v>5</v>
      </c>
      <c r="Q14" s="1370" t="s">
        <v>116</v>
      </c>
      <c r="T14" s="1369">
        <v>0</v>
      </c>
      <c r="U14" s="1369">
        <v>2.25</v>
      </c>
      <c r="V14" s="1369">
        <v>0</v>
      </c>
      <c r="W14" s="1370">
        <v>2</v>
      </c>
      <c r="X14" s="1370">
        <v>4</v>
      </c>
      <c r="Y14" s="1370" t="s">
        <v>116</v>
      </c>
      <c r="Z14" s="1370" t="s">
        <v>116</v>
      </c>
      <c r="AA14" s="1370" t="s">
        <v>1653</v>
      </c>
      <c r="AG14" s="1346">
        <v>1</v>
      </c>
      <c r="AZ14" s="1821"/>
      <c r="BZ14" s="1821"/>
      <c r="CA14" s="1349"/>
      <c r="CB14" s="1349" t="s">
        <v>151</v>
      </c>
      <c r="CC14" s="1349" t="s">
        <v>163</v>
      </c>
      <c r="CD14" s="1349" t="s">
        <v>145</v>
      </c>
      <c r="CE14" s="1349"/>
      <c r="CF14" s="1349">
        <v>312</v>
      </c>
      <c r="CG14" s="1349">
        <v>0</v>
      </c>
      <c r="CH14" s="1349">
        <v>0</v>
      </c>
      <c r="CI14" s="1349">
        <v>0</v>
      </c>
      <c r="CJ14" s="1349">
        <v>18</v>
      </c>
      <c r="CK14" s="1349">
        <v>8.625</v>
      </c>
      <c r="CL14" s="1349" t="s">
        <v>702</v>
      </c>
      <c r="CM14" s="1349"/>
      <c r="CN14" s="1349"/>
      <c r="CO14" s="1349"/>
      <c r="CZ14" s="1821"/>
      <c r="DZ14" s="1821"/>
    </row>
    <row r="15" spans="1:133" x14ac:dyDescent="0.2">
      <c r="A15" s="1367" t="s">
        <v>1444</v>
      </c>
      <c r="B15" s="1368">
        <v>1</v>
      </c>
      <c r="C15" s="1367" t="s">
        <v>1592</v>
      </c>
      <c r="D15" s="1368">
        <v>39</v>
      </c>
      <c r="E15" s="1369">
        <v>2.25</v>
      </c>
      <c r="I15" s="1370" t="s">
        <v>116</v>
      </c>
      <c r="L15" s="1369">
        <v>5</v>
      </c>
      <c r="M15" s="1369">
        <v>5</v>
      </c>
      <c r="Q15" s="1370" t="s">
        <v>116</v>
      </c>
      <c r="T15" s="1369">
        <v>0</v>
      </c>
      <c r="U15" s="1369">
        <v>2.25</v>
      </c>
      <c r="V15" s="1369">
        <v>0</v>
      </c>
      <c r="W15" s="1370">
        <v>2</v>
      </c>
      <c r="X15" s="1370">
        <v>4</v>
      </c>
      <c r="Y15" s="1370" t="s">
        <v>116</v>
      </c>
      <c r="Z15" s="1370" t="s">
        <v>116</v>
      </c>
      <c r="AA15" s="1370" t="s">
        <v>1654</v>
      </c>
      <c r="AG15" s="1346">
        <v>1</v>
      </c>
      <c r="AZ15" s="1821"/>
      <c r="BZ15" s="1821"/>
      <c r="CA15" s="1349">
        <v>10</v>
      </c>
      <c r="CB15" s="1349" t="s">
        <v>151</v>
      </c>
      <c r="CC15" s="1349" t="s">
        <v>163</v>
      </c>
      <c r="CD15" s="1349" t="s">
        <v>145</v>
      </c>
      <c r="CE15" s="1349"/>
      <c r="CF15" s="1349">
        <v>134</v>
      </c>
      <c r="CG15" s="1349"/>
      <c r="CH15" s="1349"/>
      <c r="CI15" s="1349"/>
      <c r="CJ15" s="1349"/>
      <c r="CK15" s="1349"/>
      <c r="CL15" s="1349"/>
      <c r="CM15" s="1349"/>
      <c r="CN15" s="1349" t="s">
        <v>1522</v>
      </c>
      <c r="CO15" s="1349">
        <v>2</v>
      </c>
      <c r="CZ15" s="1821"/>
      <c r="DZ15" s="1821"/>
    </row>
    <row r="16" spans="1:133" x14ac:dyDescent="0.2">
      <c r="A16" s="1367" t="s">
        <v>1445</v>
      </c>
      <c r="B16" s="1368">
        <v>1</v>
      </c>
      <c r="C16" s="1367" t="s">
        <v>1592</v>
      </c>
      <c r="D16" s="1368">
        <v>39</v>
      </c>
      <c r="E16" s="1369">
        <v>2.25</v>
      </c>
      <c r="I16" s="1370" t="s">
        <v>116</v>
      </c>
      <c r="L16" s="1369">
        <v>5</v>
      </c>
      <c r="M16" s="1369">
        <v>5</v>
      </c>
      <c r="Q16" s="1370" t="s">
        <v>116</v>
      </c>
      <c r="T16" s="1369">
        <v>0</v>
      </c>
      <c r="U16" s="1369">
        <v>2.25</v>
      </c>
      <c r="V16" s="1369">
        <v>0</v>
      </c>
      <c r="W16" s="1370">
        <v>2</v>
      </c>
      <c r="X16" s="1370">
        <v>4</v>
      </c>
      <c r="Y16" s="1370" t="s">
        <v>116</v>
      </c>
      <c r="Z16" s="1370" t="s">
        <v>116</v>
      </c>
      <c r="AA16" s="1370" t="s">
        <v>1655</v>
      </c>
      <c r="AG16" s="1346">
        <v>1</v>
      </c>
      <c r="AZ16" s="1821"/>
      <c r="BZ16" s="1821"/>
      <c r="CA16" s="1349"/>
      <c r="CB16" s="1349" t="s">
        <v>151</v>
      </c>
      <c r="CC16" s="1349" t="s">
        <v>163</v>
      </c>
      <c r="CD16" s="1349" t="s">
        <v>145</v>
      </c>
      <c r="CE16" s="1349"/>
      <c r="CF16" s="1349">
        <v>416</v>
      </c>
      <c r="CG16" s="1349">
        <v>0</v>
      </c>
      <c r="CH16" s="1349">
        <v>0</v>
      </c>
      <c r="CI16" s="1349">
        <v>0</v>
      </c>
      <c r="CJ16" s="1349">
        <v>24</v>
      </c>
      <c r="CK16" s="1349">
        <v>11.5</v>
      </c>
      <c r="CL16" s="1349" t="s">
        <v>702</v>
      </c>
      <c r="CM16" s="1349"/>
      <c r="CN16" s="1349"/>
      <c r="CO16" s="1349"/>
      <c r="CZ16" s="1821"/>
      <c r="DZ16" s="1821"/>
    </row>
    <row r="17" spans="1:130" x14ac:dyDescent="0.2">
      <c r="A17" s="1367" t="s">
        <v>1446</v>
      </c>
      <c r="B17" s="1368">
        <v>2</v>
      </c>
      <c r="C17" s="1367" t="s">
        <v>1592</v>
      </c>
      <c r="D17" s="1368">
        <v>40</v>
      </c>
      <c r="E17" s="1369">
        <v>0</v>
      </c>
      <c r="I17" s="1370" t="s">
        <v>116</v>
      </c>
      <c r="L17" s="1369">
        <v>5</v>
      </c>
      <c r="M17" s="1369">
        <v>5</v>
      </c>
      <c r="Q17" s="1370" t="s">
        <v>116</v>
      </c>
      <c r="T17" s="1369">
        <v>0</v>
      </c>
      <c r="U17" s="1369">
        <v>2.25</v>
      </c>
      <c r="V17" s="1369">
        <v>0</v>
      </c>
      <c r="W17" s="1370">
        <v>2</v>
      </c>
      <c r="X17" s="1370">
        <v>4</v>
      </c>
      <c r="Y17" s="1370" t="s">
        <v>116</v>
      </c>
      <c r="Z17" s="1370" t="s">
        <v>116</v>
      </c>
      <c r="AA17" s="1370" t="s">
        <v>1656</v>
      </c>
      <c r="AG17" s="1346">
        <v>1</v>
      </c>
      <c r="AZ17" s="1821"/>
      <c r="BZ17" s="1821"/>
      <c r="CA17" s="1349">
        <v>11</v>
      </c>
      <c r="CB17" s="1349" t="s">
        <v>151</v>
      </c>
      <c r="CC17" s="1349" t="s">
        <v>163</v>
      </c>
      <c r="CD17" s="1349" t="s">
        <v>145</v>
      </c>
      <c r="CE17" s="1349"/>
      <c r="CF17" s="1349">
        <v>35</v>
      </c>
      <c r="CG17" s="1349"/>
      <c r="CH17" s="1349"/>
      <c r="CI17" s="1349"/>
      <c r="CJ17" s="1349"/>
      <c r="CK17" s="1349"/>
      <c r="CL17" s="1349"/>
      <c r="CM17" s="1349"/>
      <c r="CN17" s="1349" t="s">
        <v>1522</v>
      </c>
      <c r="CO17" s="1349">
        <v>2</v>
      </c>
      <c r="CZ17" s="1821"/>
      <c r="DZ17" s="1821"/>
    </row>
    <row r="18" spans="1:130" x14ac:dyDescent="0.2">
      <c r="A18" s="1367" t="s">
        <v>1447</v>
      </c>
      <c r="B18" s="1368">
        <v>1</v>
      </c>
      <c r="C18" s="1367" t="s">
        <v>1592</v>
      </c>
      <c r="D18" s="1368">
        <v>40</v>
      </c>
      <c r="E18" s="1369">
        <v>0</v>
      </c>
      <c r="I18" s="1370" t="s">
        <v>116</v>
      </c>
      <c r="L18" s="1369">
        <v>5</v>
      </c>
      <c r="M18" s="1369">
        <v>5</v>
      </c>
      <c r="N18" s="1368">
        <v>0</v>
      </c>
      <c r="O18" s="1369">
        <v>6.75</v>
      </c>
      <c r="P18" s="1369">
        <v>2</v>
      </c>
      <c r="Q18" s="1370" t="s">
        <v>116</v>
      </c>
      <c r="T18" s="1369">
        <v>0</v>
      </c>
      <c r="U18" s="1369">
        <v>2.25</v>
      </c>
      <c r="V18" s="1369">
        <v>0</v>
      </c>
      <c r="W18" s="1370">
        <v>2</v>
      </c>
      <c r="X18" s="1370">
        <v>4</v>
      </c>
      <c r="Y18" s="1370" t="s">
        <v>116</v>
      </c>
      <c r="Z18" s="1370" t="s">
        <v>116</v>
      </c>
      <c r="AA18" s="1370" t="s">
        <v>1649</v>
      </c>
      <c r="AG18" s="1346">
        <v>1</v>
      </c>
      <c r="AZ18" s="1821"/>
      <c r="BZ18" s="1821"/>
      <c r="CA18" s="1349"/>
      <c r="CB18" s="1349" t="s">
        <v>151</v>
      </c>
      <c r="CC18" s="1349" t="s">
        <v>163</v>
      </c>
      <c r="CD18" s="1349" t="s">
        <v>145</v>
      </c>
      <c r="CE18" s="1349"/>
      <c r="CF18" s="1349">
        <v>514</v>
      </c>
      <c r="CG18" s="1349">
        <v>0</v>
      </c>
      <c r="CH18" s="1349">
        <v>0</v>
      </c>
      <c r="CI18" s="1349">
        <v>0</v>
      </c>
      <c r="CJ18" s="1349">
        <v>30</v>
      </c>
      <c r="CK18" s="1349">
        <v>9.75</v>
      </c>
      <c r="CL18" s="1349" t="s">
        <v>702</v>
      </c>
      <c r="CM18" s="1349"/>
      <c r="CN18" s="1349"/>
      <c r="CO18" s="1349"/>
      <c r="CZ18" s="1821"/>
      <c r="DZ18" s="1821"/>
    </row>
    <row r="19" spans="1:130" x14ac:dyDescent="0.2">
      <c r="A19" s="1367" t="s">
        <v>1448</v>
      </c>
      <c r="B19" s="1368">
        <v>1</v>
      </c>
      <c r="C19" s="1367" t="s">
        <v>1592</v>
      </c>
      <c r="D19" s="1368">
        <v>40</v>
      </c>
      <c r="E19" s="1369">
        <v>0</v>
      </c>
      <c r="I19" s="1370" t="s">
        <v>116</v>
      </c>
      <c r="L19" s="1369">
        <v>5</v>
      </c>
      <c r="M19" s="1369">
        <v>5</v>
      </c>
      <c r="Q19" s="1370" t="s">
        <v>116</v>
      </c>
      <c r="T19" s="1369">
        <v>0</v>
      </c>
      <c r="U19" s="1369">
        <v>2.25</v>
      </c>
      <c r="V19" s="1369">
        <v>0</v>
      </c>
      <c r="W19" s="1370">
        <v>2</v>
      </c>
      <c r="X19" s="1370">
        <v>4</v>
      </c>
      <c r="Y19" s="1370" t="s">
        <v>116</v>
      </c>
      <c r="Z19" s="1370" t="s">
        <v>116</v>
      </c>
      <c r="AA19" s="1370" t="s">
        <v>1658</v>
      </c>
      <c r="AG19" s="1346">
        <v>1</v>
      </c>
      <c r="AZ19" s="1821"/>
      <c r="BZ19" s="1821"/>
      <c r="CA19" s="1349">
        <v>12</v>
      </c>
      <c r="CB19" s="1349" t="s">
        <v>151</v>
      </c>
      <c r="CC19" s="1349" t="s">
        <v>163</v>
      </c>
      <c r="CD19" s="1349" t="s">
        <v>145</v>
      </c>
      <c r="CE19" s="1349"/>
      <c r="CF19" s="1349">
        <v>550</v>
      </c>
      <c r="CG19" s="1349">
        <v>0</v>
      </c>
      <c r="CH19" s="1349">
        <v>0</v>
      </c>
      <c r="CI19" s="1349">
        <v>0</v>
      </c>
      <c r="CJ19" s="1349">
        <v>33</v>
      </c>
      <c r="CK19" s="1349">
        <v>0</v>
      </c>
      <c r="CL19" s="1349" t="s">
        <v>702</v>
      </c>
      <c r="CM19" s="1349"/>
      <c r="CN19" s="1349" t="s">
        <v>1522</v>
      </c>
      <c r="CO19" s="1349">
        <v>1</v>
      </c>
      <c r="CZ19" s="1821"/>
      <c r="DZ19" s="1821"/>
    </row>
    <row r="20" spans="1:130" x14ac:dyDescent="0.2">
      <c r="A20" s="1367" t="s">
        <v>1449</v>
      </c>
      <c r="B20" s="1368">
        <v>1</v>
      </c>
      <c r="C20" s="1367" t="s">
        <v>1592</v>
      </c>
      <c r="D20" s="1368">
        <v>40</v>
      </c>
      <c r="E20" s="1369">
        <v>0</v>
      </c>
      <c r="I20" s="1370" t="s">
        <v>116</v>
      </c>
      <c r="L20" s="1369">
        <v>5</v>
      </c>
      <c r="M20" s="1369">
        <v>5</v>
      </c>
      <c r="N20" s="1368">
        <v>0</v>
      </c>
      <c r="O20" s="1369">
        <v>6.75</v>
      </c>
      <c r="P20" s="1369">
        <v>2</v>
      </c>
      <c r="Q20" s="1370" t="s">
        <v>116</v>
      </c>
      <c r="T20" s="1369">
        <v>0</v>
      </c>
      <c r="U20" s="1369">
        <v>2.25</v>
      </c>
      <c r="V20" s="1369">
        <v>0</v>
      </c>
      <c r="W20" s="1370">
        <v>2</v>
      </c>
      <c r="X20" s="1370">
        <v>4</v>
      </c>
      <c r="Y20" s="1370" t="s">
        <v>116</v>
      </c>
      <c r="Z20" s="1370" t="s">
        <v>116</v>
      </c>
      <c r="AA20" s="1370" t="s">
        <v>1648</v>
      </c>
      <c r="AG20" s="1346">
        <v>1</v>
      </c>
      <c r="CA20" s="1349">
        <v>13</v>
      </c>
      <c r="CB20" s="1349" t="s">
        <v>151</v>
      </c>
      <c r="CC20" s="1349" t="s">
        <v>163</v>
      </c>
      <c r="CD20" s="1349" t="s">
        <v>145</v>
      </c>
      <c r="CE20" s="1349"/>
      <c r="CF20" s="1349">
        <v>446</v>
      </c>
      <c r="CG20" s="1349">
        <v>0</v>
      </c>
      <c r="CH20" s="1349">
        <v>0</v>
      </c>
      <c r="CI20" s="1349">
        <v>446</v>
      </c>
      <c r="CJ20" s="1349">
        <v>25</v>
      </c>
      <c r="CK20" s="1349">
        <v>0</v>
      </c>
      <c r="CL20" s="1349" t="s">
        <v>700</v>
      </c>
      <c r="CM20" s="1349"/>
      <c r="CN20" s="1349" t="s">
        <v>1522</v>
      </c>
      <c r="CO20" s="1349">
        <v>2</v>
      </c>
    </row>
    <row r="21" spans="1:130" x14ac:dyDescent="0.2">
      <c r="A21" s="1367" t="s">
        <v>1450</v>
      </c>
      <c r="B21" s="1368">
        <v>2</v>
      </c>
      <c r="C21" s="1367" t="s">
        <v>1592</v>
      </c>
      <c r="D21" s="1368">
        <v>49</v>
      </c>
      <c r="E21" s="1369">
        <v>11.5</v>
      </c>
      <c r="I21" s="1370" t="s">
        <v>116</v>
      </c>
      <c r="L21" s="1369">
        <v>5</v>
      </c>
      <c r="M21" s="1369">
        <v>5</v>
      </c>
      <c r="Q21" s="1370" t="s">
        <v>116</v>
      </c>
      <c r="T21" s="1369">
        <v>0</v>
      </c>
      <c r="U21" s="1369">
        <v>2.25</v>
      </c>
      <c r="V21" s="1369">
        <v>0</v>
      </c>
      <c r="W21" s="1370">
        <v>2.25</v>
      </c>
      <c r="X21" s="1370">
        <v>4</v>
      </c>
      <c r="Y21" s="1370" t="s">
        <v>116</v>
      </c>
      <c r="Z21" s="1370" t="s">
        <v>116</v>
      </c>
      <c r="AA21" s="1370" t="s">
        <v>1659</v>
      </c>
      <c r="AG21" s="1346">
        <v>1</v>
      </c>
      <c r="CA21" s="1349"/>
      <c r="CB21" s="1349" t="s">
        <v>151</v>
      </c>
      <c r="CC21" s="1349" t="s">
        <v>163</v>
      </c>
      <c r="CD21" s="1349" t="s">
        <v>145</v>
      </c>
      <c r="CE21" s="1349"/>
      <c r="CF21" s="1349">
        <v>154</v>
      </c>
      <c r="CG21" s="1349">
        <v>25</v>
      </c>
      <c r="CH21" s="1349">
        <v>0</v>
      </c>
      <c r="CI21" s="1349">
        <v>154</v>
      </c>
      <c r="CJ21" s="1349">
        <v>50</v>
      </c>
      <c r="CK21" s="1349">
        <v>0</v>
      </c>
      <c r="CL21" s="1349" t="s">
        <v>700</v>
      </c>
      <c r="CM21" s="1349"/>
      <c r="CN21" s="1349"/>
      <c r="CO21" s="1349"/>
    </row>
    <row r="22" spans="1:130" x14ac:dyDescent="0.2">
      <c r="A22" s="1367" t="s">
        <v>1451</v>
      </c>
      <c r="B22" s="1368">
        <v>2</v>
      </c>
      <c r="C22" s="1367" t="s">
        <v>1592</v>
      </c>
      <c r="D22" s="1368">
        <v>49</v>
      </c>
      <c r="E22" s="1369">
        <v>11.5</v>
      </c>
      <c r="I22" s="1370" t="s">
        <v>116</v>
      </c>
      <c r="L22" s="1369">
        <v>5</v>
      </c>
      <c r="M22" s="1369">
        <v>5</v>
      </c>
      <c r="Q22" s="1370" t="s">
        <v>116</v>
      </c>
      <c r="T22" s="1369">
        <v>0</v>
      </c>
      <c r="U22" s="1369">
        <v>2.25</v>
      </c>
      <c r="V22" s="1369">
        <v>0</v>
      </c>
      <c r="W22" s="1370">
        <v>2.25</v>
      </c>
      <c r="X22" s="1370">
        <v>4</v>
      </c>
      <c r="Y22" s="1370" t="s">
        <v>116</v>
      </c>
      <c r="Z22" s="1370" t="s">
        <v>116</v>
      </c>
      <c r="AA22" s="1370" t="s">
        <v>1660</v>
      </c>
      <c r="AG22" s="1346">
        <v>1</v>
      </c>
      <c r="CA22" s="1349">
        <v>14</v>
      </c>
      <c r="CB22" s="1349" t="s">
        <v>151</v>
      </c>
      <c r="CC22" s="1349" t="s">
        <v>163</v>
      </c>
      <c r="CD22" s="1349" t="s">
        <v>145</v>
      </c>
      <c r="CE22" s="1349"/>
      <c r="CF22" s="1349">
        <v>342</v>
      </c>
      <c r="CG22" s="1349">
        <v>0</v>
      </c>
      <c r="CH22" s="1349">
        <v>0</v>
      </c>
      <c r="CI22" s="1349">
        <v>342</v>
      </c>
      <c r="CJ22" s="1349">
        <v>25</v>
      </c>
      <c r="CK22" s="1349">
        <v>0</v>
      </c>
      <c r="CL22" s="1349" t="s">
        <v>700</v>
      </c>
      <c r="CM22" s="1349"/>
      <c r="CN22" s="1349" t="s">
        <v>1522</v>
      </c>
      <c r="CO22" s="1349">
        <v>2</v>
      </c>
    </row>
    <row r="23" spans="1:130" x14ac:dyDescent="0.2">
      <c r="A23" s="1367" t="s">
        <v>1452</v>
      </c>
      <c r="B23" s="1368">
        <v>2</v>
      </c>
      <c r="C23" s="1367" t="s">
        <v>1592</v>
      </c>
      <c r="D23" s="1368">
        <v>49</v>
      </c>
      <c r="E23" s="1369">
        <v>11.5</v>
      </c>
      <c r="I23" s="1370" t="s">
        <v>116</v>
      </c>
      <c r="L23" s="1369">
        <v>5</v>
      </c>
      <c r="M23" s="1369">
        <v>5</v>
      </c>
      <c r="Q23" s="1370" t="s">
        <v>116</v>
      </c>
      <c r="T23" s="1369">
        <v>0</v>
      </c>
      <c r="U23" s="1369">
        <v>2.25</v>
      </c>
      <c r="V23" s="1369">
        <v>0</v>
      </c>
      <c r="W23" s="1370">
        <v>2.25</v>
      </c>
      <c r="X23" s="1370">
        <v>4</v>
      </c>
      <c r="Y23" s="1370" t="s">
        <v>116</v>
      </c>
      <c r="Z23" s="1370" t="s">
        <v>116</v>
      </c>
      <c r="AA23" s="1370" t="s">
        <v>1661</v>
      </c>
      <c r="AG23" s="1346">
        <v>1</v>
      </c>
      <c r="CA23" s="1349"/>
      <c r="CB23" s="1349" t="s">
        <v>151</v>
      </c>
      <c r="CC23" s="1349" t="s">
        <v>163</v>
      </c>
      <c r="CD23" s="1349" t="s">
        <v>145</v>
      </c>
      <c r="CE23" s="1349"/>
      <c r="CF23" s="1349">
        <v>60</v>
      </c>
      <c r="CG23" s="1349">
        <v>25</v>
      </c>
      <c r="CH23" s="1349">
        <v>0</v>
      </c>
      <c r="CI23" s="1349">
        <v>60</v>
      </c>
      <c r="CJ23" s="1349">
        <v>50</v>
      </c>
      <c r="CK23" s="1349">
        <v>0</v>
      </c>
      <c r="CL23" s="1349" t="s">
        <v>700</v>
      </c>
      <c r="CM23" s="1349"/>
      <c r="CN23" s="1349"/>
      <c r="CO23" s="1349"/>
    </row>
    <row r="24" spans="1:130" x14ac:dyDescent="0.2">
      <c r="A24" s="1367" t="s">
        <v>1453</v>
      </c>
      <c r="B24" s="1368">
        <v>2</v>
      </c>
      <c r="C24" s="1367" t="s">
        <v>1592</v>
      </c>
      <c r="D24" s="1368">
        <v>49</v>
      </c>
      <c r="E24" s="1369">
        <v>11.5</v>
      </c>
      <c r="I24" s="1370" t="s">
        <v>116</v>
      </c>
      <c r="L24" s="1369">
        <v>5</v>
      </c>
      <c r="M24" s="1369">
        <v>5</v>
      </c>
      <c r="Q24" s="1370" t="s">
        <v>116</v>
      </c>
      <c r="T24" s="1369">
        <v>0</v>
      </c>
      <c r="U24" s="1369">
        <v>2.25</v>
      </c>
      <c r="V24" s="1369">
        <v>0</v>
      </c>
      <c r="W24" s="1370">
        <v>2.25</v>
      </c>
      <c r="X24" s="1370">
        <v>4</v>
      </c>
      <c r="Y24" s="1370" t="s">
        <v>116</v>
      </c>
      <c r="Z24" s="1370" t="s">
        <v>116</v>
      </c>
      <c r="AA24" s="1370" t="s">
        <v>1662</v>
      </c>
      <c r="AG24" s="1346">
        <v>1</v>
      </c>
      <c r="CA24" s="1349">
        <v>15</v>
      </c>
      <c r="CB24" s="1349" t="s">
        <v>151</v>
      </c>
      <c r="CC24" s="1349" t="s">
        <v>163</v>
      </c>
      <c r="CD24" s="1349" t="s">
        <v>145</v>
      </c>
      <c r="CE24" s="1349"/>
      <c r="CF24" s="1349">
        <v>238</v>
      </c>
      <c r="CG24" s="1349">
        <v>0</v>
      </c>
      <c r="CH24" s="1349">
        <v>0</v>
      </c>
      <c r="CI24" s="1349">
        <v>238</v>
      </c>
      <c r="CJ24" s="1349">
        <v>25</v>
      </c>
      <c r="CK24" s="1349">
        <v>0</v>
      </c>
      <c r="CL24" s="1349" t="s">
        <v>700</v>
      </c>
      <c r="CM24" s="1349"/>
      <c r="CN24" s="1349" t="s">
        <v>1522</v>
      </c>
      <c r="CO24" s="1349">
        <v>2</v>
      </c>
    </row>
    <row r="25" spans="1:130" x14ac:dyDescent="0.2">
      <c r="A25" s="1367" t="s">
        <v>1454</v>
      </c>
      <c r="B25" s="1368">
        <v>2</v>
      </c>
      <c r="C25" s="1367" t="s">
        <v>1592</v>
      </c>
      <c r="D25" s="1368">
        <v>49</v>
      </c>
      <c r="E25" s="1369">
        <v>11.5</v>
      </c>
      <c r="I25" s="1370" t="s">
        <v>116</v>
      </c>
      <c r="L25" s="1369">
        <v>5</v>
      </c>
      <c r="M25" s="1369">
        <v>5</v>
      </c>
      <c r="Q25" s="1370" t="s">
        <v>116</v>
      </c>
      <c r="T25" s="1369">
        <v>0</v>
      </c>
      <c r="U25" s="1369">
        <v>2.25</v>
      </c>
      <c r="V25" s="1369">
        <v>0</v>
      </c>
      <c r="W25" s="1370">
        <v>2.25</v>
      </c>
      <c r="X25" s="1370">
        <v>4</v>
      </c>
      <c r="Y25" s="1370" t="s">
        <v>116</v>
      </c>
      <c r="Z25" s="1370" t="s">
        <v>116</v>
      </c>
      <c r="AA25" s="1370" t="s">
        <v>1663</v>
      </c>
      <c r="AG25" s="1346">
        <v>1</v>
      </c>
      <c r="CA25" s="1349"/>
      <c r="CB25" s="1349" t="s">
        <v>151</v>
      </c>
      <c r="CC25" s="1349" t="s">
        <v>163</v>
      </c>
      <c r="CD25" s="1349" t="s">
        <v>145</v>
      </c>
      <c r="CE25" s="1349"/>
      <c r="CF25" s="1349">
        <v>4</v>
      </c>
      <c r="CG25" s="1349">
        <v>25</v>
      </c>
      <c r="CH25" s="1349">
        <v>0</v>
      </c>
      <c r="CI25" s="1349">
        <v>4</v>
      </c>
      <c r="CJ25" s="1349">
        <v>50</v>
      </c>
      <c r="CK25" s="1349">
        <v>0</v>
      </c>
      <c r="CL25" s="1349" t="s">
        <v>700</v>
      </c>
      <c r="CM25" s="1349"/>
      <c r="CN25" s="1349"/>
      <c r="CO25" s="1349"/>
    </row>
    <row r="26" spans="1:130" x14ac:dyDescent="0.2">
      <c r="A26" s="1367" t="s">
        <v>1455</v>
      </c>
      <c r="B26" s="1368">
        <v>136</v>
      </c>
      <c r="C26" s="1367" t="s">
        <v>1592</v>
      </c>
      <c r="D26" s="1368">
        <v>49</v>
      </c>
      <c r="E26" s="1369">
        <v>11.5</v>
      </c>
      <c r="I26" s="1370" t="s">
        <v>116</v>
      </c>
      <c r="L26" s="1369">
        <v>5</v>
      </c>
      <c r="M26" s="1369">
        <v>5</v>
      </c>
      <c r="Q26" s="1370" t="s">
        <v>116</v>
      </c>
      <c r="T26" s="1369">
        <v>0</v>
      </c>
      <c r="U26" s="1369">
        <v>2.25</v>
      </c>
      <c r="V26" s="1369">
        <v>0</v>
      </c>
      <c r="W26" s="1370">
        <v>2.25</v>
      </c>
      <c r="X26" s="1370">
        <v>4</v>
      </c>
      <c r="Y26" s="1370" t="s">
        <v>116</v>
      </c>
      <c r="Z26" s="1370" t="s">
        <v>116</v>
      </c>
      <c r="AA26" s="1370" t="s">
        <v>1664</v>
      </c>
      <c r="AG26" s="1346">
        <v>1</v>
      </c>
      <c r="CA26" s="1349">
        <v>16</v>
      </c>
      <c r="CB26" s="1349" t="s">
        <v>151</v>
      </c>
      <c r="CC26" s="1349" t="s">
        <v>163</v>
      </c>
      <c r="CD26" s="1349" t="s">
        <v>145</v>
      </c>
      <c r="CE26" s="1349"/>
      <c r="CF26" s="1349">
        <v>134</v>
      </c>
      <c r="CG26" s="1349">
        <v>0</v>
      </c>
      <c r="CH26" s="1349">
        <v>0</v>
      </c>
      <c r="CI26" s="1349">
        <v>134</v>
      </c>
      <c r="CJ26" s="1349">
        <v>25</v>
      </c>
      <c r="CK26" s="1349">
        <v>0</v>
      </c>
      <c r="CL26" s="1349" t="s">
        <v>700</v>
      </c>
      <c r="CM26" s="1349"/>
      <c r="CN26" s="1349" t="s">
        <v>1522</v>
      </c>
      <c r="CO26" s="1349">
        <v>1</v>
      </c>
    </row>
    <row r="27" spans="1:130" x14ac:dyDescent="0.2">
      <c r="A27" s="1367" t="s">
        <v>1456</v>
      </c>
      <c r="B27" s="1368">
        <v>16</v>
      </c>
      <c r="C27" s="1367" t="s">
        <v>1592</v>
      </c>
      <c r="D27" s="1368">
        <v>49</v>
      </c>
      <c r="E27" s="1369">
        <v>11.5</v>
      </c>
      <c r="I27" s="1370" t="s">
        <v>116</v>
      </c>
      <c r="L27" s="1369">
        <v>5</v>
      </c>
      <c r="M27" s="1369">
        <v>5</v>
      </c>
      <c r="N27" s="1368">
        <v>0</v>
      </c>
      <c r="O27" s="1369">
        <v>6.75</v>
      </c>
      <c r="P27" s="1369">
        <v>2</v>
      </c>
      <c r="Q27" s="1370">
        <v>0</v>
      </c>
      <c r="R27" s="1369">
        <v>6.75</v>
      </c>
      <c r="S27" s="1369">
        <v>2</v>
      </c>
      <c r="T27" s="1369">
        <v>0</v>
      </c>
      <c r="U27" s="1369">
        <v>2.25</v>
      </c>
      <c r="V27" s="1369">
        <v>0</v>
      </c>
      <c r="W27" s="1370">
        <v>2.25</v>
      </c>
      <c r="X27" s="1370">
        <v>4</v>
      </c>
      <c r="Y27" s="1370" t="s">
        <v>116</v>
      </c>
      <c r="Z27" s="1370" t="s">
        <v>116</v>
      </c>
      <c r="AA27" s="1370" t="s">
        <v>1664</v>
      </c>
      <c r="AG27" s="1346">
        <v>1</v>
      </c>
      <c r="CA27" s="1349">
        <v>17</v>
      </c>
      <c r="CB27" s="1349" t="s">
        <v>151</v>
      </c>
      <c r="CC27" s="1349" t="s">
        <v>163</v>
      </c>
      <c r="CD27" s="1349" t="s">
        <v>145</v>
      </c>
      <c r="CE27" s="1349"/>
      <c r="CF27" s="1349">
        <v>35</v>
      </c>
      <c r="CG27" s="1349">
        <v>0</v>
      </c>
      <c r="CH27" s="1349">
        <v>0</v>
      </c>
      <c r="CI27" s="1349">
        <v>35</v>
      </c>
      <c r="CJ27" s="1349">
        <v>25</v>
      </c>
      <c r="CK27" s="1349">
        <v>0</v>
      </c>
      <c r="CL27" s="1349" t="s">
        <v>700</v>
      </c>
      <c r="CM27" s="1349"/>
      <c r="CN27" s="1349" t="s">
        <v>1522</v>
      </c>
      <c r="CO27" s="1349">
        <v>1</v>
      </c>
    </row>
    <row r="28" spans="1:130" x14ac:dyDescent="0.2">
      <c r="A28" s="1367" t="s">
        <v>1457</v>
      </c>
      <c r="B28" s="1368">
        <v>3</v>
      </c>
      <c r="C28" s="1367" t="s">
        <v>1592</v>
      </c>
      <c r="D28" s="1368">
        <v>49</v>
      </c>
      <c r="E28" s="1369">
        <v>11.5</v>
      </c>
      <c r="I28" s="1370" t="s">
        <v>116</v>
      </c>
      <c r="L28" s="1369">
        <v>5</v>
      </c>
      <c r="M28" s="1369">
        <v>5</v>
      </c>
      <c r="Q28" s="1370" t="s">
        <v>116</v>
      </c>
      <c r="T28" s="1369">
        <v>0</v>
      </c>
      <c r="U28" s="1369">
        <v>2.25</v>
      </c>
      <c r="V28" s="1369">
        <v>0</v>
      </c>
      <c r="W28" s="1370">
        <v>2.25</v>
      </c>
      <c r="X28" s="1370">
        <v>4</v>
      </c>
      <c r="Y28" s="1370" t="s">
        <v>116</v>
      </c>
      <c r="Z28" s="1370" t="s">
        <v>116</v>
      </c>
      <c r="AA28" s="1370" t="s">
        <v>1665</v>
      </c>
      <c r="AG28" s="1346">
        <v>1</v>
      </c>
      <c r="CA28" s="1349">
        <v>18</v>
      </c>
      <c r="CB28" s="1349" t="s">
        <v>151</v>
      </c>
      <c r="CC28" s="1349" t="s">
        <v>163</v>
      </c>
      <c r="CD28" s="1349" t="s">
        <v>145</v>
      </c>
      <c r="CE28" s="1349"/>
      <c r="CF28" s="1349">
        <v>154</v>
      </c>
      <c r="CG28" s="1349"/>
      <c r="CH28" s="1349"/>
      <c r="CI28" s="1349"/>
      <c r="CJ28" s="1349"/>
      <c r="CK28" s="1349"/>
      <c r="CL28" s="1349"/>
      <c r="CM28" s="1349"/>
      <c r="CN28" s="1349" t="s">
        <v>1522</v>
      </c>
      <c r="CO28" s="1349">
        <v>1</v>
      </c>
    </row>
    <row r="29" spans="1:130" x14ac:dyDescent="0.2">
      <c r="A29" s="1367" t="s">
        <v>1458</v>
      </c>
      <c r="B29" s="1368">
        <v>2</v>
      </c>
      <c r="C29" s="1367" t="s">
        <v>1592</v>
      </c>
      <c r="D29" s="1368">
        <v>49</v>
      </c>
      <c r="E29" s="1369">
        <v>11.5</v>
      </c>
      <c r="I29" s="1370" t="s">
        <v>116</v>
      </c>
      <c r="L29" s="1369">
        <v>5</v>
      </c>
      <c r="M29" s="1369">
        <v>5</v>
      </c>
      <c r="Q29" s="1370" t="s">
        <v>116</v>
      </c>
      <c r="T29" s="1369">
        <v>0</v>
      </c>
      <c r="U29" s="1369">
        <v>2.25</v>
      </c>
      <c r="V29" s="1369">
        <v>0</v>
      </c>
      <c r="W29" s="1370">
        <v>2.25</v>
      </c>
      <c r="X29" s="1370">
        <v>4</v>
      </c>
      <c r="Y29" s="1370" t="s">
        <v>116</v>
      </c>
      <c r="Z29" s="1370" t="s">
        <v>116</v>
      </c>
      <c r="AA29" s="1370" t="s">
        <v>1666</v>
      </c>
      <c r="AG29" s="1346">
        <v>1</v>
      </c>
      <c r="CA29" s="1349">
        <v>19</v>
      </c>
      <c r="CB29" s="1349" t="s">
        <v>151</v>
      </c>
      <c r="CC29" s="1349" t="s">
        <v>163</v>
      </c>
      <c r="CD29" s="1349" t="s">
        <v>145</v>
      </c>
      <c r="CE29" s="1349"/>
      <c r="CF29" s="1349">
        <v>60</v>
      </c>
      <c r="CG29" s="1349"/>
      <c r="CH29" s="1349"/>
      <c r="CI29" s="1349"/>
      <c r="CJ29" s="1349"/>
      <c r="CK29" s="1349"/>
      <c r="CL29" s="1349"/>
      <c r="CM29" s="1349"/>
      <c r="CN29" s="1349" t="s">
        <v>1522</v>
      </c>
      <c r="CO29" s="1349">
        <v>1</v>
      </c>
    </row>
    <row r="30" spans="1:130" x14ac:dyDescent="0.2">
      <c r="A30" s="1367" t="s">
        <v>1459</v>
      </c>
      <c r="B30" s="1368">
        <v>6</v>
      </c>
      <c r="C30" s="1367" t="s">
        <v>1592</v>
      </c>
      <c r="D30" s="1368">
        <v>49</v>
      </c>
      <c r="E30" s="1369">
        <v>11.5</v>
      </c>
      <c r="I30" s="1370" t="s">
        <v>116</v>
      </c>
      <c r="L30" s="1369">
        <v>5</v>
      </c>
      <c r="M30" s="1369">
        <v>5</v>
      </c>
      <c r="Q30" s="1370" t="s">
        <v>116</v>
      </c>
      <c r="T30" s="1369">
        <v>0</v>
      </c>
      <c r="U30" s="1369">
        <v>2.25</v>
      </c>
      <c r="V30" s="1369">
        <v>0</v>
      </c>
      <c r="W30" s="1370">
        <v>2.25</v>
      </c>
      <c r="X30" s="1370">
        <v>4</v>
      </c>
      <c r="Y30" s="1370" t="s">
        <v>116</v>
      </c>
      <c r="Z30" s="1370" t="s">
        <v>116</v>
      </c>
      <c r="AA30" s="1370" t="s">
        <v>1667</v>
      </c>
      <c r="AG30" s="1346">
        <v>1</v>
      </c>
      <c r="CA30" s="1349">
        <v>20</v>
      </c>
      <c r="CB30" s="1349" t="s">
        <v>151</v>
      </c>
      <c r="CC30" s="1349" t="s">
        <v>163</v>
      </c>
      <c r="CD30" s="1349" t="s">
        <v>145</v>
      </c>
      <c r="CE30" s="1349"/>
      <c r="CF30" s="1349">
        <v>4</v>
      </c>
      <c r="CG30" s="1349"/>
      <c r="CH30" s="1349"/>
      <c r="CI30" s="1349"/>
      <c r="CJ30" s="1349"/>
      <c r="CK30" s="1349"/>
      <c r="CL30" s="1349"/>
      <c r="CM30" s="1349"/>
      <c r="CN30" s="1349" t="s">
        <v>1522</v>
      </c>
      <c r="CO30" s="1349">
        <v>1</v>
      </c>
    </row>
    <row r="31" spans="1:130" x14ac:dyDescent="0.2">
      <c r="A31" s="1367" t="s">
        <v>1460</v>
      </c>
      <c r="B31" s="1368">
        <v>22</v>
      </c>
      <c r="C31" s="1367" t="s">
        <v>1592</v>
      </c>
      <c r="D31" s="1368">
        <v>49</v>
      </c>
      <c r="E31" s="1369">
        <v>11.5</v>
      </c>
      <c r="I31" s="1370" t="s">
        <v>116</v>
      </c>
      <c r="L31" s="1369">
        <v>5</v>
      </c>
      <c r="M31" s="1369">
        <v>5</v>
      </c>
      <c r="Q31" s="1370" t="s">
        <v>116</v>
      </c>
      <c r="T31" s="1369">
        <v>0</v>
      </c>
      <c r="U31" s="1369">
        <v>2.25</v>
      </c>
      <c r="V31" s="1369">
        <v>0</v>
      </c>
      <c r="W31" s="1370">
        <v>2.25</v>
      </c>
      <c r="X31" s="1370">
        <v>4</v>
      </c>
      <c r="Y31" s="1370" t="s">
        <v>116</v>
      </c>
      <c r="Z31" s="1370" t="s">
        <v>116</v>
      </c>
      <c r="AA31" s="1370" t="s">
        <v>1668</v>
      </c>
      <c r="AG31" s="1346">
        <v>1</v>
      </c>
      <c r="CA31" s="1349">
        <v>21</v>
      </c>
      <c r="CB31" s="1349" t="s">
        <v>151</v>
      </c>
      <c r="CC31" s="1349" t="s">
        <v>163</v>
      </c>
      <c r="CD31" s="1349" t="s">
        <v>145</v>
      </c>
      <c r="CE31" s="1349"/>
      <c r="CF31" s="1349">
        <v>249</v>
      </c>
      <c r="CG31" s="1349">
        <v>0</v>
      </c>
      <c r="CH31" s="1349">
        <v>0</v>
      </c>
      <c r="CI31" s="1349">
        <v>0</v>
      </c>
      <c r="CJ31" s="1349">
        <v>16</v>
      </c>
      <c r="CK31" s="1349">
        <v>4</v>
      </c>
      <c r="CL31" s="1349" t="s">
        <v>702</v>
      </c>
      <c r="CM31" s="1349"/>
      <c r="CN31" s="1349" t="s">
        <v>1522</v>
      </c>
      <c r="CO31" s="1349">
        <v>1</v>
      </c>
    </row>
    <row r="32" spans="1:130" x14ac:dyDescent="0.2">
      <c r="A32" s="1367" t="s">
        <v>1461</v>
      </c>
      <c r="B32" s="1368">
        <v>2</v>
      </c>
      <c r="C32" s="1367" t="s">
        <v>1592</v>
      </c>
      <c r="D32" s="1368">
        <v>49</v>
      </c>
      <c r="E32" s="1369">
        <v>11.5</v>
      </c>
      <c r="I32" s="1370" t="s">
        <v>116</v>
      </c>
      <c r="L32" s="1369">
        <v>5</v>
      </c>
      <c r="M32" s="1369">
        <v>5</v>
      </c>
      <c r="N32" s="1368">
        <v>0</v>
      </c>
      <c r="O32" s="1369">
        <v>6.75</v>
      </c>
      <c r="P32" s="1369">
        <v>2</v>
      </c>
      <c r="Q32" s="1370">
        <v>0</v>
      </c>
      <c r="R32" s="1369">
        <v>6.75</v>
      </c>
      <c r="S32" s="1369">
        <v>2</v>
      </c>
      <c r="T32" s="1369">
        <v>0</v>
      </c>
      <c r="U32" s="1369">
        <v>2.25</v>
      </c>
      <c r="V32" s="1369">
        <v>0</v>
      </c>
      <c r="W32" s="1370">
        <v>2.25</v>
      </c>
      <c r="X32" s="1370">
        <v>4</v>
      </c>
      <c r="Y32" s="1370" t="s">
        <v>116</v>
      </c>
      <c r="Z32" s="1370" t="s">
        <v>116</v>
      </c>
      <c r="AA32" s="1370" t="s">
        <v>1668</v>
      </c>
      <c r="AG32" s="1346">
        <v>1</v>
      </c>
      <c r="CA32" s="1349">
        <v>22</v>
      </c>
      <c r="CB32" s="1349" t="s">
        <v>151</v>
      </c>
      <c r="CC32" s="1349" t="s">
        <v>163</v>
      </c>
      <c r="CD32" s="1349" t="s">
        <v>145</v>
      </c>
      <c r="CE32" s="1349"/>
      <c r="CF32" s="1349">
        <v>424</v>
      </c>
      <c r="CG32" s="1349">
        <v>0</v>
      </c>
      <c r="CH32" s="1349">
        <v>0</v>
      </c>
      <c r="CI32" s="1349">
        <v>0</v>
      </c>
      <c r="CJ32" s="1349">
        <v>20</v>
      </c>
      <c r="CK32" s="1349">
        <v>9</v>
      </c>
      <c r="CL32" s="1349" t="s">
        <v>702</v>
      </c>
      <c r="CM32" s="1349"/>
      <c r="CN32" s="1349" t="s">
        <v>1522</v>
      </c>
      <c r="CO32" s="1349">
        <v>1</v>
      </c>
    </row>
    <row r="33" spans="1:93" x14ac:dyDescent="0.2">
      <c r="A33" s="1367" t="s">
        <v>1462</v>
      </c>
      <c r="B33" s="1368">
        <v>2</v>
      </c>
      <c r="C33" s="1367" t="s">
        <v>1592</v>
      </c>
      <c r="D33" s="1368">
        <v>49</v>
      </c>
      <c r="E33" s="1369">
        <v>11.5</v>
      </c>
      <c r="I33" s="1370" t="s">
        <v>116</v>
      </c>
      <c r="L33" s="1369">
        <v>5</v>
      </c>
      <c r="M33" s="1369">
        <v>5</v>
      </c>
      <c r="Q33" s="1370" t="s">
        <v>116</v>
      </c>
      <c r="T33" s="1369">
        <v>0</v>
      </c>
      <c r="U33" s="1369">
        <v>2.25</v>
      </c>
      <c r="V33" s="1369">
        <v>0</v>
      </c>
      <c r="W33" s="1370">
        <v>2.25</v>
      </c>
      <c r="X33" s="1370">
        <v>4</v>
      </c>
      <c r="Y33" s="1370" t="s">
        <v>116</v>
      </c>
      <c r="Z33" s="1370" t="s">
        <v>116</v>
      </c>
      <c r="AA33" s="1370" t="s">
        <v>1669</v>
      </c>
      <c r="AG33" s="1346">
        <v>1</v>
      </c>
      <c r="CA33" s="1349">
        <v>23</v>
      </c>
      <c r="CB33" s="1349" t="s">
        <v>148</v>
      </c>
      <c r="CC33" s="1349" t="s">
        <v>163</v>
      </c>
      <c r="CD33" s="1349" t="s">
        <v>145</v>
      </c>
      <c r="CE33" s="1349"/>
      <c r="CF33" s="1349">
        <v>20100</v>
      </c>
      <c r="CG33" s="1349">
        <v>6</v>
      </c>
      <c r="CH33" s="1349">
        <v>3.125</v>
      </c>
      <c r="CI33" s="1349">
        <v>15400</v>
      </c>
      <c r="CJ33" s="1349">
        <v>12</v>
      </c>
      <c r="CK33" s="1349">
        <v>5.875</v>
      </c>
      <c r="CL33" s="1349" t="s">
        <v>702</v>
      </c>
      <c r="CM33" s="1349"/>
      <c r="CN33" s="1349" t="s">
        <v>1537</v>
      </c>
      <c r="CO33" s="1349">
        <v>3</v>
      </c>
    </row>
    <row r="34" spans="1:93" x14ac:dyDescent="0.2">
      <c r="A34" s="1367" t="s">
        <v>1463</v>
      </c>
      <c r="B34" s="1368">
        <v>2</v>
      </c>
      <c r="C34" s="1367" t="s">
        <v>1592</v>
      </c>
      <c r="D34" s="1368">
        <v>49</v>
      </c>
      <c r="E34" s="1369">
        <v>11.5</v>
      </c>
      <c r="I34" s="1370" t="s">
        <v>116</v>
      </c>
      <c r="L34" s="1369">
        <v>5</v>
      </c>
      <c r="M34" s="1369">
        <v>5</v>
      </c>
      <c r="Q34" s="1370" t="s">
        <v>116</v>
      </c>
      <c r="T34" s="1369">
        <v>0</v>
      </c>
      <c r="U34" s="1369">
        <v>2.25</v>
      </c>
      <c r="V34" s="1369">
        <v>0</v>
      </c>
      <c r="W34" s="1370">
        <v>2.25</v>
      </c>
      <c r="X34" s="1370">
        <v>4</v>
      </c>
      <c r="Y34" s="1370" t="s">
        <v>116</v>
      </c>
      <c r="Z34" s="1370" t="s">
        <v>116</v>
      </c>
      <c r="AA34" s="1370" t="s">
        <v>1670</v>
      </c>
      <c r="AG34" s="1346">
        <v>1</v>
      </c>
      <c r="CA34" s="1349"/>
      <c r="CB34" s="1349" t="s">
        <v>148</v>
      </c>
      <c r="CC34" s="1349" t="s">
        <v>163</v>
      </c>
      <c r="CD34" s="1349" t="s">
        <v>145</v>
      </c>
      <c r="CE34" s="1349"/>
      <c r="CF34" s="1349">
        <v>10800</v>
      </c>
      <c r="CG34" s="1349">
        <v>18</v>
      </c>
      <c r="CH34" s="1349">
        <v>8.625</v>
      </c>
      <c r="CI34" s="1349">
        <v>6100</v>
      </c>
      <c r="CJ34" s="1349">
        <v>24</v>
      </c>
      <c r="CK34" s="1349">
        <v>11.375</v>
      </c>
      <c r="CL34" s="1349" t="s">
        <v>702</v>
      </c>
      <c r="CM34" s="1349"/>
      <c r="CN34" s="1349"/>
      <c r="CO34" s="1349"/>
    </row>
    <row r="35" spans="1:93" x14ac:dyDescent="0.2">
      <c r="A35" s="1367" t="s">
        <v>1464</v>
      </c>
      <c r="B35" s="1368">
        <v>2</v>
      </c>
      <c r="C35" s="1367" t="s">
        <v>1592</v>
      </c>
      <c r="D35" s="1368">
        <v>49</v>
      </c>
      <c r="E35" s="1369">
        <v>11.5</v>
      </c>
      <c r="I35" s="1370" t="s">
        <v>116</v>
      </c>
      <c r="L35" s="1369">
        <v>5</v>
      </c>
      <c r="M35" s="1369">
        <v>5</v>
      </c>
      <c r="Q35" s="1370" t="s">
        <v>116</v>
      </c>
      <c r="T35" s="1369">
        <v>0</v>
      </c>
      <c r="U35" s="1369">
        <v>2.25</v>
      </c>
      <c r="V35" s="1369">
        <v>0</v>
      </c>
      <c r="W35" s="1370">
        <v>2.25</v>
      </c>
      <c r="X35" s="1370">
        <v>4</v>
      </c>
      <c r="Y35" s="1370" t="s">
        <v>116</v>
      </c>
      <c r="Z35" s="1370" t="s">
        <v>116</v>
      </c>
      <c r="AA35" s="1370" t="s">
        <v>1671</v>
      </c>
      <c r="AG35" s="1346">
        <v>1</v>
      </c>
      <c r="CA35" s="1349"/>
      <c r="CB35" s="1349" t="s">
        <v>148</v>
      </c>
      <c r="CC35" s="1349" t="s">
        <v>163</v>
      </c>
      <c r="CD35" s="1349" t="s">
        <v>145</v>
      </c>
      <c r="CE35" s="1349"/>
      <c r="CF35" s="1349">
        <v>1575</v>
      </c>
      <c r="CG35" s="1349">
        <v>31</v>
      </c>
      <c r="CH35" s="1349">
        <v>2.125</v>
      </c>
      <c r="CI35" s="1349"/>
      <c r="CJ35" s="1349"/>
      <c r="CK35" s="1349"/>
      <c r="CL35" s="1349" t="s">
        <v>702</v>
      </c>
      <c r="CM35" s="1349"/>
      <c r="CN35" s="1349"/>
      <c r="CO35" s="1349"/>
    </row>
    <row r="36" spans="1:93" x14ac:dyDescent="0.2">
      <c r="A36" s="1367" t="s">
        <v>1465</v>
      </c>
      <c r="B36" s="1368">
        <v>2</v>
      </c>
      <c r="C36" s="1367" t="s">
        <v>1592</v>
      </c>
      <c r="D36" s="1368">
        <v>49</v>
      </c>
      <c r="E36" s="1369">
        <v>11.5</v>
      </c>
      <c r="I36" s="1370" t="s">
        <v>116</v>
      </c>
      <c r="L36" s="1369">
        <v>5</v>
      </c>
      <c r="M36" s="1369">
        <v>5</v>
      </c>
      <c r="Q36" s="1370" t="s">
        <v>116</v>
      </c>
      <c r="T36" s="1369">
        <v>0</v>
      </c>
      <c r="U36" s="1369">
        <v>2.25</v>
      </c>
      <c r="V36" s="1369">
        <v>0</v>
      </c>
      <c r="W36" s="1370">
        <v>2.25</v>
      </c>
      <c r="X36" s="1370">
        <v>4</v>
      </c>
      <c r="Y36" s="1370" t="s">
        <v>116</v>
      </c>
      <c r="Z36" s="1370" t="s">
        <v>116</v>
      </c>
      <c r="AA36" s="1370" t="s">
        <v>1672</v>
      </c>
      <c r="AG36" s="1346">
        <v>1</v>
      </c>
      <c r="CA36" s="1349">
        <v>24</v>
      </c>
      <c r="CB36" s="1349" t="s">
        <v>148</v>
      </c>
      <c r="CC36" s="1349" t="s">
        <v>163</v>
      </c>
      <c r="CD36" s="1349" t="s">
        <v>145</v>
      </c>
      <c r="CE36" s="1349"/>
      <c r="CF36" s="1349">
        <v>7700</v>
      </c>
      <c r="CG36" s="1349">
        <v>5</v>
      </c>
      <c r="CH36" s="1349">
        <v>5.375</v>
      </c>
      <c r="CI36" s="1349">
        <v>3000</v>
      </c>
      <c r="CJ36" s="1349">
        <v>11</v>
      </c>
      <c r="CK36" s="1349">
        <v>8.125</v>
      </c>
      <c r="CL36" s="1349" t="s">
        <v>702</v>
      </c>
      <c r="CM36" s="1349"/>
      <c r="CN36" s="1349" t="s">
        <v>1537</v>
      </c>
      <c r="CO36" s="1349">
        <v>2</v>
      </c>
    </row>
    <row r="37" spans="1:93" x14ac:dyDescent="0.2">
      <c r="A37" s="1367" t="s">
        <v>1466</v>
      </c>
      <c r="B37" s="1368">
        <v>2</v>
      </c>
      <c r="C37" s="1367" t="s">
        <v>1592</v>
      </c>
      <c r="D37" s="1368">
        <v>49</v>
      </c>
      <c r="E37" s="1369">
        <v>11.5</v>
      </c>
      <c r="I37" s="1370" t="s">
        <v>116</v>
      </c>
      <c r="L37" s="1369">
        <v>5</v>
      </c>
      <c r="M37" s="1369">
        <v>5</v>
      </c>
      <c r="Q37" s="1370" t="s">
        <v>116</v>
      </c>
      <c r="T37" s="1369">
        <v>0</v>
      </c>
      <c r="U37" s="1369">
        <v>2.25</v>
      </c>
      <c r="V37" s="1369">
        <v>0</v>
      </c>
      <c r="W37" s="1370">
        <v>2.25</v>
      </c>
      <c r="X37" s="1370">
        <v>4</v>
      </c>
      <c r="Y37" s="1370" t="s">
        <v>116</v>
      </c>
      <c r="Z37" s="1370" t="s">
        <v>116</v>
      </c>
      <c r="AA37" s="1370" t="s">
        <v>1673</v>
      </c>
      <c r="AG37" s="1346">
        <v>1</v>
      </c>
      <c r="CA37" s="1349"/>
      <c r="CB37" s="1349" t="s">
        <v>148</v>
      </c>
      <c r="CC37" s="1349" t="s">
        <v>163</v>
      </c>
      <c r="CD37" s="1349" t="s">
        <v>145</v>
      </c>
      <c r="CE37" s="1349"/>
      <c r="CF37" s="1349">
        <v>200</v>
      </c>
      <c r="CG37" s="1349">
        <v>17</v>
      </c>
      <c r="CH37" s="1349">
        <v>10.875</v>
      </c>
      <c r="CI37" s="1349"/>
      <c r="CJ37" s="1349"/>
      <c r="CK37" s="1349"/>
      <c r="CL37" s="1349" t="s">
        <v>702</v>
      </c>
      <c r="CM37" s="1349"/>
      <c r="CN37" s="1349"/>
      <c r="CO37" s="1349"/>
    </row>
    <row r="38" spans="1:93" x14ac:dyDescent="0.2">
      <c r="A38" s="1367" t="s">
        <v>1467</v>
      </c>
      <c r="B38" s="1368">
        <v>2</v>
      </c>
      <c r="C38" s="1367" t="s">
        <v>1592</v>
      </c>
      <c r="D38" s="1368">
        <v>49</v>
      </c>
      <c r="E38" s="1369">
        <v>11.5</v>
      </c>
      <c r="I38" s="1370" t="s">
        <v>116</v>
      </c>
      <c r="L38" s="1369">
        <v>5</v>
      </c>
      <c r="M38" s="1369">
        <v>5</v>
      </c>
      <c r="Q38" s="1370" t="s">
        <v>116</v>
      </c>
      <c r="T38" s="1369">
        <v>0</v>
      </c>
      <c r="U38" s="1369">
        <v>2.25</v>
      </c>
      <c r="V38" s="1369">
        <v>0</v>
      </c>
      <c r="W38" s="1370">
        <v>2.25</v>
      </c>
      <c r="X38" s="1370">
        <v>4</v>
      </c>
      <c r="Y38" s="1370" t="s">
        <v>116</v>
      </c>
      <c r="Z38" s="1370" t="s">
        <v>116</v>
      </c>
      <c r="AA38" s="1370" t="s">
        <v>1674</v>
      </c>
      <c r="AG38" s="1346">
        <v>1</v>
      </c>
      <c r="CA38" s="1349">
        <v>25</v>
      </c>
      <c r="CB38" s="1349" t="s">
        <v>157</v>
      </c>
      <c r="CC38" s="1349" t="s">
        <v>167</v>
      </c>
      <c r="CD38" s="1349" t="s">
        <v>145</v>
      </c>
      <c r="CE38" s="1349"/>
      <c r="CF38" s="1349">
        <v>20300</v>
      </c>
      <c r="CG38" s="1349"/>
      <c r="CH38" s="1349"/>
      <c r="CI38" s="1349"/>
      <c r="CJ38" s="1349"/>
      <c r="CK38" s="1349"/>
      <c r="CL38" s="1349"/>
      <c r="CM38" s="1349"/>
      <c r="CN38" s="1349" t="s">
        <v>1540</v>
      </c>
      <c r="CO38" s="1349">
        <v>1</v>
      </c>
    </row>
    <row r="39" spans="1:93" x14ac:dyDescent="0.2">
      <c r="A39" s="1367" t="s">
        <v>1468</v>
      </c>
      <c r="B39" s="1368">
        <v>2</v>
      </c>
      <c r="C39" s="1367" t="s">
        <v>1592</v>
      </c>
      <c r="D39" s="1368">
        <v>49</v>
      </c>
      <c r="E39" s="1369">
        <v>11.5</v>
      </c>
      <c r="I39" s="1370" t="s">
        <v>116</v>
      </c>
      <c r="L39" s="1369">
        <v>5</v>
      </c>
      <c r="M39" s="1369">
        <v>5</v>
      </c>
      <c r="Q39" s="1370" t="s">
        <v>116</v>
      </c>
      <c r="T39" s="1369">
        <v>0</v>
      </c>
      <c r="U39" s="1369">
        <v>2.25</v>
      </c>
      <c r="V39" s="1369">
        <v>0</v>
      </c>
      <c r="W39" s="1370">
        <v>2.25</v>
      </c>
      <c r="X39" s="1370">
        <v>4</v>
      </c>
      <c r="Y39" s="1370" t="s">
        <v>116</v>
      </c>
      <c r="Z39" s="1370" t="s">
        <v>116</v>
      </c>
      <c r="AA39" s="1370" t="s">
        <v>1675</v>
      </c>
      <c r="AG39" s="1346">
        <v>1</v>
      </c>
      <c r="CA39" s="1349">
        <v>26</v>
      </c>
      <c r="CB39" s="1349" t="s">
        <v>154</v>
      </c>
      <c r="CC39" s="1349" t="s">
        <v>165</v>
      </c>
      <c r="CD39" s="1349" t="s">
        <v>145</v>
      </c>
      <c r="CE39" s="1349"/>
      <c r="CF39" s="1349">
        <v>540</v>
      </c>
      <c r="CG39" s="1349"/>
      <c r="CH39" s="1349"/>
      <c r="CI39" s="1349"/>
      <c r="CJ39" s="1349"/>
      <c r="CK39" s="1349"/>
      <c r="CL39" s="1349"/>
      <c r="CM39" s="1349"/>
      <c r="CN39" s="1349" t="s">
        <v>1542</v>
      </c>
      <c r="CO39" s="1349">
        <v>1</v>
      </c>
    </row>
    <row r="40" spans="1:93" x14ac:dyDescent="0.2">
      <c r="A40" s="1367" t="s">
        <v>1469</v>
      </c>
      <c r="B40" s="1368">
        <v>2</v>
      </c>
      <c r="C40" s="1367" t="s">
        <v>1592</v>
      </c>
      <c r="D40" s="1368">
        <v>39</v>
      </c>
      <c r="E40" s="1369">
        <v>11.5</v>
      </c>
      <c r="I40" s="1370" t="s">
        <v>116</v>
      </c>
      <c r="L40" s="1369">
        <v>5</v>
      </c>
      <c r="M40" s="1369">
        <v>5</v>
      </c>
      <c r="Q40" s="1370" t="s">
        <v>116</v>
      </c>
      <c r="T40" s="1369">
        <v>0</v>
      </c>
      <c r="U40" s="1369">
        <v>2.25</v>
      </c>
      <c r="V40" s="1369">
        <v>0</v>
      </c>
      <c r="W40" s="1370">
        <v>2.25</v>
      </c>
      <c r="X40" s="1370">
        <v>4</v>
      </c>
      <c r="Y40" s="1370" t="s">
        <v>116</v>
      </c>
      <c r="Z40" s="1370" t="s">
        <v>116</v>
      </c>
      <c r="AA40" s="1370" t="s">
        <v>1670</v>
      </c>
      <c r="AG40" s="1346">
        <v>1</v>
      </c>
      <c r="CA40" s="1349">
        <v>27</v>
      </c>
      <c r="CB40" s="1349" t="s">
        <v>154</v>
      </c>
      <c r="CC40" s="1349" t="s">
        <v>165</v>
      </c>
      <c r="CD40" s="1349" t="s">
        <v>145</v>
      </c>
      <c r="CE40" s="1349"/>
      <c r="CF40" s="1349">
        <v>1100</v>
      </c>
      <c r="CG40" s="1349"/>
      <c r="CH40" s="1349"/>
      <c r="CI40" s="1349"/>
      <c r="CJ40" s="1349"/>
      <c r="CK40" s="1349"/>
      <c r="CL40" s="1349"/>
      <c r="CM40" s="1349"/>
      <c r="CN40" s="1349" t="s">
        <v>1544</v>
      </c>
      <c r="CO40" s="1349">
        <v>1</v>
      </c>
    </row>
    <row r="41" spans="1:93" x14ac:dyDescent="0.2">
      <c r="A41" s="1367" t="s">
        <v>1470</v>
      </c>
      <c r="B41" s="1368">
        <v>2</v>
      </c>
      <c r="C41" s="1367" t="s">
        <v>1592</v>
      </c>
      <c r="D41" s="1368">
        <v>39</v>
      </c>
      <c r="E41" s="1369">
        <v>11.5</v>
      </c>
      <c r="I41" s="1370" t="s">
        <v>116</v>
      </c>
      <c r="L41" s="1369">
        <v>5</v>
      </c>
      <c r="M41" s="1369">
        <v>5</v>
      </c>
      <c r="Q41" s="1370" t="s">
        <v>116</v>
      </c>
      <c r="T41" s="1369">
        <v>0</v>
      </c>
      <c r="U41" s="1369">
        <v>2.25</v>
      </c>
      <c r="V41" s="1369">
        <v>0</v>
      </c>
      <c r="W41" s="1370">
        <v>2.25</v>
      </c>
      <c r="X41" s="1370">
        <v>4</v>
      </c>
      <c r="Y41" s="1370" t="s">
        <v>116</v>
      </c>
      <c r="Z41" s="1370" t="s">
        <v>116</v>
      </c>
      <c r="AA41" s="1370" t="s">
        <v>1671</v>
      </c>
      <c r="AG41" s="1346">
        <v>1</v>
      </c>
      <c r="CA41" s="1349">
        <v>28</v>
      </c>
      <c r="CB41" s="1349" t="s">
        <v>154</v>
      </c>
      <c r="CC41" s="1349" t="s">
        <v>165</v>
      </c>
      <c r="CD41" s="1349" t="s">
        <v>145</v>
      </c>
      <c r="CE41" s="1349"/>
      <c r="CF41" s="1349">
        <v>2000</v>
      </c>
      <c r="CG41" s="1349"/>
      <c r="CH41" s="1349"/>
      <c r="CI41" s="1349"/>
      <c r="CJ41" s="1349"/>
      <c r="CK41" s="1349"/>
      <c r="CL41" s="1349"/>
      <c r="CM41" s="1349"/>
      <c r="CN41" s="1349" t="s">
        <v>1546</v>
      </c>
      <c r="CO41" s="1349">
        <v>1</v>
      </c>
    </row>
    <row r="42" spans="1:93" x14ac:dyDescent="0.2">
      <c r="A42" s="1367" t="s">
        <v>1471</v>
      </c>
      <c r="B42" s="1368">
        <v>2</v>
      </c>
      <c r="C42" s="1367" t="s">
        <v>1592</v>
      </c>
      <c r="D42" s="1368">
        <v>39</v>
      </c>
      <c r="E42" s="1369">
        <v>11.5</v>
      </c>
      <c r="I42" s="1370" t="s">
        <v>116</v>
      </c>
      <c r="L42" s="1369">
        <v>5</v>
      </c>
      <c r="M42" s="1369">
        <v>5</v>
      </c>
      <c r="Q42" s="1370" t="s">
        <v>116</v>
      </c>
      <c r="T42" s="1369">
        <v>0</v>
      </c>
      <c r="U42" s="1369">
        <v>2.25</v>
      </c>
      <c r="V42" s="1369">
        <v>0</v>
      </c>
      <c r="W42" s="1370">
        <v>2.25</v>
      </c>
      <c r="X42" s="1370">
        <v>4</v>
      </c>
      <c r="Y42" s="1370" t="s">
        <v>116</v>
      </c>
      <c r="Z42" s="1370" t="s">
        <v>116</v>
      </c>
      <c r="AA42" s="1370" t="s">
        <v>1672</v>
      </c>
      <c r="AG42" s="1346">
        <v>1</v>
      </c>
      <c r="CA42" s="1349">
        <v>29</v>
      </c>
      <c r="CB42" s="1349" t="s">
        <v>154</v>
      </c>
      <c r="CC42" s="1349" t="s">
        <v>167</v>
      </c>
      <c r="CD42" s="1349" t="s">
        <v>145</v>
      </c>
      <c r="CE42" s="1349"/>
      <c r="CF42" s="1349">
        <v>5400</v>
      </c>
      <c r="CG42" s="1349"/>
      <c r="CH42" s="1349"/>
      <c r="CI42" s="1349"/>
      <c r="CJ42" s="1349"/>
      <c r="CK42" s="1349"/>
      <c r="CL42" s="1349"/>
      <c r="CM42" s="1349"/>
      <c r="CN42" s="1349" t="s">
        <v>1548</v>
      </c>
      <c r="CO42" s="1349">
        <v>4</v>
      </c>
    </row>
    <row r="43" spans="1:93" x14ac:dyDescent="0.2">
      <c r="A43" s="1367" t="s">
        <v>1472</v>
      </c>
      <c r="B43" s="1368">
        <v>2</v>
      </c>
      <c r="C43" s="1367" t="s">
        <v>1592</v>
      </c>
      <c r="D43" s="1368">
        <v>39</v>
      </c>
      <c r="E43" s="1369">
        <v>11.5</v>
      </c>
      <c r="I43" s="1370" t="s">
        <v>116</v>
      </c>
      <c r="L43" s="1369">
        <v>5</v>
      </c>
      <c r="M43" s="1369">
        <v>5</v>
      </c>
      <c r="Q43" s="1370" t="s">
        <v>116</v>
      </c>
      <c r="T43" s="1369">
        <v>0</v>
      </c>
      <c r="U43" s="1369">
        <v>2.25</v>
      </c>
      <c r="V43" s="1369">
        <v>0</v>
      </c>
      <c r="W43" s="1370">
        <v>2.25</v>
      </c>
      <c r="X43" s="1370">
        <v>4</v>
      </c>
      <c r="Y43" s="1370" t="s">
        <v>116</v>
      </c>
      <c r="Z43" s="1370" t="s">
        <v>116</v>
      </c>
      <c r="AA43" s="1370" t="s">
        <v>1673</v>
      </c>
      <c r="AG43" s="1346">
        <v>1</v>
      </c>
      <c r="CB43" s="34" t="s">
        <v>154</v>
      </c>
      <c r="CC43" s="34" t="s">
        <v>167</v>
      </c>
      <c r="CD43" s="34" t="s">
        <v>145</v>
      </c>
      <c r="CF43" s="34">
        <v>-5400</v>
      </c>
      <c r="CM43" s="34">
        <v>2</v>
      </c>
    </row>
    <row r="44" spans="1:93" x14ac:dyDescent="0.2">
      <c r="A44" s="1367" t="s">
        <v>1473</v>
      </c>
      <c r="B44" s="1368">
        <v>84</v>
      </c>
      <c r="C44" s="1367" t="s">
        <v>1592</v>
      </c>
      <c r="D44" s="1368">
        <v>39</v>
      </c>
      <c r="E44" s="1369">
        <v>11.5</v>
      </c>
      <c r="I44" s="1370" t="s">
        <v>116</v>
      </c>
      <c r="L44" s="1369">
        <v>5</v>
      </c>
      <c r="M44" s="1369">
        <v>5</v>
      </c>
      <c r="Q44" s="1370" t="s">
        <v>116</v>
      </c>
      <c r="T44" s="1369">
        <v>0</v>
      </c>
      <c r="U44" s="1369">
        <v>2.25</v>
      </c>
      <c r="V44" s="1369">
        <v>0</v>
      </c>
      <c r="W44" s="1370">
        <v>2.25</v>
      </c>
      <c r="X44" s="1370">
        <v>4</v>
      </c>
      <c r="Y44" s="1370" t="s">
        <v>116</v>
      </c>
      <c r="Z44" s="1370" t="s">
        <v>116</v>
      </c>
      <c r="AA44" s="1370" t="s">
        <v>1664</v>
      </c>
      <c r="AG44" s="1346">
        <v>1</v>
      </c>
      <c r="CB44" s="34" t="s">
        <v>151</v>
      </c>
      <c r="CC44" s="34" t="s">
        <v>167</v>
      </c>
      <c r="CD44" s="34" t="s">
        <v>145</v>
      </c>
      <c r="CF44" s="34">
        <v>210</v>
      </c>
    </row>
    <row r="45" spans="1:93" x14ac:dyDescent="0.2">
      <c r="A45" s="1367" t="s">
        <v>1474</v>
      </c>
      <c r="B45" s="1368">
        <v>9</v>
      </c>
      <c r="C45" s="1367" t="s">
        <v>1592</v>
      </c>
      <c r="D45" s="1368">
        <v>39</v>
      </c>
      <c r="E45" s="1369">
        <v>11.5</v>
      </c>
      <c r="I45" s="1370" t="s">
        <v>116</v>
      </c>
      <c r="L45" s="1369">
        <v>5</v>
      </c>
      <c r="M45" s="1369">
        <v>5</v>
      </c>
      <c r="N45" s="1368">
        <v>0</v>
      </c>
      <c r="O45" s="1369">
        <v>6.75</v>
      </c>
      <c r="P45" s="1369">
        <v>2</v>
      </c>
      <c r="Q45" s="1370">
        <v>0</v>
      </c>
      <c r="R45" s="1369">
        <v>6.75</v>
      </c>
      <c r="S45" s="1369">
        <v>2</v>
      </c>
      <c r="T45" s="1369">
        <v>0</v>
      </c>
      <c r="U45" s="1369">
        <v>2.25</v>
      </c>
      <c r="V45" s="1369">
        <v>0</v>
      </c>
      <c r="W45" s="1370">
        <v>2.25</v>
      </c>
      <c r="X45" s="1370">
        <v>4</v>
      </c>
      <c r="Y45" s="1370" t="s">
        <v>116</v>
      </c>
      <c r="Z45" s="1370" t="s">
        <v>116</v>
      </c>
      <c r="AA45" s="1370" t="s">
        <v>1664</v>
      </c>
      <c r="AG45" s="1346">
        <v>1</v>
      </c>
      <c r="CB45" s="34" t="s">
        <v>151</v>
      </c>
      <c r="CC45" s="34" t="s">
        <v>167</v>
      </c>
      <c r="CD45" s="34" t="s">
        <v>145</v>
      </c>
      <c r="CF45" s="34">
        <v>-210</v>
      </c>
      <c r="CM45" s="34">
        <v>2</v>
      </c>
    </row>
    <row r="46" spans="1:93" x14ac:dyDescent="0.2">
      <c r="A46" s="1367" t="s">
        <v>1475</v>
      </c>
      <c r="B46" s="1368">
        <v>2</v>
      </c>
      <c r="C46" s="1367" t="s">
        <v>1592</v>
      </c>
      <c r="D46" s="1368">
        <v>39</v>
      </c>
      <c r="E46" s="1369">
        <v>11.5</v>
      </c>
      <c r="I46" s="1370" t="s">
        <v>116</v>
      </c>
      <c r="L46" s="1369">
        <v>5</v>
      </c>
      <c r="M46" s="1369">
        <v>5</v>
      </c>
      <c r="Q46" s="1370" t="s">
        <v>116</v>
      </c>
      <c r="T46" s="1369">
        <v>0</v>
      </c>
      <c r="U46" s="1369">
        <v>2.25</v>
      </c>
      <c r="V46" s="1369">
        <v>0</v>
      </c>
      <c r="W46" s="1370">
        <v>2.25</v>
      </c>
      <c r="X46" s="1370">
        <v>4</v>
      </c>
      <c r="Y46" s="1370" t="s">
        <v>116</v>
      </c>
      <c r="Z46" s="1370" t="s">
        <v>116</v>
      </c>
      <c r="AA46" s="1370" t="s">
        <v>1666</v>
      </c>
      <c r="AG46" s="1346">
        <v>1</v>
      </c>
      <c r="CA46" s="34">
        <v>30</v>
      </c>
      <c r="CB46" s="34" t="s">
        <v>154</v>
      </c>
      <c r="CC46" s="34" t="s">
        <v>167</v>
      </c>
      <c r="CD46" s="34" t="s">
        <v>145</v>
      </c>
      <c r="CF46" s="34">
        <v>14500</v>
      </c>
      <c r="CN46" s="34" t="s">
        <v>1548</v>
      </c>
      <c r="CO46" s="34">
        <v>4</v>
      </c>
    </row>
    <row r="47" spans="1:93" x14ac:dyDescent="0.2">
      <c r="A47" s="1367" t="s">
        <v>1476</v>
      </c>
      <c r="B47" s="1368">
        <v>4</v>
      </c>
      <c r="C47" s="1367" t="s">
        <v>1592</v>
      </c>
      <c r="D47" s="1368">
        <v>39</v>
      </c>
      <c r="E47" s="1369">
        <v>11.5</v>
      </c>
      <c r="I47" s="1370" t="s">
        <v>116</v>
      </c>
      <c r="L47" s="1369">
        <v>5</v>
      </c>
      <c r="M47" s="1369">
        <v>5</v>
      </c>
      <c r="Q47" s="1370" t="s">
        <v>116</v>
      </c>
      <c r="T47" s="1369">
        <v>0</v>
      </c>
      <c r="U47" s="1369">
        <v>2.25</v>
      </c>
      <c r="V47" s="1369">
        <v>0</v>
      </c>
      <c r="W47" s="1370">
        <v>2.25</v>
      </c>
      <c r="X47" s="1370">
        <v>4</v>
      </c>
      <c r="Y47" s="1370" t="s">
        <v>116</v>
      </c>
      <c r="Z47" s="1370" t="s">
        <v>116</v>
      </c>
      <c r="AA47" s="1370" t="s">
        <v>1667</v>
      </c>
      <c r="AG47" s="1346">
        <v>1</v>
      </c>
      <c r="CB47" s="34" t="s">
        <v>154</v>
      </c>
      <c r="CC47" s="34" t="s">
        <v>167</v>
      </c>
      <c r="CD47" s="34" t="s">
        <v>145</v>
      </c>
      <c r="CF47" s="34">
        <v>-14500</v>
      </c>
      <c r="CM47" s="34">
        <v>2</v>
      </c>
    </row>
    <row r="48" spans="1:93" x14ac:dyDescent="0.2">
      <c r="A48" s="1367" t="s">
        <v>1477</v>
      </c>
      <c r="B48" s="1368">
        <v>2</v>
      </c>
      <c r="C48" s="1367" t="s">
        <v>1593</v>
      </c>
      <c r="D48" s="1368">
        <v>69</v>
      </c>
      <c r="E48" s="1369">
        <v>1.5</v>
      </c>
      <c r="I48" s="1370" t="s">
        <v>116</v>
      </c>
      <c r="L48" s="1369">
        <v>5</v>
      </c>
      <c r="M48" s="1369">
        <v>5</v>
      </c>
      <c r="Q48" s="1370" t="s">
        <v>116</v>
      </c>
      <c r="T48" s="1369">
        <v>0</v>
      </c>
      <c r="U48" s="1369">
        <v>2.25</v>
      </c>
      <c r="V48" s="1369">
        <v>0</v>
      </c>
      <c r="W48" s="1370">
        <v>2</v>
      </c>
      <c r="X48" s="1370">
        <v>4</v>
      </c>
      <c r="Y48" s="1370" t="s">
        <v>116</v>
      </c>
      <c r="Z48" s="1370" t="s">
        <v>116</v>
      </c>
      <c r="AA48" s="1370" t="s">
        <v>1643</v>
      </c>
      <c r="AG48" s="1346">
        <v>1</v>
      </c>
      <c r="CB48" s="34" t="s">
        <v>151</v>
      </c>
      <c r="CC48" s="34" t="s">
        <v>167</v>
      </c>
      <c r="CD48" s="34" t="s">
        <v>145</v>
      </c>
      <c r="CF48" s="34">
        <v>563</v>
      </c>
    </row>
    <row r="49" spans="1:93" x14ac:dyDescent="0.2">
      <c r="A49" s="1367" t="s">
        <v>1478</v>
      </c>
      <c r="B49" s="1368">
        <v>2</v>
      </c>
      <c r="C49" s="1367" t="s">
        <v>1593</v>
      </c>
      <c r="D49" s="1368">
        <v>69</v>
      </c>
      <c r="E49" s="1369">
        <v>1.5</v>
      </c>
      <c r="I49" s="1370" t="s">
        <v>116</v>
      </c>
      <c r="L49" s="1369">
        <v>5</v>
      </c>
      <c r="M49" s="1369">
        <v>5</v>
      </c>
      <c r="Q49" s="1370" t="s">
        <v>116</v>
      </c>
      <c r="T49" s="1369">
        <v>0</v>
      </c>
      <c r="U49" s="1369">
        <v>2.25</v>
      </c>
      <c r="V49" s="1369">
        <v>0</v>
      </c>
      <c r="W49" s="1370">
        <v>2</v>
      </c>
      <c r="X49" s="1370">
        <v>4</v>
      </c>
      <c r="Y49" s="1370" t="s">
        <v>116</v>
      </c>
      <c r="Z49" s="1370" t="s">
        <v>116</v>
      </c>
      <c r="AA49" s="1370" t="s">
        <v>1644</v>
      </c>
      <c r="AG49" s="1346">
        <v>1</v>
      </c>
      <c r="CB49" s="34" t="s">
        <v>151</v>
      </c>
      <c r="CC49" s="34" t="s">
        <v>167</v>
      </c>
      <c r="CD49" s="34" t="s">
        <v>145</v>
      </c>
      <c r="CF49" s="34">
        <v>-563</v>
      </c>
      <c r="CM49" s="34">
        <v>2</v>
      </c>
    </row>
    <row r="50" spans="1:93" x14ac:dyDescent="0.2">
      <c r="A50" s="1367" t="s">
        <v>1479</v>
      </c>
      <c r="B50" s="1368">
        <v>2</v>
      </c>
      <c r="C50" s="1367" t="s">
        <v>1593</v>
      </c>
      <c r="D50" s="1368">
        <v>69</v>
      </c>
      <c r="E50" s="1369">
        <v>1.5</v>
      </c>
      <c r="I50" s="1370" t="s">
        <v>116</v>
      </c>
      <c r="L50" s="1369">
        <v>5</v>
      </c>
      <c r="M50" s="1369">
        <v>5</v>
      </c>
      <c r="Q50" s="1370" t="s">
        <v>116</v>
      </c>
      <c r="T50" s="1369">
        <v>0</v>
      </c>
      <c r="U50" s="1369">
        <v>2.25</v>
      </c>
      <c r="V50" s="1369">
        <v>0</v>
      </c>
      <c r="W50" s="1370">
        <v>2</v>
      </c>
      <c r="X50" s="1370">
        <v>4</v>
      </c>
      <c r="Y50" s="1370" t="s">
        <v>116</v>
      </c>
      <c r="Z50" s="1370" t="s">
        <v>116</v>
      </c>
      <c r="AA50" s="1370" t="s">
        <v>1645</v>
      </c>
      <c r="AG50" s="1346">
        <v>1</v>
      </c>
      <c r="CA50" s="34">
        <v>31</v>
      </c>
      <c r="CB50" s="34" t="s">
        <v>154</v>
      </c>
      <c r="CC50" s="34" t="s">
        <v>167</v>
      </c>
      <c r="CD50" s="34" t="s">
        <v>145</v>
      </c>
      <c r="CF50" s="34">
        <v>10400</v>
      </c>
      <c r="CN50" s="34" t="s">
        <v>1548</v>
      </c>
      <c r="CO50" s="34">
        <v>4</v>
      </c>
    </row>
    <row r="51" spans="1:93" x14ac:dyDescent="0.2">
      <c r="A51" s="1367" t="s">
        <v>1480</v>
      </c>
      <c r="B51" s="1368">
        <v>2</v>
      </c>
      <c r="C51" s="1367" t="s">
        <v>1593</v>
      </c>
      <c r="D51" s="1368">
        <v>69</v>
      </c>
      <c r="E51" s="1369">
        <v>1.5</v>
      </c>
      <c r="I51" s="1370" t="s">
        <v>116</v>
      </c>
      <c r="L51" s="1369">
        <v>5</v>
      </c>
      <c r="M51" s="1369">
        <v>5</v>
      </c>
      <c r="Q51" s="1370" t="s">
        <v>116</v>
      </c>
      <c r="T51" s="1369">
        <v>0</v>
      </c>
      <c r="U51" s="1369">
        <v>2.25</v>
      </c>
      <c r="V51" s="1369">
        <v>0</v>
      </c>
      <c r="W51" s="1370">
        <v>2</v>
      </c>
      <c r="X51" s="1370">
        <v>4</v>
      </c>
      <c r="Y51" s="1370" t="s">
        <v>116</v>
      </c>
      <c r="Z51" s="1370" t="s">
        <v>116</v>
      </c>
      <c r="AA51" s="1370" t="s">
        <v>1646</v>
      </c>
      <c r="AG51" s="1346">
        <v>1</v>
      </c>
      <c r="CB51" s="34" t="s">
        <v>154</v>
      </c>
      <c r="CC51" s="34" t="s">
        <v>167</v>
      </c>
      <c r="CD51" s="34" t="s">
        <v>145</v>
      </c>
      <c r="CF51" s="34">
        <v>-10400</v>
      </c>
      <c r="CM51" s="34">
        <v>2</v>
      </c>
    </row>
    <row r="52" spans="1:93" x14ac:dyDescent="0.2">
      <c r="A52" s="1367" t="s">
        <v>1481</v>
      </c>
      <c r="B52" s="1368">
        <v>1</v>
      </c>
      <c r="C52" s="1367" t="s">
        <v>1593</v>
      </c>
      <c r="D52" s="1368">
        <v>69</v>
      </c>
      <c r="E52" s="1369">
        <v>1.5</v>
      </c>
      <c r="I52" s="1370" t="s">
        <v>116</v>
      </c>
      <c r="L52" s="1369">
        <v>5</v>
      </c>
      <c r="M52" s="1369">
        <v>5</v>
      </c>
      <c r="Q52" s="1370" t="s">
        <v>116</v>
      </c>
      <c r="T52" s="1369">
        <v>0</v>
      </c>
      <c r="U52" s="1369">
        <v>2.25</v>
      </c>
      <c r="V52" s="1369">
        <v>0</v>
      </c>
      <c r="W52" s="1370">
        <v>2</v>
      </c>
      <c r="X52" s="1370">
        <v>4</v>
      </c>
      <c r="Y52" s="1370" t="s">
        <v>116</v>
      </c>
      <c r="Z52" s="1370" t="s">
        <v>116</v>
      </c>
      <c r="AA52" s="1370" t="s">
        <v>1647</v>
      </c>
      <c r="AG52" s="1346">
        <v>1</v>
      </c>
      <c r="CB52" s="34" t="s">
        <v>151</v>
      </c>
      <c r="CC52" s="34" t="s">
        <v>167</v>
      </c>
      <c r="CD52" s="34" t="s">
        <v>145</v>
      </c>
      <c r="CF52" s="34">
        <v>285</v>
      </c>
    </row>
    <row r="53" spans="1:93" x14ac:dyDescent="0.2">
      <c r="A53" s="1367" t="s">
        <v>1482</v>
      </c>
      <c r="B53" s="1368">
        <v>2</v>
      </c>
      <c r="C53" s="1367" t="s">
        <v>1593</v>
      </c>
      <c r="D53" s="1368">
        <v>69</v>
      </c>
      <c r="E53" s="1369">
        <v>1.5</v>
      </c>
      <c r="I53" s="1370" t="s">
        <v>116</v>
      </c>
      <c r="L53" s="1369">
        <v>5</v>
      </c>
      <c r="M53" s="1369">
        <v>5</v>
      </c>
      <c r="Q53" s="1370" t="s">
        <v>116</v>
      </c>
      <c r="T53" s="1369">
        <v>0</v>
      </c>
      <c r="U53" s="1369">
        <v>2.25</v>
      </c>
      <c r="V53" s="1369">
        <v>0</v>
      </c>
      <c r="W53" s="1370">
        <v>2</v>
      </c>
      <c r="X53" s="1370">
        <v>4</v>
      </c>
      <c r="Y53" s="1370" t="s">
        <v>116</v>
      </c>
      <c r="Z53" s="1370" t="s">
        <v>116</v>
      </c>
      <c r="AA53" s="1370" t="s">
        <v>1648</v>
      </c>
      <c r="AG53" s="1346">
        <v>1</v>
      </c>
      <c r="CB53" s="34" t="s">
        <v>151</v>
      </c>
      <c r="CC53" s="34" t="s">
        <v>167</v>
      </c>
      <c r="CD53" s="34" t="s">
        <v>145</v>
      </c>
      <c r="CF53" s="34">
        <v>-285</v>
      </c>
      <c r="CM53" s="34">
        <v>2</v>
      </c>
    </row>
    <row r="54" spans="1:93" x14ac:dyDescent="0.2">
      <c r="A54" s="1367" t="s">
        <v>1483</v>
      </c>
      <c r="B54" s="1368">
        <v>50</v>
      </c>
      <c r="C54" s="1367" t="s">
        <v>1593</v>
      </c>
      <c r="D54" s="1368">
        <v>69</v>
      </c>
      <c r="E54" s="1369">
        <v>1.5</v>
      </c>
      <c r="I54" s="1370" t="s">
        <v>116</v>
      </c>
      <c r="L54" s="1369">
        <v>5</v>
      </c>
      <c r="M54" s="1369">
        <v>5</v>
      </c>
      <c r="Q54" s="1370" t="s">
        <v>116</v>
      </c>
      <c r="T54" s="1369">
        <v>0</v>
      </c>
      <c r="U54" s="1369">
        <v>2.25</v>
      </c>
      <c r="V54" s="1369">
        <v>0</v>
      </c>
      <c r="W54" s="1370">
        <v>2</v>
      </c>
      <c r="X54" s="1370">
        <v>4</v>
      </c>
      <c r="Y54" s="1370" t="s">
        <v>116</v>
      </c>
      <c r="Z54" s="1370" t="s">
        <v>116</v>
      </c>
      <c r="AA54" s="1370" t="s">
        <v>1650</v>
      </c>
      <c r="AG54" s="1346">
        <v>1</v>
      </c>
      <c r="CA54" s="34">
        <v>32</v>
      </c>
      <c r="CB54" s="34" t="s">
        <v>148</v>
      </c>
      <c r="CC54" s="34" t="s">
        <v>167</v>
      </c>
      <c r="CD54" s="34" t="s">
        <v>145</v>
      </c>
      <c r="CF54" s="34">
        <v>10800</v>
      </c>
      <c r="CG54" s="34">
        <v>6</v>
      </c>
      <c r="CH54" s="34">
        <v>2.375</v>
      </c>
      <c r="CL54" s="34" t="s">
        <v>702</v>
      </c>
      <c r="CN54" s="34" t="s">
        <v>1552</v>
      </c>
      <c r="CO54" s="34">
        <v>2</v>
      </c>
    </row>
    <row r="55" spans="1:93" x14ac:dyDescent="0.2">
      <c r="A55" s="1367" t="s">
        <v>1484</v>
      </c>
      <c r="B55" s="1368">
        <v>6</v>
      </c>
      <c r="C55" s="1367" t="s">
        <v>1593</v>
      </c>
      <c r="D55" s="1368">
        <v>69</v>
      </c>
      <c r="E55" s="1369">
        <v>1.5</v>
      </c>
      <c r="I55" s="1370" t="s">
        <v>116</v>
      </c>
      <c r="L55" s="1369">
        <v>5</v>
      </c>
      <c r="M55" s="1369">
        <v>5</v>
      </c>
      <c r="N55" s="1368">
        <v>0</v>
      </c>
      <c r="O55" s="1369">
        <v>6.75</v>
      </c>
      <c r="P55" s="1369">
        <v>2</v>
      </c>
      <c r="Q55" s="1370" t="s">
        <v>116</v>
      </c>
      <c r="T55" s="1369">
        <v>0</v>
      </c>
      <c r="U55" s="1369">
        <v>2.25</v>
      </c>
      <c r="V55" s="1369">
        <v>0</v>
      </c>
      <c r="W55" s="1370">
        <v>2</v>
      </c>
      <c r="X55" s="1370">
        <v>4</v>
      </c>
      <c r="Y55" s="1370" t="s">
        <v>116</v>
      </c>
      <c r="Z55" s="1370" t="s">
        <v>116</v>
      </c>
      <c r="AA55" s="1370" t="s">
        <v>1650</v>
      </c>
      <c r="AG55" s="1346">
        <v>1</v>
      </c>
      <c r="CB55" s="34" t="s">
        <v>148</v>
      </c>
      <c r="CC55" s="34" t="s">
        <v>167</v>
      </c>
      <c r="CD55" s="34" t="s">
        <v>145</v>
      </c>
      <c r="CF55" s="34">
        <v>-10800</v>
      </c>
      <c r="CG55" s="34">
        <v>6</v>
      </c>
      <c r="CH55" s="34">
        <v>2.375</v>
      </c>
      <c r="CL55" s="34" t="s">
        <v>702</v>
      </c>
      <c r="CM55" s="34">
        <v>2</v>
      </c>
    </row>
    <row r="56" spans="1:93" x14ac:dyDescent="0.2">
      <c r="A56" s="1367" t="s">
        <v>1485</v>
      </c>
      <c r="B56" s="1368">
        <v>7</v>
      </c>
      <c r="C56" s="1367" t="s">
        <v>1593</v>
      </c>
      <c r="D56" s="1368">
        <v>69</v>
      </c>
      <c r="E56" s="1369">
        <v>1.5</v>
      </c>
      <c r="I56" s="1370" t="s">
        <v>116</v>
      </c>
      <c r="L56" s="1369">
        <v>5</v>
      </c>
      <c r="M56" s="1369">
        <v>5</v>
      </c>
      <c r="Q56" s="1370" t="s">
        <v>116</v>
      </c>
      <c r="T56" s="1369">
        <v>0</v>
      </c>
      <c r="U56" s="1369">
        <v>2.25</v>
      </c>
      <c r="V56" s="1369">
        <v>0</v>
      </c>
      <c r="W56" s="1370">
        <v>2</v>
      </c>
      <c r="X56" s="1370">
        <v>4</v>
      </c>
      <c r="Y56" s="1370" t="s">
        <v>116</v>
      </c>
      <c r="Z56" s="1370" t="s">
        <v>116</v>
      </c>
      <c r="AA56" s="1370" t="s">
        <v>1651</v>
      </c>
      <c r="AG56" s="1346">
        <v>1</v>
      </c>
      <c r="CA56" s="34">
        <v>33</v>
      </c>
      <c r="CB56" s="34" t="s">
        <v>148</v>
      </c>
      <c r="CC56" s="34" t="s">
        <v>167</v>
      </c>
      <c r="CD56" s="34" t="s">
        <v>145</v>
      </c>
      <c r="CF56" s="34">
        <v>19900</v>
      </c>
      <c r="CG56" s="34">
        <v>6</v>
      </c>
      <c r="CH56" s="34">
        <v>2.375</v>
      </c>
      <c r="CL56" s="34" t="s">
        <v>702</v>
      </c>
      <c r="CN56" s="34" t="s">
        <v>1552</v>
      </c>
      <c r="CO56" s="34">
        <v>2</v>
      </c>
    </row>
    <row r="57" spans="1:93" x14ac:dyDescent="0.2">
      <c r="A57" s="1367" t="s">
        <v>1486</v>
      </c>
      <c r="B57" s="1368">
        <v>7</v>
      </c>
      <c r="C57" s="1367" t="s">
        <v>1593</v>
      </c>
      <c r="D57" s="1368">
        <v>69</v>
      </c>
      <c r="E57" s="1369">
        <v>1.5</v>
      </c>
      <c r="I57" s="1370" t="s">
        <v>116</v>
      </c>
      <c r="L57" s="1369">
        <v>5</v>
      </c>
      <c r="M57" s="1369">
        <v>5</v>
      </c>
      <c r="Q57" s="1370" t="s">
        <v>116</v>
      </c>
      <c r="T57" s="1369">
        <v>0</v>
      </c>
      <c r="U57" s="1369">
        <v>2.25</v>
      </c>
      <c r="V57" s="1369">
        <v>0</v>
      </c>
      <c r="W57" s="1370">
        <v>2</v>
      </c>
      <c r="X57" s="1370">
        <v>4</v>
      </c>
      <c r="Y57" s="1370" t="s">
        <v>116</v>
      </c>
      <c r="Z57" s="1370" t="s">
        <v>116</v>
      </c>
      <c r="AA57" s="1370" t="s">
        <v>1652</v>
      </c>
      <c r="AG57" s="1346">
        <v>1</v>
      </c>
      <c r="CB57" s="34" t="s">
        <v>148</v>
      </c>
      <c r="CC57" s="34" t="s">
        <v>167</v>
      </c>
      <c r="CD57" s="34" t="s">
        <v>145</v>
      </c>
      <c r="CF57" s="34">
        <v>-19900</v>
      </c>
      <c r="CG57" s="34">
        <v>6</v>
      </c>
      <c r="CH57" s="34">
        <v>2.375</v>
      </c>
      <c r="CL57" s="34" t="s">
        <v>702</v>
      </c>
      <c r="CM57" s="34">
        <v>2</v>
      </c>
    </row>
    <row r="58" spans="1:93" x14ac:dyDescent="0.2">
      <c r="A58" s="1367" t="s">
        <v>1487</v>
      </c>
      <c r="B58" s="1368">
        <v>2</v>
      </c>
      <c r="C58" s="1367" t="s">
        <v>1593</v>
      </c>
      <c r="D58" s="1368">
        <v>69</v>
      </c>
      <c r="E58" s="1369">
        <v>1.5</v>
      </c>
      <c r="I58" s="1370" t="s">
        <v>116</v>
      </c>
      <c r="L58" s="1369">
        <v>5</v>
      </c>
      <c r="M58" s="1369">
        <v>5</v>
      </c>
      <c r="Q58" s="1370" t="s">
        <v>116</v>
      </c>
      <c r="T58" s="1369">
        <v>0</v>
      </c>
      <c r="U58" s="1369">
        <v>2.25</v>
      </c>
      <c r="V58" s="1369">
        <v>0</v>
      </c>
      <c r="W58" s="1370">
        <v>2</v>
      </c>
      <c r="X58" s="1370">
        <v>4</v>
      </c>
      <c r="Y58" s="1370" t="s">
        <v>116</v>
      </c>
      <c r="Z58" s="1370" t="s">
        <v>116</v>
      </c>
      <c r="AA58" s="1370" t="s">
        <v>1677</v>
      </c>
      <c r="AG58" s="1346">
        <v>1</v>
      </c>
      <c r="CA58" s="34">
        <v>34</v>
      </c>
      <c r="CB58" s="34" t="s">
        <v>148</v>
      </c>
      <c r="CC58" s="34" t="s">
        <v>167</v>
      </c>
      <c r="CD58" s="34" t="s">
        <v>145</v>
      </c>
      <c r="CF58" s="34">
        <v>15800</v>
      </c>
      <c r="CG58" s="34">
        <v>6</v>
      </c>
      <c r="CH58" s="34">
        <v>2.375</v>
      </c>
      <c r="CL58" s="34" t="s">
        <v>702</v>
      </c>
      <c r="CN58" s="34" t="s">
        <v>1552</v>
      </c>
      <c r="CO58" s="34">
        <v>2</v>
      </c>
    </row>
    <row r="59" spans="1:93" x14ac:dyDescent="0.2">
      <c r="A59" s="1367" t="s">
        <v>1488</v>
      </c>
      <c r="B59" s="1368">
        <v>4</v>
      </c>
      <c r="C59" s="1367" t="s">
        <v>1593</v>
      </c>
      <c r="D59" s="1368">
        <v>69</v>
      </c>
      <c r="E59" s="1369">
        <v>1.5</v>
      </c>
      <c r="I59" s="1370" t="s">
        <v>116</v>
      </c>
      <c r="L59" s="1369">
        <v>5</v>
      </c>
      <c r="M59" s="1369">
        <v>5</v>
      </c>
      <c r="Q59" s="1370" t="s">
        <v>116</v>
      </c>
      <c r="T59" s="1369">
        <v>0</v>
      </c>
      <c r="U59" s="1369">
        <v>2.25</v>
      </c>
      <c r="V59" s="1369">
        <v>0</v>
      </c>
      <c r="W59" s="1370">
        <v>2</v>
      </c>
      <c r="X59" s="1370">
        <v>4</v>
      </c>
      <c r="Y59" s="1370" t="s">
        <v>116</v>
      </c>
      <c r="Z59" s="1370" t="s">
        <v>116</v>
      </c>
      <c r="AA59" s="1370" t="s">
        <v>1678</v>
      </c>
      <c r="AG59" s="1346">
        <v>1</v>
      </c>
      <c r="CB59" s="34" t="s">
        <v>148</v>
      </c>
      <c r="CC59" s="34" t="s">
        <v>167</v>
      </c>
      <c r="CD59" s="34" t="s">
        <v>145</v>
      </c>
      <c r="CF59" s="34">
        <v>-15800</v>
      </c>
      <c r="CG59" s="34">
        <v>6</v>
      </c>
      <c r="CH59" s="34">
        <v>2.375</v>
      </c>
      <c r="CL59" s="34" t="s">
        <v>702</v>
      </c>
      <c r="CM59" s="34">
        <v>2</v>
      </c>
    </row>
    <row r="60" spans="1:93" x14ac:dyDescent="0.2">
      <c r="A60" s="1367" t="s">
        <v>1489</v>
      </c>
      <c r="B60" s="1368">
        <v>3</v>
      </c>
      <c r="C60" s="1367" t="s">
        <v>1593</v>
      </c>
      <c r="D60" s="1368">
        <v>69</v>
      </c>
      <c r="E60" s="1369">
        <v>1.5</v>
      </c>
      <c r="I60" s="1370" t="s">
        <v>116</v>
      </c>
      <c r="L60" s="1369">
        <v>5</v>
      </c>
      <c r="M60" s="1369">
        <v>5</v>
      </c>
      <c r="N60" s="1368">
        <v>0</v>
      </c>
      <c r="O60" s="1369">
        <v>6.75</v>
      </c>
      <c r="P60" s="1369">
        <v>2</v>
      </c>
      <c r="Q60" s="1370" t="s">
        <v>116</v>
      </c>
      <c r="T60" s="1369">
        <v>0</v>
      </c>
      <c r="U60" s="1369">
        <v>2.25</v>
      </c>
      <c r="V60" s="1369">
        <v>0</v>
      </c>
      <c r="W60" s="1370">
        <v>2</v>
      </c>
      <c r="X60" s="1370">
        <v>4</v>
      </c>
      <c r="Y60" s="1370" t="s">
        <v>116</v>
      </c>
      <c r="Z60" s="1370" t="s">
        <v>116</v>
      </c>
      <c r="AA60" s="1370" t="s">
        <v>1679</v>
      </c>
      <c r="AG60" s="1346">
        <v>1</v>
      </c>
      <c r="CA60" s="34">
        <v>35</v>
      </c>
      <c r="CB60" s="34" t="s">
        <v>154</v>
      </c>
      <c r="CC60" s="34" t="s">
        <v>167</v>
      </c>
      <c r="CD60" s="34" t="s">
        <v>145</v>
      </c>
      <c r="CF60" s="34">
        <v>1059</v>
      </c>
      <c r="CN60" s="34" t="s">
        <v>1556</v>
      </c>
      <c r="CO60" s="34">
        <v>6</v>
      </c>
    </row>
    <row r="61" spans="1:93" x14ac:dyDescent="0.2">
      <c r="A61" s="1367" t="s">
        <v>1490</v>
      </c>
      <c r="B61" s="1368">
        <v>10</v>
      </c>
      <c r="C61" s="1367" t="s">
        <v>1593</v>
      </c>
      <c r="D61" s="1368">
        <v>69</v>
      </c>
      <c r="E61" s="1369">
        <v>1.5</v>
      </c>
      <c r="I61" s="1370" t="s">
        <v>116</v>
      </c>
      <c r="L61" s="1369">
        <v>5</v>
      </c>
      <c r="M61" s="1369">
        <v>5</v>
      </c>
      <c r="Q61" s="1370" t="s">
        <v>116</v>
      </c>
      <c r="T61" s="1369">
        <v>0</v>
      </c>
      <c r="U61" s="1369">
        <v>2.25</v>
      </c>
      <c r="V61" s="1369">
        <v>0</v>
      </c>
      <c r="W61" s="1370">
        <v>2</v>
      </c>
      <c r="X61" s="1370">
        <v>4</v>
      </c>
      <c r="Y61" s="1370" t="s">
        <v>116</v>
      </c>
      <c r="Z61" s="1370" t="s">
        <v>116</v>
      </c>
      <c r="AA61" s="1370" t="s">
        <v>1679</v>
      </c>
      <c r="AG61" s="1346">
        <v>1</v>
      </c>
      <c r="CB61" s="34" t="s">
        <v>154</v>
      </c>
      <c r="CC61" s="34" t="s">
        <v>167</v>
      </c>
      <c r="CD61" s="34" t="s">
        <v>145</v>
      </c>
      <c r="CF61" s="34">
        <v>-1059</v>
      </c>
      <c r="CM61" s="34">
        <v>2</v>
      </c>
    </row>
    <row r="62" spans="1:93" x14ac:dyDescent="0.2">
      <c r="A62" s="1367" t="s">
        <v>1491</v>
      </c>
      <c r="B62" s="1368">
        <v>4</v>
      </c>
      <c r="C62" s="1367" t="s">
        <v>1593</v>
      </c>
      <c r="D62" s="1368">
        <v>69</v>
      </c>
      <c r="E62" s="1369">
        <v>1.5</v>
      </c>
      <c r="I62" s="1370" t="s">
        <v>116</v>
      </c>
      <c r="L62" s="1369">
        <v>5</v>
      </c>
      <c r="M62" s="1369">
        <v>5</v>
      </c>
      <c r="Q62" s="1370" t="s">
        <v>116</v>
      </c>
      <c r="T62" s="1369">
        <v>0</v>
      </c>
      <c r="U62" s="1369">
        <v>2.25</v>
      </c>
      <c r="V62" s="1369">
        <v>0</v>
      </c>
      <c r="W62" s="1370">
        <v>2</v>
      </c>
      <c r="X62" s="1370">
        <v>4</v>
      </c>
      <c r="Y62" s="1370" t="s">
        <v>116</v>
      </c>
      <c r="Z62" s="1370" t="s">
        <v>116</v>
      </c>
      <c r="AA62" s="1370" t="s">
        <v>1680</v>
      </c>
      <c r="AG62" s="1346">
        <v>1</v>
      </c>
      <c r="CB62" s="34" t="s">
        <v>151</v>
      </c>
      <c r="CC62" s="34" t="s">
        <v>167</v>
      </c>
      <c r="CD62" s="34" t="s">
        <v>145</v>
      </c>
      <c r="CF62" s="34">
        <v>8</v>
      </c>
    </row>
    <row r="63" spans="1:93" x14ac:dyDescent="0.2">
      <c r="A63" s="1367" t="s">
        <v>1492</v>
      </c>
      <c r="B63" s="1368">
        <v>7</v>
      </c>
      <c r="C63" s="1367" t="s">
        <v>1592</v>
      </c>
      <c r="D63" s="1368">
        <v>40</v>
      </c>
      <c r="E63" s="1369">
        <v>0</v>
      </c>
      <c r="I63" s="1370" t="s">
        <v>116</v>
      </c>
      <c r="L63" s="1369">
        <v>5</v>
      </c>
      <c r="M63" s="1369">
        <v>5</v>
      </c>
      <c r="Q63" s="1370" t="s">
        <v>116</v>
      </c>
      <c r="T63" s="1369">
        <v>0</v>
      </c>
      <c r="U63" s="1369">
        <v>2.25</v>
      </c>
      <c r="V63" s="1369">
        <v>0</v>
      </c>
      <c r="W63" s="1370">
        <v>2</v>
      </c>
      <c r="X63" s="1370">
        <v>4</v>
      </c>
      <c r="Y63" s="1370" t="s">
        <v>116</v>
      </c>
      <c r="Z63" s="1370" t="s">
        <v>116</v>
      </c>
      <c r="AA63" s="1370" t="s">
        <v>1681</v>
      </c>
      <c r="AG63" s="1346">
        <v>1</v>
      </c>
      <c r="CB63" s="34" t="s">
        <v>151</v>
      </c>
      <c r="CC63" s="34" t="s">
        <v>167</v>
      </c>
      <c r="CD63" s="34" t="s">
        <v>145</v>
      </c>
      <c r="CF63" s="34">
        <v>-8</v>
      </c>
      <c r="CM63" s="34">
        <v>2</v>
      </c>
    </row>
    <row r="64" spans="1:93" x14ac:dyDescent="0.2">
      <c r="A64" s="1367" t="s">
        <v>1493</v>
      </c>
      <c r="B64" s="1368">
        <v>1</v>
      </c>
      <c r="C64" s="1367" t="s">
        <v>1592</v>
      </c>
      <c r="D64" s="1368">
        <v>40</v>
      </c>
      <c r="E64" s="1369">
        <v>0</v>
      </c>
      <c r="I64" s="1370" t="s">
        <v>116</v>
      </c>
      <c r="L64" s="1369">
        <v>5</v>
      </c>
      <c r="M64" s="1369">
        <v>5</v>
      </c>
      <c r="N64" s="1368">
        <v>0</v>
      </c>
      <c r="O64" s="1369">
        <v>6.75</v>
      </c>
      <c r="P64" s="1369">
        <v>2</v>
      </c>
      <c r="Q64" s="1370" t="s">
        <v>116</v>
      </c>
      <c r="T64" s="1369">
        <v>0</v>
      </c>
      <c r="U64" s="1369">
        <v>2.25</v>
      </c>
      <c r="V64" s="1369">
        <v>0</v>
      </c>
      <c r="W64" s="1370">
        <v>2</v>
      </c>
      <c r="X64" s="1370">
        <v>4</v>
      </c>
      <c r="Y64" s="1370" t="s">
        <v>116</v>
      </c>
      <c r="Z64" s="1370" t="s">
        <v>116</v>
      </c>
      <c r="AA64" s="1370" t="s">
        <v>1681</v>
      </c>
      <c r="AG64" s="1346">
        <v>1</v>
      </c>
      <c r="CB64" s="34" t="s">
        <v>157</v>
      </c>
      <c r="CC64" s="34" t="s">
        <v>167</v>
      </c>
      <c r="CD64" s="34" t="s">
        <v>145</v>
      </c>
      <c r="CF64" s="34">
        <v>1568</v>
      </c>
    </row>
    <row r="65" spans="1:93" x14ac:dyDescent="0.2">
      <c r="A65" s="1367" t="s">
        <v>1494</v>
      </c>
      <c r="B65" s="1368">
        <v>2</v>
      </c>
      <c r="C65" s="1367" t="s">
        <v>1592</v>
      </c>
      <c r="D65" s="1368">
        <v>40</v>
      </c>
      <c r="E65" s="1369">
        <v>0</v>
      </c>
      <c r="I65" s="1370" t="s">
        <v>116</v>
      </c>
      <c r="L65" s="1369">
        <v>5</v>
      </c>
      <c r="M65" s="1369">
        <v>5</v>
      </c>
      <c r="Q65" s="1370" t="s">
        <v>116</v>
      </c>
      <c r="T65" s="1369">
        <v>0</v>
      </c>
      <c r="U65" s="1369">
        <v>2.25</v>
      </c>
      <c r="V65" s="1369">
        <v>0</v>
      </c>
      <c r="W65" s="1370">
        <v>2</v>
      </c>
      <c r="X65" s="1370">
        <v>4</v>
      </c>
      <c r="Y65" s="1370" t="s">
        <v>116</v>
      </c>
      <c r="Z65" s="1370" t="s">
        <v>116</v>
      </c>
      <c r="AA65" s="1370" t="s">
        <v>1682</v>
      </c>
      <c r="AG65" s="1346">
        <v>1</v>
      </c>
      <c r="CB65" s="34" t="s">
        <v>151</v>
      </c>
      <c r="CC65" s="34" t="s">
        <v>165</v>
      </c>
      <c r="CD65" s="34" t="s">
        <v>145</v>
      </c>
      <c r="CF65" s="34">
        <v>24</v>
      </c>
    </row>
    <row r="66" spans="1:93" x14ac:dyDescent="0.2">
      <c r="A66" s="1367" t="s">
        <v>1495</v>
      </c>
      <c r="B66" s="1368">
        <v>1</v>
      </c>
      <c r="C66" s="1367" t="s">
        <v>1592</v>
      </c>
      <c r="D66" s="1368">
        <v>40</v>
      </c>
      <c r="E66" s="1369">
        <v>0</v>
      </c>
      <c r="I66" s="1370" t="s">
        <v>116</v>
      </c>
      <c r="L66" s="1369">
        <v>5</v>
      </c>
      <c r="M66" s="1369">
        <v>5</v>
      </c>
      <c r="Q66" s="1370" t="s">
        <v>116</v>
      </c>
      <c r="T66" s="1369">
        <v>0</v>
      </c>
      <c r="U66" s="1369">
        <v>2.25</v>
      </c>
      <c r="V66" s="1369">
        <v>0</v>
      </c>
      <c r="W66" s="1370">
        <v>2</v>
      </c>
      <c r="X66" s="1370">
        <v>4</v>
      </c>
      <c r="Y66" s="1370" t="s">
        <v>116</v>
      </c>
      <c r="Z66" s="1370" t="s">
        <v>116</v>
      </c>
      <c r="AA66" s="1370" t="s">
        <v>1683</v>
      </c>
      <c r="AG66" s="1346">
        <v>1</v>
      </c>
      <c r="CA66" s="34">
        <v>36</v>
      </c>
      <c r="CB66" s="34" t="s">
        <v>154</v>
      </c>
      <c r="CC66" s="34" t="s">
        <v>167</v>
      </c>
      <c r="CD66" s="34" t="s">
        <v>145</v>
      </c>
      <c r="CF66" s="34">
        <v>1592</v>
      </c>
      <c r="CN66" s="34" t="s">
        <v>1558</v>
      </c>
      <c r="CO66" s="34">
        <v>3</v>
      </c>
    </row>
    <row r="67" spans="1:93" x14ac:dyDescent="0.2">
      <c r="A67" s="1367" t="s">
        <v>1496</v>
      </c>
      <c r="B67" s="1368">
        <v>1</v>
      </c>
      <c r="C67" s="1367" t="s">
        <v>1592</v>
      </c>
      <c r="D67" s="1368">
        <v>40</v>
      </c>
      <c r="E67" s="1369">
        <v>0</v>
      </c>
      <c r="I67" s="1370" t="s">
        <v>116</v>
      </c>
      <c r="L67" s="1369">
        <v>5</v>
      </c>
      <c r="M67" s="1369">
        <v>5</v>
      </c>
      <c r="Q67" s="1370" t="s">
        <v>116</v>
      </c>
      <c r="T67" s="1369">
        <v>0</v>
      </c>
      <c r="U67" s="1369">
        <v>2.25</v>
      </c>
      <c r="V67" s="1369">
        <v>0</v>
      </c>
      <c r="W67" s="1370">
        <v>2</v>
      </c>
      <c r="X67" s="1370">
        <v>4</v>
      </c>
      <c r="Y67" s="1370" t="s">
        <v>116</v>
      </c>
      <c r="Z67" s="1370" t="s">
        <v>116</v>
      </c>
      <c r="AA67" s="1370" t="s">
        <v>1684</v>
      </c>
      <c r="AG67" s="1346">
        <v>1</v>
      </c>
      <c r="CB67" s="34" t="s">
        <v>154</v>
      </c>
      <c r="CC67" s="34" t="s">
        <v>167</v>
      </c>
      <c r="CD67" s="34" t="s">
        <v>145</v>
      </c>
      <c r="CF67" s="34">
        <v>-1592</v>
      </c>
      <c r="CM67" s="34">
        <v>2</v>
      </c>
    </row>
    <row r="68" spans="1:93" x14ac:dyDescent="0.2">
      <c r="A68" s="1367" t="s">
        <v>1497</v>
      </c>
      <c r="B68" s="1368">
        <v>2</v>
      </c>
      <c r="C68" s="1367" t="s">
        <v>1592</v>
      </c>
      <c r="D68" s="1368">
        <v>39</v>
      </c>
      <c r="E68" s="1369">
        <v>2.25</v>
      </c>
      <c r="I68" s="1370" t="s">
        <v>116</v>
      </c>
      <c r="L68" s="1369">
        <v>5</v>
      </c>
      <c r="M68" s="1369">
        <v>5</v>
      </c>
      <c r="Q68" s="1370" t="s">
        <v>116</v>
      </c>
      <c r="T68" s="1369">
        <v>0</v>
      </c>
      <c r="U68" s="1369">
        <v>2.25</v>
      </c>
      <c r="V68" s="1369">
        <v>0</v>
      </c>
      <c r="W68" s="1370">
        <v>2</v>
      </c>
      <c r="X68" s="1370">
        <v>4</v>
      </c>
      <c r="Y68" s="1370" t="s">
        <v>116</v>
      </c>
      <c r="Z68" s="1370" t="s">
        <v>116</v>
      </c>
      <c r="AA68" s="1370" t="s">
        <v>1686</v>
      </c>
      <c r="AG68" s="1346">
        <v>1</v>
      </c>
      <c r="CB68" s="34" t="s">
        <v>154</v>
      </c>
      <c r="CC68" s="34" t="s">
        <v>165</v>
      </c>
      <c r="CD68" s="34" t="s">
        <v>145</v>
      </c>
      <c r="CF68" s="34">
        <v>1320</v>
      </c>
    </row>
    <row r="69" spans="1:93" x14ac:dyDescent="0.2">
      <c r="A69" s="1367" t="s">
        <v>1498</v>
      </c>
      <c r="B69" s="1368">
        <v>1</v>
      </c>
      <c r="C69" s="1367" t="s">
        <v>1592</v>
      </c>
      <c r="D69" s="1368">
        <v>39</v>
      </c>
      <c r="E69" s="1369">
        <v>2.25</v>
      </c>
      <c r="I69" s="1370" t="s">
        <v>116</v>
      </c>
      <c r="L69" s="1369">
        <v>5</v>
      </c>
      <c r="M69" s="1369">
        <v>5</v>
      </c>
      <c r="Q69" s="1370" t="s">
        <v>116</v>
      </c>
      <c r="T69" s="1369">
        <v>0</v>
      </c>
      <c r="U69" s="1369">
        <v>2.25</v>
      </c>
      <c r="V69" s="1369">
        <v>0</v>
      </c>
      <c r="W69" s="1370">
        <v>2</v>
      </c>
      <c r="X69" s="1370">
        <v>4</v>
      </c>
      <c r="Y69" s="1370" t="s">
        <v>116</v>
      </c>
      <c r="Z69" s="1370" t="s">
        <v>116</v>
      </c>
      <c r="AA69" s="1370" t="s">
        <v>1687</v>
      </c>
      <c r="AG69" s="1346">
        <v>1</v>
      </c>
      <c r="CA69" s="34">
        <v>37</v>
      </c>
      <c r="CB69" s="34" t="s">
        <v>154</v>
      </c>
      <c r="CC69" s="34" t="s">
        <v>167</v>
      </c>
      <c r="CD69" s="34" t="s">
        <v>145</v>
      </c>
      <c r="CF69" s="34">
        <v>1592</v>
      </c>
      <c r="CN69" s="34" t="s">
        <v>1558</v>
      </c>
      <c r="CO69" s="34">
        <v>3</v>
      </c>
    </row>
    <row r="70" spans="1:93" x14ac:dyDescent="0.2">
      <c r="A70" s="1367" t="s">
        <v>1499</v>
      </c>
      <c r="B70" s="1368">
        <v>1</v>
      </c>
      <c r="C70" s="1367" t="s">
        <v>1592</v>
      </c>
      <c r="D70" s="1368">
        <v>40</v>
      </c>
      <c r="E70" s="1369">
        <v>0</v>
      </c>
      <c r="I70" s="1370" t="s">
        <v>116</v>
      </c>
      <c r="L70" s="1369">
        <v>5</v>
      </c>
      <c r="M70" s="1369">
        <v>5</v>
      </c>
      <c r="Q70" s="1370" t="s">
        <v>116</v>
      </c>
      <c r="T70" s="1369">
        <v>0</v>
      </c>
      <c r="U70" s="1369">
        <v>2.25</v>
      </c>
      <c r="V70" s="1369">
        <v>0</v>
      </c>
      <c r="W70" s="1370">
        <v>2</v>
      </c>
      <c r="X70" s="1370">
        <v>4</v>
      </c>
      <c r="Y70" s="1370" t="s">
        <v>116</v>
      </c>
      <c r="Z70" s="1370" t="s">
        <v>116</v>
      </c>
      <c r="AA70" s="1370" t="s">
        <v>1688</v>
      </c>
      <c r="AG70" s="1346">
        <v>1</v>
      </c>
      <c r="CB70" s="34" t="s">
        <v>154</v>
      </c>
      <c r="CC70" s="34" t="s">
        <v>167</v>
      </c>
      <c r="CD70" s="34" t="s">
        <v>145</v>
      </c>
      <c r="CF70" s="34">
        <v>-1592</v>
      </c>
      <c r="CM70" s="34">
        <v>2</v>
      </c>
    </row>
    <row r="71" spans="1:93" x14ac:dyDescent="0.2">
      <c r="A71" s="1367" t="s">
        <v>1500</v>
      </c>
      <c r="B71" s="1368">
        <v>2</v>
      </c>
      <c r="C71" s="1367" t="s">
        <v>1592</v>
      </c>
      <c r="D71" s="1368">
        <v>49</v>
      </c>
      <c r="E71" s="1369">
        <v>11.5</v>
      </c>
      <c r="I71" s="1370" t="s">
        <v>116</v>
      </c>
      <c r="L71" s="1369">
        <v>5</v>
      </c>
      <c r="M71" s="1369">
        <v>5</v>
      </c>
      <c r="Q71" s="1370" t="s">
        <v>116</v>
      </c>
      <c r="T71" s="1369">
        <v>0</v>
      </c>
      <c r="U71" s="1369">
        <v>2.25</v>
      </c>
      <c r="V71" s="1369">
        <v>0</v>
      </c>
      <c r="W71" s="1370">
        <v>2.25</v>
      </c>
      <c r="X71" s="1370">
        <v>4</v>
      </c>
      <c r="Y71" s="1370" t="s">
        <v>116</v>
      </c>
      <c r="Z71" s="1370" t="s">
        <v>116</v>
      </c>
      <c r="AA71" s="1370" t="s">
        <v>1689</v>
      </c>
      <c r="AG71" s="1346">
        <v>1</v>
      </c>
      <c r="CB71" s="34" t="s">
        <v>148</v>
      </c>
      <c r="CC71" s="34" t="s">
        <v>165</v>
      </c>
      <c r="CD71" s="34" t="s">
        <v>145</v>
      </c>
      <c r="CF71" s="34">
        <v>1320</v>
      </c>
      <c r="CG71" s="34">
        <v>43</v>
      </c>
      <c r="CH71" s="34">
        <v>6.875</v>
      </c>
      <c r="CI71" s="34">
        <v>1320</v>
      </c>
      <c r="CJ71" s="34">
        <v>49</v>
      </c>
      <c r="CK71" s="34">
        <v>9.625</v>
      </c>
      <c r="CL71" s="34" t="s">
        <v>700</v>
      </c>
    </row>
    <row r="72" spans="1:93" x14ac:dyDescent="0.2">
      <c r="A72" s="1367" t="s">
        <v>1501</v>
      </c>
      <c r="B72" s="1368">
        <v>1</v>
      </c>
      <c r="C72" s="1367" t="s">
        <v>1592</v>
      </c>
      <c r="D72" s="1368">
        <v>49</v>
      </c>
      <c r="E72" s="1369">
        <v>11.5</v>
      </c>
      <c r="I72" s="1370" t="s">
        <v>116</v>
      </c>
      <c r="L72" s="1369">
        <v>5</v>
      </c>
      <c r="M72" s="1369">
        <v>5</v>
      </c>
      <c r="Q72" s="1370" t="s">
        <v>116</v>
      </c>
      <c r="T72" s="1369">
        <v>0</v>
      </c>
      <c r="U72" s="1369">
        <v>2.25</v>
      </c>
      <c r="V72" s="1369">
        <v>0</v>
      </c>
      <c r="W72" s="1370">
        <v>2.25</v>
      </c>
      <c r="X72" s="1370">
        <v>4</v>
      </c>
      <c r="Y72" s="1370" t="s">
        <v>116</v>
      </c>
      <c r="Z72" s="1370" t="s">
        <v>116</v>
      </c>
      <c r="AA72" s="1370" t="s">
        <v>1690</v>
      </c>
      <c r="AG72" s="1346">
        <v>1</v>
      </c>
      <c r="CA72" s="34">
        <v>38</v>
      </c>
      <c r="CB72" s="34" t="s">
        <v>146</v>
      </c>
      <c r="CC72" s="34" t="s">
        <v>167</v>
      </c>
      <c r="CD72" s="34" t="s">
        <v>145</v>
      </c>
      <c r="CF72" s="34">
        <v>3136</v>
      </c>
      <c r="CG72" s="34">
        <v>3</v>
      </c>
      <c r="CH72" s="34">
        <v>0</v>
      </c>
      <c r="CL72" s="34" t="s">
        <v>702</v>
      </c>
      <c r="CN72" s="34" t="s">
        <v>1561</v>
      </c>
      <c r="CO72" s="34">
        <v>4</v>
      </c>
    </row>
    <row r="73" spans="1:93" x14ac:dyDescent="0.2">
      <c r="A73" s="1367" t="s">
        <v>1502</v>
      </c>
      <c r="B73" s="1368">
        <v>2</v>
      </c>
      <c r="C73" s="1367" t="s">
        <v>1593</v>
      </c>
      <c r="D73" s="1368">
        <v>69</v>
      </c>
      <c r="E73" s="1369">
        <v>1.5</v>
      </c>
      <c r="I73" s="1370" t="s">
        <v>116</v>
      </c>
      <c r="L73" s="1369">
        <v>5</v>
      </c>
      <c r="M73" s="1369">
        <v>5</v>
      </c>
      <c r="Q73" s="1370" t="s">
        <v>116</v>
      </c>
      <c r="T73" s="1369">
        <v>0</v>
      </c>
      <c r="U73" s="1369">
        <v>2.25</v>
      </c>
      <c r="V73" s="1369">
        <v>0</v>
      </c>
      <c r="W73" s="1370">
        <v>2</v>
      </c>
      <c r="X73" s="1370">
        <v>4</v>
      </c>
      <c r="Y73" s="1370" t="s">
        <v>116</v>
      </c>
      <c r="Z73" s="1370" t="s">
        <v>116</v>
      </c>
      <c r="AA73" s="1370" t="s">
        <v>1691</v>
      </c>
      <c r="AG73" s="1346">
        <v>1</v>
      </c>
      <c r="CB73" s="34" t="s">
        <v>146</v>
      </c>
      <c r="CC73" s="34" t="s">
        <v>167</v>
      </c>
      <c r="CD73" s="34" t="s">
        <v>145</v>
      </c>
      <c r="CF73" s="34">
        <v>-3136</v>
      </c>
      <c r="CG73" s="34">
        <v>3</v>
      </c>
      <c r="CH73" s="34">
        <v>0</v>
      </c>
      <c r="CL73" s="34" t="s">
        <v>702</v>
      </c>
      <c r="CM73" s="34">
        <v>2</v>
      </c>
    </row>
    <row r="74" spans="1:93" x14ac:dyDescent="0.2">
      <c r="A74" s="1367" t="s">
        <v>1503</v>
      </c>
      <c r="B74" s="1368">
        <v>1</v>
      </c>
      <c r="C74" s="1367" t="s">
        <v>1593</v>
      </c>
      <c r="D74" s="1368">
        <v>69</v>
      </c>
      <c r="E74" s="1369">
        <v>1.5</v>
      </c>
      <c r="I74" s="1370" t="s">
        <v>116</v>
      </c>
      <c r="L74" s="1369">
        <v>5</v>
      </c>
      <c r="M74" s="1369">
        <v>5</v>
      </c>
      <c r="Q74" s="1370" t="s">
        <v>116</v>
      </c>
      <c r="T74" s="1369">
        <v>0</v>
      </c>
      <c r="U74" s="1369">
        <v>2.25</v>
      </c>
      <c r="V74" s="1369">
        <v>0</v>
      </c>
      <c r="W74" s="1370">
        <v>2</v>
      </c>
      <c r="X74" s="1370">
        <v>4</v>
      </c>
      <c r="Y74" s="1370" t="s">
        <v>116</v>
      </c>
      <c r="Z74" s="1370" t="s">
        <v>116</v>
      </c>
      <c r="AA74" s="1370" t="s">
        <v>1688</v>
      </c>
      <c r="AG74" s="1346">
        <v>1</v>
      </c>
      <c r="CB74" s="34" t="s">
        <v>157</v>
      </c>
      <c r="CC74" s="34" t="s">
        <v>167</v>
      </c>
      <c r="CD74" s="34" t="s">
        <v>145</v>
      </c>
      <c r="CF74" s="34">
        <v>1568</v>
      </c>
    </row>
    <row r="75" spans="1:93" x14ac:dyDescent="0.2">
      <c r="CB75" s="34" t="s">
        <v>146</v>
      </c>
      <c r="CC75" s="34" t="s">
        <v>167</v>
      </c>
      <c r="CD75" s="34" t="s">
        <v>145</v>
      </c>
      <c r="CF75" s="34">
        <v>300</v>
      </c>
      <c r="CG75" s="34">
        <v>3</v>
      </c>
      <c r="CH75" s="34">
        <v>0</v>
      </c>
      <c r="CL75" s="34" t="s">
        <v>702</v>
      </c>
    </row>
    <row r="76" spans="1:93" x14ac:dyDescent="0.2">
      <c r="CA76" s="34">
        <v>39</v>
      </c>
      <c r="CB76" s="34" t="s">
        <v>146</v>
      </c>
      <c r="CC76" s="34" t="s">
        <v>167</v>
      </c>
      <c r="CD76" s="34" t="s">
        <v>145</v>
      </c>
      <c r="CF76" s="34">
        <v>1568</v>
      </c>
      <c r="CG76" s="34">
        <v>18</v>
      </c>
      <c r="CH76" s="34">
        <v>0</v>
      </c>
      <c r="CL76" s="34" t="s">
        <v>700</v>
      </c>
      <c r="CN76" s="34" t="s">
        <v>1561</v>
      </c>
      <c r="CO76" s="34">
        <v>4</v>
      </c>
    </row>
    <row r="77" spans="1:93" x14ac:dyDescent="0.2">
      <c r="CA77" s="34">
        <v>40</v>
      </c>
      <c r="CB77" s="34" t="s">
        <v>146</v>
      </c>
      <c r="CC77" s="34" t="s">
        <v>167</v>
      </c>
      <c r="CD77" s="34" t="s">
        <v>145</v>
      </c>
      <c r="CF77" s="34">
        <v>3136</v>
      </c>
      <c r="CG77" s="34">
        <v>3</v>
      </c>
      <c r="CH77" s="34">
        <v>0</v>
      </c>
      <c r="CL77" s="34" t="s">
        <v>702</v>
      </c>
      <c r="CN77" s="34" t="s">
        <v>1561</v>
      </c>
      <c r="CO77" s="34">
        <v>4</v>
      </c>
    </row>
    <row r="78" spans="1:93" x14ac:dyDescent="0.2">
      <c r="CB78" s="34" t="s">
        <v>146</v>
      </c>
      <c r="CC78" s="34" t="s">
        <v>167</v>
      </c>
      <c r="CD78" s="34" t="s">
        <v>145</v>
      </c>
      <c r="CF78" s="34">
        <v>-3136</v>
      </c>
      <c r="CG78" s="34">
        <v>3</v>
      </c>
      <c r="CH78" s="34">
        <v>0</v>
      </c>
      <c r="CL78" s="34" t="s">
        <v>702</v>
      </c>
      <c r="CM78" s="34">
        <v>2</v>
      </c>
    </row>
    <row r="79" spans="1:93" x14ac:dyDescent="0.2">
      <c r="CB79" s="34" t="s">
        <v>157</v>
      </c>
      <c r="CC79" s="34" t="s">
        <v>167</v>
      </c>
      <c r="CD79" s="34" t="s">
        <v>145</v>
      </c>
      <c r="CF79" s="34">
        <v>1568</v>
      </c>
    </row>
    <row r="80" spans="1:93" x14ac:dyDescent="0.2">
      <c r="CB80" s="34" t="s">
        <v>146</v>
      </c>
      <c r="CC80" s="34" t="s">
        <v>167</v>
      </c>
      <c r="CD80" s="34" t="s">
        <v>145</v>
      </c>
      <c r="CF80" s="34">
        <v>600</v>
      </c>
      <c r="CG80" s="34">
        <v>3</v>
      </c>
      <c r="CH80" s="34">
        <v>0</v>
      </c>
      <c r="CL80" s="34" t="s">
        <v>702</v>
      </c>
    </row>
  </sheetData>
  <sheetProtection selectLockedCells="1"/>
  <mergeCells count="4">
    <mergeCell ref="AZ1:AZ19"/>
    <mergeCell ref="DZ1:DZ19"/>
    <mergeCell ref="BZ1:BZ19"/>
    <mergeCell ref="CZ1:CZ19"/>
  </mergeCell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822">
        <f>IF(ISBLANK('Job Info.'!D8),"",'Job Info.'!D8)</f>
        <v>45048</v>
      </c>
      <c r="G1" s="1822"/>
      <c r="H1" s="374"/>
    </row>
    <row r="2" spans="1:8" ht="39.950000000000003" customHeight="1" x14ac:dyDescent="0.2">
      <c r="A2" s="18" t="s">
        <v>41</v>
      </c>
      <c r="B2" s="374"/>
      <c r="C2" s="374"/>
      <c r="D2" s="374"/>
      <c r="E2" s="460" t="s">
        <v>21</v>
      </c>
      <c r="F2" s="541"/>
      <c r="G2" s="541"/>
      <c r="H2" s="374"/>
    </row>
    <row r="3" spans="1:8" ht="6" customHeight="1" x14ac:dyDescent="0.2">
      <c r="A3" s="374"/>
      <c r="B3" s="374"/>
      <c r="C3" s="374"/>
      <c r="D3" s="374"/>
      <c r="E3" s="374"/>
      <c r="F3" s="374"/>
      <c r="G3" s="374"/>
      <c r="H3" s="374"/>
    </row>
    <row r="4" spans="1:8" ht="15.95" customHeight="1" x14ac:dyDescent="0.2">
      <c r="A4" s="471" t="s">
        <v>1</v>
      </c>
      <c r="B4" s="1824" t="str">
        <f>IF(ISBLANK('Job Info.'!D3),"",'Job Info.'!D3)</f>
        <v>MINDEN UPS BLDG 1</v>
      </c>
      <c r="C4" s="1825"/>
      <c r="D4" s="471" t="s">
        <v>2</v>
      </c>
      <c r="E4" s="1824" t="str">
        <f>IF(ISBLANK('Job Info.'!D5),"",'Job Info.'!D5)</f>
        <v>NN22-0071</v>
      </c>
      <c r="F4" s="1824"/>
      <c r="G4" s="1824"/>
      <c r="H4" s="1825"/>
    </row>
    <row r="5" spans="1:8" ht="15.95" customHeight="1" x14ac:dyDescent="0.2">
      <c r="A5" s="471" t="s">
        <v>3</v>
      </c>
      <c r="B5" s="1824" t="str">
        <f>IF(ISBLANK('Job Info.'!D4),"",'Job Info.'!D4)</f>
        <v>MINDEN, NV</v>
      </c>
      <c r="C5" s="1825"/>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823" t="s">
        <v>15</v>
      </c>
      <c r="C7" s="1823"/>
      <c r="D7" s="1823"/>
      <c r="E7" s="1823"/>
      <c r="F7" s="1823"/>
      <c r="G7" s="1823"/>
      <c r="H7" s="1823"/>
    </row>
    <row r="8" spans="1:8" ht="15" customHeight="1" x14ac:dyDescent="0.2">
      <c r="A8" s="1051"/>
      <c r="B8" s="1828"/>
      <c r="C8" s="1828"/>
      <c r="D8" s="1828"/>
      <c r="E8" s="1828"/>
      <c r="F8" s="1828"/>
      <c r="G8" s="1828"/>
      <c r="H8" s="1828"/>
    </row>
    <row r="9" spans="1:8" ht="15" customHeight="1" x14ac:dyDescent="0.2">
      <c r="A9" s="1052"/>
      <c r="B9" s="1827"/>
      <c r="C9" s="1827"/>
      <c r="D9" s="1827"/>
      <c r="E9" s="1827"/>
      <c r="F9" s="1827"/>
      <c r="G9" s="1827"/>
      <c r="H9" s="1827"/>
    </row>
    <row r="10" spans="1:8" ht="15" customHeight="1" x14ac:dyDescent="0.2">
      <c r="A10" s="1052"/>
      <c r="B10" s="1827"/>
      <c r="C10" s="1827"/>
      <c r="D10" s="1827"/>
      <c r="E10" s="1827"/>
      <c r="F10" s="1827"/>
      <c r="G10" s="1827"/>
      <c r="H10" s="1827"/>
    </row>
    <row r="11" spans="1:8" ht="15" customHeight="1" x14ac:dyDescent="0.2">
      <c r="A11" s="1052"/>
      <c r="B11" s="1827"/>
      <c r="C11" s="1827"/>
      <c r="D11" s="1827"/>
      <c r="E11" s="1827"/>
      <c r="F11" s="1827"/>
      <c r="G11" s="1827"/>
      <c r="H11" s="1827"/>
    </row>
    <row r="12" spans="1:8" ht="15" customHeight="1" x14ac:dyDescent="0.2">
      <c r="A12" s="1052"/>
      <c r="B12" s="1827"/>
      <c r="C12" s="1827"/>
      <c r="D12" s="1827"/>
      <c r="E12" s="1827"/>
      <c r="F12" s="1827"/>
      <c r="G12" s="1827"/>
      <c r="H12" s="1827"/>
    </row>
    <row r="13" spans="1:8" ht="15" customHeight="1" x14ac:dyDescent="0.2">
      <c r="A13" s="1052"/>
      <c r="B13" s="1827"/>
      <c r="C13" s="1827"/>
      <c r="D13" s="1827"/>
      <c r="E13" s="1827"/>
      <c r="F13" s="1827"/>
      <c r="G13" s="1827"/>
      <c r="H13" s="1827"/>
    </row>
    <row r="14" spans="1:8" ht="15" customHeight="1" x14ac:dyDescent="0.2">
      <c r="A14" s="1052"/>
      <c r="B14" s="1827"/>
      <c r="C14" s="1827"/>
      <c r="D14" s="1827"/>
      <c r="E14" s="1827"/>
      <c r="F14" s="1827"/>
      <c r="G14" s="1827"/>
      <c r="H14" s="1827"/>
    </row>
    <row r="15" spans="1:8" ht="15" customHeight="1" x14ac:dyDescent="0.2">
      <c r="A15" s="1052"/>
      <c r="B15" s="1827"/>
      <c r="C15" s="1827"/>
      <c r="D15" s="1827"/>
      <c r="E15" s="1827"/>
      <c r="F15" s="1827"/>
      <c r="G15" s="1827"/>
      <c r="H15" s="1827"/>
    </row>
    <row r="16" spans="1:8" ht="15" customHeight="1" x14ac:dyDescent="0.2">
      <c r="A16" s="1052"/>
      <c r="B16" s="1827"/>
      <c r="C16" s="1827"/>
      <c r="D16" s="1827"/>
      <c r="E16" s="1827"/>
      <c r="F16" s="1827"/>
      <c r="G16" s="1827"/>
      <c r="H16" s="1827"/>
    </row>
    <row r="17" spans="1:8" ht="15" customHeight="1" x14ac:dyDescent="0.2">
      <c r="A17" s="1052"/>
      <c r="B17" s="1827"/>
      <c r="C17" s="1827"/>
      <c r="D17" s="1827"/>
      <c r="E17" s="1827"/>
      <c r="F17" s="1827"/>
      <c r="G17" s="1827"/>
      <c r="H17" s="1827"/>
    </row>
    <row r="18" spans="1:8" ht="15" customHeight="1" x14ac:dyDescent="0.2">
      <c r="A18" s="1052"/>
      <c r="B18" s="1827"/>
      <c r="C18" s="1827"/>
      <c r="D18" s="1827"/>
      <c r="E18" s="1827"/>
      <c r="F18" s="1827"/>
      <c r="G18" s="1827"/>
      <c r="H18" s="1827"/>
    </row>
    <row r="19" spans="1:8" ht="15" customHeight="1" x14ac:dyDescent="0.2">
      <c r="A19" s="1052"/>
      <c r="B19" s="1827"/>
      <c r="C19" s="1827"/>
      <c r="D19" s="1827"/>
      <c r="E19" s="1827"/>
      <c r="F19" s="1827"/>
      <c r="G19" s="1827"/>
      <c r="H19" s="1827"/>
    </row>
    <row r="20" spans="1:8" ht="15" customHeight="1" x14ac:dyDescent="0.2">
      <c r="A20" s="1052"/>
      <c r="B20" s="1827"/>
      <c r="C20" s="1827"/>
      <c r="D20" s="1827"/>
      <c r="E20" s="1827"/>
      <c r="F20" s="1827"/>
      <c r="G20" s="1827"/>
      <c r="H20" s="1827"/>
    </row>
    <row r="21" spans="1:8" ht="15" customHeight="1" x14ac:dyDescent="0.2">
      <c r="A21" s="1052"/>
      <c r="B21" s="1827"/>
      <c r="C21" s="1827"/>
      <c r="D21" s="1827"/>
      <c r="E21" s="1827"/>
      <c r="F21" s="1827"/>
      <c r="G21" s="1827"/>
      <c r="H21" s="1827"/>
    </row>
    <row r="22" spans="1:8" ht="15" customHeight="1" x14ac:dyDescent="0.2">
      <c r="A22" s="1052"/>
      <c r="B22" s="1827"/>
      <c r="C22" s="1827"/>
      <c r="D22" s="1827"/>
      <c r="E22" s="1827"/>
      <c r="F22" s="1827"/>
      <c r="G22" s="1827"/>
      <c r="H22" s="1827"/>
    </row>
    <row r="23" spans="1:8" ht="15" customHeight="1" x14ac:dyDescent="0.2">
      <c r="A23" s="1052"/>
      <c r="B23" s="1827"/>
      <c r="C23" s="1827"/>
      <c r="D23" s="1827"/>
      <c r="E23" s="1827"/>
      <c r="F23" s="1827"/>
      <c r="G23" s="1827"/>
      <c r="H23" s="1827"/>
    </row>
    <row r="24" spans="1:8" ht="15" customHeight="1" x14ac:dyDescent="0.2">
      <c r="A24" s="1052"/>
      <c r="B24" s="1827"/>
      <c r="C24" s="1827"/>
      <c r="D24" s="1827"/>
      <c r="E24" s="1827"/>
      <c r="F24" s="1827"/>
      <c r="G24" s="1827"/>
      <c r="H24" s="1827"/>
    </row>
    <row r="25" spans="1:8" ht="15" customHeight="1" x14ac:dyDescent="0.2">
      <c r="A25" s="1052"/>
      <c r="B25" s="1827"/>
      <c r="C25" s="1827"/>
      <c r="D25" s="1827"/>
      <c r="E25" s="1827"/>
      <c r="F25" s="1827"/>
      <c r="G25" s="1827"/>
      <c r="H25" s="1827"/>
    </row>
    <row r="26" spans="1:8" ht="15" customHeight="1" x14ac:dyDescent="0.2">
      <c r="A26" s="1052"/>
      <c r="B26" s="1827"/>
      <c r="C26" s="1827"/>
      <c r="D26" s="1827"/>
      <c r="E26" s="1827"/>
      <c r="F26" s="1827"/>
      <c r="G26" s="1827"/>
      <c r="H26" s="1827"/>
    </row>
    <row r="27" spans="1:8" ht="15" customHeight="1" x14ac:dyDescent="0.2">
      <c r="A27" s="1052"/>
      <c r="B27" s="1827"/>
      <c r="C27" s="1827"/>
      <c r="D27" s="1827"/>
      <c r="E27" s="1827"/>
      <c r="F27" s="1827"/>
      <c r="G27" s="1827"/>
      <c r="H27" s="1827"/>
    </row>
    <row r="28" spans="1:8" ht="15" customHeight="1" x14ac:dyDescent="0.2">
      <c r="A28" s="1052"/>
      <c r="B28" s="1827"/>
      <c r="C28" s="1827"/>
      <c r="D28" s="1827"/>
      <c r="E28" s="1827"/>
      <c r="F28" s="1827"/>
      <c r="G28" s="1827"/>
      <c r="H28" s="1827"/>
    </row>
    <row r="29" spans="1:8" ht="15" customHeight="1" x14ac:dyDescent="0.2">
      <c r="A29" s="1052"/>
      <c r="B29" s="1827"/>
      <c r="C29" s="1827"/>
      <c r="D29" s="1827"/>
      <c r="E29" s="1827"/>
      <c r="F29" s="1827"/>
      <c r="G29" s="1827"/>
      <c r="H29" s="1827"/>
    </row>
    <row r="30" spans="1:8" ht="15" customHeight="1" x14ac:dyDescent="0.2">
      <c r="A30" s="1052"/>
      <c r="B30" s="1827"/>
      <c r="C30" s="1827"/>
      <c r="D30" s="1827"/>
      <c r="E30" s="1827"/>
      <c r="F30" s="1827"/>
      <c r="G30" s="1827"/>
      <c r="H30" s="1827"/>
    </row>
    <row r="31" spans="1:8" ht="15" customHeight="1" x14ac:dyDescent="0.2">
      <c r="A31" s="1052"/>
      <c r="B31" s="1827"/>
      <c r="C31" s="1827"/>
      <c r="D31" s="1827"/>
      <c r="E31" s="1827"/>
      <c r="F31" s="1827"/>
      <c r="G31" s="1827"/>
      <c r="H31" s="1827"/>
    </row>
    <row r="32" spans="1:8" ht="15" customHeight="1" x14ac:dyDescent="0.2">
      <c r="A32" s="1052"/>
      <c r="B32" s="1827"/>
      <c r="C32" s="1827"/>
      <c r="D32" s="1827"/>
      <c r="E32" s="1827"/>
      <c r="F32" s="1827"/>
      <c r="G32" s="1827"/>
      <c r="H32" s="1827"/>
    </row>
    <row r="33" spans="1:8" ht="15" customHeight="1" x14ac:dyDescent="0.2">
      <c r="A33" s="1052"/>
      <c r="B33" s="1827"/>
      <c r="C33" s="1827"/>
      <c r="D33" s="1827"/>
      <c r="E33" s="1827"/>
      <c r="F33" s="1827"/>
      <c r="G33" s="1827"/>
      <c r="H33" s="1827"/>
    </row>
    <row r="34" spans="1:8" ht="15" customHeight="1" x14ac:dyDescent="0.2">
      <c r="A34" s="1052"/>
      <c r="B34" s="1827"/>
      <c r="C34" s="1827"/>
      <c r="D34" s="1827"/>
      <c r="E34" s="1827"/>
      <c r="F34" s="1827"/>
      <c r="G34" s="1827"/>
      <c r="H34" s="1827"/>
    </row>
    <row r="35" spans="1:8" ht="15" customHeight="1" x14ac:dyDescent="0.2">
      <c r="A35" s="1052"/>
      <c r="B35" s="1827"/>
      <c r="C35" s="1827"/>
      <c r="D35" s="1827"/>
      <c r="E35" s="1827"/>
      <c r="F35" s="1827"/>
      <c r="G35" s="1827"/>
      <c r="H35" s="1827"/>
    </row>
    <row r="36" spans="1:8" ht="15" customHeight="1" x14ac:dyDescent="0.2">
      <c r="A36" s="1052"/>
      <c r="B36" s="1827"/>
      <c r="C36" s="1827"/>
      <c r="D36" s="1827"/>
      <c r="E36" s="1827"/>
      <c r="F36" s="1827"/>
      <c r="G36" s="1827"/>
      <c r="H36" s="1827"/>
    </row>
    <row r="37" spans="1:8" ht="15" customHeight="1" x14ac:dyDescent="0.2">
      <c r="A37" s="1052"/>
      <c r="B37" s="1827"/>
      <c r="C37" s="1827"/>
      <c r="D37" s="1827"/>
      <c r="E37" s="1827"/>
      <c r="F37" s="1827"/>
      <c r="G37" s="1827"/>
      <c r="H37" s="1827"/>
    </row>
    <row r="38" spans="1:8" ht="15" customHeight="1" x14ac:dyDescent="0.2">
      <c r="A38" s="1052"/>
      <c r="B38" s="1827"/>
      <c r="C38" s="1827"/>
      <c r="D38" s="1827"/>
      <c r="E38" s="1827"/>
      <c r="F38" s="1827"/>
      <c r="G38" s="1827"/>
      <c r="H38" s="1827"/>
    </row>
    <row r="39" spans="1:8" ht="15" customHeight="1" x14ac:dyDescent="0.2">
      <c r="A39" s="1052"/>
      <c r="B39" s="1827"/>
      <c r="C39" s="1827"/>
      <c r="D39" s="1827"/>
      <c r="E39" s="1827"/>
      <c r="F39" s="1827"/>
      <c r="G39" s="1827"/>
      <c r="H39" s="1827"/>
    </row>
    <row r="40" spans="1:8" ht="15" customHeight="1" x14ac:dyDescent="0.2">
      <c r="A40" s="1052"/>
      <c r="B40" s="1827"/>
      <c r="C40" s="1827"/>
      <c r="D40" s="1827"/>
      <c r="E40" s="1827"/>
      <c r="F40" s="1827"/>
      <c r="G40" s="1827"/>
      <c r="H40" s="1827"/>
    </row>
    <row r="41" spans="1:8" ht="15" customHeight="1" x14ac:dyDescent="0.2">
      <c r="A41" s="1052"/>
      <c r="B41" s="1827"/>
      <c r="C41" s="1827"/>
      <c r="D41" s="1827"/>
      <c r="E41" s="1827"/>
      <c r="F41" s="1827"/>
      <c r="G41" s="1827"/>
      <c r="H41" s="1827"/>
    </row>
    <row r="42" spans="1:8" ht="15" customHeight="1" x14ac:dyDescent="0.2">
      <c r="A42" s="1052"/>
      <c r="B42" s="1827"/>
      <c r="C42" s="1827"/>
      <c r="D42" s="1827"/>
      <c r="E42" s="1827"/>
      <c r="F42" s="1827"/>
      <c r="G42" s="1827"/>
      <c r="H42" s="1827"/>
    </row>
    <row r="43" spans="1:8" ht="15" customHeight="1" x14ac:dyDescent="0.2">
      <c r="A43" s="1052"/>
      <c r="B43" s="1827"/>
      <c r="C43" s="1827"/>
      <c r="D43" s="1827"/>
      <c r="E43" s="1827"/>
      <c r="F43" s="1827"/>
      <c r="G43" s="1827"/>
      <c r="H43" s="1827"/>
    </row>
    <row r="44" spans="1:8" ht="15" customHeight="1" x14ac:dyDescent="0.2">
      <c r="A44" s="1052"/>
      <c r="B44" s="1827"/>
      <c r="C44" s="1827"/>
      <c r="D44" s="1827"/>
      <c r="E44" s="1827"/>
      <c r="F44" s="1827"/>
      <c r="G44" s="1827"/>
      <c r="H44" s="1827"/>
    </row>
    <row r="45" spans="1:8" ht="15" customHeight="1" x14ac:dyDescent="0.2">
      <c r="A45" s="1052"/>
      <c r="B45" s="1827"/>
      <c r="C45" s="1827"/>
      <c r="D45" s="1827"/>
      <c r="E45" s="1827"/>
      <c r="F45" s="1827"/>
      <c r="G45" s="1827"/>
      <c r="H45" s="1827"/>
    </row>
    <row r="46" spans="1:8" ht="15" customHeight="1" x14ac:dyDescent="0.2">
      <c r="A46" s="1052"/>
      <c r="B46" s="1827"/>
      <c r="C46" s="1827"/>
      <c r="D46" s="1827"/>
      <c r="E46" s="1827"/>
      <c r="F46" s="1827"/>
      <c r="G46" s="1827"/>
      <c r="H46" s="1827"/>
    </row>
    <row r="47" spans="1:8" ht="15" customHeight="1" x14ac:dyDescent="0.2">
      <c r="A47" s="1053"/>
      <c r="B47" s="1826"/>
      <c r="C47" s="1826"/>
      <c r="D47" s="1826"/>
      <c r="E47" s="1826"/>
      <c r="F47" s="1826"/>
      <c r="G47" s="1826"/>
      <c r="H47" s="1826"/>
    </row>
    <row r="59" spans="1:1" x14ac:dyDescent="0.2">
      <c r="A59" s="633" t="s">
        <v>1019</v>
      </c>
    </row>
    <row r="60" spans="1:1" hidden="1" x14ac:dyDescent="0.2">
      <c r="A60" s="892" t="s">
        <v>148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B45:H45"/>
    <mergeCell ref="B46:H46"/>
    <mergeCell ref="B39:H39"/>
    <mergeCell ref="B40:H40"/>
    <mergeCell ref="B43:H43"/>
    <mergeCell ref="B44:H44"/>
    <mergeCell ref="B41:H41"/>
    <mergeCell ref="B42:H42"/>
    <mergeCell ref="B38:H38"/>
    <mergeCell ref="B31:H31"/>
    <mergeCell ref="B32:H32"/>
    <mergeCell ref="B33:H33"/>
    <mergeCell ref="B34:H34"/>
    <mergeCell ref="B8:H8"/>
    <mergeCell ref="B9:H9"/>
    <mergeCell ref="B10:H10"/>
    <mergeCell ref="B27:H27"/>
    <mergeCell ref="B28:H28"/>
    <mergeCell ref="B11:H11"/>
    <mergeCell ref="B12:H12"/>
    <mergeCell ref="B26:H26"/>
    <mergeCell ref="B25:H25"/>
    <mergeCell ref="B15:H15"/>
    <mergeCell ref="B16:H16"/>
    <mergeCell ref="B47:H47"/>
    <mergeCell ref="B22:H22"/>
    <mergeCell ref="B23:H23"/>
    <mergeCell ref="B24:H24"/>
    <mergeCell ref="B13:H13"/>
    <mergeCell ref="B21:H21"/>
    <mergeCell ref="B14:H14"/>
    <mergeCell ref="B19:H19"/>
    <mergeCell ref="B20:H20"/>
    <mergeCell ref="B17:H17"/>
    <mergeCell ref="B18:H18"/>
    <mergeCell ref="B29:H29"/>
    <mergeCell ref="B30:H30"/>
    <mergeCell ref="B35:H35"/>
    <mergeCell ref="B36:H36"/>
    <mergeCell ref="B37:H37"/>
    <mergeCell ref="F1:G1"/>
    <mergeCell ref="B7:H7"/>
    <mergeCell ref="B4:C4"/>
    <mergeCell ref="B5:C5"/>
    <mergeCell ref="E4:H4"/>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660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c r="B1" s="374"/>
      <c r="C1" s="374"/>
      <c r="D1" s="374"/>
      <c r="E1" s="460" t="s">
        <v>20</v>
      </c>
      <c r="F1" s="1832">
        <f>IF(ISBLANK('Job Info.'!D8),"",'Job Info.'!D8)</f>
        <v>45048</v>
      </c>
      <c r="G1" s="1832"/>
      <c r="H1" s="374"/>
    </row>
    <row r="2" spans="1:8" ht="39.950000000000003" customHeight="1" x14ac:dyDescent="0.2">
      <c r="A2" s="1389" t="s">
        <v>42</v>
      </c>
      <c r="B2" s="374"/>
      <c r="C2" s="374"/>
      <c r="D2" s="1553" t="s">
        <v>1280</v>
      </c>
      <c r="E2" s="460" t="s">
        <v>21</v>
      </c>
      <c r="F2" s="1390"/>
      <c r="G2" s="1390"/>
      <c r="H2" s="374"/>
    </row>
    <row r="3" spans="1:8" ht="6" customHeight="1" x14ac:dyDescent="0.2">
      <c r="A3" s="374"/>
      <c r="B3" s="374"/>
      <c r="C3" s="374"/>
      <c r="D3" s="374"/>
      <c r="E3" s="374"/>
      <c r="F3" s="374"/>
      <c r="G3" s="374"/>
      <c r="H3" s="374"/>
    </row>
    <row r="4" spans="1:8" ht="15.95" customHeight="1" x14ac:dyDescent="0.2">
      <c r="A4" s="471" t="s">
        <v>1</v>
      </c>
      <c r="B4" s="1824" t="str">
        <f>IF(ISBLANK('Job Info.'!D3),"",'Job Info.'!D3)</f>
        <v>MINDEN UPS BLDG 1</v>
      </c>
      <c r="C4" s="1825"/>
      <c r="D4" s="471" t="s">
        <v>2</v>
      </c>
      <c r="E4" s="1824" t="str">
        <f>IF(ISBLANK('Job Info.'!D5),"",'Job Info.'!D5)</f>
        <v>NN22-0071</v>
      </c>
      <c r="F4" s="1824"/>
      <c r="G4" s="1824"/>
      <c r="H4" s="1825"/>
    </row>
    <row r="5" spans="1:8" ht="15.95" customHeight="1" x14ac:dyDescent="0.2">
      <c r="A5" s="471" t="s">
        <v>3</v>
      </c>
      <c r="B5" s="1824" t="str">
        <f>IF(ISBLANK('Job Info.'!D4),"",'Job Info.'!D4)</f>
        <v>MINDEN, NV</v>
      </c>
      <c r="C5" s="1825"/>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30</v>
      </c>
      <c r="B7" s="1823" t="s">
        <v>15</v>
      </c>
      <c r="C7" s="1823"/>
      <c r="D7" s="1823"/>
      <c r="E7" s="1823"/>
      <c r="F7" s="1823"/>
      <c r="G7" s="1823"/>
      <c r="H7" s="1823"/>
    </row>
    <row r="8" spans="1:8" ht="15" customHeight="1" x14ac:dyDescent="0.2">
      <c r="A8" s="1508"/>
      <c r="B8" s="1831"/>
      <c r="C8" s="1831"/>
      <c r="D8" s="1831"/>
      <c r="E8" s="1831"/>
      <c r="F8" s="1831"/>
      <c r="G8" s="1831"/>
      <c r="H8" s="1831"/>
    </row>
    <row r="9" spans="1:8" ht="15" customHeight="1" x14ac:dyDescent="0.2">
      <c r="A9" s="1516"/>
      <c r="B9" s="1829"/>
      <c r="C9" s="1829"/>
      <c r="D9" s="1829"/>
      <c r="E9" s="1829"/>
      <c r="F9" s="1829"/>
      <c r="G9" s="1829"/>
      <c r="H9" s="1829"/>
    </row>
    <row r="10" spans="1:8" ht="15" customHeight="1" x14ac:dyDescent="0.2">
      <c r="A10" s="1516"/>
      <c r="B10" s="1829"/>
      <c r="C10" s="1829"/>
      <c r="D10" s="1829"/>
      <c r="E10" s="1829"/>
      <c r="F10" s="1829"/>
      <c r="G10" s="1829"/>
      <c r="H10" s="1829"/>
    </row>
    <row r="11" spans="1:8" ht="15" customHeight="1" x14ac:dyDescent="0.2">
      <c r="A11" s="1516"/>
      <c r="B11" s="1829"/>
      <c r="C11" s="1829"/>
      <c r="D11" s="1829"/>
      <c r="E11" s="1829"/>
      <c r="F11" s="1829"/>
      <c r="G11" s="1829"/>
      <c r="H11" s="1829"/>
    </row>
    <row r="12" spans="1:8" ht="15" customHeight="1" x14ac:dyDescent="0.2">
      <c r="A12" s="1516"/>
      <c r="B12" s="1829"/>
      <c r="C12" s="1829"/>
      <c r="D12" s="1829"/>
      <c r="E12" s="1829"/>
      <c r="F12" s="1829"/>
      <c r="G12" s="1829"/>
      <c r="H12" s="1829"/>
    </row>
    <row r="13" spans="1:8" ht="15" customHeight="1" x14ac:dyDescent="0.2">
      <c r="A13" s="1516"/>
      <c r="B13" s="1829"/>
      <c r="C13" s="1829"/>
      <c r="D13" s="1829"/>
      <c r="E13" s="1829"/>
      <c r="F13" s="1829"/>
      <c r="G13" s="1829"/>
      <c r="H13" s="1829"/>
    </row>
    <row r="14" spans="1:8" ht="15" customHeight="1" x14ac:dyDescent="0.2">
      <c r="A14" s="1516"/>
      <c r="B14" s="1829"/>
      <c r="C14" s="1829"/>
      <c r="D14" s="1829"/>
      <c r="E14" s="1829"/>
      <c r="F14" s="1829"/>
      <c r="G14" s="1829"/>
      <c r="H14" s="1829"/>
    </row>
    <row r="15" spans="1:8" ht="15" customHeight="1" x14ac:dyDescent="0.2">
      <c r="A15" s="1516"/>
      <c r="B15" s="1829"/>
      <c r="C15" s="1829"/>
      <c r="D15" s="1829"/>
      <c r="E15" s="1829"/>
      <c r="F15" s="1829"/>
      <c r="G15" s="1829"/>
      <c r="H15" s="1829"/>
    </row>
    <row r="16" spans="1:8" ht="15" customHeight="1" x14ac:dyDescent="0.2">
      <c r="A16" s="1516"/>
      <c r="B16" s="1829"/>
      <c r="C16" s="1829"/>
      <c r="D16" s="1829"/>
      <c r="E16" s="1829"/>
      <c r="F16" s="1829"/>
      <c r="G16" s="1829"/>
      <c r="H16" s="1829"/>
    </row>
    <row r="17" spans="1:8" ht="15" customHeight="1" x14ac:dyDescent="0.2">
      <c r="A17" s="1516"/>
      <c r="B17" s="1829"/>
      <c r="C17" s="1829"/>
      <c r="D17" s="1829"/>
      <c r="E17" s="1829"/>
      <c r="F17" s="1829"/>
      <c r="G17" s="1829"/>
      <c r="H17" s="1829"/>
    </row>
    <row r="18" spans="1:8" ht="15" customHeight="1" x14ac:dyDescent="0.2">
      <c r="A18" s="1516"/>
      <c r="B18" s="1829"/>
      <c r="C18" s="1829"/>
      <c r="D18" s="1829"/>
      <c r="E18" s="1829"/>
      <c r="F18" s="1829"/>
      <c r="G18" s="1829"/>
      <c r="H18" s="1829"/>
    </row>
    <row r="19" spans="1:8" ht="15" customHeight="1" x14ac:dyDescent="0.2">
      <c r="A19" s="1516"/>
      <c r="B19" s="1829"/>
      <c r="C19" s="1829"/>
      <c r="D19" s="1829"/>
      <c r="E19" s="1829"/>
      <c r="F19" s="1829"/>
      <c r="G19" s="1829"/>
      <c r="H19" s="1829"/>
    </row>
    <row r="20" spans="1:8" ht="15" customHeight="1" x14ac:dyDescent="0.2">
      <c r="A20" s="1516"/>
      <c r="B20" s="1829"/>
      <c r="C20" s="1829"/>
      <c r="D20" s="1829"/>
      <c r="E20" s="1829"/>
      <c r="F20" s="1829"/>
      <c r="G20" s="1829"/>
      <c r="H20" s="1829"/>
    </row>
    <row r="21" spans="1:8" ht="15" customHeight="1" x14ac:dyDescent="0.2">
      <c r="A21" s="1516"/>
      <c r="B21" s="1829"/>
      <c r="C21" s="1829"/>
      <c r="D21" s="1829"/>
      <c r="E21" s="1829"/>
      <c r="F21" s="1829"/>
      <c r="G21" s="1829"/>
      <c r="H21" s="1829"/>
    </row>
    <row r="22" spans="1:8" ht="15" customHeight="1" x14ac:dyDescent="0.2">
      <c r="A22" s="1516"/>
      <c r="B22" s="1829"/>
      <c r="C22" s="1829"/>
      <c r="D22" s="1829"/>
      <c r="E22" s="1829"/>
      <c r="F22" s="1829"/>
      <c r="G22" s="1829"/>
      <c r="H22" s="1829"/>
    </row>
    <row r="23" spans="1:8" ht="15" customHeight="1" x14ac:dyDescent="0.2">
      <c r="A23" s="1516"/>
      <c r="B23" s="1829"/>
      <c r="C23" s="1829"/>
      <c r="D23" s="1829"/>
      <c r="E23" s="1829"/>
      <c r="F23" s="1829"/>
      <c r="G23" s="1829"/>
      <c r="H23" s="1829"/>
    </row>
    <row r="24" spans="1:8" ht="15" customHeight="1" x14ac:dyDescent="0.2">
      <c r="A24" s="1516"/>
      <c r="B24" s="1829"/>
      <c r="C24" s="1829"/>
      <c r="D24" s="1829"/>
      <c r="E24" s="1829"/>
      <c r="F24" s="1829"/>
      <c r="G24" s="1829"/>
      <c r="H24" s="1829"/>
    </row>
    <row r="25" spans="1:8" ht="15" customHeight="1" x14ac:dyDescent="0.2">
      <c r="A25" s="1516"/>
      <c r="B25" s="1829"/>
      <c r="C25" s="1829"/>
      <c r="D25" s="1829"/>
      <c r="E25" s="1829"/>
      <c r="F25" s="1829"/>
      <c r="G25" s="1829"/>
      <c r="H25" s="1829"/>
    </row>
    <row r="26" spans="1:8" ht="15" customHeight="1" x14ac:dyDescent="0.2">
      <c r="A26" s="1516"/>
      <c r="B26" s="1829"/>
      <c r="C26" s="1829"/>
      <c r="D26" s="1829"/>
      <c r="E26" s="1829"/>
      <c r="F26" s="1829"/>
      <c r="G26" s="1829"/>
      <c r="H26" s="1829"/>
    </row>
    <row r="27" spans="1:8" ht="15" customHeight="1" x14ac:dyDescent="0.2">
      <c r="A27" s="1516"/>
      <c r="B27" s="1829"/>
      <c r="C27" s="1829"/>
      <c r="D27" s="1829"/>
      <c r="E27" s="1829"/>
      <c r="F27" s="1829"/>
      <c r="G27" s="1829"/>
      <c r="H27" s="1829"/>
    </row>
    <row r="28" spans="1:8" ht="15" customHeight="1" x14ac:dyDescent="0.2">
      <c r="A28" s="1516"/>
      <c r="B28" s="1829"/>
      <c r="C28" s="1829"/>
      <c r="D28" s="1829"/>
      <c r="E28" s="1829"/>
      <c r="F28" s="1829"/>
      <c r="G28" s="1829"/>
      <c r="H28" s="1829"/>
    </row>
    <row r="29" spans="1:8" ht="15" customHeight="1" x14ac:dyDescent="0.2">
      <c r="A29" s="1516"/>
      <c r="B29" s="1829"/>
      <c r="C29" s="1829"/>
      <c r="D29" s="1829"/>
      <c r="E29" s="1829"/>
      <c r="F29" s="1829"/>
      <c r="G29" s="1829"/>
      <c r="H29" s="1829"/>
    </row>
    <row r="30" spans="1:8" ht="15" customHeight="1" x14ac:dyDescent="0.2">
      <c r="A30" s="1516"/>
      <c r="B30" s="1829"/>
      <c r="C30" s="1829"/>
      <c r="D30" s="1829"/>
      <c r="E30" s="1829"/>
      <c r="F30" s="1829"/>
      <c r="G30" s="1829"/>
      <c r="H30" s="1829"/>
    </row>
    <row r="31" spans="1:8" ht="15" customHeight="1" x14ac:dyDescent="0.2">
      <c r="A31" s="1516"/>
      <c r="B31" s="1829"/>
      <c r="C31" s="1829"/>
      <c r="D31" s="1829"/>
      <c r="E31" s="1829"/>
      <c r="F31" s="1829"/>
      <c r="G31" s="1829"/>
      <c r="H31" s="1829"/>
    </row>
    <row r="32" spans="1:8" ht="15" customHeight="1" x14ac:dyDescent="0.2">
      <c r="A32" s="1516"/>
      <c r="B32" s="1829"/>
      <c r="C32" s="1829"/>
      <c r="D32" s="1829"/>
      <c r="E32" s="1829"/>
      <c r="F32" s="1829"/>
      <c r="G32" s="1829"/>
      <c r="H32" s="1829"/>
    </row>
    <row r="33" spans="1:8" ht="15" customHeight="1" x14ac:dyDescent="0.2">
      <c r="A33" s="1516"/>
      <c r="B33" s="1829"/>
      <c r="C33" s="1829"/>
      <c r="D33" s="1829"/>
      <c r="E33" s="1829"/>
      <c r="F33" s="1829"/>
      <c r="G33" s="1829"/>
      <c r="H33" s="1829"/>
    </row>
    <row r="34" spans="1:8" ht="15" customHeight="1" x14ac:dyDescent="0.2">
      <c r="A34" s="1516"/>
      <c r="B34" s="1829"/>
      <c r="C34" s="1829"/>
      <c r="D34" s="1829"/>
      <c r="E34" s="1829"/>
      <c r="F34" s="1829"/>
      <c r="G34" s="1829"/>
      <c r="H34" s="1829"/>
    </row>
    <row r="35" spans="1:8" ht="15" customHeight="1" x14ac:dyDescent="0.2">
      <c r="A35" s="1516"/>
      <c r="B35" s="1829"/>
      <c r="C35" s="1829"/>
      <c r="D35" s="1829"/>
      <c r="E35" s="1829"/>
      <c r="F35" s="1829"/>
      <c r="G35" s="1829"/>
      <c r="H35" s="1829"/>
    </row>
    <row r="36" spans="1:8" ht="15" customHeight="1" x14ac:dyDescent="0.2">
      <c r="A36" s="1516"/>
      <c r="B36" s="1829"/>
      <c r="C36" s="1829"/>
      <c r="D36" s="1829"/>
      <c r="E36" s="1829"/>
      <c r="F36" s="1829"/>
      <c r="G36" s="1829"/>
      <c r="H36" s="1829"/>
    </row>
    <row r="37" spans="1:8" ht="15" customHeight="1" x14ac:dyDescent="0.2">
      <c r="A37" s="1516"/>
      <c r="B37" s="1829"/>
      <c r="C37" s="1829"/>
      <c r="D37" s="1829"/>
      <c r="E37" s="1829"/>
      <c r="F37" s="1829"/>
      <c r="G37" s="1829"/>
      <c r="H37" s="1829"/>
    </row>
    <row r="38" spans="1:8" ht="15" customHeight="1" x14ac:dyDescent="0.2">
      <c r="A38" s="1516"/>
      <c r="B38" s="1829"/>
      <c r="C38" s="1829"/>
      <c r="D38" s="1829"/>
      <c r="E38" s="1829"/>
      <c r="F38" s="1829"/>
      <c r="G38" s="1829"/>
      <c r="H38" s="1829"/>
    </row>
    <row r="39" spans="1:8" ht="15" customHeight="1" x14ac:dyDescent="0.2">
      <c r="A39" s="1516"/>
      <c r="B39" s="1829"/>
      <c r="C39" s="1829"/>
      <c r="D39" s="1829"/>
      <c r="E39" s="1829"/>
      <c r="F39" s="1829"/>
      <c r="G39" s="1829"/>
      <c r="H39" s="1829"/>
    </row>
    <row r="40" spans="1:8" ht="15" customHeight="1" x14ac:dyDescent="0.2">
      <c r="A40" s="1516"/>
      <c r="B40" s="1829"/>
      <c r="C40" s="1829"/>
      <c r="D40" s="1829"/>
      <c r="E40" s="1829"/>
      <c r="F40" s="1829"/>
      <c r="G40" s="1829"/>
      <c r="H40" s="1829"/>
    </row>
    <row r="41" spans="1:8" ht="15" customHeight="1" x14ac:dyDescent="0.2">
      <c r="A41" s="1516"/>
      <c r="B41" s="1829"/>
      <c r="C41" s="1829"/>
      <c r="D41" s="1829"/>
      <c r="E41" s="1829"/>
      <c r="F41" s="1829"/>
      <c r="G41" s="1829"/>
      <c r="H41" s="1829"/>
    </row>
    <row r="42" spans="1:8" ht="15" customHeight="1" x14ac:dyDescent="0.2">
      <c r="A42" s="1516"/>
      <c r="B42" s="1829"/>
      <c r="C42" s="1829"/>
      <c r="D42" s="1829"/>
      <c r="E42" s="1829"/>
      <c r="F42" s="1829"/>
      <c r="G42" s="1829"/>
      <c r="H42" s="1829"/>
    </row>
    <row r="43" spans="1:8" ht="15" customHeight="1" x14ac:dyDescent="0.2">
      <c r="A43" s="1516"/>
      <c r="B43" s="1829"/>
      <c r="C43" s="1829"/>
      <c r="D43" s="1829"/>
      <c r="E43" s="1829"/>
      <c r="F43" s="1829"/>
      <c r="G43" s="1829"/>
      <c r="H43" s="1829"/>
    </row>
    <row r="44" spans="1:8" ht="15" customHeight="1" x14ac:dyDescent="0.2">
      <c r="A44" s="1516"/>
      <c r="B44" s="1829"/>
      <c r="C44" s="1829"/>
      <c r="D44" s="1829"/>
      <c r="E44" s="1829"/>
      <c r="F44" s="1829"/>
      <c r="G44" s="1829"/>
      <c r="H44" s="1829"/>
    </row>
    <row r="45" spans="1:8" ht="15" customHeight="1" x14ac:dyDescent="0.2">
      <c r="A45" s="1516"/>
      <c r="B45" s="1829"/>
      <c r="C45" s="1829"/>
      <c r="D45" s="1829"/>
      <c r="E45" s="1829"/>
      <c r="F45" s="1829"/>
      <c r="G45" s="1829"/>
      <c r="H45" s="1829"/>
    </row>
    <row r="46" spans="1:8" ht="15" customHeight="1" x14ac:dyDescent="0.2">
      <c r="A46" s="1516"/>
      <c r="B46" s="1829"/>
      <c r="C46" s="1829"/>
      <c r="D46" s="1829"/>
      <c r="E46" s="1829"/>
      <c r="F46" s="1829"/>
      <c r="G46" s="1829"/>
      <c r="H46" s="1829"/>
    </row>
    <row r="47" spans="1:8" ht="15" customHeight="1" x14ac:dyDescent="0.2">
      <c r="A47" s="1525"/>
      <c r="B47" s="1830"/>
      <c r="C47" s="1830"/>
      <c r="D47" s="1830"/>
      <c r="E47" s="1830"/>
      <c r="F47" s="1830"/>
      <c r="G47" s="1830"/>
      <c r="H47" s="1830"/>
    </row>
    <row r="59" spans="1:1" x14ac:dyDescent="0.2">
      <c r="A59" s="633" t="s">
        <v>1019</v>
      </c>
    </row>
    <row r="60" spans="1:1" hidden="1" x14ac:dyDescent="0.2">
      <c r="A60" s="892" t="s">
        <v>1018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B8:H8"/>
    <mergeCell ref="F1:G1"/>
    <mergeCell ref="B7:H7"/>
    <mergeCell ref="B4:C4"/>
    <mergeCell ref="B5:C5"/>
    <mergeCell ref="E4:H4"/>
    <mergeCell ref="B9:H9"/>
    <mergeCell ref="B10:H10"/>
    <mergeCell ref="B47:H47"/>
    <mergeCell ref="B22:H22"/>
    <mergeCell ref="B23:H23"/>
    <mergeCell ref="B24:H24"/>
    <mergeCell ref="B13:H13"/>
    <mergeCell ref="B21:H21"/>
    <mergeCell ref="B14:H14"/>
    <mergeCell ref="B11:H11"/>
    <mergeCell ref="B12:H12"/>
    <mergeCell ref="B26:H26"/>
    <mergeCell ref="B25:H25"/>
    <mergeCell ref="B15:H15"/>
    <mergeCell ref="B16:H16"/>
    <mergeCell ref="B19:H19"/>
    <mergeCell ref="B20:H20"/>
    <mergeCell ref="B17:H17"/>
    <mergeCell ref="B18:H18"/>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39:H39"/>
    <mergeCell ref="B40:H40"/>
    <mergeCell ref="B43:H43"/>
    <mergeCell ref="B44:H44"/>
    <mergeCell ref="B41:H41"/>
    <mergeCell ref="B42:H42"/>
  </mergeCells>
  <phoneticPr fontId="0" type="noConversion"/>
  <printOptions horizontalCentered="1"/>
  <pageMargins left="0.3" right="0.3" top="0.5" bottom="0.5" header="0" footer="0.25"/>
  <pageSetup orientation="portrait" r:id="rId1"/>
  <headerFooter alignWithMargins="0">
    <oddFooter>&amp;L&amp;8Form Revised: 3/18/2008
File: &amp;F&amp;R&amp;8Printed: &amp;D &amp;T</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tabColor rgb="FFFF6600"/>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48" t="str">
        <f>IF(L1="","",VLOOKUP(L1,'Job Info.'!X:AA,4,FALSE))</f>
        <v>Master</v>
      </c>
      <c r="E1" s="1848"/>
      <c r="F1" s="1848"/>
      <c r="G1" s="1849" t="s">
        <v>95</v>
      </c>
      <c r="H1" s="1850"/>
      <c r="I1" s="1851" t="str">
        <f ca="1">'Job Info.'!D12</f>
        <v>775-428-0600</v>
      </c>
      <c r="J1" s="1852"/>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53" t="str">
        <f>IF(L1="","",IF(VLOOKUP(L1,'Job Info.'!X:Z,2,FALSE),"Released for Fabrication",""))</f>
        <v/>
      </c>
      <c r="E2" s="1854"/>
      <c r="F2" s="1855"/>
      <c r="G2" s="1849" t="s">
        <v>96</v>
      </c>
      <c r="H2" s="1849"/>
      <c r="I2" s="1851" t="str">
        <f ca="1">'Job Info.'!D13</f>
        <v>775-867-2140</v>
      </c>
      <c r="J2" s="1852"/>
      <c r="S2" s="633"/>
      <c r="T2" s="633" t="s">
        <v>1267</v>
      </c>
    </row>
    <row r="3" spans="1:22" ht="12.95" customHeight="1" x14ac:dyDescent="0.2">
      <c r="A3" s="374"/>
      <c r="B3" s="374"/>
      <c r="C3" s="374"/>
      <c r="D3" s="1856"/>
      <c r="E3" s="1857"/>
      <c r="F3" s="1858"/>
      <c r="G3" s="1849" t="s">
        <v>98</v>
      </c>
      <c r="H3" s="1849"/>
      <c r="I3" s="1851" t="str">
        <f ca="1">'Job Info.'!D14</f>
        <v>775-867-2169</v>
      </c>
      <c r="J3" s="1852"/>
      <c r="S3" s="633"/>
      <c r="T3" s="633" t="s">
        <v>1268</v>
      </c>
    </row>
    <row r="4" spans="1:22" ht="12.95" customHeight="1" thickBot="1" x14ac:dyDescent="0.25">
      <c r="A4" s="374"/>
      <c r="B4" s="374"/>
      <c r="C4" s="374"/>
      <c r="D4" s="1859" t="str">
        <f>IF(L1="","",IF(VLOOKUP(L1,'Job Info.'!X:Z,2,FALSE),VLOOKUP(L1,'Job Info.'!X:Z,3,FALSE),""))</f>
        <v/>
      </c>
      <c r="E4" s="1860"/>
      <c r="F4" s="1861"/>
      <c r="G4" s="1849" t="s">
        <v>97</v>
      </c>
      <c r="H4" s="1849"/>
      <c r="I4" s="1851" t="str">
        <f ca="1">'Job Info.'!D15</f>
        <v>775-867-2060</v>
      </c>
      <c r="J4" s="1852"/>
      <c r="S4" s="633"/>
      <c r="T4" s="633" t="s">
        <v>1269</v>
      </c>
    </row>
    <row r="5" spans="1:22" ht="12.95" customHeight="1" thickTop="1" x14ac:dyDescent="0.2">
      <c r="A5" s="1862" t="str">
        <f ca="1">'Job Info.'!D11</f>
        <v>8200 Woolery Way | Fallon, NV 89406 | www.newmill.com</v>
      </c>
      <c r="B5" s="1862"/>
      <c r="C5" s="1862"/>
      <c r="D5" s="1862"/>
      <c r="E5" s="1862"/>
      <c r="F5" s="1862"/>
      <c r="G5" s="233"/>
      <c r="H5" s="374"/>
      <c r="I5" s="374"/>
      <c r="J5" s="374"/>
      <c r="S5" s="633"/>
      <c r="T5" s="633" t="s">
        <v>1270</v>
      </c>
    </row>
    <row r="6" spans="1:22" ht="12.95" customHeight="1" x14ac:dyDescent="0.2">
      <c r="A6" s="374"/>
      <c r="B6" s="374"/>
      <c r="C6" s="374"/>
      <c r="D6" s="374"/>
      <c r="E6" s="374"/>
      <c r="F6" s="374"/>
      <c r="G6" s="462" t="s">
        <v>20</v>
      </c>
      <c r="H6" s="1863">
        <f>IF(ISBLANK('Job Info.'!D8),"",'Job Info.'!D8)</f>
        <v>45048</v>
      </c>
      <c r="I6" s="1863"/>
      <c r="J6" s="374"/>
      <c r="L6" s="503" t="s">
        <v>1132</v>
      </c>
      <c r="M6" s="381"/>
      <c r="N6" s="381"/>
      <c r="T6" s="633" t="s">
        <v>1272</v>
      </c>
    </row>
    <row r="7" spans="1:22" ht="12.95" customHeight="1" x14ac:dyDescent="0.2">
      <c r="A7" s="395" t="s">
        <v>42</v>
      </c>
      <c r="B7" s="374"/>
      <c r="C7" s="374"/>
      <c r="D7" s="374"/>
      <c r="E7" s="374"/>
      <c r="F7" s="476"/>
      <c r="G7" s="462" t="s">
        <v>21</v>
      </c>
      <c r="H7" s="1177" t="str">
        <f>CONCATENATE(L7, " of ",IF(ISBLANK('Job Info.'!D9),"",'Job Info.'!D9))</f>
        <v xml:space="preserve"> of 19</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24" t="str">
        <f>IF(ISBLANK('Job Info.'!D3),"",'Job Info.'!D3)</f>
        <v>MINDEN UPS BLDG 1</v>
      </c>
      <c r="C9" s="1824"/>
      <c r="D9" s="1825"/>
      <c r="E9" s="481"/>
      <c r="F9" s="482" t="s">
        <v>2</v>
      </c>
      <c r="G9" s="1824" t="str">
        <f>IF(ISBLANK('Job Info.'!D5),"",'Job Info.'!D5)</f>
        <v>NN22-0071</v>
      </c>
      <c r="H9" s="1824"/>
      <c r="I9" s="1824"/>
      <c r="J9" s="1825"/>
      <c r="L9" s="381"/>
      <c r="T9" s="633"/>
    </row>
    <row r="10" spans="1:22" ht="12.6" customHeight="1" x14ac:dyDescent="0.2">
      <c r="A10" s="480" t="s">
        <v>3</v>
      </c>
      <c r="B10" s="1824" t="str">
        <f>IF(ISBLANK('Job Info.'!D4),"",'Job Info.'!D4)</f>
        <v>MINDEN, NV</v>
      </c>
      <c r="C10" s="1824"/>
      <c r="D10" s="1825"/>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42" t="s">
        <v>15</v>
      </c>
      <c r="C12" s="1843"/>
      <c r="D12" s="1843"/>
      <c r="E12" s="1843"/>
      <c r="F12" s="1843"/>
      <c r="G12" s="1843"/>
      <c r="H12" s="1843"/>
      <c r="I12" s="1843"/>
      <c r="J12" s="1844"/>
      <c r="P12" s="790" t="s">
        <v>963</v>
      </c>
      <c r="Q12" s="791" t="s">
        <v>964</v>
      </c>
      <c r="R12" s="786" t="s">
        <v>968</v>
      </c>
    </row>
    <row r="13" spans="1:22" ht="15.4" customHeight="1" thickTop="1" x14ac:dyDescent="0.2">
      <c r="A13" s="1488"/>
      <c r="B13" s="1839"/>
      <c r="C13" s="1840"/>
      <c r="D13" s="1840"/>
      <c r="E13" s="1840"/>
      <c r="F13" s="1840"/>
      <c r="G13" s="1840"/>
      <c r="H13" s="1840"/>
      <c r="I13" s="1840"/>
      <c r="J13" s="1841"/>
      <c r="L13" s="946" t="str">
        <f>IF(ISBLANK(A13),"",SUBSTITUTE(A13,"*",""))</f>
        <v/>
      </c>
      <c r="M13" s="1537"/>
      <c r="N13" s="1539"/>
      <c r="O13" s="1528"/>
      <c r="P13" s="792"/>
      <c r="Q13" s="793" t="s">
        <v>1022</v>
      </c>
      <c r="R13" s="787" t="str">
        <f>CONCATENATE("[",P13, "] - ", Q13)</f>
        <v>[] - SHAPES</v>
      </c>
    </row>
    <row r="14" spans="1:22" ht="15.4" customHeight="1" x14ac:dyDescent="0.2">
      <c r="A14" s="1492"/>
      <c r="B14" s="1833"/>
      <c r="C14" s="1834"/>
      <c r="D14" s="1834"/>
      <c r="E14" s="1834"/>
      <c r="F14" s="1834"/>
      <c r="G14" s="1834"/>
      <c r="H14" s="1834"/>
      <c r="I14" s="1834"/>
      <c r="J14" s="1835"/>
      <c r="L14" s="946" t="str">
        <f>IF(ISBLANK(A14),L13,SUBSTITUTE(A14,"*",""))</f>
        <v/>
      </c>
      <c r="M14" s="1537"/>
      <c r="N14" s="1539"/>
      <c r="O14" s="1528"/>
      <c r="P14" s="794" t="s">
        <v>965</v>
      </c>
      <c r="Q14" s="795" t="s">
        <v>1023</v>
      </c>
      <c r="R14" s="788" t="str">
        <f t="shared" ref="R14:R77" si="0">CONCATENATE("[",P14, "] - ", Q14)</f>
        <v>[SP] - Single Pitch: (Ctr Depth=Designation) ##" Depth @ LBL, ##" Depth @ RBL</v>
      </c>
    </row>
    <row r="15" spans="1:22" ht="15.4" customHeight="1" x14ac:dyDescent="0.2">
      <c r="A15" s="1492"/>
      <c r="B15" s="1833"/>
      <c r="C15" s="1834"/>
      <c r="D15" s="1834"/>
      <c r="E15" s="1834"/>
      <c r="F15" s="1834"/>
      <c r="G15" s="1834"/>
      <c r="H15" s="1834"/>
      <c r="I15" s="1834"/>
      <c r="J15" s="1835"/>
      <c r="L15" s="946" t="str">
        <f t="shared" ref="L15:L51" si="1">IF(ISBLANK(A15),L14,SUBSTITUTE(A15,"*",""))</f>
        <v/>
      </c>
      <c r="M15" s="1537"/>
      <c r="N15" s="1539"/>
      <c r="O15" s="1528"/>
      <c r="P15" s="794" t="s">
        <v>966</v>
      </c>
      <c r="Q15" s="795" t="s">
        <v>1024</v>
      </c>
      <c r="R15" s="788" t="str">
        <f t="shared" si="0"/>
        <v>[DP] - Double Pitch: Ridge @ ##’-## From LBL (Depth=Designation), ##" Depth @ LBL, ##" Depth @ RBL</v>
      </c>
    </row>
    <row r="16" spans="1:22" ht="15.4" customHeight="1" x14ac:dyDescent="0.2">
      <c r="A16" s="1492"/>
      <c r="B16" s="1833"/>
      <c r="C16" s="1834"/>
      <c r="D16" s="1834"/>
      <c r="E16" s="1834"/>
      <c r="F16" s="1834"/>
      <c r="G16" s="1834"/>
      <c r="H16" s="1834"/>
      <c r="I16" s="1834"/>
      <c r="J16" s="1835"/>
      <c r="L16" s="946" t="str">
        <f t="shared" si="1"/>
        <v/>
      </c>
      <c r="M16" s="1537"/>
      <c r="N16" s="1539"/>
      <c r="O16" s="1528"/>
      <c r="P16" s="794" t="s">
        <v>967</v>
      </c>
      <c r="Q16" s="795" t="s">
        <v>1025</v>
      </c>
      <c r="R16" s="788" t="str">
        <f t="shared" si="0"/>
        <v>[TP] - Triple Pitch: Ridge Left @ ##’-## From LBL (Depth=Designation), ##" Depth @ LBL, ##" Depth @ RBL, Ridge Right @ ##'-## From LBL</v>
      </c>
    </row>
    <row r="17" spans="1:18" ht="15.4" customHeight="1" x14ac:dyDescent="0.2">
      <c r="A17" s="1492"/>
      <c r="B17" s="1833"/>
      <c r="C17" s="1834"/>
      <c r="D17" s="1834"/>
      <c r="E17" s="1834"/>
      <c r="F17" s="1834"/>
      <c r="G17" s="1834"/>
      <c r="H17" s="1834"/>
      <c r="I17" s="1834"/>
      <c r="J17" s="1835"/>
      <c r="L17" s="946" t="str">
        <f t="shared" si="1"/>
        <v/>
      </c>
      <c r="M17" s="1537"/>
      <c r="N17" s="1539"/>
      <c r="O17" s="1528"/>
      <c r="P17" s="794" t="s">
        <v>991</v>
      </c>
      <c r="Q17" s="795" t="s">
        <v>1026</v>
      </c>
      <c r="R17" s="788" t="str">
        <f t="shared" si="0"/>
        <v>[AC] - Arched Chords: (Depth=Designation) ##" TC Radius</v>
      </c>
    </row>
    <row r="18" spans="1:18" ht="15.4" customHeight="1" x14ac:dyDescent="0.2">
      <c r="A18" s="1492"/>
      <c r="B18" s="1833"/>
      <c r="C18" s="1834"/>
      <c r="D18" s="1834"/>
      <c r="E18" s="1834"/>
      <c r="F18" s="1834"/>
      <c r="G18" s="1834"/>
      <c r="H18" s="1834"/>
      <c r="I18" s="1834"/>
      <c r="J18" s="1835"/>
      <c r="L18" s="946" t="str">
        <f t="shared" si="1"/>
        <v/>
      </c>
      <c r="M18" s="1537"/>
      <c r="N18" s="1539"/>
      <c r="O18" s="1528"/>
      <c r="P18" s="794" t="s">
        <v>992</v>
      </c>
      <c r="Q18" s="795" t="s">
        <v>1027</v>
      </c>
      <c r="R18" s="788" t="str">
        <f t="shared" si="0"/>
        <v>[BW] - Bowstring: Ridge @ ##’-## From LBL (Depth=Designation), ##" Depth @ LBL, ##" TC Radius</v>
      </c>
    </row>
    <row r="19" spans="1:18" ht="15.4" customHeight="1" x14ac:dyDescent="0.2">
      <c r="A19" s="1492"/>
      <c r="B19" s="1833"/>
      <c r="C19" s="1834"/>
      <c r="D19" s="1834"/>
      <c r="E19" s="1834"/>
      <c r="F19" s="1834"/>
      <c r="G19" s="1834"/>
      <c r="H19" s="1834"/>
      <c r="I19" s="1834"/>
      <c r="J19" s="1835"/>
      <c r="L19" s="946" t="str">
        <f t="shared" si="1"/>
        <v/>
      </c>
      <c r="M19" s="1537"/>
      <c r="N19" s="1539"/>
      <c r="O19" s="1528"/>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1492"/>
      <c r="B20" s="1833"/>
      <c r="C20" s="1834"/>
      <c r="D20" s="1834"/>
      <c r="E20" s="1834"/>
      <c r="F20" s="1834"/>
      <c r="G20" s="1834"/>
      <c r="H20" s="1834"/>
      <c r="I20" s="1834"/>
      <c r="J20" s="1835"/>
      <c r="L20" s="946" t="str">
        <f t="shared" si="1"/>
        <v/>
      </c>
      <c r="M20" s="1537"/>
      <c r="N20" s="1539"/>
      <c r="O20" s="1528"/>
      <c r="P20" s="794"/>
      <c r="Q20" s="795" t="s">
        <v>1028</v>
      </c>
      <c r="R20" s="788" t="str">
        <f t="shared" si="0"/>
        <v>[] - DEFLECTION</v>
      </c>
    </row>
    <row r="21" spans="1:18" ht="15.4" customHeight="1" x14ac:dyDescent="0.2">
      <c r="A21" s="1492"/>
      <c r="B21" s="1845"/>
      <c r="C21" s="1846"/>
      <c r="D21" s="1846"/>
      <c r="E21" s="1846"/>
      <c r="F21" s="1846"/>
      <c r="G21" s="1846"/>
      <c r="H21" s="1846"/>
      <c r="I21" s="1846"/>
      <c r="J21" s="1847"/>
      <c r="L21" s="946" t="str">
        <f t="shared" si="1"/>
        <v/>
      </c>
      <c r="M21" s="1537"/>
      <c r="N21" s="1539"/>
      <c r="O21" s="1539"/>
      <c r="P21" s="794" t="s">
        <v>986</v>
      </c>
      <c r="Q21" s="795" t="s">
        <v>1029</v>
      </c>
      <c r="R21" s="788" t="str">
        <f t="shared" si="0"/>
        <v>[DefLL] - LL Deflection = L/###|Deflection=L/### Due To ### PLF LL|LL Deflection=L/### (LL/TL Ratio = ##%)</v>
      </c>
    </row>
    <row r="22" spans="1:18" ht="15.4" customHeight="1" x14ac:dyDescent="0.2">
      <c r="A22" s="1492"/>
      <c r="B22" s="1833"/>
      <c r="C22" s="1834"/>
      <c r="D22" s="1834"/>
      <c r="E22" s="1834"/>
      <c r="F22" s="1834"/>
      <c r="G22" s="1834"/>
      <c r="H22" s="1834"/>
      <c r="I22" s="1834"/>
      <c r="J22" s="1835"/>
      <c r="L22" s="946" t="str">
        <f t="shared" si="1"/>
        <v/>
      </c>
      <c r="M22" s="1537"/>
      <c r="N22" s="1539"/>
      <c r="O22" s="1528"/>
      <c r="P22" s="794" t="s">
        <v>987</v>
      </c>
      <c r="Q22" s="795" t="s">
        <v>1030</v>
      </c>
      <c r="R22" s="788" t="str">
        <f t="shared" si="0"/>
        <v>[DefTL] - TL Deflection = L/###, Ck Std Camber Satisfies DL Def</v>
      </c>
    </row>
    <row r="23" spans="1:18" ht="15.4" customHeight="1" x14ac:dyDescent="0.2">
      <c r="A23" s="1492"/>
      <c r="B23" s="1839"/>
      <c r="C23" s="1840"/>
      <c r="D23" s="1840"/>
      <c r="E23" s="1840"/>
      <c r="F23" s="1840"/>
      <c r="G23" s="1840"/>
      <c r="H23" s="1840"/>
      <c r="I23" s="1840"/>
      <c r="J23" s="1841"/>
      <c r="L23" s="946" t="str">
        <f t="shared" si="1"/>
        <v/>
      </c>
      <c r="M23" s="1537"/>
      <c r="N23" s="1539"/>
      <c r="O23" s="1528"/>
      <c r="P23" s="794" t="s">
        <v>988</v>
      </c>
      <c r="Q23" s="795" t="s">
        <v>1032</v>
      </c>
      <c r="R23" s="788" t="str">
        <f t="shared" si="0"/>
        <v>[DefTCX] - TCXL|TCXR Deflection = ##" Max Due To ### PLF LL|DL|TL</v>
      </c>
    </row>
    <row r="24" spans="1:18" ht="15.4" customHeight="1" x14ac:dyDescent="0.2">
      <c r="A24" s="1492"/>
      <c r="B24" s="1833"/>
      <c r="C24" s="1834"/>
      <c r="D24" s="1834"/>
      <c r="E24" s="1834"/>
      <c r="F24" s="1834"/>
      <c r="G24" s="1834"/>
      <c r="H24" s="1834"/>
      <c r="I24" s="1834"/>
      <c r="J24" s="1835"/>
      <c r="L24" s="946" t="str">
        <f t="shared" si="1"/>
        <v/>
      </c>
      <c r="M24" s="1537"/>
      <c r="N24" s="1539"/>
      <c r="O24" s="1528"/>
      <c r="P24" s="794" t="s">
        <v>989</v>
      </c>
      <c r="Q24" s="795" t="s">
        <v>1031</v>
      </c>
      <c r="R24" s="788" t="str">
        <f t="shared" si="0"/>
        <v>[DefSP] - Special Deflection = ##" Max Due To ### PLF LL|DL|TL</v>
      </c>
    </row>
    <row r="25" spans="1:18" ht="15.4" customHeight="1" x14ac:dyDescent="0.2">
      <c r="A25" s="1492"/>
      <c r="B25" s="1833"/>
      <c r="C25" s="1834"/>
      <c r="D25" s="1834"/>
      <c r="E25" s="1834"/>
      <c r="F25" s="1834"/>
      <c r="G25" s="1834"/>
      <c r="H25" s="1834"/>
      <c r="I25" s="1834"/>
      <c r="J25" s="1835"/>
      <c r="L25" s="946" t="str">
        <f t="shared" si="1"/>
        <v/>
      </c>
      <c r="M25" s="1537"/>
      <c r="N25" s="1539"/>
      <c r="O25" s="1528"/>
      <c r="P25" s="794"/>
      <c r="Q25" s="795" t="s">
        <v>1033</v>
      </c>
      <c r="R25" s="788" t="str">
        <f t="shared" si="0"/>
        <v>[] - BEARING SEATS</v>
      </c>
    </row>
    <row r="26" spans="1:18" ht="15.4" customHeight="1" x14ac:dyDescent="0.2">
      <c r="A26" s="1492"/>
      <c r="B26" s="1833"/>
      <c r="C26" s="1834"/>
      <c r="D26" s="1834"/>
      <c r="E26" s="1834"/>
      <c r="F26" s="1834"/>
      <c r="G26" s="1834"/>
      <c r="H26" s="1834"/>
      <c r="I26" s="1834"/>
      <c r="J26" s="1835"/>
      <c r="L26" s="946" t="str">
        <f t="shared" si="1"/>
        <v/>
      </c>
      <c r="M26" s="1537"/>
      <c r="N26" s="1528"/>
      <c r="O26" s="1528"/>
      <c r="P26" s="794" t="s">
        <v>1238</v>
      </c>
      <c r="Q26" s="795" t="s">
        <v>1242</v>
      </c>
      <c r="R26" s="788" t="str">
        <f t="shared" si="0"/>
        <v>[AddSeat] - Addn’l Bearing Seat @ LE|RE|BE, Setback = #’-##”, Depth = ##”</v>
      </c>
    </row>
    <row r="27" spans="1:18" ht="15.4" customHeight="1" x14ac:dyDescent="0.2">
      <c r="A27" s="1492"/>
      <c r="B27" s="1833"/>
      <c r="C27" s="1834"/>
      <c r="D27" s="1834"/>
      <c r="E27" s="1834"/>
      <c r="F27" s="1834"/>
      <c r="G27" s="1834"/>
      <c r="H27" s="1834"/>
      <c r="I27" s="1834"/>
      <c r="J27" s="1835"/>
      <c r="L27" s="946" t="str">
        <f t="shared" si="1"/>
        <v/>
      </c>
      <c r="M27" s="1537"/>
      <c r="N27" s="1528"/>
      <c r="O27" s="1528"/>
      <c r="P27" s="794" t="s">
        <v>1000</v>
      </c>
      <c r="Q27" s="795" t="s">
        <v>1046</v>
      </c>
      <c r="R27" s="788" t="str">
        <f t="shared" si="0"/>
        <v>[AddSlt] - Addn'l Seat Slots @ #" from L-OAL|R-OAL</v>
      </c>
    </row>
    <row r="28" spans="1:18" ht="15.4" customHeight="1" x14ac:dyDescent="0.2">
      <c r="A28" s="1492"/>
      <c r="B28" s="1833"/>
      <c r="C28" s="1834"/>
      <c r="D28" s="1834"/>
      <c r="E28" s="1834"/>
      <c r="F28" s="1834"/>
      <c r="G28" s="1834"/>
      <c r="H28" s="1834"/>
      <c r="I28" s="1834"/>
      <c r="J28" s="1835"/>
      <c r="L28" s="946" t="str">
        <f t="shared" si="1"/>
        <v/>
      </c>
      <c r="M28" s="1537"/>
      <c r="N28" s="1528"/>
      <c r="O28" s="1528"/>
      <c r="P28" s="794" t="s">
        <v>981</v>
      </c>
      <c r="Q28" s="795" t="s">
        <v>1043</v>
      </c>
      <c r="R28" s="788" t="str">
        <f t="shared" si="0"/>
        <v>[BCBrg] - Bottom Chord Bearing @ LE|RE|BE</v>
      </c>
    </row>
    <row r="29" spans="1:18" ht="15.4" customHeight="1" x14ac:dyDescent="0.2">
      <c r="A29" s="1492"/>
      <c r="B29" s="1833"/>
      <c r="C29" s="1834"/>
      <c r="D29" s="1834"/>
      <c r="E29" s="1834"/>
      <c r="F29" s="1834"/>
      <c r="G29" s="1834"/>
      <c r="H29" s="1834"/>
      <c r="I29" s="1834"/>
      <c r="J29" s="1835"/>
      <c r="L29" s="946" t="str">
        <f t="shared" si="1"/>
        <v/>
      </c>
      <c r="M29" s="1537"/>
      <c r="N29" s="1528"/>
      <c r="O29" s="1528"/>
      <c r="P29" s="794" t="s">
        <v>1239</v>
      </c>
      <c r="Q29" s="795" t="s">
        <v>1243</v>
      </c>
      <c r="R29" s="788" t="str">
        <f t="shared" si="0"/>
        <v>[BCBrgCant] - Bottom Chord Bearing Cantilever @ LE|RE|BE, Ctr Line of Support = #’-##” @ LE|RE|BE</v>
      </c>
    </row>
    <row r="30" spans="1:18" ht="15.4" customHeight="1" x14ac:dyDescent="0.2">
      <c r="A30" s="1492"/>
      <c r="B30" s="1833"/>
      <c r="C30" s="1834"/>
      <c r="D30" s="1834"/>
      <c r="E30" s="1834"/>
      <c r="F30" s="1834"/>
      <c r="G30" s="1834"/>
      <c r="H30" s="1834"/>
      <c r="I30" s="1834"/>
      <c r="J30" s="1835"/>
      <c r="L30" s="946" t="str">
        <f t="shared" si="1"/>
        <v/>
      </c>
      <c r="M30" s="1537"/>
      <c r="N30" s="1528"/>
      <c r="O30" s="1528"/>
      <c r="P30" s="794" t="s">
        <v>1240</v>
      </c>
      <c r="Q30" s="795" t="s">
        <v>1244</v>
      </c>
      <c r="R30" s="788" t="str">
        <f t="shared" si="0"/>
        <v>[BPSetBk] - Shorten Base Pl @ LE|RE|BE, Setback = #’-#, Max TC Depth = ##”, Ck TCX For Unrein Length, See Section ##</v>
      </c>
    </row>
    <row r="31" spans="1:18" ht="15.4" customHeight="1" x14ac:dyDescent="0.2">
      <c r="A31" s="1492"/>
      <c r="B31" s="1833"/>
      <c r="C31" s="1834"/>
      <c r="D31" s="1834"/>
      <c r="E31" s="1834"/>
      <c r="F31" s="1834"/>
      <c r="G31" s="1834"/>
      <c r="H31" s="1834"/>
      <c r="I31" s="1834"/>
      <c r="J31" s="1835"/>
      <c r="L31" s="946" t="str">
        <f t="shared" si="1"/>
        <v/>
      </c>
      <c r="M31" s="1537"/>
      <c r="N31" s="1528"/>
      <c r="O31" s="1528"/>
      <c r="P31" s="794" t="s">
        <v>979</v>
      </c>
      <c r="Q31" s="795" t="s">
        <v>1047</v>
      </c>
      <c r="R31" s="788" t="str">
        <f t="shared" si="0"/>
        <v>[BPThk] - Min Thickness of Base Plate = 0.xxx" @ LE|RE|BE</v>
      </c>
    </row>
    <row r="32" spans="1:18" ht="15.4" customHeight="1" x14ac:dyDescent="0.2">
      <c r="A32" s="1492"/>
      <c r="B32" s="1833"/>
      <c r="C32" s="1834"/>
      <c r="D32" s="1834"/>
      <c r="E32" s="1834"/>
      <c r="F32" s="1834"/>
      <c r="G32" s="1834"/>
      <c r="H32" s="1834"/>
      <c r="I32" s="1834"/>
      <c r="J32" s="1835"/>
      <c r="L32" s="946" t="str">
        <f t="shared" si="1"/>
        <v/>
      </c>
      <c r="M32" s="1537"/>
      <c r="N32" s="1528"/>
      <c r="O32" s="1528"/>
      <c r="P32" s="794" t="s">
        <v>1001</v>
      </c>
      <c r="Q32" s="795" t="s">
        <v>1002</v>
      </c>
      <c r="R32" s="788" t="str">
        <f t="shared" si="0"/>
        <v>[ClrBrg] - Min Clear Bearing = #" @ LE(RE)(BE)</v>
      </c>
    </row>
    <row r="33" spans="1:18" ht="15.4" customHeight="1" x14ac:dyDescent="0.2">
      <c r="A33" s="1492"/>
      <c r="B33" s="1833"/>
      <c r="C33" s="1834"/>
      <c r="D33" s="1834"/>
      <c r="E33" s="1834"/>
      <c r="F33" s="1834"/>
      <c r="G33" s="1834"/>
      <c r="H33" s="1834"/>
      <c r="I33" s="1834"/>
      <c r="J33" s="1835"/>
      <c r="L33" s="946" t="str">
        <f t="shared" si="1"/>
        <v/>
      </c>
      <c r="M33" s="1537"/>
      <c r="N33" s="1528"/>
      <c r="O33" s="1528"/>
      <c r="P33" s="794" t="s">
        <v>1241</v>
      </c>
      <c r="Q33" s="795" t="s">
        <v>1245</v>
      </c>
      <c r="R33" s="788" t="str">
        <f t="shared" si="0"/>
        <v>[ContAngle] - Continuity Angles for Load Transfer, Hold Double Angle W2 Down for Field Install, No TC Splices within 1st ##” @ LE|RE|BE</v>
      </c>
    </row>
    <row r="34" spans="1:18" ht="15.4" customHeight="1" x14ac:dyDescent="0.2">
      <c r="A34" s="1492"/>
      <c r="B34" s="1833"/>
      <c r="C34" s="1834"/>
      <c r="D34" s="1834"/>
      <c r="E34" s="1834"/>
      <c r="F34" s="1834"/>
      <c r="G34" s="1834"/>
      <c r="H34" s="1834"/>
      <c r="I34" s="1834"/>
      <c r="J34" s="1835"/>
      <c r="L34" s="946" t="str">
        <f t="shared" si="1"/>
        <v/>
      </c>
      <c r="M34" s="1537"/>
      <c r="N34" s="1528"/>
      <c r="O34" s="1528"/>
      <c r="P34" s="794" t="s">
        <v>1038</v>
      </c>
      <c r="Q34" s="795" t="s">
        <v>1040</v>
      </c>
      <c r="R34" s="788" t="str">
        <f t="shared" si="0"/>
        <v>[KickLd] - Axial Load Due To Kicker, No Rein Req’d</v>
      </c>
    </row>
    <row r="35" spans="1:18" ht="15.4" customHeight="1" x14ac:dyDescent="0.2">
      <c r="A35" s="1492"/>
      <c r="B35" s="1833"/>
      <c r="C35" s="1834"/>
      <c r="D35" s="1834"/>
      <c r="E35" s="1834"/>
      <c r="F35" s="1834"/>
      <c r="G35" s="1834"/>
      <c r="H35" s="1834"/>
      <c r="I35" s="1834"/>
      <c r="J35" s="1835"/>
      <c r="L35" s="946" t="str">
        <f t="shared" si="1"/>
        <v/>
      </c>
      <c r="M35" s="1537"/>
      <c r="N35" s="1528"/>
      <c r="O35" s="1528"/>
      <c r="P35" s="794" t="s">
        <v>1037</v>
      </c>
      <c r="Q35" s="795" t="s">
        <v>1039</v>
      </c>
      <c r="R35" s="788" t="str">
        <f t="shared" si="0"/>
        <v>[KnifePL] - Knife Pl Provided for Load Transfer, TC/Seat Gap Clear for 1st ##” @ LE|RE|BE</v>
      </c>
    </row>
    <row r="36" spans="1:18" ht="15.4" customHeight="1" x14ac:dyDescent="0.2">
      <c r="A36" s="1492"/>
      <c r="B36" s="1833"/>
      <c r="C36" s="1834"/>
      <c r="D36" s="1834"/>
      <c r="E36" s="1834"/>
      <c r="F36" s="1834"/>
      <c r="G36" s="1834"/>
      <c r="H36" s="1834"/>
      <c r="I36" s="1834"/>
      <c r="J36" s="1835"/>
      <c r="L36" s="946" t="str">
        <f t="shared" si="1"/>
        <v/>
      </c>
      <c r="M36" s="1537"/>
      <c r="N36" s="1528"/>
      <c r="O36" s="1528"/>
      <c r="P36" s="794" t="s">
        <v>1048</v>
      </c>
      <c r="Q36" s="795" t="s">
        <v>1049</v>
      </c>
      <c r="R36" s="788" t="str">
        <f t="shared" si="0"/>
        <v>[MaxWidth] - Max Width of TC &amp; Base Plate|BC for 1st ##” @ LE|RE|BE</v>
      </c>
    </row>
    <row r="37" spans="1:18" ht="15.4" customHeight="1" x14ac:dyDescent="0.2">
      <c r="A37" s="1492"/>
      <c r="B37" s="1833"/>
      <c r="C37" s="1834"/>
      <c r="D37" s="1834"/>
      <c r="E37" s="1834"/>
      <c r="F37" s="1834"/>
      <c r="G37" s="1834"/>
      <c r="H37" s="1834"/>
      <c r="I37" s="1834"/>
      <c r="J37" s="1835"/>
      <c r="L37" s="946" t="str">
        <f t="shared" si="1"/>
        <v/>
      </c>
      <c r="M37" s="1537"/>
      <c r="N37" s="1528"/>
      <c r="O37" s="1528"/>
      <c r="P37" s="794" t="s">
        <v>1035</v>
      </c>
      <c r="Q37" s="795" t="s">
        <v>1246</v>
      </c>
      <c r="R37" s="788" t="str">
        <f t="shared" si="0"/>
        <v>[NoRein] - Tie Pl Provided for Load Transfer, No Rein Req’d (***Could Show This Note in Load Note Remarks***)</v>
      </c>
    </row>
    <row r="38" spans="1:18" ht="15.4" customHeight="1" x14ac:dyDescent="0.2">
      <c r="A38" s="1492"/>
      <c r="B38" s="1833"/>
      <c r="C38" s="1834"/>
      <c r="D38" s="1834"/>
      <c r="E38" s="1834"/>
      <c r="F38" s="1834"/>
      <c r="G38" s="1834"/>
      <c r="H38" s="1834"/>
      <c r="I38" s="1834"/>
      <c r="J38" s="1835"/>
      <c r="L38" s="946" t="str">
        <f t="shared" si="1"/>
        <v/>
      </c>
      <c r="M38" s="1537"/>
      <c r="N38" s="1528"/>
      <c r="O38" s="1528"/>
      <c r="P38" s="794" t="s">
        <v>1036</v>
      </c>
      <c r="Q38" s="795" t="s">
        <v>1077</v>
      </c>
      <c r="R38" s="788" t="str">
        <f t="shared" si="0"/>
        <v>[Rein] - Reinforce Seats @ LE|RE|BE for Axial Load Transfer</v>
      </c>
    </row>
    <row r="39" spans="1:18" ht="15.4" customHeight="1" x14ac:dyDescent="0.2">
      <c r="A39" s="1492"/>
      <c r="B39" s="1833"/>
      <c r="C39" s="1834"/>
      <c r="D39" s="1834"/>
      <c r="E39" s="1834"/>
      <c r="F39" s="1834"/>
      <c r="G39" s="1834"/>
      <c r="H39" s="1834"/>
      <c r="I39" s="1834"/>
      <c r="J39" s="1835"/>
      <c r="L39" s="946" t="str">
        <f t="shared" si="1"/>
        <v/>
      </c>
      <c r="M39" s="1537"/>
      <c r="N39" s="1528"/>
      <c r="O39" s="1528"/>
      <c r="P39" s="794" t="s">
        <v>1082</v>
      </c>
      <c r="Q39" s="795" t="s">
        <v>1083</v>
      </c>
      <c r="R39" s="788" t="str">
        <f t="shared" si="0"/>
        <v>[RndShrtSlt] - #/#" Round Holes|#/#”x1” Slots, Ga=#” @ LE|RE|BE</v>
      </c>
    </row>
    <row r="40" spans="1:18" ht="15.4" customHeight="1" x14ac:dyDescent="0.2">
      <c r="A40" s="1492"/>
      <c r="B40" s="1833"/>
      <c r="C40" s="1834"/>
      <c r="D40" s="1834"/>
      <c r="E40" s="1834"/>
      <c r="F40" s="1834"/>
      <c r="G40" s="1834"/>
      <c r="H40" s="1834"/>
      <c r="I40" s="1834"/>
      <c r="J40" s="1835"/>
      <c r="L40" s="946" t="str">
        <f t="shared" si="1"/>
        <v/>
      </c>
      <c r="M40" s="1537"/>
      <c r="N40" s="1528"/>
      <c r="O40" s="1528"/>
      <c r="P40" s="794" t="s">
        <v>1041</v>
      </c>
      <c r="Q40" s="795" t="s">
        <v>1042</v>
      </c>
      <c r="R40" s="788" t="str">
        <f t="shared" si="0"/>
        <v>[Roll] - Seat Rollover Force = ##Kips @ LE|RE|BE</v>
      </c>
    </row>
    <row r="41" spans="1:18" ht="15.4" customHeight="1" x14ac:dyDescent="0.2">
      <c r="A41" s="1492"/>
      <c r="B41" s="1833"/>
      <c r="C41" s="1834"/>
      <c r="D41" s="1834"/>
      <c r="E41" s="1834"/>
      <c r="F41" s="1834"/>
      <c r="G41" s="1834"/>
      <c r="H41" s="1834"/>
      <c r="I41" s="1834"/>
      <c r="J41" s="1835"/>
      <c r="L41" s="946" t="str">
        <f t="shared" si="1"/>
        <v/>
      </c>
      <c r="M41" s="1537"/>
      <c r="N41" s="1528"/>
      <c r="O41" s="1528"/>
      <c r="P41" s="794" t="s">
        <v>1074</v>
      </c>
      <c r="Q41" s="795" t="s">
        <v>1075</v>
      </c>
      <c r="R41" s="788" t="str">
        <f t="shared" si="0"/>
        <v>[ShrtBrg] - Short Bearing = #” @ LE|RE|BE</v>
      </c>
    </row>
    <row r="42" spans="1:18" ht="15.4" customHeight="1" x14ac:dyDescent="0.2">
      <c r="A42" s="1492"/>
      <c r="B42" s="1833"/>
      <c r="C42" s="1834"/>
      <c r="D42" s="1834"/>
      <c r="E42" s="1834"/>
      <c r="F42" s="1834"/>
      <c r="G42" s="1834"/>
      <c r="H42" s="1834"/>
      <c r="I42" s="1834"/>
      <c r="J42" s="1835"/>
      <c r="L42" s="946" t="str">
        <f t="shared" si="1"/>
        <v/>
      </c>
      <c r="M42" s="1537"/>
      <c r="N42" s="1528"/>
      <c r="O42" s="1528"/>
      <c r="P42" s="794" t="s">
        <v>1078</v>
      </c>
      <c r="Q42" s="795" t="s">
        <v>990</v>
      </c>
      <c r="R42" s="788" t="str">
        <f t="shared" si="0"/>
        <v>[Skew] - ##º Half(Full)-Skew, NS(FS), LE(RE)</v>
      </c>
    </row>
    <row r="43" spans="1:18" ht="15.4" customHeight="1" x14ac:dyDescent="0.2">
      <c r="A43" s="1492"/>
      <c r="B43" s="1833"/>
      <c r="C43" s="1834"/>
      <c r="D43" s="1834"/>
      <c r="E43" s="1834"/>
      <c r="F43" s="1834"/>
      <c r="G43" s="1834"/>
      <c r="H43" s="1834"/>
      <c r="I43" s="1834"/>
      <c r="J43" s="1835"/>
      <c r="L43" s="946" t="str">
        <f t="shared" si="1"/>
        <v/>
      </c>
      <c r="M43" s="1537"/>
      <c r="N43" s="1528"/>
      <c r="O43" s="1528"/>
      <c r="P43" s="794" t="s">
        <v>976</v>
      </c>
      <c r="Q43" s="795" t="s">
        <v>1045</v>
      </c>
      <c r="R43" s="788" t="str">
        <f t="shared" si="0"/>
        <v>[SpSlt] - Special Seat Slots: #"x#" Slots, Ga=#" @ LE|RE|BE</v>
      </c>
    </row>
    <row r="44" spans="1:18" ht="15.4" customHeight="1" x14ac:dyDescent="0.2">
      <c r="A44" s="1492"/>
      <c r="B44" s="1833"/>
      <c r="C44" s="1834"/>
      <c r="D44" s="1834"/>
      <c r="E44" s="1834"/>
      <c r="F44" s="1834"/>
      <c r="G44" s="1834"/>
      <c r="H44" s="1834"/>
      <c r="I44" s="1834"/>
      <c r="J44" s="1835"/>
      <c r="L44" s="946" t="str">
        <f t="shared" si="1"/>
        <v/>
      </c>
      <c r="M44" s="1537"/>
      <c r="N44" s="1528"/>
      <c r="O44" s="1528"/>
      <c r="P44" s="794" t="s">
        <v>975</v>
      </c>
      <c r="Q44" s="795" t="s">
        <v>1044</v>
      </c>
      <c r="R44" s="788" t="str">
        <f t="shared" si="0"/>
        <v>[StgSlt] - Stagger Seat Slots LE|RE: ##" NS, ##" FS</v>
      </c>
    </row>
    <row r="45" spans="1:18" ht="15.4" customHeight="1" x14ac:dyDescent="0.2">
      <c r="A45" s="1492"/>
      <c r="B45" s="1833"/>
      <c r="C45" s="1834"/>
      <c r="D45" s="1834"/>
      <c r="E45" s="1834"/>
      <c r="F45" s="1834"/>
      <c r="G45" s="1834"/>
      <c r="H45" s="1834"/>
      <c r="I45" s="1834"/>
      <c r="J45" s="1835"/>
      <c r="L45" s="946" t="str">
        <f t="shared" si="1"/>
        <v/>
      </c>
      <c r="M45" s="1537"/>
      <c r="N45" s="1528"/>
      <c r="O45" s="1528"/>
      <c r="P45" s="794" t="s">
        <v>980</v>
      </c>
      <c r="Q45" s="795" t="s">
        <v>1034</v>
      </c>
      <c r="R45" s="788" t="str">
        <f t="shared" si="0"/>
        <v>[TCXMax] - Max Depth of TCXL|TCXR = ##"</v>
      </c>
    </row>
    <row r="46" spans="1:18" ht="15.4" customHeight="1" x14ac:dyDescent="0.2">
      <c r="A46" s="1492"/>
      <c r="B46" s="1833"/>
      <c r="C46" s="1834"/>
      <c r="D46" s="1834"/>
      <c r="E46" s="1834"/>
      <c r="F46" s="1834"/>
      <c r="G46" s="1834"/>
      <c r="H46" s="1834"/>
      <c r="I46" s="1834"/>
      <c r="J46" s="1835"/>
      <c r="L46" s="946" t="str">
        <f t="shared" si="1"/>
        <v/>
      </c>
      <c r="M46" s="1537"/>
      <c r="N46" s="1528"/>
      <c r="O46" s="1528"/>
      <c r="P46" s="794" t="s">
        <v>974</v>
      </c>
      <c r="Q46" s="795" t="s">
        <v>1076</v>
      </c>
      <c r="R46" s="788" t="str">
        <f t="shared" si="0"/>
        <v>[TCXSup] - TCXL|TCXR Supported @ End</v>
      </c>
    </row>
    <row r="47" spans="1:18" ht="15.4" customHeight="1" x14ac:dyDescent="0.2">
      <c r="A47" s="1492"/>
      <c r="B47" s="1833"/>
      <c r="C47" s="1834"/>
      <c r="D47" s="1834"/>
      <c r="E47" s="1834"/>
      <c r="F47" s="1834"/>
      <c r="G47" s="1834"/>
      <c r="H47" s="1834"/>
      <c r="I47" s="1834"/>
      <c r="J47" s="1835"/>
      <c r="L47" s="946" t="str">
        <f t="shared" si="1"/>
        <v/>
      </c>
      <c r="M47" s="1537"/>
      <c r="N47" s="1528"/>
      <c r="O47" s="1528"/>
      <c r="P47" s="794"/>
      <c r="Q47" s="795" t="s">
        <v>1050</v>
      </c>
      <c r="R47" s="788" t="str">
        <f t="shared" si="0"/>
        <v>[] - MISCELLANEOUS</v>
      </c>
    </row>
    <row r="48" spans="1:18" ht="15.4" customHeight="1" x14ac:dyDescent="0.2">
      <c r="A48" s="1492"/>
      <c r="B48" s="1833"/>
      <c r="C48" s="1834"/>
      <c r="D48" s="1834"/>
      <c r="E48" s="1834"/>
      <c r="F48" s="1834"/>
      <c r="G48" s="1834"/>
      <c r="H48" s="1834"/>
      <c r="I48" s="1834"/>
      <c r="J48" s="1835"/>
      <c r="L48" s="946" t="str">
        <f t="shared" si="1"/>
        <v/>
      </c>
      <c r="M48" s="1537"/>
      <c r="N48" s="1528"/>
      <c r="O48" s="1528"/>
      <c r="P48" s="794" t="s">
        <v>982</v>
      </c>
      <c r="Q48" s="795" t="s">
        <v>1053</v>
      </c>
      <c r="R48" s="788" t="str">
        <f t="shared" si="0"/>
        <v>[BClip] - Bridging Clip(s) Required per Plan</v>
      </c>
    </row>
    <row r="49" spans="1:18" ht="15.4" customHeight="1" x14ac:dyDescent="0.2">
      <c r="A49" s="1492"/>
      <c r="B49" s="1833"/>
      <c r="C49" s="1834"/>
      <c r="D49" s="1834"/>
      <c r="E49" s="1834"/>
      <c r="F49" s="1834"/>
      <c r="G49" s="1834"/>
      <c r="H49" s="1834"/>
      <c r="I49" s="1834"/>
      <c r="J49" s="1835"/>
      <c r="L49" s="946" t="str">
        <f t="shared" si="1"/>
        <v/>
      </c>
      <c r="M49" s="1537"/>
      <c r="N49" s="1528"/>
      <c r="O49" s="1528"/>
      <c r="P49" s="794" t="s">
        <v>978</v>
      </c>
      <c r="Q49" s="795" t="s">
        <v>970</v>
      </c>
      <c r="R49" s="788" t="str">
        <f t="shared" si="0"/>
        <v>[BCThk] - Min Thickness of BC = 0.xxx"</v>
      </c>
    </row>
    <row r="50" spans="1:18" ht="15.4" customHeight="1" x14ac:dyDescent="0.2">
      <c r="A50" s="1492"/>
      <c r="B50" s="1833"/>
      <c r="C50" s="1834"/>
      <c r="D50" s="1834"/>
      <c r="E50" s="1834"/>
      <c r="F50" s="1834"/>
      <c r="G50" s="1834"/>
      <c r="H50" s="1834"/>
      <c r="I50" s="1834"/>
      <c r="J50" s="1835"/>
      <c r="L50" s="946" t="str">
        <f t="shared" si="1"/>
        <v/>
      </c>
      <c r="M50" s="1537"/>
      <c r="N50" s="1528"/>
      <c r="O50" s="1528"/>
      <c r="P50" s="794" t="s">
        <v>1079</v>
      </c>
      <c r="Q50" s="795" t="s">
        <v>1052</v>
      </c>
      <c r="R50" s="788" t="str">
        <f t="shared" si="0"/>
        <v>[Camb] - Camber = #"|Camber for DL|50% Std Camber|No Camber</v>
      </c>
    </row>
    <row r="51" spans="1:18" ht="15.4" customHeight="1" x14ac:dyDescent="0.2">
      <c r="A51" s="1496"/>
      <c r="B51" s="1836"/>
      <c r="C51" s="1837"/>
      <c r="D51" s="1837"/>
      <c r="E51" s="1837"/>
      <c r="F51" s="1837"/>
      <c r="G51" s="1837"/>
      <c r="H51" s="1837"/>
      <c r="I51" s="1837"/>
      <c r="J51" s="1838"/>
      <c r="L51" s="946" t="str">
        <f t="shared" si="1"/>
        <v/>
      </c>
      <c r="M51" s="1537"/>
      <c r="N51" s="1528"/>
      <c r="O51" s="1528"/>
      <c r="P51" s="794" t="s">
        <v>1249</v>
      </c>
      <c r="Q51" s="795" t="s">
        <v>1254</v>
      </c>
      <c r="R51" s="788" t="str">
        <f t="shared" si="0"/>
        <v>[DUCT] - ##" Dia|##"H x ##"W Duct @ #'-# from L-OAL</v>
      </c>
    </row>
    <row r="52" spans="1:18" ht="15.6" customHeight="1" x14ac:dyDescent="0.2">
      <c r="N52" s="245">
        <f>COUNTIF(N13:O51,TRUE)+IF(NOT($M$1),1,0)</f>
        <v>1</v>
      </c>
      <c r="O52" s="1531"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1029" priority="4" stopIfTrue="1" operator="equal">
      <formula>""</formula>
    </cfRule>
  </conditionalFormatting>
  <dataValidations count="2">
    <dataValidation type="list" allowBlank="1" sqref="B13:J51" xr:uid="{00000000-0002-0000-0500-000000000000}">
      <formula1>OFFSET($R$13,0,0,$P$10,1)</formula1>
    </dataValidation>
    <dataValidation type="list" allowBlank="1" showInputMessage="1" sqref="Q7" xr:uid="{00000000-0002-0000-05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48" t="str">
        <f>IF(S1="","",VLOOKUP(S1,'Job Info.'!X:AA,4,FALSE))</f>
        <v>Master</v>
      </c>
      <c r="J1" s="1848"/>
      <c r="K1" s="1848"/>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53" t="str">
        <f>IF(S1="","",IF(VLOOKUP(S1,'Job Info.'!X:Z,2,FALSE),"Released for Fabrication",""))</f>
        <v/>
      </c>
      <c r="J2" s="1854"/>
      <c r="K2" s="1855"/>
      <c r="L2" s="375"/>
      <c r="M2" s="375" t="s">
        <v>96</v>
      </c>
      <c r="N2" s="463" t="str">
        <f ca="1">'Job Info.'!D13</f>
        <v>775-867-2140</v>
      </c>
      <c r="O2" s="1008"/>
      <c r="P2" s="1008"/>
      <c r="BE2" s="1040"/>
    </row>
    <row r="3" spans="1:83" ht="12.95" customHeight="1" x14ac:dyDescent="0.2">
      <c r="A3" s="374"/>
      <c r="B3" s="374"/>
      <c r="C3" s="374"/>
      <c r="D3" s="374"/>
      <c r="E3" s="374"/>
      <c r="F3" s="374"/>
      <c r="G3" s="374"/>
      <c r="H3" s="375"/>
      <c r="I3" s="1856"/>
      <c r="J3" s="1857"/>
      <c r="K3" s="1858"/>
      <c r="L3" s="375"/>
      <c r="M3" s="375" t="s">
        <v>98</v>
      </c>
      <c r="N3" s="463" t="str">
        <f ca="1">'Job Info.'!D14</f>
        <v>775-867-2169</v>
      </c>
      <c r="O3" s="1008"/>
      <c r="P3" s="1008"/>
    </row>
    <row r="4" spans="1:83" ht="12.95" customHeight="1" thickBot="1" x14ac:dyDescent="0.25">
      <c r="A4" s="374"/>
      <c r="B4" s="374"/>
      <c r="C4" s="374"/>
      <c r="D4" s="374"/>
      <c r="E4" s="374"/>
      <c r="F4" s="374"/>
      <c r="G4" s="374"/>
      <c r="H4" s="374"/>
      <c r="I4" s="1859" t="str">
        <f>IF(S1="","",IF(VLOOKUP(S1,'Job Info.'!X:Z,2,FALSE),VLOOKUP(S1,'Job Info.'!X:Z,3,FALSE),""))</f>
        <v/>
      </c>
      <c r="J4" s="1860"/>
      <c r="K4" s="1861"/>
      <c r="L4" s="375"/>
      <c r="M4" s="375" t="s">
        <v>97</v>
      </c>
      <c r="N4" s="463" t="str">
        <f ca="1">'Job Info.'!D15</f>
        <v>775-867-2060</v>
      </c>
      <c r="O4" s="1008"/>
      <c r="P4" s="1008"/>
    </row>
    <row r="5" spans="1:83" ht="12.95" customHeight="1" thickTop="1" x14ac:dyDescent="0.2">
      <c r="A5" s="1862" t="str">
        <f ca="1">'Job Info.'!D11</f>
        <v>8200 Woolery Way | Fallon, NV 89406 | www.newmill.com</v>
      </c>
      <c r="B5" s="1872"/>
      <c r="C5" s="1872"/>
      <c r="D5" s="1872"/>
      <c r="E5" s="1872"/>
      <c r="F5" s="1872"/>
      <c r="G5" s="1872"/>
      <c r="H5" s="1872"/>
      <c r="I5" s="1872"/>
      <c r="J5" s="1872"/>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24" t="str">
        <f>IF(ISBLANK('Job Info.'!D3),"",'Job Info.'!D3)</f>
        <v>MINDEN UPS BLDG 1</v>
      </c>
      <c r="C9" s="1824"/>
      <c r="D9" s="1824"/>
      <c r="E9" s="1824"/>
      <c r="F9" s="1824"/>
      <c r="G9" s="1824"/>
      <c r="H9" s="1825"/>
      <c r="I9" s="469"/>
      <c r="J9" s="458" t="s">
        <v>2</v>
      </c>
      <c r="K9" s="1824" t="str">
        <f>IF(ISBLANK('Job Info.'!D5),"",'Job Info.'!D5)</f>
        <v>NN22-0071</v>
      </c>
      <c r="L9" s="1874"/>
      <c r="M9" s="1874"/>
      <c r="N9" s="1875"/>
      <c r="O9" s="1056"/>
      <c r="P9" s="1056"/>
      <c r="V9" s="631"/>
    </row>
    <row r="10" spans="1:83" ht="12.6" customHeight="1" x14ac:dyDescent="0.2">
      <c r="A10" s="471" t="s">
        <v>3</v>
      </c>
      <c r="B10" s="1824" t="str">
        <f>IF(ISBLANK('Job Info.'!D4),"",'Job Info.'!D4)</f>
        <v>MINDEN, NV</v>
      </c>
      <c r="C10" s="1824"/>
      <c r="D10" s="1824"/>
      <c r="E10" s="1824"/>
      <c r="F10" s="1824"/>
      <c r="G10" s="1824"/>
      <c r="H10" s="1825"/>
      <c r="I10" s="1873" t="s">
        <v>22</v>
      </c>
      <c r="J10" s="1873"/>
      <c r="K10" s="1824" t="str">
        <f>IF(ISBLANK('Job Info.'!D6),"",'Job Info.'!D6)</f>
        <v>JMM</v>
      </c>
      <c r="L10" s="1825"/>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64" t="s">
        <v>77</v>
      </c>
      <c r="B12" s="1865"/>
      <c r="C12" s="1865"/>
      <c r="D12" s="1865"/>
      <c r="E12" s="1866"/>
      <c r="F12" s="1864" t="s">
        <v>49</v>
      </c>
      <c r="G12" s="1865"/>
      <c r="H12" s="1871"/>
      <c r="I12" s="1864" t="s">
        <v>50</v>
      </c>
      <c r="J12" s="1865"/>
      <c r="K12" s="1871"/>
      <c r="L12" s="1867" t="s">
        <v>51</v>
      </c>
      <c r="M12" s="1880" t="s">
        <v>741</v>
      </c>
      <c r="N12" s="1867" t="s">
        <v>52</v>
      </c>
      <c r="O12" s="1085"/>
      <c r="P12" s="1085"/>
      <c r="AO12" s="548" t="s">
        <v>973</v>
      </c>
      <c r="AP12" s="944" t="s">
        <v>170</v>
      </c>
      <c r="AQ12" s="1876" t="s">
        <v>1208</v>
      </c>
      <c r="AR12" s="1877"/>
      <c r="AS12" s="1877"/>
      <c r="AT12" s="1877"/>
      <c r="AU12" s="1877"/>
      <c r="AV12" s="1877"/>
      <c r="AW12" s="1877"/>
      <c r="AX12" s="1877"/>
      <c r="AY12" s="1877"/>
      <c r="AZ12" s="1878"/>
      <c r="BA12" s="1878"/>
      <c r="BB12" s="1878"/>
      <c r="BC12" s="1879"/>
      <c r="BE12" s="1530"/>
    </row>
    <row r="13" spans="1:83" s="478" customFormat="1" ht="14.1" customHeight="1" x14ac:dyDescent="0.2">
      <c r="A13" s="1049" t="s">
        <v>46</v>
      </c>
      <c r="B13" s="1050" t="s">
        <v>17</v>
      </c>
      <c r="C13" s="1050" t="s">
        <v>45</v>
      </c>
      <c r="D13" s="1050" t="s">
        <v>78</v>
      </c>
      <c r="E13" s="1326" t="s">
        <v>44</v>
      </c>
      <c r="F13" s="1049" t="s">
        <v>47</v>
      </c>
      <c r="G13" s="1869" t="s">
        <v>48</v>
      </c>
      <c r="H13" s="1870"/>
      <c r="I13" s="1049" t="s">
        <v>47</v>
      </c>
      <c r="J13" s="1869" t="s">
        <v>48</v>
      </c>
      <c r="K13" s="1870"/>
      <c r="L13" s="1868"/>
      <c r="M13" s="1881"/>
      <c r="N13" s="1882"/>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c r="C14" s="1504"/>
      <c r="D14" s="1504"/>
      <c r="E14" s="1687"/>
      <c r="F14" s="1505"/>
      <c r="G14" s="1506"/>
      <c r="H14" s="1507"/>
      <c r="I14" s="1505"/>
      <c r="J14" s="1506"/>
      <c r="K14" s="1507"/>
      <c r="L14" s="1508"/>
      <c r="M14" s="1509"/>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c r="C15" s="1511"/>
      <c r="D15" s="1511"/>
      <c r="E15" s="1512"/>
      <c r="F15" s="1513"/>
      <c r="G15" s="1514"/>
      <c r="H15" s="1515"/>
      <c r="I15" s="1513"/>
      <c r="J15" s="1514"/>
      <c r="K15" s="1515"/>
      <c r="L15" s="1516"/>
      <c r="M15" s="1517"/>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c r="C16" s="1511"/>
      <c r="D16" s="1511"/>
      <c r="E16" s="1512"/>
      <c r="F16" s="1513"/>
      <c r="G16" s="1514"/>
      <c r="H16" s="1515"/>
      <c r="I16" s="1513"/>
      <c r="J16" s="1514"/>
      <c r="K16" s="1515"/>
      <c r="L16" s="1516"/>
      <c r="M16" s="1517"/>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c r="C17" s="1511"/>
      <c r="D17" s="1511"/>
      <c r="E17" s="1512"/>
      <c r="F17" s="1513"/>
      <c r="G17" s="1514"/>
      <c r="H17" s="1515"/>
      <c r="I17" s="1513"/>
      <c r="J17" s="1514"/>
      <c r="K17" s="1515"/>
      <c r="L17" s="1516"/>
      <c r="M17" s="1517"/>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c r="C18" s="1511"/>
      <c r="D18" s="1511"/>
      <c r="E18" s="1512"/>
      <c r="F18" s="1513"/>
      <c r="G18" s="1514"/>
      <c r="H18" s="1515"/>
      <c r="I18" s="1513"/>
      <c r="J18" s="1514"/>
      <c r="K18" s="1515"/>
      <c r="L18" s="1516"/>
      <c r="M18" s="1517"/>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c r="C19" s="1511"/>
      <c r="D19" s="1511"/>
      <c r="E19" s="1512"/>
      <c r="F19" s="1513"/>
      <c r="G19" s="1514"/>
      <c r="H19" s="1515"/>
      <c r="I19" s="1513"/>
      <c r="J19" s="1514"/>
      <c r="K19" s="1515"/>
      <c r="L19" s="1516"/>
      <c r="M19" s="1517"/>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c r="C20" s="1511"/>
      <c r="D20" s="1511"/>
      <c r="E20" s="1512"/>
      <c r="F20" s="1513"/>
      <c r="G20" s="1514"/>
      <c r="H20" s="1515"/>
      <c r="I20" s="1513"/>
      <c r="J20" s="1514"/>
      <c r="K20" s="1515"/>
      <c r="L20" s="1516"/>
      <c r="M20" s="1517"/>
      <c r="N20" s="1518"/>
      <c r="O20" s="1645"/>
      <c r="P20" s="245" t="b">
        <f t="shared" si="3"/>
        <v>0</v>
      </c>
      <c r="R20" s="245" t="b">
        <f t="shared" si="1"/>
        <v>0</v>
      </c>
      <c r="AO20" s="238" t="str">
        <f t="shared" si="2"/>
        <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c r="C21" s="1511"/>
      <c r="D21" s="1511"/>
      <c r="E21" s="1512"/>
      <c r="F21" s="1513"/>
      <c r="G21" s="1514"/>
      <c r="H21" s="1515"/>
      <c r="I21" s="1513"/>
      <c r="J21" s="1514"/>
      <c r="K21" s="1515"/>
      <c r="L21" s="1516"/>
      <c r="M21" s="1517"/>
      <c r="N21" s="1518"/>
      <c r="O21" s="1645"/>
      <c r="P21" s="245" t="b">
        <f t="shared" si="3"/>
        <v>0</v>
      </c>
      <c r="R21" s="245" t="b">
        <f t="shared" si="1"/>
        <v>0</v>
      </c>
      <c r="AO21" s="238" t="str">
        <f t="shared" si="2"/>
        <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c r="C22" s="1511"/>
      <c r="D22" s="1511"/>
      <c r="E22" s="1512"/>
      <c r="F22" s="1513"/>
      <c r="G22" s="1514"/>
      <c r="H22" s="1515"/>
      <c r="I22" s="1513"/>
      <c r="J22" s="1514"/>
      <c r="K22" s="1515"/>
      <c r="L22" s="1516"/>
      <c r="M22" s="1517"/>
      <c r="N22" s="1518"/>
      <c r="O22" s="1645"/>
      <c r="P22" s="245" t="b">
        <f t="shared" si="3"/>
        <v>0</v>
      </c>
      <c r="R22" s="245" t="b">
        <f t="shared" si="1"/>
        <v>0</v>
      </c>
      <c r="AO22" s="238" t="str">
        <f t="shared" si="2"/>
        <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c r="C23" s="1511"/>
      <c r="D23" s="1511"/>
      <c r="E23" s="1512"/>
      <c r="F23" s="1513"/>
      <c r="G23" s="1514"/>
      <c r="H23" s="1515"/>
      <c r="I23" s="1513"/>
      <c r="J23" s="1514"/>
      <c r="K23" s="1515"/>
      <c r="L23" s="1516"/>
      <c r="M23" s="1517"/>
      <c r="N23" s="1518"/>
      <c r="O23" s="1645"/>
      <c r="P23" s="245" t="b">
        <f t="shared" si="3"/>
        <v>0</v>
      </c>
      <c r="R23" s="245" t="b">
        <f t="shared" si="1"/>
        <v>0</v>
      </c>
      <c r="AO23" s="238" t="str">
        <f t="shared" si="2"/>
        <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c r="C24" s="1511"/>
      <c r="D24" s="1511"/>
      <c r="E24" s="1512"/>
      <c r="F24" s="1513"/>
      <c r="G24" s="1514"/>
      <c r="H24" s="1515"/>
      <c r="I24" s="1513"/>
      <c r="J24" s="1514"/>
      <c r="K24" s="1515"/>
      <c r="L24" s="1516"/>
      <c r="M24" s="1517"/>
      <c r="N24" s="1518"/>
      <c r="O24" s="1645"/>
      <c r="P24" s="245" t="b">
        <f t="shared" si="3"/>
        <v>0</v>
      </c>
      <c r="R24" s="245" t="b">
        <f t="shared" si="1"/>
        <v>0</v>
      </c>
      <c r="AO24" s="238" t="str">
        <f t="shared" si="2"/>
        <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c r="C25" s="1511"/>
      <c r="D25" s="1511"/>
      <c r="E25" s="1512"/>
      <c r="F25" s="1513"/>
      <c r="G25" s="1514"/>
      <c r="H25" s="1515"/>
      <c r="I25" s="1513"/>
      <c r="J25" s="1514"/>
      <c r="K25" s="1515"/>
      <c r="L25" s="1516"/>
      <c r="M25" s="1517"/>
      <c r="N25" s="1518"/>
      <c r="O25" s="1645"/>
      <c r="P25" s="245" t="b">
        <f t="shared" si="3"/>
        <v>0</v>
      </c>
      <c r="R25" s="245" t="b">
        <f t="shared" si="1"/>
        <v>0</v>
      </c>
      <c r="AO25" s="238" t="str">
        <f t="shared" si="2"/>
        <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c r="C26" s="1511"/>
      <c r="D26" s="1511"/>
      <c r="E26" s="1512"/>
      <c r="F26" s="1513"/>
      <c r="G26" s="1514"/>
      <c r="H26" s="1515"/>
      <c r="I26" s="1513"/>
      <c r="J26" s="1514"/>
      <c r="K26" s="1515"/>
      <c r="L26" s="1516"/>
      <c r="M26" s="1517"/>
      <c r="N26" s="1518"/>
      <c r="O26" s="1645"/>
      <c r="P26" s="245" t="b">
        <f t="shared" si="3"/>
        <v>0</v>
      </c>
      <c r="R26" s="245" t="b">
        <f t="shared" si="1"/>
        <v>0</v>
      </c>
      <c r="AO26" s="238" t="str">
        <f t="shared" si="2"/>
        <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c r="C27" s="1511"/>
      <c r="D27" s="1511"/>
      <c r="E27" s="1512"/>
      <c r="F27" s="1513"/>
      <c r="G27" s="1514"/>
      <c r="H27" s="1515"/>
      <c r="I27" s="1513"/>
      <c r="J27" s="1514"/>
      <c r="K27" s="1515"/>
      <c r="L27" s="1516"/>
      <c r="M27" s="1517"/>
      <c r="N27" s="1518"/>
      <c r="O27" s="1645"/>
      <c r="P27" s="245" t="b">
        <f t="shared" si="3"/>
        <v>0</v>
      </c>
      <c r="R27" s="245" t="b">
        <f t="shared" si="1"/>
        <v>0</v>
      </c>
      <c r="AO27" s="238" t="str">
        <f t="shared" si="2"/>
        <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c r="C28" s="1511"/>
      <c r="D28" s="1511"/>
      <c r="E28" s="1512"/>
      <c r="F28" s="1513"/>
      <c r="G28" s="1514"/>
      <c r="H28" s="1515"/>
      <c r="I28" s="1513"/>
      <c r="J28" s="1514"/>
      <c r="K28" s="1515"/>
      <c r="L28" s="1516"/>
      <c r="M28" s="1517"/>
      <c r="N28" s="1689"/>
      <c r="O28" s="1644"/>
      <c r="P28" s="245" t="b">
        <f t="shared" si="3"/>
        <v>0</v>
      </c>
      <c r="R28" s="245" t="b">
        <f t="shared" si="1"/>
        <v>0</v>
      </c>
      <c r="AO28" s="238" t="str">
        <f t="shared" si="2"/>
        <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c r="C29" s="1511"/>
      <c r="D29" s="1511"/>
      <c r="E29" s="1512"/>
      <c r="F29" s="1513"/>
      <c r="G29" s="1514"/>
      <c r="H29" s="1515"/>
      <c r="I29" s="1513"/>
      <c r="J29" s="1514"/>
      <c r="K29" s="1515"/>
      <c r="L29" s="1516"/>
      <c r="M29" s="1517"/>
      <c r="N29" s="1689"/>
      <c r="O29" s="1644"/>
      <c r="P29" s="245" t="b">
        <f t="shared" si="3"/>
        <v>0</v>
      </c>
      <c r="R29" s="245" t="b">
        <f t="shared" si="1"/>
        <v>0</v>
      </c>
      <c r="AO29" s="238" t="str">
        <f t="shared" si="2"/>
        <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c r="C30" s="1511"/>
      <c r="D30" s="1511"/>
      <c r="E30" s="1512"/>
      <c r="F30" s="1513"/>
      <c r="G30" s="1514"/>
      <c r="H30" s="1515"/>
      <c r="I30" s="1513"/>
      <c r="J30" s="1514"/>
      <c r="K30" s="1515"/>
      <c r="L30" s="1516"/>
      <c r="M30" s="1517"/>
      <c r="N30" s="1689" t="s">
        <v>116</v>
      </c>
      <c r="O30" s="1644"/>
      <c r="P30" s="245" t="b">
        <f t="shared" si="3"/>
        <v>0</v>
      </c>
      <c r="R30" s="245" t="b">
        <f t="shared" si="1"/>
        <v>0</v>
      </c>
      <c r="AO30" s="238" t="str">
        <f t="shared" si="2"/>
        <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c r="C31" s="1511"/>
      <c r="D31" s="1511"/>
      <c r="E31" s="1512"/>
      <c r="F31" s="1513"/>
      <c r="G31" s="1514"/>
      <c r="H31" s="1515"/>
      <c r="I31" s="1513"/>
      <c r="J31" s="1514"/>
      <c r="K31" s="1515"/>
      <c r="L31" s="1516"/>
      <c r="M31" s="1516"/>
      <c r="N31" s="1689" t="s">
        <v>116</v>
      </c>
      <c r="O31" s="1644"/>
      <c r="P31" s="245" t="b">
        <f t="shared" si="3"/>
        <v>0</v>
      </c>
      <c r="R31" s="245" t="b">
        <f t="shared" si="1"/>
        <v>0</v>
      </c>
      <c r="AO31" s="238" t="str">
        <f t="shared" si="2"/>
        <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c r="C32" s="1511"/>
      <c r="D32" s="1511"/>
      <c r="E32" s="1512"/>
      <c r="F32" s="1513"/>
      <c r="G32" s="1514"/>
      <c r="H32" s="1515"/>
      <c r="I32" s="1513"/>
      <c r="J32" s="1514"/>
      <c r="K32" s="1515"/>
      <c r="L32" s="1516"/>
      <c r="M32" s="1516"/>
      <c r="N32" s="1689" t="s">
        <v>116</v>
      </c>
      <c r="O32" s="1644"/>
      <c r="P32" s="245" t="b">
        <f t="shared" si="3"/>
        <v>0</v>
      </c>
      <c r="R32" s="245" t="b">
        <f t="shared" si="1"/>
        <v>0</v>
      </c>
      <c r="AO32" s="238" t="str">
        <f t="shared" si="2"/>
        <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c r="C33" s="1511"/>
      <c r="D33" s="1511"/>
      <c r="E33" s="1512"/>
      <c r="F33" s="1513"/>
      <c r="G33" s="1514"/>
      <c r="H33" s="1515"/>
      <c r="I33" s="1513"/>
      <c r="J33" s="1514"/>
      <c r="K33" s="1515"/>
      <c r="L33" s="1516"/>
      <c r="M33" s="1516"/>
      <c r="N33" s="1689" t="s">
        <v>116</v>
      </c>
      <c r="O33" s="1644"/>
      <c r="P33" s="245" t="b">
        <f t="shared" si="3"/>
        <v>0</v>
      </c>
      <c r="R33" s="245" t="b">
        <f t="shared" si="1"/>
        <v>0</v>
      </c>
      <c r="AO33" s="238" t="str">
        <f t="shared" si="2"/>
        <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c r="C34" s="1511"/>
      <c r="D34" s="1511"/>
      <c r="E34" s="1512"/>
      <c r="F34" s="1513"/>
      <c r="G34" s="1514"/>
      <c r="H34" s="1515"/>
      <c r="I34" s="1513"/>
      <c r="J34" s="1514"/>
      <c r="K34" s="1515"/>
      <c r="L34" s="1516"/>
      <c r="M34" s="1516"/>
      <c r="N34" s="1689" t="s">
        <v>116</v>
      </c>
      <c r="O34" s="1644"/>
      <c r="P34" s="245" t="b">
        <f t="shared" si="3"/>
        <v>0</v>
      </c>
      <c r="R34" s="245" t="b">
        <f t="shared" si="1"/>
        <v>0</v>
      </c>
      <c r="AO34" s="238" t="str">
        <f t="shared" si="2"/>
        <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c r="C35" s="1511"/>
      <c r="D35" s="1511"/>
      <c r="E35" s="1512"/>
      <c r="F35" s="1513"/>
      <c r="G35" s="1514"/>
      <c r="H35" s="1515"/>
      <c r="I35" s="1513"/>
      <c r="J35" s="1514"/>
      <c r="K35" s="1515"/>
      <c r="L35" s="1516"/>
      <c r="M35" s="1516"/>
      <c r="N35" s="1689" t="s">
        <v>116</v>
      </c>
      <c r="O35" s="1644"/>
      <c r="P35" s="245" t="b">
        <f t="shared" si="3"/>
        <v>0</v>
      </c>
      <c r="R35" s="245" t="b">
        <f t="shared" si="1"/>
        <v>0</v>
      </c>
      <c r="AO35" s="238" t="str">
        <f t="shared" si="2"/>
        <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c r="C36" s="1511"/>
      <c r="D36" s="1511"/>
      <c r="E36" s="1512"/>
      <c r="F36" s="1513"/>
      <c r="G36" s="1514"/>
      <c r="H36" s="1515"/>
      <c r="I36" s="1513"/>
      <c r="J36" s="1514"/>
      <c r="K36" s="1515"/>
      <c r="L36" s="1516"/>
      <c r="M36" s="1516"/>
      <c r="N36" s="1689" t="s">
        <v>116</v>
      </c>
      <c r="O36" s="1644"/>
      <c r="P36" s="245" t="b">
        <f t="shared" si="3"/>
        <v>0</v>
      </c>
      <c r="R36" s="245" t="b">
        <f t="shared" si="1"/>
        <v>0</v>
      </c>
      <c r="AO36" s="238" t="str">
        <f t="shared" si="2"/>
        <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c r="C37" s="1511"/>
      <c r="D37" s="1511"/>
      <c r="E37" s="1512"/>
      <c r="F37" s="1513"/>
      <c r="G37" s="1514"/>
      <c r="H37" s="1515"/>
      <c r="I37" s="1513"/>
      <c r="J37" s="1514"/>
      <c r="K37" s="1515"/>
      <c r="L37" s="1516"/>
      <c r="M37" s="1516"/>
      <c r="N37" s="1689" t="s">
        <v>116</v>
      </c>
      <c r="O37" s="1644"/>
      <c r="P37" s="245" t="b">
        <f t="shared" si="3"/>
        <v>0</v>
      </c>
      <c r="R37" s="245" t="b">
        <f t="shared" si="1"/>
        <v>0</v>
      </c>
      <c r="AO37" s="238" t="str">
        <f t="shared" si="2"/>
        <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c r="C38" s="1511"/>
      <c r="D38" s="1511"/>
      <c r="E38" s="1512"/>
      <c r="F38" s="1513"/>
      <c r="G38" s="1514"/>
      <c r="H38" s="1515"/>
      <c r="I38" s="1513"/>
      <c r="J38" s="1514"/>
      <c r="K38" s="1515"/>
      <c r="L38" s="1516"/>
      <c r="M38" s="1516"/>
      <c r="N38" s="1689" t="s">
        <v>116</v>
      </c>
      <c r="O38" s="1644"/>
      <c r="P38" s="245" t="b">
        <f t="shared" si="3"/>
        <v>0</v>
      </c>
      <c r="R38" s="245" t="b">
        <f t="shared" si="1"/>
        <v>0</v>
      </c>
      <c r="AO38" s="238" t="str">
        <f t="shared" si="2"/>
        <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c r="C39" s="1511"/>
      <c r="D39" s="1511"/>
      <c r="E39" s="1512"/>
      <c r="F39" s="1513"/>
      <c r="G39" s="1514"/>
      <c r="H39" s="1515"/>
      <c r="I39" s="1513"/>
      <c r="J39" s="1514"/>
      <c r="K39" s="1515"/>
      <c r="L39" s="1516"/>
      <c r="M39" s="1516"/>
      <c r="N39" s="1689" t="s">
        <v>116</v>
      </c>
      <c r="O39" s="1644"/>
      <c r="P39" s="245" t="b">
        <f t="shared" si="3"/>
        <v>0</v>
      </c>
      <c r="R39" s="245" t="b">
        <f t="shared" si="1"/>
        <v>0</v>
      </c>
      <c r="AO39" s="238" t="str">
        <f t="shared" si="2"/>
        <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c r="C40" s="1511"/>
      <c r="D40" s="1511"/>
      <c r="E40" s="1512"/>
      <c r="F40" s="1513"/>
      <c r="G40" s="1514"/>
      <c r="H40" s="1515"/>
      <c r="I40" s="1513"/>
      <c r="J40" s="1514"/>
      <c r="K40" s="1515"/>
      <c r="L40" s="1516"/>
      <c r="M40" s="1516"/>
      <c r="N40" s="1689" t="s">
        <v>116</v>
      </c>
      <c r="O40" s="1644"/>
      <c r="P40" s="245" t="b">
        <f t="shared" si="3"/>
        <v>0</v>
      </c>
      <c r="R40" s="245" t="b">
        <f t="shared" si="1"/>
        <v>0</v>
      </c>
      <c r="AO40" s="238" t="str">
        <f t="shared" si="2"/>
        <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c r="C41" s="1511"/>
      <c r="D41" s="1511"/>
      <c r="E41" s="1512"/>
      <c r="F41" s="1513"/>
      <c r="G41" s="1514"/>
      <c r="H41" s="1515"/>
      <c r="I41" s="1513"/>
      <c r="J41" s="1514"/>
      <c r="K41" s="1515"/>
      <c r="L41" s="1516"/>
      <c r="M41" s="1516"/>
      <c r="N41" s="1689" t="s">
        <v>116</v>
      </c>
      <c r="O41" s="1644"/>
      <c r="P41" s="245" t="b">
        <f t="shared" si="3"/>
        <v>0</v>
      </c>
      <c r="R41" s="245" t="b">
        <f t="shared" si="1"/>
        <v>0</v>
      </c>
      <c r="AO41" s="238" t="str">
        <f t="shared" si="2"/>
        <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c r="C42" s="1511"/>
      <c r="D42" s="1511"/>
      <c r="E42" s="1512"/>
      <c r="F42" s="1513"/>
      <c r="G42" s="1514"/>
      <c r="H42" s="1515"/>
      <c r="I42" s="1513"/>
      <c r="J42" s="1514"/>
      <c r="K42" s="1515"/>
      <c r="L42" s="1516"/>
      <c r="M42" s="1516"/>
      <c r="N42" s="1689" t="s">
        <v>116</v>
      </c>
      <c r="O42" s="1644"/>
      <c r="P42" s="245" t="b">
        <f t="shared" si="3"/>
        <v>0</v>
      </c>
      <c r="R42" s="245" t="b">
        <f t="shared" si="1"/>
        <v>0</v>
      </c>
      <c r="AO42" s="238" t="str">
        <f t="shared" si="2"/>
        <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c r="C43" s="1511"/>
      <c r="D43" s="1511"/>
      <c r="E43" s="1512"/>
      <c r="F43" s="1513"/>
      <c r="G43" s="1514"/>
      <c r="H43" s="1515"/>
      <c r="I43" s="1513"/>
      <c r="J43" s="1514"/>
      <c r="K43" s="1515"/>
      <c r="L43" s="1516"/>
      <c r="M43" s="1516"/>
      <c r="N43" s="1689" t="s">
        <v>116</v>
      </c>
      <c r="O43" s="1644"/>
      <c r="P43" s="245" t="b">
        <f t="shared" si="3"/>
        <v>0</v>
      </c>
      <c r="R43" s="245" t="b">
        <f t="shared" si="1"/>
        <v>0</v>
      </c>
      <c r="AO43" s="238" t="str">
        <f t="shared" si="2"/>
        <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c r="C44" s="1511"/>
      <c r="D44" s="1511"/>
      <c r="E44" s="1512"/>
      <c r="F44" s="1513"/>
      <c r="G44" s="1514"/>
      <c r="H44" s="1515"/>
      <c r="I44" s="1513"/>
      <c r="J44" s="1514"/>
      <c r="K44" s="1515"/>
      <c r="L44" s="1516"/>
      <c r="M44" s="1516"/>
      <c r="N44" s="1689" t="s">
        <v>116</v>
      </c>
      <c r="O44" s="1644"/>
      <c r="P44" s="245" t="b">
        <f t="shared" si="3"/>
        <v>0</v>
      </c>
      <c r="R44" s="245" t="b">
        <f t="shared" si="1"/>
        <v>0</v>
      </c>
      <c r="AO44" s="238" t="str">
        <f t="shared" si="2"/>
        <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c r="C45" s="1511"/>
      <c r="D45" s="1511"/>
      <c r="E45" s="1512"/>
      <c r="F45" s="1513"/>
      <c r="G45" s="1514"/>
      <c r="H45" s="1515"/>
      <c r="I45" s="1513"/>
      <c r="J45" s="1514"/>
      <c r="K45" s="1515"/>
      <c r="L45" s="1516"/>
      <c r="M45" s="1516"/>
      <c r="N45" s="1689" t="s">
        <v>116</v>
      </c>
      <c r="O45" s="1644"/>
      <c r="P45" s="245" t="b">
        <f t="shared" si="3"/>
        <v>0</v>
      </c>
      <c r="R45" s="245" t="b">
        <f t="shared" si="1"/>
        <v>0</v>
      </c>
      <c r="AO45" s="238" t="str">
        <f t="shared" si="2"/>
        <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c r="C46" s="1511"/>
      <c r="D46" s="1511"/>
      <c r="E46" s="1512"/>
      <c r="F46" s="1513"/>
      <c r="G46" s="1514"/>
      <c r="H46" s="1515"/>
      <c r="I46" s="1513"/>
      <c r="J46" s="1514"/>
      <c r="K46" s="1515"/>
      <c r="L46" s="1516"/>
      <c r="M46" s="1516"/>
      <c r="N46" s="1689" t="s">
        <v>116</v>
      </c>
      <c r="O46" s="1644"/>
      <c r="P46" s="245" t="b">
        <f t="shared" si="3"/>
        <v>0</v>
      </c>
      <c r="R46" s="245" t="b">
        <f t="shared" si="1"/>
        <v>0</v>
      </c>
      <c r="AO46" s="238" t="str">
        <f t="shared" si="2"/>
        <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c r="C47" s="1511"/>
      <c r="D47" s="1511"/>
      <c r="E47" s="1512"/>
      <c r="F47" s="1513"/>
      <c r="G47" s="1514"/>
      <c r="H47" s="1515"/>
      <c r="I47" s="1513"/>
      <c r="J47" s="1514"/>
      <c r="K47" s="1515"/>
      <c r="L47" s="1516"/>
      <c r="M47" s="1516"/>
      <c r="N47" s="1689" t="s">
        <v>116</v>
      </c>
      <c r="O47" s="1644"/>
      <c r="P47" s="245" t="b">
        <f t="shared" si="3"/>
        <v>0</v>
      </c>
      <c r="R47" s="245" t="b">
        <f t="shared" si="1"/>
        <v>0</v>
      </c>
      <c r="AO47" s="238" t="str">
        <f t="shared" si="2"/>
        <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c r="C48" s="1511"/>
      <c r="D48" s="1511"/>
      <c r="E48" s="1512"/>
      <c r="F48" s="1513"/>
      <c r="G48" s="1514"/>
      <c r="H48" s="1515"/>
      <c r="I48" s="1513"/>
      <c r="J48" s="1514"/>
      <c r="K48" s="1515"/>
      <c r="L48" s="1516"/>
      <c r="M48" s="1516"/>
      <c r="N48" s="1689" t="s">
        <v>116</v>
      </c>
      <c r="O48" s="1644"/>
      <c r="P48" s="245" t="b">
        <f t="shared" si="3"/>
        <v>0</v>
      </c>
      <c r="R48" s="245" t="b">
        <f t="shared" si="1"/>
        <v>0</v>
      </c>
      <c r="AO48" s="238" t="str">
        <f t="shared" si="2"/>
        <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c r="C49" s="1511"/>
      <c r="D49" s="1511"/>
      <c r="E49" s="1512"/>
      <c r="F49" s="1513"/>
      <c r="G49" s="1514"/>
      <c r="H49" s="1515"/>
      <c r="I49" s="1513"/>
      <c r="J49" s="1514"/>
      <c r="K49" s="1515"/>
      <c r="L49" s="1516"/>
      <c r="M49" s="1516"/>
      <c r="N49" s="1689" t="s">
        <v>116</v>
      </c>
      <c r="O49" s="1644"/>
      <c r="P49" s="245" t="b">
        <f t="shared" si="3"/>
        <v>0</v>
      </c>
      <c r="R49" s="245" t="b">
        <f t="shared" si="1"/>
        <v>0</v>
      </c>
      <c r="AO49" s="238" t="str">
        <f t="shared" si="2"/>
        <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c r="C50" s="1511"/>
      <c r="D50" s="1511"/>
      <c r="E50" s="1512"/>
      <c r="F50" s="1513"/>
      <c r="G50" s="1514"/>
      <c r="H50" s="1515"/>
      <c r="I50" s="1513"/>
      <c r="J50" s="1514"/>
      <c r="K50" s="1515"/>
      <c r="L50" s="1516"/>
      <c r="M50" s="1516"/>
      <c r="N50" s="1689" t="s">
        <v>116</v>
      </c>
      <c r="O50" s="1644"/>
      <c r="P50" s="245" t="b">
        <f t="shared" si="3"/>
        <v>0</v>
      </c>
      <c r="R50" s="245" t="b">
        <f t="shared" si="1"/>
        <v>0</v>
      </c>
      <c r="AO50" s="238" t="str">
        <f t="shared" si="2"/>
        <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c r="C51" s="1511"/>
      <c r="D51" s="1511"/>
      <c r="E51" s="1512"/>
      <c r="F51" s="1513"/>
      <c r="G51" s="1514"/>
      <c r="H51" s="1515"/>
      <c r="I51" s="1513"/>
      <c r="J51" s="1514"/>
      <c r="K51" s="1515"/>
      <c r="L51" s="1516"/>
      <c r="M51" s="1516"/>
      <c r="N51" s="1689" t="s">
        <v>116</v>
      </c>
      <c r="O51" s="1644"/>
      <c r="P51" s="245" t="b">
        <f t="shared" si="3"/>
        <v>0</v>
      </c>
      <c r="R51" s="245" t="b">
        <f t="shared" si="1"/>
        <v>0</v>
      </c>
      <c r="AO51" s="238" t="str">
        <f t="shared" si="2"/>
        <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c r="C52" s="1511"/>
      <c r="D52" s="1511"/>
      <c r="E52" s="1512"/>
      <c r="F52" s="1513"/>
      <c r="G52" s="1514"/>
      <c r="H52" s="1515"/>
      <c r="I52" s="1513"/>
      <c r="J52" s="1514"/>
      <c r="K52" s="1515"/>
      <c r="L52" s="1516"/>
      <c r="M52" s="1516"/>
      <c r="N52" s="1689" t="s">
        <v>116</v>
      </c>
      <c r="O52" s="1644"/>
      <c r="P52" s="245" t="b">
        <f t="shared" si="3"/>
        <v>0</v>
      </c>
      <c r="R52" s="245" t="b">
        <f t="shared" si="1"/>
        <v>0</v>
      </c>
      <c r="AO52" s="238" t="str">
        <f t="shared" si="2"/>
        <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c r="C53" s="1511"/>
      <c r="D53" s="1511"/>
      <c r="E53" s="1512"/>
      <c r="F53" s="1513"/>
      <c r="G53" s="1514"/>
      <c r="H53" s="1515"/>
      <c r="I53" s="1513"/>
      <c r="J53" s="1514"/>
      <c r="K53" s="1515"/>
      <c r="L53" s="1516"/>
      <c r="M53" s="1516"/>
      <c r="N53" s="1689" t="s">
        <v>116</v>
      </c>
      <c r="O53" s="1644"/>
      <c r="P53" s="245" t="b">
        <f t="shared" si="3"/>
        <v>0</v>
      </c>
      <c r="R53" s="245" t="b">
        <f t="shared" si="1"/>
        <v>0</v>
      </c>
      <c r="AO53" s="238" t="str">
        <f t="shared" si="2"/>
        <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c r="C54" s="1511"/>
      <c r="D54" s="1511"/>
      <c r="E54" s="1512"/>
      <c r="F54" s="1513"/>
      <c r="G54" s="1514"/>
      <c r="H54" s="1515"/>
      <c r="I54" s="1513"/>
      <c r="J54" s="1514"/>
      <c r="K54" s="1515"/>
      <c r="L54" s="1516"/>
      <c r="M54" s="1516"/>
      <c r="N54" s="1689" t="s">
        <v>116</v>
      </c>
      <c r="O54" s="1644"/>
      <c r="P54" s="245" t="b">
        <f t="shared" si="3"/>
        <v>0</v>
      </c>
      <c r="R54" s="245" t="b">
        <f t="shared" si="1"/>
        <v>0</v>
      </c>
      <c r="AO54" s="238" t="str">
        <f t="shared" si="2"/>
        <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c r="C55" s="1520"/>
      <c r="D55" s="1520"/>
      <c r="E55" s="1521"/>
      <c r="F55" s="1522"/>
      <c r="G55" s="1523"/>
      <c r="H55" s="1524"/>
      <c r="I55" s="1522"/>
      <c r="J55" s="1523"/>
      <c r="K55" s="1524"/>
      <c r="L55" s="1525"/>
      <c r="M55" s="1525"/>
      <c r="N55" s="1690"/>
      <c r="O55" s="1644"/>
      <c r="P55" s="245" t="b">
        <f t="shared" si="3"/>
        <v>0</v>
      </c>
      <c r="R55" s="245" t="b">
        <f t="shared" si="1"/>
        <v>0</v>
      </c>
      <c r="AO55" s="238" t="str">
        <f t="shared" si="2"/>
        <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AQ12:BC12"/>
    <mergeCell ref="J13:K13"/>
    <mergeCell ref="I12:K12"/>
    <mergeCell ref="M12:M13"/>
    <mergeCell ref="N12:N13"/>
    <mergeCell ref="I1:K1"/>
    <mergeCell ref="I2:K3"/>
    <mergeCell ref="I4:K4"/>
    <mergeCell ref="A5:J5"/>
    <mergeCell ref="K10:L10"/>
    <mergeCell ref="I10:J10"/>
    <mergeCell ref="K9:N9"/>
    <mergeCell ref="A12:E12"/>
    <mergeCell ref="B9:H9"/>
    <mergeCell ref="B10:H10"/>
    <mergeCell ref="L12:L13"/>
    <mergeCell ref="G13:H13"/>
    <mergeCell ref="F12:H12"/>
  </mergeCells>
  <phoneticPr fontId="0" type="noConversion"/>
  <conditionalFormatting sqref="F14:F55">
    <cfRule type="expression" dxfId="1028" priority="14" stopIfTrue="1">
      <formula>AND($B14="NU",F14&lt;0)</formula>
    </cfRule>
  </conditionalFormatting>
  <conditionalFormatting sqref="B14:B55">
    <cfRule type="expression" dxfId="1027" priority="15" stopIfTrue="1">
      <formula>OR(AND($B14="NU",F14&lt;0),AND($B14="NU",I14&lt;0))</formula>
    </cfRule>
  </conditionalFormatting>
  <conditionalFormatting sqref="G14:H55 J14:L55">
    <cfRule type="expression" dxfId="1026" priority="16" stopIfTrue="1">
      <formula>$R14</formula>
    </cfRule>
  </conditionalFormatting>
  <conditionalFormatting sqref="I2:K4">
    <cfRule type="cellIs" dxfId="1025" priority="18" stopIfTrue="1" operator="equal">
      <formula>""</formula>
    </cfRule>
  </conditionalFormatting>
  <conditionalFormatting sqref="I14:I55">
    <cfRule type="expression" dxfId="1024" priority="272" stopIfTrue="1">
      <formula>OR($R14,$B14="CZ",AND($B14="NU",I14&lt;0))</formula>
    </cfRule>
  </conditionalFormatting>
  <conditionalFormatting sqref="A14:A55">
    <cfRule type="expression" dxfId="1023" priority="7">
      <formula>NOT($P14)</formula>
    </cfRule>
  </conditionalFormatting>
  <conditionalFormatting sqref="B14:D55">
    <cfRule type="expression" dxfId="1022"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021" priority="2001">
      <formula>AND(NOT($P14),$T$1)</formula>
    </cfRule>
    <cfRule type="expression" dxfId="1020" priority="2002">
      <formula>AND($AP14,$S$1="M")</formula>
    </cfRule>
  </conditionalFormatting>
  <conditionalFormatting sqref="L14:L55">
    <cfRule type="expression" dxfId="1019" priority="1" stopIfTrue="1">
      <formula>AND(ISBLANK(L14),OR(NOT(ISBLANK(G14)),NOT(ISBLANK(H14)),NOT(ISBLANK(J14)),NOT(ISBLANK(K14))))</formula>
    </cfRule>
  </conditionalFormatting>
  <dataValidations count="6">
    <dataValidation allowBlank="1" showInputMessage="1" errorTitle="Invalid Load Case" error="You MUST use a Load Case from the list provided." sqref="M14:M55" xr:uid="{00000000-0002-0000-0600-000002000000}"/>
    <dataValidation type="list" allowBlank="1" showErrorMessage="1" errorTitle="Invalid Type" error="You MUST select a Type from the dropdown list provided._x000a__x000a_Also, make sure your Cap Lock is turned on." sqref="B14:B55" xr:uid="{00000000-0002-0000-0600-000000000000}">
      <formula1>$BF$15:$BU$15</formula1>
    </dataValidation>
    <dataValidation type="list" allowBlank="1" showErrorMessage="1" errorTitle="Invalid Reference Location" error="You MUST select a Reference Location from the dropdown list provided._x000a__x000a_Also, make sure your Cap Lock is turned on." sqref="L14:L55" xr:uid="{00000000-0002-0000-0600-000001000000}">
      <formula1>IF($CA$14,$CA$16:$CA$21,$CB$16:$CB$19)</formula1>
    </dataValidation>
    <dataValidation type="list" allowBlank="1" showErrorMessage="1" errorTitle="Invalid Position" error="You MUST select a Position from the dropdown list provided._x000a__x000a_Also, make sure your Cap Lock is turned on." sqref="D14:D55" xr:uid="{00000000-0002-0000-0600-000003000000}">
      <formula1>OFFSET($BW$16,0,OFFSET($BF$14,0,MATCH($B14,Type,0)-1),OFFSET($BW$30,0, OFFSET($BF$14,0,MATCH($B14,Type,0)-1)))</formula1>
    </dataValidation>
    <dataValidation type="list" allowBlank="1" showErrorMessage="1" errorTitle="Invalid Category" error="You MUST select a Category from the dropdown list provided._x000a__x000a_Also, make sure your Cap Lock is turned on." sqref="C15:C55" xr:uid="{00000000-0002-0000-0600-000004000000}">
      <formula1>OFFSET($BF$16,0,MATCH($B15,Type,0)-1,OFFSET($BF$30,0,MATCH($B15,Type,0)-1,1),1)</formula1>
    </dataValidation>
    <dataValidation type="list" allowBlank="1" showErrorMessage="1" errorTitle="Invalid Category" error="You MUST select a Category from the dropdown list provided._x000a__x000a_Also, make sure your Cap Lock is turned on." sqref="C14" xr:uid="{00000000-0002-0000-0600-000005000000}">
      <formula1>OFFSET($BF$16,0,MATCH($B14,Type,0)-1,OFFSET($BF$30,0,MATCH($B14,Type,0)-1))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indexed="44"/>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48" t="str">
        <f>IF(L1="","",VLOOKUP(L1,'Job Info.'!X:AA,4,FALSE))</f>
        <v>Master</v>
      </c>
      <c r="E1" s="1848"/>
      <c r="F1" s="1848"/>
      <c r="G1" s="1849" t="s">
        <v>95</v>
      </c>
      <c r="H1" s="1850"/>
      <c r="I1" s="1851" t="str">
        <f ca="1">'Job Info.'!D12</f>
        <v>775-428-0600</v>
      </c>
      <c r="J1" s="1852"/>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53" t="str">
        <f>IF(L1="","",IF(VLOOKUP(L1,'Job Info.'!X:Z,2,FALSE),"Released for Fabrication",""))</f>
        <v/>
      </c>
      <c r="E2" s="1854"/>
      <c r="F2" s="1855"/>
      <c r="G2" s="1849" t="s">
        <v>96</v>
      </c>
      <c r="H2" s="1849"/>
      <c r="I2" s="1851" t="str">
        <f ca="1">'Job Info.'!D13</f>
        <v>775-867-2140</v>
      </c>
      <c r="J2" s="1852"/>
      <c r="S2" s="633"/>
      <c r="T2" s="633" t="s">
        <v>1267</v>
      </c>
    </row>
    <row r="3" spans="1:22" ht="12.95" customHeight="1" x14ac:dyDescent="0.2">
      <c r="A3" s="374"/>
      <c r="B3" s="374"/>
      <c r="C3" s="374"/>
      <c r="D3" s="1856"/>
      <c r="E3" s="1857"/>
      <c r="F3" s="1858"/>
      <c r="G3" s="1849" t="s">
        <v>98</v>
      </c>
      <c r="H3" s="1849"/>
      <c r="I3" s="1851" t="str">
        <f ca="1">'Job Info.'!D14</f>
        <v>775-867-2169</v>
      </c>
      <c r="J3" s="1852"/>
      <c r="S3" s="633"/>
      <c r="T3" s="633" t="s">
        <v>1268</v>
      </c>
    </row>
    <row r="4" spans="1:22" ht="12.95" customHeight="1" thickBot="1" x14ac:dyDescent="0.25">
      <c r="A4" s="374"/>
      <c r="B4" s="374"/>
      <c r="C4" s="374"/>
      <c r="D4" s="1859" t="str">
        <f>IF(L1="","",IF(VLOOKUP(L1,'Job Info.'!X:Z,2,FALSE),VLOOKUP(L1,'Job Info.'!X:Z,3,FALSE),""))</f>
        <v/>
      </c>
      <c r="E4" s="1860"/>
      <c r="F4" s="1861"/>
      <c r="G4" s="1849" t="s">
        <v>97</v>
      </c>
      <c r="H4" s="1849"/>
      <c r="I4" s="1851" t="str">
        <f ca="1">'Job Info.'!D15</f>
        <v>775-867-2060</v>
      </c>
      <c r="J4" s="1852"/>
      <c r="S4" s="633"/>
      <c r="T4" s="633" t="s">
        <v>1269</v>
      </c>
    </row>
    <row r="5" spans="1:22" ht="12.95" customHeight="1" thickTop="1" x14ac:dyDescent="0.2">
      <c r="A5" s="1862" t="str">
        <f ca="1">'Job Info.'!D11</f>
        <v>8200 Woolery Way | Fallon, NV 89406 | www.newmill.com</v>
      </c>
      <c r="B5" s="1862"/>
      <c r="C5" s="1862"/>
      <c r="D5" s="1862"/>
      <c r="E5" s="1862"/>
      <c r="F5" s="1862"/>
      <c r="G5" s="233"/>
      <c r="H5" s="374"/>
      <c r="I5" s="374"/>
      <c r="J5" s="374"/>
      <c r="S5" s="633"/>
      <c r="T5" s="633" t="s">
        <v>1270</v>
      </c>
    </row>
    <row r="6" spans="1:22" ht="12.95" customHeight="1" x14ac:dyDescent="0.2">
      <c r="A6" s="374"/>
      <c r="B6" s="374"/>
      <c r="C6" s="374"/>
      <c r="D6" s="374"/>
      <c r="E6" s="374"/>
      <c r="F6" s="374"/>
      <c r="G6" s="462" t="s">
        <v>20</v>
      </c>
      <c r="H6" s="1863">
        <f>IF(ISBLANK('Job Info.'!D8),"",'Job Info.'!D8)</f>
        <v>45048</v>
      </c>
      <c r="I6" s="1863"/>
      <c r="J6" s="374"/>
      <c r="L6" s="503" t="s">
        <v>1132</v>
      </c>
      <c r="M6" s="381"/>
      <c r="N6" s="381"/>
      <c r="T6" s="633" t="s">
        <v>1272</v>
      </c>
    </row>
    <row r="7" spans="1:22" ht="12.95" customHeight="1" x14ac:dyDescent="0.2">
      <c r="A7" s="395" t="s">
        <v>29</v>
      </c>
      <c r="B7" s="374"/>
      <c r="C7" s="374"/>
      <c r="D7" s="374"/>
      <c r="E7" s="374"/>
      <c r="F7" s="476"/>
      <c r="G7" s="462" t="s">
        <v>21</v>
      </c>
      <c r="H7" s="1177" t="str">
        <f>CONCATENATE(L7, " of ",IF(ISBLANK('Job Info.'!D9),"",'Job Info.'!D9))</f>
        <v xml:space="preserve"> of 19</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24" t="str">
        <f>IF(ISBLANK('Job Info.'!D3),"",'Job Info.'!D3)</f>
        <v>MINDEN UPS BLDG 1</v>
      </c>
      <c r="C9" s="1824"/>
      <c r="D9" s="1825"/>
      <c r="E9" s="481"/>
      <c r="F9" s="482" t="s">
        <v>2</v>
      </c>
      <c r="G9" s="1824" t="str">
        <f>IF(ISBLANK('Job Info.'!D5),"",'Job Info.'!D5)</f>
        <v>NN22-0071</v>
      </c>
      <c r="H9" s="1824"/>
      <c r="I9" s="1824"/>
      <c r="J9" s="1825"/>
      <c r="L9" s="381"/>
      <c r="T9" s="633" t="s">
        <v>114</v>
      </c>
    </row>
    <row r="10" spans="1:22" ht="12.6" customHeight="1" x14ac:dyDescent="0.2">
      <c r="A10" s="480" t="s">
        <v>3</v>
      </c>
      <c r="B10" s="1824" t="str">
        <f>IF(ISBLANK('Job Info.'!D4),"",'Job Info.'!D4)</f>
        <v>MINDEN, NV</v>
      </c>
      <c r="C10" s="1824"/>
      <c r="D10" s="1825"/>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42" t="s">
        <v>15</v>
      </c>
      <c r="C12" s="1843"/>
      <c r="D12" s="1843"/>
      <c r="E12" s="1843"/>
      <c r="F12" s="1843"/>
      <c r="G12" s="1843"/>
      <c r="H12" s="1843"/>
      <c r="I12" s="1843"/>
      <c r="J12" s="1844"/>
      <c r="P12" s="790" t="s">
        <v>963</v>
      </c>
      <c r="Q12" s="791" t="s">
        <v>964</v>
      </c>
      <c r="R12" s="786" t="s">
        <v>968</v>
      </c>
    </row>
    <row r="13" spans="1:22" ht="15.4" customHeight="1" thickTop="1" x14ac:dyDescent="0.2">
      <c r="A13" s="1488"/>
      <c r="B13" s="1839"/>
      <c r="C13" s="1840"/>
      <c r="D13" s="1840"/>
      <c r="E13" s="1840"/>
      <c r="F13" s="1840"/>
      <c r="G13" s="1840"/>
      <c r="H13" s="1840"/>
      <c r="I13" s="1840"/>
      <c r="J13" s="1841"/>
      <c r="L13" s="946" t="str">
        <f>IF(ISBLANK(A13),"",SUBSTITUTE(A13,"*",""))</f>
        <v/>
      </c>
      <c r="M13" s="1537" t="b">
        <v>0</v>
      </c>
      <c r="N13" s="1539" t="b">
        <f>IF(ISERROR(VLOOKUP(L13,S:S,1,FALSE)),FALSE,VLOOKUP(L13,S:S,1,FALSE)=L13)</f>
        <v>0</v>
      </c>
      <c r="O13" s="1528" t="b" cm="1">
        <f t="array" ref="O13">IF(AND(NOT(N13),LEN(L13)&gt;2),OR(ISNUMBER(SEARCH($T$1:$T$15,L13))),FALSE)</f>
        <v>0</v>
      </c>
      <c r="P13" s="792"/>
      <c r="Q13" s="793" t="s">
        <v>1022</v>
      </c>
      <c r="R13" s="787" t="str">
        <f>CONCATENATE("[",P13, "] - ", Q13)</f>
        <v>[] - SHAPES</v>
      </c>
    </row>
    <row r="14" spans="1:22" ht="15.4" customHeight="1" x14ac:dyDescent="0.2">
      <c r="A14" s="1492"/>
      <c r="B14" s="1833"/>
      <c r="C14" s="1834"/>
      <c r="D14" s="1834"/>
      <c r="E14" s="1834"/>
      <c r="F14" s="1834"/>
      <c r="G14" s="1834"/>
      <c r="H14" s="1834"/>
      <c r="I14" s="1834"/>
      <c r="J14" s="1835"/>
      <c r="L14" s="946" t="str">
        <f>IF(ISBLANK(A14),L13,SUBSTITUTE(A14,"*",""))</f>
        <v/>
      </c>
      <c r="M14" s="1537" t="b">
        <v>0</v>
      </c>
      <c r="N14" s="1539" t="b">
        <f t="shared" ref="N14:N51" si="0">IF(ISERROR(VLOOKUP(L14,S:S,1,FALSE)),FALSE,VLOOKUP(L14,S:S,1,FALSE)=L14)</f>
        <v>0</v>
      </c>
      <c r="O14" s="1528"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1492"/>
      <c r="B15" s="1833"/>
      <c r="C15" s="1834"/>
      <c r="D15" s="1834"/>
      <c r="E15" s="1834"/>
      <c r="F15" s="1834"/>
      <c r="G15" s="1834"/>
      <c r="H15" s="1834"/>
      <c r="I15" s="1834"/>
      <c r="J15" s="1835"/>
      <c r="L15" s="946" t="str">
        <f t="shared" ref="L15:L51" si="2">IF(ISBLANK(A15),L14,SUBSTITUTE(A15,"*",""))</f>
        <v/>
      </c>
      <c r="M15" s="1537" t="b">
        <v>0</v>
      </c>
      <c r="N15" s="1539" t="b">
        <f t="shared" si="0"/>
        <v>0</v>
      </c>
      <c r="O15" s="1528"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1492"/>
      <c r="B16" s="1833"/>
      <c r="C16" s="1834"/>
      <c r="D16" s="1834"/>
      <c r="E16" s="1834"/>
      <c r="F16" s="1834"/>
      <c r="G16" s="1834"/>
      <c r="H16" s="1834"/>
      <c r="I16" s="1834"/>
      <c r="J16" s="1835"/>
      <c r="L16" s="946" t="str">
        <f t="shared" si="2"/>
        <v/>
      </c>
      <c r="M16" s="1537" t="b">
        <v>0</v>
      </c>
      <c r="N16" s="1539" t="b">
        <f t="shared" si="0"/>
        <v>0</v>
      </c>
      <c r="O16" s="1528"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1492"/>
      <c r="B17" s="1833"/>
      <c r="C17" s="1834"/>
      <c r="D17" s="1834"/>
      <c r="E17" s="1834"/>
      <c r="F17" s="1834"/>
      <c r="G17" s="1834"/>
      <c r="H17" s="1834"/>
      <c r="I17" s="1834"/>
      <c r="J17" s="1835"/>
      <c r="L17" s="946" t="str">
        <f t="shared" si="2"/>
        <v/>
      </c>
      <c r="M17" s="1537" t="b">
        <v>0</v>
      </c>
      <c r="N17" s="1539" t="b">
        <f t="shared" si="0"/>
        <v>0</v>
      </c>
      <c r="O17" s="1528" t="b" cm="1">
        <f t="array" ref="O17">IF(AND(NOT(N17),LEN(L17)&gt;2),OR(ISNUMBER(SEARCH($T$1:$T$15,L17))),FALSE)</f>
        <v>0</v>
      </c>
      <c r="P17" s="794" t="s">
        <v>991</v>
      </c>
      <c r="Q17" s="795" t="s">
        <v>1026</v>
      </c>
      <c r="R17" s="788" t="str">
        <f t="shared" si="1"/>
        <v>[AC] - Arched Chords: (Depth=Designation) ##" TC Radius</v>
      </c>
    </row>
    <row r="18" spans="1:18" ht="15.4" customHeight="1" x14ac:dyDescent="0.2">
      <c r="A18" s="1492"/>
      <c r="B18" s="1833"/>
      <c r="C18" s="1834"/>
      <c r="D18" s="1834"/>
      <c r="E18" s="1834"/>
      <c r="F18" s="1834"/>
      <c r="G18" s="1834"/>
      <c r="H18" s="1834"/>
      <c r="I18" s="1834"/>
      <c r="J18" s="1835"/>
      <c r="L18" s="946" t="str">
        <f t="shared" si="2"/>
        <v/>
      </c>
      <c r="M18" s="1537" t="b">
        <v>0</v>
      </c>
      <c r="N18" s="1539" t="b">
        <f t="shared" si="0"/>
        <v>0</v>
      </c>
      <c r="O18" s="1528"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1492"/>
      <c r="B19" s="1833"/>
      <c r="C19" s="1834"/>
      <c r="D19" s="1834"/>
      <c r="E19" s="1834"/>
      <c r="F19" s="1834"/>
      <c r="G19" s="1834"/>
      <c r="H19" s="1834"/>
      <c r="I19" s="1834"/>
      <c r="J19" s="1835"/>
      <c r="L19" s="946" t="str">
        <f t="shared" si="2"/>
        <v/>
      </c>
      <c r="M19" s="1537" t="b">
        <v>0</v>
      </c>
      <c r="N19" s="1539" t="b">
        <f t="shared" si="0"/>
        <v>0</v>
      </c>
      <c r="O19" s="1528"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1492"/>
      <c r="B20" s="1833"/>
      <c r="C20" s="1834"/>
      <c r="D20" s="1834"/>
      <c r="E20" s="1834"/>
      <c r="F20" s="1834"/>
      <c r="G20" s="1834"/>
      <c r="H20" s="1834"/>
      <c r="I20" s="1834"/>
      <c r="J20" s="1835"/>
      <c r="L20" s="946" t="str">
        <f t="shared" si="2"/>
        <v/>
      </c>
      <c r="M20" s="1537" t="b">
        <v>0</v>
      </c>
      <c r="N20" s="1539" t="b">
        <f t="shared" si="0"/>
        <v>0</v>
      </c>
      <c r="O20" s="1528" t="b" cm="1">
        <f t="array" ref="O20">IF(AND(NOT(N20),LEN(L20)&gt;2),OR(ISNUMBER(SEARCH($T$1:$T$15,L20))),FALSE)</f>
        <v>0</v>
      </c>
      <c r="P20" s="794"/>
      <c r="Q20" s="795" t="s">
        <v>1028</v>
      </c>
      <c r="R20" s="788" t="str">
        <f t="shared" si="1"/>
        <v>[] - DEFLECTION</v>
      </c>
    </row>
    <row r="21" spans="1:18" ht="15.4" customHeight="1" x14ac:dyDescent="0.2">
      <c r="A21" s="1492"/>
      <c r="B21" s="1845"/>
      <c r="C21" s="1846"/>
      <c r="D21" s="1846"/>
      <c r="E21" s="1846"/>
      <c r="F21" s="1846"/>
      <c r="G21" s="1846"/>
      <c r="H21" s="1846"/>
      <c r="I21" s="1846"/>
      <c r="J21" s="1847"/>
      <c r="L21" s="946" t="str">
        <f t="shared" si="2"/>
        <v/>
      </c>
      <c r="M21" s="1537" t="b">
        <v>0</v>
      </c>
      <c r="N21" s="1539" t="b">
        <f t="shared" si="0"/>
        <v>0</v>
      </c>
      <c r="O21" s="1539"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1492"/>
      <c r="B22" s="1833"/>
      <c r="C22" s="1834"/>
      <c r="D22" s="1834"/>
      <c r="E22" s="1834"/>
      <c r="F22" s="1834"/>
      <c r="G22" s="1834"/>
      <c r="H22" s="1834"/>
      <c r="I22" s="1834"/>
      <c r="J22" s="1835"/>
      <c r="L22" s="946" t="str">
        <f t="shared" si="2"/>
        <v/>
      </c>
      <c r="M22" s="1537" t="b">
        <v>0</v>
      </c>
      <c r="N22" s="1539" t="b">
        <f t="shared" si="0"/>
        <v>0</v>
      </c>
      <c r="O22" s="1528"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1492"/>
      <c r="B23" s="1839"/>
      <c r="C23" s="1840"/>
      <c r="D23" s="1840"/>
      <c r="E23" s="1840"/>
      <c r="F23" s="1840"/>
      <c r="G23" s="1840"/>
      <c r="H23" s="1840"/>
      <c r="I23" s="1840"/>
      <c r="J23" s="1841"/>
      <c r="L23" s="946" t="str">
        <f t="shared" si="2"/>
        <v/>
      </c>
      <c r="M23" s="1537" t="b">
        <v>0</v>
      </c>
      <c r="N23" s="1539" t="b">
        <f t="shared" si="0"/>
        <v>0</v>
      </c>
      <c r="O23" s="1528"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1492"/>
      <c r="B24" s="1833"/>
      <c r="C24" s="1834"/>
      <c r="D24" s="1834"/>
      <c r="E24" s="1834"/>
      <c r="F24" s="1834"/>
      <c r="G24" s="1834"/>
      <c r="H24" s="1834"/>
      <c r="I24" s="1834"/>
      <c r="J24" s="1835"/>
      <c r="L24" s="946" t="str">
        <f t="shared" si="2"/>
        <v/>
      </c>
      <c r="M24" s="1537" t="b">
        <v>0</v>
      </c>
      <c r="N24" s="1539" t="b">
        <f t="shared" si="0"/>
        <v>0</v>
      </c>
      <c r="O24" s="1528" t="b" cm="1">
        <f t="array" ref="O24">IF(AND(NOT(N24),LEN(L24)&gt;2),OR(ISNUMBER(SEARCH($T$1:$T$15,L24))),FALSE)</f>
        <v>0</v>
      </c>
      <c r="P24" s="794" t="s">
        <v>989</v>
      </c>
      <c r="Q24" s="795" t="s">
        <v>1031</v>
      </c>
      <c r="R24" s="788" t="str">
        <f t="shared" si="1"/>
        <v>[DefSP] - Special Deflection = ##" Max Due To ### PLF LL|DL|TL</v>
      </c>
    </row>
    <row r="25" spans="1:18" ht="15.4" customHeight="1" x14ac:dyDescent="0.2">
      <c r="A25" s="1492"/>
      <c r="B25" s="1833"/>
      <c r="C25" s="1834"/>
      <c r="D25" s="1834"/>
      <c r="E25" s="1834"/>
      <c r="F25" s="1834"/>
      <c r="G25" s="1834"/>
      <c r="H25" s="1834"/>
      <c r="I25" s="1834"/>
      <c r="J25" s="1835"/>
      <c r="L25" s="946" t="str">
        <f t="shared" si="2"/>
        <v/>
      </c>
      <c r="M25" s="1537" t="b">
        <v>0</v>
      </c>
      <c r="N25" s="1539" t="b">
        <f t="shared" si="0"/>
        <v>0</v>
      </c>
      <c r="O25" s="1528" t="b" cm="1">
        <f t="array" ref="O25">IF(AND(NOT(N25),LEN(L25)&gt;2),OR(ISNUMBER(SEARCH($T$1:$T$15,L25))),FALSE)</f>
        <v>0</v>
      </c>
      <c r="P25" s="794"/>
      <c r="Q25" s="795" t="s">
        <v>1033</v>
      </c>
      <c r="R25" s="788" t="str">
        <f t="shared" si="1"/>
        <v>[] - BEARING SEATS</v>
      </c>
    </row>
    <row r="26" spans="1:18" ht="15.4" customHeight="1" x14ac:dyDescent="0.2">
      <c r="A26" s="1492"/>
      <c r="B26" s="1833"/>
      <c r="C26" s="1834"/>
      <c r="D26" s="1834"/>
      <c r="E26" s="1834"/>
      <c r="F26" s="1834"/>
      <c r="G26" s="1834"/>
      <c r="H26" s="1834"/>
      <c r="I26" s="1834"/>
      <c r="J26" s="1835"/>
      <c r="L26" s="946" t="str">
        <f t="shared" si="2"/>
        <v/>
      </c>
      <c r="M26" s="1537" t="b">
        <v>0</v>
      </c>
      <c r="N26" s="1528" t="b">
        <f t="shared" si="0"/>
        <v>0</v>
      </c>
      <c r="O26" s="1528"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1492"/>
      <c r="B27" s="1833"/>
      <c r="C27" s="1834"/>
      <c r="D27" s="1834"/>
      <c r="E27" s="1834"/>
      <c r="F27" s="1834"/>
      <c r="G27" s="1834"/>
      <c r="H27" s="1834"/>
      <c r="I27" s="1834"/>
      <c r="J27" s="1835"/>
      <c r="L27" s="946" t="str">
        <f t="shared" si="2"/>
        <v/>
      </c>
      <c r="M27" s="1537" t="b">
        <v>0</v>
      </c>
      <c r="N27" s="1528" t="b">
        <f t="shared" si="0"/>
        <v>0</v>
      </c>
      <c r="O27" s="1528" t="b" cm="1">
        <f t="array" ref="O27">IF(AND(NOT(N27),LEN(L27)&gt;2),OR(ISNUMBER(SEARCH($T$1:$T$15,L27))),FALSE)</f>
        <v>0</v>
      </c>
      <c r="P27" s="794" t="s">
        <v>1000</v>
      </c>
      <c r="Q27" s="795" t="s">
        <v>1046</v>
      </c>
      <c r="R27" s="788" t="str">
        <f t="shared" si="1"/>
        <v>[AddSlt] - Addn'l Seat Slots @ #" from L-OAL|R-OAL</v>
      </c>
    </row>
    <row r="28" spans="1:18" ht="15.4" customHeight="1" x14ac:dyDescent="0.2">
      <c r="A28" s="1492"/>
      <c r="B28" s="1833"/>
      <c r="C28" s="1834"/>
      <c r="D28" s="1834"/>
      <c r="E28" s="1834"/>
      <c r="F28" s="1834"/>
      <c r="G28" s="1834"/>
      <c r="H28" s="1834"/>
      <c r="I28" s="1834"/>
      <c r="J28" s="1835"/>
      <c r="L28" s="946" t="str">
        <f t="shared" si="2"/>
        <v/>
      </c>
      <c r="M28" s="1537" t="b">
        <v>0</v>
      </c>
      <c r="N28" s="1528" t="b">
        <f t="shared" si="0"/>
        <v>0</v>
      </c>
      <c r="O28" s="1528" t="b" cm="1">
        <f t="array" ref="O28">IF(AND(NOT(N28),LEN(L28)&gt;2),OR(ISNUMBER(SEARCH($T$1:$T$15,L28))),FALSE)</f>
        <v>0</v>
      </c>
      <c r="P28" s="794" t="s">
        <v>981</v>
      </c>
      <c r="Q28" s="795" t="s">
        <v>1043</v>
      </c>
      <c r="R28" s="788" t="str">
        <f t="shared" si="1"/>
        <v>[BCBrg] - Bottom Chord Bearing @ LE|RE|BE</v>
      </c>
    </row>
    <row r="29" spans="1:18" ht="15.4" customHeight="1" x14ac:dyDescent="0.2">
      <c r="A29" s="1492"/>
      <c r="B29" s="1833"/>
      <c r="C29" s="1834"/>
      <c r="D29" s="1834"/>
      <c r="E29" s="1834"/>
      <c r="F29" s="1834"/>
      <c r="G29" s="1834"/>
      <c r="H29" s="1834"/>
      <c r="I29" s="1834"/>
      <c r="J29" s="1835"/>
      <c r="L29" s="946" t="str">
        <f t="shared" si="2"/>
        <v/>
      </c>
      <c r="M29" s="1537" t="b">
        <v>0</v>
      </c>
      <c r="N29" s="1528" t="b">
        <f t="shared" si="0"/>
        <v>0</v>
      </c>
      <c r="O29" s="1528"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1492"/>
      <c r="B30" s="1833"/>
      <c r="C30" s="1834"/>
      <c r="D30" s="1834"/>
      <c r="E30" s="1834"/>
      <c r="F30" s="1834"/>
      <c r="G30" s="1834"/>
      <c r="H30" s="1834"/>
      <c r="I30" s="1834"/>
      <c r="J30" s="1835"/>
      <c r="L30" s="946" t="str">
        <f t="shared" si="2"/>
        <v/>
      </c>
      <c r="M30" s="1537" t="b">
        <v>0</v>
      </c>
      <c r="N30" s="1528" t="b">
        <f t="shared" si="0"/>
        <v>0</v>
      </c>
      <c r="O30" s="1528"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1492"/>
      <c r="B31" s="1833"/>
      <c r="C31" s="1834"/>
      <c r="D31" s="1834"/>
      <c r="E31" s="1834"/>
      <c r="F31" s="1834"/>
      <c r="G31" s="1834"/>
      <c r="H31" s="1834"/>
      <c r="I31" s="1834"/>
      <c r="J31" s="1835"/>
      <c r="L31" s="946" t="str">
        <f t="shared" si="2"/>
        <v/>
      </c>
      <c r="M31" s="1537" t="b">
        <v>0</v>
      </c>
      <c r="N31" s="1528" t="b">
        <f t="shared" si="0"/>
        <v>0</v>
      </c>
      <c r="O31" s="1528" t="b" cm="1">
        <f t="array" ref="O31">IF(AND(NOT(N31),LEN(L31)&gt;2),OR(ISNUMBER(SEARCH($T$1:$T$15,L31))),FALSE)</f>
        <v>0</v>
      </c>
      <c r="P31" s="794" t="s">
        <v>979</v>
      </c>
      <c r="Q31" s="795" t="s">
        <v>1047</v>
      </c>
      <c r="R31" s="788" t="str">
        <f t="shared" si="1"/>
        <v>[BPThk] - Min Thickness of Base Plate = 0.xxx" @ LE|RE|BE</v>
      </c>
    </row>
    <row r="32" spans="1:18" ht="15.4" customHeight="1" x14ac:dyDescent="0.2">
      <c r="A32" s="1492"/>
      <c r="B32" s="1833"/>
      <c r="C32" s="1834"/>
      <c r="D32" s="1834"/>
      <c r="E32" s="1834"/>
      <c r="F32" s="1834"/>
      <c r="G32" s="1834"/>
      <c r="H32" s="1834"/>
      <c r="I32" s="1834"/>
      <c r="J32" s="1835"/>
      <c r="L32" s="946" t="str">
        <f t="shared" si="2"/>
        <v/>
      </c>
      <c r="M32" s="1537" t="b">
        <v>0</v>
      </c>
      <c r="N32" s="1528" t="b">
        <f t="shared" si="0"/>
        <v>0</v>
      </c>
      <c r="O32" s="1528" t="b" cm="1">
        <f t="array" ref="O32">IF(AND(NOT(N32),LEN(L32)&gt;2),OR(ISNUMBER(SEARCH($T$1:$T$15,L32))),FALSE)</f>
        <v>0</v>
      </c>
      <c r="P32" s="794" t="s">
        <v>1001</v>
      </c>
      <c r="Q32" s="795" t="s">
        <v>1002</v>
      </c>
      <c r="R32" s="788" t="str">
        <f t="shared" si="1"/>
        <v>[ClrBrg] - Min Clear Bearing = #" @ LE(RE)(BE)</v>
      </c>
    </row>
    <row r="33" spans="1:18" ht="15.4" customHeight="1" x14ac:dyDescent="0.2">
      <c r="A33" s="1492"/>
      <c r="B33" s="1833"/>
      <c r="C33" s="1834"/>
      <c r="D33" s="1834"/>
      <c r="E33" s="1834"/>
      <c r="F33" s="1834"/>
      <c r="G33" s="1834"/>
      <c r="H33" s="1834"/>
      <c r="I33" s="1834"/>
      <c r="J33" s="1835"/>
      <c r="L33" s="946" t="str">
        <f t="shared" si="2"/>
        <v/>
      </c>
      <c r="M33" s="1537" t="b">
        <v>0</v>
      </c>
      <c r="N33" s="1528" t="b">
        <f t="shared" si="0"/>
        <v>0</v>
      </c>
      <c r="O33" s="1528"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1492"/>
      <c r="B34" s="1833"/>
      <c r="C34" s="1834"/>
      <c r="D34" s="1834"/>
      <c r="E34" s="1834"/>
      <c r="F34" s="1834"/>
      <c r="G34" s="1834"/>
      <c r="H34" s="1834"/>
      <c r="I34" s="1834"/>
      <c r="J34" s="1835"/>
      <c r="L34" s="946" t="str">
        <f t="shared" si="2"/>
        <v/>
      </c>
      <c r="M34" s="1537" t="b">
        <v>0</v>
      </c>
      <c r="N34" s="1528" t="b">
        <f t="shared" si="0"/>
        <v>0</v>
      </c>
      <c r="O34" s="1528" t="b" cm="1">
        <f t="array" ref="O34">IF(AND(NOT(N34),LEN(L34)&gt;2),OR(ISNUMBER(SEARCH($T$1:$T$15,L34))),FALSE)</f>
        <v>0</v>
      </c>
      <c r="P34" s="794" t="s">
        <v>1038</v>
      </c>
      <c r="Q34" s="795" t="s">
        <v>1040</v>
      </c>
      <c r="R34" s="788" t="str">
        <f t="shared" si="1"/>
        <v>[KickLd] - Axial Load Due To Kicker, No Rein Req’d</v>
      </c>
    </row>
    <row r="35" spans="1:18" ht="15.4" customHeight="1" x14ac:dyDescent="0.2">
      <c r="A35" s="1492"/>
      <c r="B35" s="1833"/>
      <c r="C35" s="1834"/>
      <c r="D35" s="1834"/>
      <c r="E35" s="1834"/>
      <c r="F35" s="1834"/>
      <c r="G35" s="1834"/>
      <c r="H35" s="1834"/>
      <c r="I35" s="1834"/>
      <c r="J35" s="1835"/>
      <c r="L35" s="946" t="str">
        <f t="shared" si="2"/>
        <v/>
      </c>
      <c r="M35" s="1537" t="b">
        <v>0</v>
      </c>
      <c r="N35" s="1528" t="b">
        <f t="shared" si="0"/>
        <v>0</v>
      </c>
      <c r="O35" s="1528"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1492"/>
      <c r="B36" s="1833"/>
      <c r="C36" s="1834"/>
      <c r="D36" s="1834"/>
      <c r="E36" s="1834"/>
      <c r="F36" s="1834"/>
      <c r="G36" s="1834"/>
      <c r="H36" s="1834"/>
      <c r="I36" s="1834"/>
      <c r="J36" s="1835"/>
      <c r="L36" s="946" t="str">
        <f t="shared" si="2"/>
        <v/>
      </c>
      <c r="M36" s="1537" t="b">
        <v>0</v>
      </c>
      <c r="N36" s="1528" t="b">
        <f t="shared" si="0"/>
        <v>0</v>
      </c>
      <c r="O36" s="1528"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1492"/>
      <c r="B37" s="1833"/>
      <c r="C37" s="1834"/>
      <c r="D37" s="1834"/>
      <c r="E37" s="1834"/>
      <c r="F37" s="1834"/>
      <c r="G37" s="1834"/>
      <c r="H37" s="1834"/>
      <c r="I37" s="1834"/>
      <c r="J37" s="1835"/>
      <c r="L37" s="946" t="str">
        <f t="shared" si="2"/>
        <v/>
      </c>
      <c r="M37" s="1537" t="b">
        <v>0</v>
      </c>
      <c r="N37" s="1528" t="b">
        <f t="shared" si="0"/>
        <v>0</v>
      </c>
      <c r="O37" s="1528"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1492"/>
      <c r="B38" s="1833"/>
      <c r="C38" s="1834"/>
      <c r="D38" s="1834"/>
      <c r="E38" s="1834"/>
      <c r="F38" s="1834"/>
      <c r="G38" s="1834"/>
      <c r="H38" s="1834"/>
      <c r="I38" s="1834"/>
      <c r="J38" s="1835"/>
      <c r="L38" s="946" t="str">
        <f t="shared" si="2"/>
        <v/>
      </c>
      <c r="M38" s="1537" t="b">
        <v>0</v>
      </c>
      <c r="N38" s="1528" t="b">
        <f t="shared" si="0"/>
        <v>0</v>
      </c>
      <c r="O38" s="1528"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1492"/>
      <c r="B39" s="1833"/>
      <c r="C39" s="1834"/>
      <c r="D39" s="1834"/>
      <c r="E39" s="1834"/>
      <c r="F39" s="1834"/>
      <c r="G39" s="1834"/>
      <c r="H39" s="1834"/>
      <c r="I39" s="1834"/>
      <c r="J39" s="1835"/>
      <c r="L39" s="946" t="str">
        <f t="shared" si="2"/>
        <v/>
      </c>
      <c r="M39" s="1537" t="b">
        <v>0</v>
      </c>
      <c r="N39" s="1528" t="b">
        <f t="shared" si="0"/>
        <v>0</v>
      </c>
      <c r="O39" s="1528" t="b" cm="1">
        <f t="array" ref="O39">IF(AND(NOT(N39),LEN(L39)&gt;2),OR(ISNUMBER(SEARCH($T$1:$T$15,L39))),FALSE)</f>
        <v>0</v>
      </c>
      <c r="P39" s="794" t="s">
        <v>1082</v>
      </c>
      <c r="Q39" s="795" t="s">
        <v>1083</v>
      </c>
      <c r="R39" s="788" t="str">
        <f t="shared" si="1"/>
        <v>[RndShrtSlt] - #/#" Round Holes|#/#”x1” Slots, Ga=#” @ LE|RE|BE</v>
      </c>
    </row>
    <row r="40" spans="1:18" ht="15.4" customHeight="1" x14ac:dyDescent="0.2">
      <c r="A40" s="1492"/>
      <c r="B40" s="1833"/>
      <c r="C40" s="1834"/>
      <c r="D40" s="1834"/>
      <c r="E40" s="1834"/>
      <c r="F40" s="1834"/>
      <c r="G40" s="1834"/>
      <c r="H40" s="1834"/>
      <c r="I40" s="1834"/>
      <c r="J40" s="1835"/>
      <c r="L40" s="946" t="str">
        <f t="shared" si="2"/>
        <v/>
      </c>
      <c r="M40" s="1537" t="b">
        <v>0</v>
      </c>
      <c r="N40" s="1528" t="b">
        <f t="shared" si="0"/>
        <v>0</v>
      </c>
      <c r="O40" s="1528" t="b" cm="1">
        <f t="array" ref="O40">IF(AND(NOT(N40),LEN(L40)&gt;2),OR(ISNUMBER(SEARCH($T$1:$T$15,L40))),FALSE)</f>
        <v>0</v>
      </c>
      <c r="P40" s="794" t="s">
        <v>1041</v>
      </c>
      <c r="Q40" s="795" t="s">
        <v>1042</v>
      </c>
      <c r="R40" s="788" t="str">
        <f t="shared" si="1"/>
        <v>[Roll] - Seat Rollover Force = ##Kips @ LE|RE|BE</v>
      </c>
    </row>
    <row r="41" spans="1:18" ht="15.4" customHeight="1" x14ac:dyDescent="0.2">
      <c r="A41" s="1492"/>
      <c r="B41" s="1833"/>
      <c r="C41" s="1834"/>
      <c r="D41" s="1834"/>
      <c r="E41" s="1834"/>
      <c r="F41" s="1834"/>
      <c r="G41" s="1834"/>
      <c r="H41" s="1834"/>
      <c r="I41" s="1834"/>
      <c r="J41" s="1835"/>
      <c r="L41" s="946" t="str">
        <f t="shared" si="2"/>
        <v/>
      </c>
      <c r="M41" s="1537" t="b">
        <v>0</v>
      </c>
      <c r="N41" s="1528" t="b">
        <f t="shared" si="0"/>
        <v>0</v>
      </c>
      <c r="O41" s="1528" t="b" cm="1">
        <f t="array" ref="O41">IF(AND(NOT(N41),LEN(L41)&gt;2),OR(ISNUMBER(SEARCH($T$1:$T$15,L41))),FALSE)</f>
        <v>0</v>
      </c>
      <c r="P41" s="794" t="s">
        <v>1074</v>
      </c>
      <c r="Q41" s="795" t="s">
        <v>1075</v>
      </c>
      <c r="R41" s="788" t="str">
        <f t="shared" si="1"/>
        <v>[ShrtBrg] - Short Bearing = #” @ LE|RE|BE</v>
      </c>
    </row>
    <row r="42" spans="1:18" ht="15.4" customHeight="1" x14ac:dyDescent="0.2">
      <c r="A42" s="1492"/>
      <c r="B42" s="1833"/>
      <c r="C42" s="1834"/>
      <c r="D42" s="1834"/>
      <c r="E42" s="1834"/>
      <c r="F42" s="1834"/>
      <c r="G42" s="1834"/>
      <c r="H42" s="1834"/>
      <c r="I42" s="1834"/>
      <c r="J42" s="1835"/>
      <c r="L42" s="946" t="str">
        <f t="shared" si="2"/>
        <v/>
      </c>
      <c r="M42" s="1537" t="b">
        <v>0</v>
      </c>
      <c r="N42" s="1528" t="b">
        <f t="shared" si="0"/>
        <v>0</v>
      </c>
      <c r="O42" s="1528" t="b" cm="1">
        <f t="array" ref="O42">IF(AND(NOT(N42),LEN(L42)&gt;2),OR(ISNUMBER(SEARCH($T$1:$T$15,L42))),FALSE)</f>
        <v>0</v>
      </c>
      <c r="P42" s="794" t="s">
        <v>1078</v>
      </c>
      <c r="Q42" s="795" t="s">
        <v>990</v>
      </c>
      <c r="R42" s="788" t="str">
        <f t="shared" si="1"/>
        <v>[Skew] - ##º Half(Full)-Skew, NS(FS), LE(RE)</v>
      </c>
    </row>
    <row r="43" spans="1:18" ht="15.4" customHeight="1" x14ac:dyDescent="0.2">
      <c r="A43" s="1492"/>
      <c r="B43" s="1833"/>
      <c r="C43" s="1834"/>
      <c r="D43" s="1834"/>
      <c r="E43" s="1834"/>
      <c r="F43" s="1834"/>
      <c r="G43" s="1834"/>
      <c r="H43" s="1834"/>
      <c r="I43" s="1834"/>
      <c r="J43" s="1835"/>
      <c r="L43" s="946" t="str">
        <f t="shared" si="2"/>
        <v/>
      </c>
      <c r="M43" s="1537" t="b">
        <v>0</v>
      </c>
      <c r="N43" s="1528" t="b">
        <f t="shared" si="0"/>
        <v>0</v>
      </c>
      <c r="O43" s="1528" t="b" cm="1">
        <f t="array" ref="O43">IF(AND(NOT(N43),LEN(L43)&gt;2),OR(ISNUMBER(SEARCH($T$1:$T$15,L43))),FALSE)</f>
        <v>0</v>
      </c>
      <c r="P43" s="794" t="s">
        <v>976</v>
      </c>
      <c r="Q43" s="795" t="s">
        <v>1045</v>
      </c>
      <c r="R43" s="788" t="str">
        <f t="shared" si="1"/>
        <v>[SpSlt] - Special Seat Slots: #"x#" Slots, Ga=#" @ LE|RE|BE</v>
      </c>
    </row>
    <row r="44" spans="1:18" ht="15.4" customHeight="1" x14ac:dyDescent="0.2">
      <c r="A44" s="1492"/>
      <c r="B44" s="1833"/>
      <c r="C44" s="1834"/>
      <c r="D44" s="1834"/>
      <c r="E44" s="1834"/>
      <c r="F44" s="1834"/>
      <c r="G44" s="1834"/>
      <c r="H44" s="1834"/>
      <c r="I44" s="1834"/>
      <c r="J44" s="1835"/>
      <c r="L44" s="946" t="str">
        <f t="shared" si="2"/>
        <v/>
      </c>
      <c r="M44" s="1537" t="b">
        <v>0</v>
      </c>
      <c r="N44" s="1528" t="b">
        <f t="shared" si="0"/>
        <v>0</v>
      </c>
      <c r="O44" s="1528" t="b" cm="1">
        <f t="array" ref="O44">IF(AND(NOT(N44),LEN(L44)&gt;2),OR(ISNUMBER(SEARCH($T$1:$T$15,L44))),FALSE)</f>
        <v>0</v>
      </c>
      <c r="P44" s="794" t="s">
        <v>975</v>
      </c>
      <c r="Q44" s="795" t="s">
        <v>1044</v>
      </c>
      <c r="R44" s="788" t="str">
        <f t="shared" si="1"/>
        <v>[StgSlt] - Stagger Seat Slots LE|RE: ##" NS, ##" FS</v>
      </c>
    </row>
    <row r="45" spans="1:18" ht="15.4" customHeight="1" x14ac:dyDescent="0.2">
      <c r="A45" s="1492"/>
      <c r="B45" s="1833"/>
      <c r="C45" s="1834"/>
      <c r="D45" s="1834"/>
      <c r="E45" s="1834"/>
      <c r="F45" s="1834"/>
      <c r="G45" s="1834"/>
      <c r="H45" s="1834"/>
      <c r="I45" s="1834"/>
      <c r="J45" s="1835"/>
      <c r="L45" s="946" t="str">
        <f t="shared" si="2"/>
        <v/>
      </c>
      <c r="M45" s="1537" t="b">
        <v>0</v>
      </c>
      <c r="N45" s="1528" t="b">
        <f t="shared" si="0"/>
        <v>0</v>
      </c>
      <c r="O45" s="1528" t="b" cm="1">
        <f t="array" ref="O45">IF(AND(NOT(N45),LEN(L45)&gt;2),OR(ISNUMBER(SEARCH($T$1:$T$15,L45))),FALSE)</f>
        <v>0</v>
      </c>
      <c r="P45" s="794" t="s">
        <v>980</v>
      </c>
      <c r="Q45" s="795" t="s">
        <v>1034</v>
      </c>
      <c r="R45" s="788" t="str">
        <f t="shared" si="1"/>
        <v>[TCXMax] - Max Depth of TCXL|TCXR = ##"</v>
      </c>
    </row>
    <row r="46" spans="1:18" ht="15.4" customHeight="1" x14ac:dyDescent="0.2">
      <c r="A46" s="1492"/>
      <c r="B46" s="1833"/>
      <c r="C46" s="1834"/>
      <c r="D46" s="1834"/>
      <c r="E46" s="1834"/>
      <c r="F46" s="1834"/>
      <c r="G46" s="1834"/>
      <c r="H46" s="1834"/>
      <c r="I46" s="1834"/>
      <c r="J46" s="1835"/>
      <c r="L46" s="946" t="str">
        <f t="shared" si="2"/>
        <v/>
      </c>
      <c r="M46" s="1537" t="b">
        <v>0</v>
      </c>
      <c r="N46" s="1528" t="b">
        <f t="shared" si="0"/>
        <v>0</v>
      </c>
      <c r="O46" s="1528" t="b" cm="1">
        <f t="array" ref="O46">IF(AND(NOT(N46),LEN(L46)&gt;2),OR(ISNUMBER(SEARCH($T$1:$T$15,L46))),FALSE)</f>
        <v>0</v>
      </c>
      <c r="P46" s="794" t="s">
        <v>974</v>
      </c>
      <c r="Q46" s="795" t="s">
        <v>1076</v>
      </c>
      <c r="R46" s="788" t="str">
        <f t="shared" si="1"/>
        <v>[TCXSup] - TCXL|TCXR Supported @ End</v>
      </c>
    </row>
    <row r="47" spans="1:18" ht="15.4" customHeight="1" x14ac:dyDescent="0.2">
      <c r="A47" s="1492"/>
      <c r="B47" s="1833"/>
      <c r="C47" s="1834"/>
      <c r="D47" s="1834"/>
      <c r="E47" s="1834"/>
      <c r="F47" s="1834"/>
      <c r="G47" s="1834"/>
      <c r="H47" s="1834"/>
      <c r="I47" s="1834"/>
      <c r="J47" s="1835"/>
      <c r="L47" s="946" t="str">
        <f t="shared" si="2"/>
        <v/>
      </c>
      <c r="M47" s="1537" t="b">
        <v>0</v>
      </c>
      <c r="N47" s="1528" t="b">
        <f t="shared" si="0"/>
        <v>0</v>
      </c>
      <c r="O47" s="1528" t="b" cm="1">
        <f t="array" ref="O47">IF(AND(NOT(N47),LEN(L47)&gt;2),OR(ISNUMBER(SEARCH($T$1:$T$15,L47))),FALSE)</f>
        <v>0</v>
      </c>
      <c r="P47" s="794"/>
      <c r="Q47" s="795" t="s">
        <v>1050</v>
      </c>
      <c r="R47" s="788" t="str">
        <f t="shared" si="1"/>
        <v>[] - MISCELLANEOUS</v>
      </c>
    </row>
    <row r="48" spans="1:18" ht="15.4" customHeight="1" x14ac:dyDescent="0.2">
      <c r="A48" s="1492"/>
      <c r="B48" s="1833"/>
      <c r="C48" s="1834"/>
      <c r="D48" s="1834"/>
      <c r="E48" s="1834"/>
      <c r="F48" s="1834"/>
      <c r="G48" s="1834"/>
      <c r="H48" s="1834"/>
      <c r="I48" s="1834"/>
      <c r="J48" s="1835"/>
      <c r="L48" s="946" t="str">
        <f t="shared" si="2"/>
        <v/>
      </c>
      <c r="M48" s="1537" t="b">
        <v>0</v>
      </c>
      <c r="N48" s="1528" t="b">
        <f t="shared" si="0"/>
        <v>0</v>
      </c>
      <c r="O48" s="1528" t="b" cm="1">
        <f t="array" ref="O48">IF(AND(NOT(N48),LEN(L48)&gt;2),OR(ISNUMBER(SEARCH($T$1:$T$15,L48))),FALSE)</f>
        <v>0</v>
      </c>
      <c r="P48" s="794" t="s">
        <v>982</v>
      </c>
      <c r="Q48" s="795" t="s">
        <v>1053</v>
      </c>
      <c r="R48" s="788" t="str">
        <f t="shared" si="1"/>
        <v>[BClip] - Bridging Clip(s) Required per Plan</v>
      </c>
    </row>
    <row r="49" spans="1:18" ht="15.4" customHeight="1" x14ac:dyDescent="0.2">
      <c r="A49" s="1492"/>
      <c r="B49" s="1833"/>
      <c r="C49" s="1834"/>
      <c r="D49" s="1834"/>
      <c r="E49" s="1834"/>
      <c r="F49" s="1834"/>
      <c r="G49" s="1834"/>
      <c r="H49" s="1834"/>
      <c r="I49" s="1834"/>
      <c r="J49" s="1835"/>
      <c r="L49" s="946" t="str">
        <f t="shared" si="2"/>
        <v/>
      </c>
      <c r="M49" s="1537" t="b">
        <v>0</v>
      </c>
      <c r="N49" s="1528" t="b">
        <f t="shared" si="0"/>
        <v>0</v>
      </c>
      <c r="O49" s="1528" t="b" cm="1">
        <f t="array" ref="O49">IF(AND(NOT(N49),LEN(L49)&gt;2),OR(ISNUMBER(SEARCH($T$1:$T$15,L49))),FALSE)</f>
        <v>0</v>
      </c>
      <c r="P49" s="794" t="s">
        <v>978</v>
      </c>
      <c r="Q49" s="795" t="s">
        <v>970</v>
      </c>
      <c r="R49" s="788" t="str">
        <f t="shared" si="1"/>
        <v>[BCThk] - Min Thickness of BC = 0.xxx"</v>
      </c>
    </row>
    <row r="50" spans="1:18" ht="15.4" customHeight="1" x14ac:dyDescent="0.2">
      <c r="A50" s="1492"/>
      <c r="B50" s="1833"/>
      <c r="C50" s="1834"/>
      <c r="D50" s="1834"/>
      <c r="E50" s="1834"/>
      <c r="F50" s="1834"/>
      <c r="G50" s="1834"/>
      <c r="H50" s="1834"/>
      <c r="I50" s="1834"/>
      <c r="J50" s="1835"/>
      <c r="L50" s="946" t="str">
        <f t="shared" si="2"/>
        <v/>
      </c>
      <c r="M50" s="1537" t="b">
        <v>0</v>
      </c>
      <c r="N50" s="1528" t="b">
        <f t="shared" si="0"/>
        <v>0</v>
      </c>
      <c r="O50" s="1528" t="b" cm="1">
        <f t="array" ref="O50">IF(AND(NOT(N50),LEN(L50)&gt;2),OR(ISNUMBER(SEARCH($T$1:$T$15,L50))),FALSE)</f>
        <v>0</v>
      </c>
      <c r="P50" s="794" t="s">
        <v>1079</v>
      </c>
      <c r="Q50" s="795" t="s">
        <v>1052</v>
      </c>
      <c r="R50" s="788" t="str">
        <f t="shared" si="1"/>
        <v>[Camb] - Camber = #"|Camber for DL|50% Std Camber|No Camber</v>
      </c>
    </row>
    <row r="51" spans="1:18" ht="15.4" customHeight="1" x14ac:dyDescent="0.2">
      <c r="A51" s="1496"/>
      <c r="B51" s="1836"/>
      <c r="C51" s="1837"/>
      <c r="D51" s="1837"/>
      <c r="E51" s="1837"/>
      <c r="F51" s="1837"/>
      <c r="G51" s="1837"/>
      <c r="H51" s="1837"/>
      <c r="I51" s="1837"/>
      <c r="J51" s="1838"/>
      <c r="L51" s="946" t="str">
        <f t="shared" si="2"/>
        <v/>
      </c>
      <c r="M51" s="1537" t="b">
        <v>0</v>
      </c>
      <c r="N51" s="1528" t="b">
        <f t="shared" si="0"/>
        <v>0</v>
      </c>
      <c r="O51" s="1528"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1</v>
      </c>
      <c r="O52" s="1531"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selectLockedCells="1"/>
  <mergeCells count="56">
    <mergeCell ref="B37:J37"/>
    <mergeCell ref="B38:J38"/>
    <mergeCell ref="B39:J39"/>
    <mergeCell ref="B40:J40"/>
    <mergeCell ref="B46:J46"/>
    <mergeCell ref="B48:J48"/>
    <mergeCell ref="B41:J41"/>
    <mergeCell ref="B42:J42"/>
    <mergeCell ref="B43:J43"/>
    <mergeCell ref="B44:J44"/>
    <mergeCell ref="B45:J45"/>
    <mergeCell ref="B47:J47"/>
    <mergeCell ref="B35:J35"/>
    <mergeCell ref="B36:J36"/>
    <mergeCell ref="B29:J29"/>
    <mergeCell ref="B30:J30"/>
    <mergeCell ref="B31:J31"/>
    <mergeCell ref="B32:J32"/>
    <mergeCell ref="B33:J33"/>
    <mergeCell ref="B34:J34"/>
    <mergeCell ref="B28:J28"/>
    <mergeCell ref="B21:J21"/>
    <mergeCell ref="B22:J22"/>
    <mergeCell ref="B23:J23"/>
    <mergeCell ref="B24:J24"/>
    <mergeCell ref="D1:F1"/>
    <mergeCell ref="D2:F3"/>
    <mergeCell ref="D4:F4"/>
    <mergeCell ref="B17:J17"/>
    <mergeCell ref="B18:J18"/>
    <mergeCell ref="B13:J13"/>
    <mergeCell ref="B14:J14"/>
    <mergeCell ref="B15:J15"/>
    <mergeCell ref="B16:J16"/>
    <mergeCell ref="G1:H1"/>
    <mergeCell ref="I1:J1"/>
    <mergeCell ref="I2:J2"/>
    <mergeCell ref="I3:J3"/>
    <mergeCell ref="G2:H2"/>
    <mergeCell ref="G3:H3"/>
    <mergeCell ref="B49:J49"/>
    <mergeCell ref="B50:J50"/>
    <mergeCell ref="B51:J51"/>
    <mergeCell ref="I4:J4"/>
    <mergeCell ref="H6:I6"/>
    <mergeCell ref="B12:J12"/>
    <mergeCell ref="B9:D9"/>
    <mergeCell ref="B10:D10"/>
    <mergeCell ref="G9:J9"/>
    <mergeCell ref="G4:H4"/>
    <mergeCell ref="A5:F5"/>
    <mergeCell ref="B19:J19"/>
    <mergeCell ref="B20:J20"/>
    <mergeCell ref="B25:J25"/>
    <mergeCell ref="B26:J26"/>
    <mergeCell ref="B27:J27"/>
  </mergeCells>
  <phoneticPr fontId="0" type="noConversion"/>
  <conditionalFormatting sqref="D2:F4">
    <cfRule type="cellIs" dxfId="1018" priority="5" stopIfTrue="1" operator="equal">
      <formula>""</formula>
    </cfRule>
  </conditionalFormatting>
  <conditionalFormatting sqref="A13:J51">
    <cfRule type="expression" dxfId="1017" priority="2">
      <formula>AND(NOT($N13),NOT($O13),$M$1)</formula>
    </cfRule>
    <cfRule type="expression" dxfId="1016" priority="4">
      <formula>AND($M13,$L$1="M")</formula>
    </cfRule>
  </conditionalFormatting>
  <conditionalFormatting sqref="A13:A51">
    <cfRule type="expression" dxfId="1015" priority="3">
      <formula>NOT(OR($N13,$O13))</formula>
    </cfRule>
  </conditionalFormatting>
  <conditionalFormatting sqref="B13:J51">
    <cfRule type="expression" dxfId="1014" priority="1">
      <formula>LEN(B13)&gt;130</formula>
    </cfRule>
  </conditionalFormatting>
  <dataValidations count="2">
    <dataValidation type="list" allowBlank="1" showInputMessage="1" sqref="Q7" xr:uid="{00000000-0002-0000-0700-000000000000}">
      <formula1>OFFSET($R$13,0,0,$P$10,1)</formula1>
    </dataValidation>
    <dataValidation type="list" allowBlank="1" sqref="B13:J51" xr:uid="{00000000-0002-0000-07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indexed="51"/>
  </sheetPr>
  <dimension ref="A1:AM67"/>
  <sheetViews>
    <sheetView showGridLines="0" zoomScaleNormal="100" zoomScaleSheetLayoutView="100" workbookViewId="0">
      <selection activeCell="A13" sqref="A13"/>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1848" t="str">
        <f>IF(P1="","",VLOOKUP(P1,'Job Info.'!$X:$AA,4,FALSE))</f>
        <v>Master</v>
      </c>
      <c r="I1" s="1848"/>
      <c r="J1" s="1848"/>
      <c r="K1" s="1849" t="s">
        <v>95</v>
      </c>
      <c r="L1" s="1850"/>
      <c r="M1" s="1851" t="str">
        <f ca="1">'Job Info.'!D12</f>
        <v>775-428-0600</v>
      </c>
      <c r="N1" s="1852"/>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1853" t="str">
        <f>IF(P1="","",IF(VLOOKUP(P1,'Job Info.'!$X:$Z,2,FALSE),"Released for Fabrication",""))</f>
        <v/>
      </c>
      <c r="I2" s="1854"/>
      <c r="J2" s="1855"/>
      <c r="K2" s="1849" t="s">
        <v>96</v>
      </c>
      <c r="L2" s="1849"/>
      <c r="M2" s="1851" t="str">
        <f ca="1">'Job Info.'!D13</f>
        <v>775-867-2140</v>
      </c>
      <c r="N2" s="1852"/>
      <c r="R2" s="245" t="s">
        <v>122</v>
      </c>
      <c r="S2" s="245" t="s">
        <v>134</v>
      </c>
      <c r="T2" s="378"/>
    </row>
    <row r="3" spans="1:39" ht="12.95" customHeight="1" x14ac:dyDescent="0.2">
      <c r="A3" s="374"/>
      <c r="B3" s="462"/>
      <c r="C3" s="374"/>
      <c r="D3" s="474"/>
      <c r="E3" s="393"/>
      <c r="F3" s="393"/>
      <c r="G3" s="393"/>
      <c r="H3" s="1856"/>
      <c r="I3" s="1857"/>
      <c r="J3" s="1858"/>
      <c r="K3" s="1849" t="s">
        <v>98</v>
      </c>
      <c r="L3" s="1849"/>
      <c r="M3" s="1851" t="str">
        <f ca="1">'Job Info.'!D14</f>
        <v>775-867-2169</v>
      </c>
      <c r="N3" s="1852"/>
      <c r="R3" s="245" t="s">
        <v>123</v>
      </c>
      <c r="S3" s="245" t="s">
        <v>135</v>
      </c>
    </row>
    <row r="4" spans="1:39" ht="12.95" customHeight="1" thickBot="1" x14ac:dyDescent="0.25">
      <c r="A4" s="374"/>
      <c r="B4" s="462"/>
      <c r="C4" s="374"/>
      <c r="D4" s="474"/>
      <c r="E4" s="393"/>
      <c r="F4" s="393"/>
      <c r="G4" s="393"/>
      <c r="H4" s="1859" t="str">
        <f>IF(P1="","",IF(VLOOKUP(P1,'Job Info.'!$X:$Z,2,FALSE),VLOOKUP(P1,'Job Info.'!$X:$Z,3,FALSE),""))</f>
        <v/>
      </c>
      <c r="I4" s="1860"/>
      <c r="J4" s="1861"/>
      <c r="K4" s="1849" t="s">
        <v>97</v>
      </c>
      <c r="L4" s="1849"/>
      <c r="M4" s="1851" t="str">
        <f ca="1">'Job Info.'!D15</f>
        <v>775-867-2060</v>
      </c>
      <c r="N4" s="1852"/>
      <c r="R4" s="245" t="s">
        <v>124</v>
      </c>
      <c r="S4" s="245" t="s">
        <v>136</v>
      </c>
    </row>
    <row r="5" spans="1:39" ht="12.95" customHeight="1" thickTop="1" x14ac:dyDescent="0.2">
      <c r="A5" s="1862" t="str">
        <f ca="1">'Job Info.'!D11</f>
        <v>8200 Woolery Way | Fallon, NV 89406 | www.newmill.com</v>
      </c>
      <c r="B5" s="1898"/>
      <c r="C5" s="1898"/>
      <c r="D5" s="1898"/>
      <c r="E5" s="1898"/>
      <c r="F5" s="1898"/>
      <c r="G5" s="1898"/>
      <c r="H5" s="1898"/>
      <c r="I5" s="1898"/>
      <c r="J5" s="1898"/>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1832">
        <f>IF(ISBLANK('Job Info.'!D8),"",'Job Info.'!D8)</f>
        <v>45048</v>
      </c>
      <c r="M6" s="1832"/>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6" t="str">
        <f>CONCATENATE(P7, " of ",IF(ISBLANK('Job Info.'!D9),"",'Job Info.'!D9))</f>
        <v xml:space="preserve"> of 19</v>
      </c>
      <c r="M7" s="658"/>
      <c r="N7" s="374"/>
      <c r="P7" s="1083"/>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1824" t="str">
        <f>IF(ISBLANK('Job Info.'!D3),"",'Job Info.'!D3)</f>
        <v>MINDEN UPS BLDG 1</v>
      </c>
      <c r="C9" s="1902"/>
      <c r="D9" s="1902"/>
      <c r="E9" s="1902"/>
      <c r="F9" s="1902"/>
      <c r="G9" s="1902"/>
      <c r="H9" s="1902"/>
      <c r="I9" s="1902"/>
      <c r="J9" s="1903"/>
      <c r="K9" s="480" t="s">
        <v>2</v>
      </c>
      <c r="L9" s="659" t="str">
        <f>IF(ISBLANK('Job Info.'!D5),"",'Job Info.'!D5)</f>
        <v>NN22-0071</v>
      </c>
      <c r="M9" s="402"/>
      <c r="N9" s="477"/>
      <c r="R9" s="245" t="s">
        <v>129</v>
      </c>
      <c r="S9" s="245" t="s">
        <v>141</v>
      </c>
    </row>
    <row r="10" spans="1:39" ht="12.6" customHeight="1" x14ac:dyDescent="0.2">
      <c r="A10" s="480" t="s">
        <v>3</v>
      </c>
      <c r="B10" s="1824" t="str">
        <f>IF(ISBLANK('Job Info.'!D4),"",'Job Info.'!D4)</f>
        <v>MINDEN, NV</v>
      </c>
      <c r="C10" s="1902"/>
      <c r="D10" s="1902"/>
      <c r="E10" s="1902"/>
      <c r="F10" s="1902"/>
      <c r="G10" s="1902"/>
      <c r="H10" s="1902"/>
      <c r="I10" s="1902"/>
      <c r="J10" s="1903"/>
      <c r="K10" s="480" t="s">
        <v>22</v>
      </c>
      <c r="L10" s="660" t="str">
        <f>IF(ISBLANK('Job Info.'!D6),"",'Job Info.'!D6)</f>
        <v>JMM</v>
      </c>
      <c r="M10" s="480" t="s">
        <v>23</v>
      </c>
      <c r="N10" s="661" t="str">
        <f>IF(ISBLANK('Job Info.'!D7),"",'Job Info.'!D7)</f>
        <v>NR</v>
      </c>
      <c r="AJ10" s="1883" t="s">
        <v>1114</v>
      </c>
      <c r="AK10" s="1884"/>
      <c r="AL10" s="1884"/>
    </row>
    <row r="11" spans="1:39" ht="3.95" customHeight="1" x14ac:dyDescent="0.2">
      <c r="A11" s="1086"/>
      <c r="B11" s="462"/>
      <c r="C11" s="374"/>
      <c r="D11" s="474"/>
      <c r="E11" s="374"/>
      <c r="F11" s="374"/>
      <c r="G11" s="374"/>
      <c r="H11" s="374"/>
      <c r="I11" s="374"/>
      <c r="J11" s="374"/>
      <c r="K11" s="374"/>
      <c r="L11" s="374"/>
      <c r="M11" s="374"/>
      <c r="N11" s="374"/>
      <c r="AJ11" s="1884"/>
      <c r="AK11" s="1884"/>
      <c r="AL11" s="1884"/>
    </row>
    <row r="12" spans="1:39" s="478" customFormat="1" ht="16.350000000000001" customHeight="1" x14ac:dyDescent="0.2">
      <c r="A12" s="1054" t="s">
        <v>54</v>
      </c>
      <c r="B12" s="1901" t="s">
        <v>120</v>
      </c>
      <c r="C12" s="1843"/>
      <c r="D12" s="1844"/>
      <c r="E12" s="1842" t="s">
        <v>1183</v>
      </c>
      <c r="F12" s="1843"/>
      <c r="G12" s="1843"/>
      <c r="H12" s="1843"/>
      <c r="I12" s="1843"/>
      <c r="J12" s="1843"/>
      <c r="K12" s="1899"/>
      <c r="L12" s="1899"/>
      <c r="M12" s="1899"/>
      <c r="N12" s="1900"/>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1885"/>
      <c r="AK12" s="1885"/>
      <c r="AL12" s="1885"/>
    </row>
    <row r="13" spans="1:39" ht="16.350000000000001" customHeight="1" x14ac:dyDescent="0.2">
      <c r="A13" s="1078"/>
      <c r="B13" s="1079"/>
      <c r="C13" s="1057"/>
      <c r="D13" s="1080"/>
      <c r="E13" s="1895"/>
      <c r="F13" s="1896"/>
      <c r="G13" s="1896"/>
      <c r="H13" s="1896"/>
      <c r="I13" s="1896"/>
      <c r="J13" s="1896"/>
      <c r="K13" s="1896"/>
      <c r="L13" s="1896"/>
      <c r="M13" s="1896"/>
      <c r="N13" s="1897"/>
      <c r="P13" s="464" t="str">
        <f t="shared" ref="P13:P48" si="0">CONCATENATE(IF(ISBLANK(B13),"",VLOOKUP(B13,$R$1:$S$9,2,FALSE)),IF(ISBLANK(C13),"",CONCATENATE("/",VLOOKUP(C13,$R$1:$S$9,2,FALSE))),IF(ISBLANK(D13),"",CONCATENATE("/",VLOOKUP(D13,$R$1:$S$9,2,FALSE))))</f>
        <v/>
      </c>
      <c r="R13" s="238" t="str">
        <f t="shared" ref="R13:R48" ca="1" si="1">OFFSET($R$1,R$12+(COUNTIF($R$1:$R$1,B13)),0)</f>
        <v>WHT</v>
      </c>
      <c r="S13" s="238" t="str">
        <f t="shared" ref="S13:S48" ca="1" si="2">OFFSET($R$1,S$12+(COUNTIF($R$1:$R$2,B13)),0)</f>
        <v>BRN</v>
      </c>
      <c r="T13" s="238" t="str">
        <f t="shared" ref="T13:T48" ca="1" si="3">OFFSET($R$1,T$12+(COUNTIF($R$1:$R$3,B13)),0)</f>
        <v>ORG</v>
      </c>
      <c r="U13" s="238" t="str">
        <f t="shared" ref="U13:U48" ca="1" si="4">OFFSET($R$1,U$12+(COUNTIF($R$1:$R$4,B13)),0)</f>
        <v>BLU</v>
      </c>
      <c r="V13" s="238" t="str">
        <f t="shared" ref="V13:V48" ca="1" si="5">OFFSET($R$1,V$12+(COUNTIF($R$1:$R$5,B13)),0)</f>
        <v>GRN</v>
      </c>
      <c r="W13" s="238" t="str">
        <f t="shared" ref="W13:W48" ca="1" si="6">OFFSET($R$1,W$12+(COUNTIF($R$1:$R$6,B13)),0)</f>
        <v>YLW</v>
      </c>
      <c r="X13" s="238" t="str">
        <f t="shared" ref="X13:X48" ca="1" si="7">OFFSET($R$1,X$12+(COUNTIF($R$1:$R$7,B13)),0)</f>
        <v>PRP</v>
      </c>
      <c r="Y13" s="238" t="str">
        <f t="shared" ref="Y13:Y48" ca="1" si="8">OFFSET($R$1,Y$12+(COUNTIF($R$1:$R$8,B13)),0)</f>
        <v>RED</v>
      </c>
      <c r="Z13" s="238" t="str">
        <f ca="1">OFFSET($R13,0,R$12+(COUNTIF($R13:R13,$C13)))</f>
        <v>WHT</v>
      </c>
      <c r="AA13" s="238" t="str">
        <f ca="1">OFFSET($R13,0,S$12+(COUNTIF($R13:S13,$C13)))</f>
        <v>BRN</v>
      </c>
      <c r="AB13" s="238" t="str">
        <f ca="1">OFFSET($R13,0,T$12+(COUNTIF($R13:T13,$C13)))</f>
        <v>ORG</v>
      </c>
      <c r="AC13" s="238" t="str">
        <f ca="1">OFFSET($R13,0,U$12+(COUNTIF($R13:U13,$C13)))</f>
        <v>BLU</v>
      </c>
      <c r="AD13" s="238" t="str">
        <f ca="1">OFFSET($R13,0,V$12+(COUNTIF($R13:V13,$C13)))</f>
        <v>GRN</v>
      </c>
      <c r="AE13" s="238" t="str">
        <f ca="1">OFFSET($R13,0,W$12+(COUNTIF($R13:W13,$C13)))</f>
        <v>YLW</v>
      </c>
      <c r="AF13" s="238" t="str">
        <f ca="1">OFFSET($R13,0,X$12+(COUNTIF($R13:X13,$C13)))</f>
        <v>PRP</v>
      </c>
      <c r="AG13" s="245" t="b">
        <f t="shared" ref="AG13:AG25" si="9">ISBLANK(B13)</f>
        <v>1</v>
      </c>
      <c r="AH13" s="245" t="b">
        <f t="shared" ref="AH13:AH25" si="10">ISBLANK(C13)</f>
        <v>1</v>
      </c>
      <c r="AJ13" s="996" t="s">
        <v>121</v>
      </c>
      <c r="AK13" s="996"/>
      <c r="AL13" s="996"/>
    </row>
    <row r="14" spans="1:39" ht="16.350000000000001" customHeight="1" x14ac:dyDescent="0.2">
      <c r="A14" s="1072"/>
      <c r="B14" s="1074"/>
      <c r="C14" s="652"/>
      <c r="D14" s="1075"/>
      <c r="E14" s="1886"/>
      <c r="F14" s="1887"/>
      <c r="G14" s="1887"/>
      <c r="H14" s="1887"/>
      <c r="I14" s="1887"/>
      <c r="J14" s="1887"/>
      <c r="K14" s="1887"/>
      <c r="L14" s="1887"/>
      <c r="M14" s="1887"/>
      <c r="N14" s="1888"/>
      <c r="P14" s="464" t="str">
        <f t="shared" si="0"/>
        <v/>
      </c>
      <c r="R14" s="238" t="str">
        <f t="shared" ca="1" si="1"/>
        <v>WHT</v>
      </c>
      <c r="S14" s="238" t="str">
        <f t="shared" ca="1" si="2"/>
        <v>BRN</v>
      </c>
      <c r="T14" s="238" t="str">
        <f t="shared" ca="1" si="3"/>
        <v>ORG</v>
      </c>
      <c r="U14" s="238" t="str">
        <f t="shared" ca="1" si="4"/>
        <v>BLU</v>
      </c>
      <c r="V14" s="238" t="str">
        <f t="shared" ca="1" si="5"/>
        <v>GRN</v>
      </c>
      <c r="W14" s="238" t="str">
        <f t="shared" ca="1" si="6"/>
        <v>YLW</v>
      </c>
      <c r="X14" s="238" t="str">
        <f t="shared" ca="1" si="7"/>
        <v>PRP</v>
      </c>
      <c r="Y14" s="238" t="str">
        <f t="shared" ca="1" si="8"/>
        <v>RED</v>
      </c>
      <c r="Z14" s="238" t="str">
        <f ca="1">OFFSET($R14,0,R$12+(COUNTIF($R14:R14,$C14)))</f>
        <v>WHT</v>
      </c>
      <c r="AA14" s="238" t="str">
        <f ca="1">OFFSET($R14,0,S$12+(COUNTIF($R14:S14,$C14)))</f>
        <v>BRN</v>
      </c>
      <c r="AB14" s="238" t="str">
        <f ca="1">OFFSET($R14,0,T$12+(COUNTIF($R14:T14,$C14)))</f>
        <v>ORG</v>
      </c>
      <c r="AC14" s="238" t="str">
        <f ca="1">OFFSET($R14,0,U$12+(COUNTIF($R14:U14,$C14)))</f>
        <v>BLU</v>
      </c>
      <c r="AD14" s="238" t="str">
        <f ca="1">OFFSET($R14,0,V$12+(COUNTIF($R14:V14,$C14)))</f>
        <v>GRN</v>
      </c>
      <c r="AE14" s="238" t="str">
        <f ca="1">OFFSET($R14,0,W$12+(COUNTIF($R14:W14,$C14)))</f>
        <v>YLW</v>
      </c>
      <c r="AF14" s="238" t="str">
        <f ca="1">OFFSET($R14,0,X$12+(COUNTIF($R14:X14,$C14)))</f>
        <v>PRP</v>
      </c>
      <c r="AG14" s="245" t="b">
        <f t="shared" si="9"/>
        <v>1</v>
      </c>
      <c r="AH14" s="245" t="b">
        <f t="shared" si="10"/>
        <v>1</v>
      </c>
      <c r="AJ14" s="996" t="s">
        <v>122</v>
      </c>
      <c r="AK14" s="996"/>
      <c r="AL14" s="996"/>
    </row>
    <row r="15" spans="1:39" ht="16.350000000000001" customHeight="1" x14ac:dyDescent="0.2">
      <c r="A15" s="1072"/>
      <c r="B15" s="1074"/>
      <c r="C15" s="652"/>
      <c r="D15" s="1075"/>
      <c r="E15" s="1886"/>
      <c r="F15" s="1887"/>
      <c r="G15" s="1887"/>
      <c r="H15" s="1887"/>
      <c r="I15" s="1887"/>
      <c r="J15" s="1887"/>
      <c r="K15" s="1887"/>
      <c r="L15" s="1887"/>
      <c r="M15" s="1887"/>
      <c r="N15" s="1888"/>
      <c r="P15" s="464" t="str">
        <f t="shared" si="0"/>
        <v/>
      </c>
      <c r="R15" s="238" t="str">
        <f t="shared" ca="1" si="1"/>
        <v>WHT</v>
      </c>
      <c r="S15" s="238" t="str">
        <f t="shared" ca="1" si="2"/>
        <v>BRN</v>
      </c>
      <c r="T15" s="238" t="str">
        <f t="shared" ca="1" si="3"/>
        <v>ORG</v>
      </c>
      <c r="U15" s="238" t="str">
        <f t="shared" ca="1" si="4"/>
        <v>BLU</v>
      </c>
      <c r="V15" s="238" t="str">
        <f t="shared" ca="1" si="5"/>
        <v>GRN</v>
      </c>
      <c r="W15" s="238" t="str">
        <f t="shared" ca="1" si="6"/>
        <v>YLW</v>
      </c>
      <c r="X15" s="238" t="str">
        <f t="shared" ca="1" si="7"/>
        <v>PRP</v>
      </c>
      <c r="Y15" s="238" t="str">
        <f t="shared" ca="1" si="8"/>
        <v>RED</v>
      </c>
      <c r="Z15" s="238" t="str">
        <f ca="1">OFFSET($R15,0,R$12+(COUNTIF($R15:R15,$C15)))</f>
        <v>WHT</v>
      </c>
      <c r="AA15" s="238" t="str">
        <f ca="1">OFFSET($R15,0,S$12+(COUNTIF($R15:S15,$C15)))</f>
        <v>BRN</v>
      </c>
      <c r="AB15" s="238" t="str">
        <f ca="1">OFFSET($R15,0,T$12+(COUNTIF($R15:T15,$C15)))</f>
        <v>ORG</v>
      </c>
      <c r="AC15" s="238" t="str">
        <f ca="1">OFFSET($R15,0,U$12+(COUNTIF($R15:U15,$C15)))</f>
        <v>BLU</v>
      </c>
      <c r="AD15" s="238" t="str">
        <f ca="1">OFFSET($R15,0,V$12+(COUNTIF($R15:V15,$C15)))</f>
        <v>GRN</v>
      </c>
      <c r="AE15" s="238" t="str">
        <f ca="1">OFFSET($R15,0,W$12+(COUNTIF($R15:W15,$C15)))</f>
        <v>YLW</v>
      </c>
      <c r="AF15" s="238" t="str">
        <f ca="1">OFFSET($R15,0,X$12+(COUNTIF($R15:X15,$C15)))</f>
        <v>PRP</v>
      </c>
      <c r="AG15" s="245" t="b">
        <f t="shared" si="9"/>
        <v>1</v>
      </c>
      <c r="AH15" s="245" t="b">
        <f t="shared" si="10"/>
        <v>1</v>
      </c>
      <c r="AJ15" s="996" t="s">
        <v>123</v>
      </c>
      <c r="AK15" s="996"/>
      <c r="AL15" s="996"/>
    </row>
    <row r="16" spans="1:39" ht="16.350000000000001" customHeight="1" x14ac:dyDescent="0.2">
      <c r="A16" s="1072"/>
      <c r="B16" s="1074"/>
      <c r="C16" s="652"/>
      <c r="D16" s="1075"/>
      <c r="E16" s="1886"/>
      <c r="F16" s="1887"/>
      <c r="G16" s="1887"/>
      <c r="H16" s="1887"/>
      <c r="I16" s="1887"/>
      <c r="J16" s="1887"/>
      <c r="K16" s="1887"/>
      <c r="L16" s="1887"/>
      <c r="M16" s="1887"/>
      <c r="N16" s="1888"/>
      <c r="P16" s="464" t="str">
        <f t="shared" si="0"/>
        <v/>
      </c>
      <c r="R16" s="238" t="str">
        <f t="shared" ca="1" si="1"/>
        <v>WHT</v>
      </c>
      <c r="S16" s="238" t="str">
        <f t="shared" ca="1" si="2"/>
        <v>BRN</v>
      </c>
      <c r="T16" s="238" t="str">
        <f t="shared" ca="1" si="3"/>
        <v>ORG</v>
      </c>
      <c r="U16" s="238" t="str">
        <f t="shared" ca="1" si="4"/>
        <v>BLU</v>
      </c>
      <c r="V16" s="238" t="str">
        <f t="shared" ca="1" si="5"/>
        <v>GRN</v>
      </c>
      <c r="W16" s="238" t="str">
        <f t="shared" ca="1" si="6"/>
        <v>YLW</v>
      </c>
      <c r="X16" s="238" t="str">
        <f t="shared" ca="1" si="7"/>
        <v>PRP</v>
      </c>
      <c r="Y16" s="238" t="str">
        <f t="shared" ca="1" si="8"/>
        <v>RED</v>
      </c>
      <c r="Z16" s="238" t="str">
        <f ca="1">OFFSET($R16,0,R$12+(COUNTIF($R16:R16,$C16)))</f>
        <v>WHT</v>
      </c>
      <c r="AA16" s="238" t="str">
        <f ca="1">OFFSET($R16,0,S$12+(COUNTIF($R16:S16,$C16)))</f>
        <v>BRN</v>
      </c>
      <c r="AB16" s="238" t="str">
        <f ca="1">OFFSET($R16,0,T$12+(COUNTIF($R16:T16,$C16)))</f>
        <v>ORG</v>
      </c>
      <c r="AC16" s="238" t="str">
        <f ca="1">OFFSET($R16,0,U$12+(COUNTIF($R16:U16,$C16)))</f>
        <v>BLU</v>
      </c>
      <c r="AD16" s="238" t="str">
        <f ca="1">OFFSET($R16,0,V$12+(COUNTIF($R16:V16,$C16)))</f>
        <v>GRN</v>
      </c>
      <c r="AE16" s="238" t="str">
        <f ca="1">OFFSET($R16,0,W$12+(COUNTIF($R16:W16,$C16)))</f>
        <v>YLW</v>
      </c>
      <c r="AF16" s="238" t="str">
        <f ca="1">OFFSET($R16,0,X$12+(COUNTIF($R16:X16,$C16)))</f>
        <v>PRP</v>
      </c>
      <c r="AG16" s="245" t="b">
        <f t="shared" si="9"/>
        <v>1</v>
      </c>
      <c r="AH16" s="245" t="b">
        <f t="shared" si="10"/>
        <v>1</v>
      </c>
      <c r="AJ16" s="996" t="s">
        <v>124</v>
      </c>
      <c r="AK16" s="996"/>
      <c r="AL16" s="996"/>
    </row>
    <row r="17" spans="1:38" ht="16.350000000000001" customHeight="1" x14ac:dyDescent="0.2">
      <c r="A17" s="1072"/>
      <c r="B17" s="1074"/>
      <c r="C17" s="652"/>
      <c r="D17" s="1075"/>
      <c r="E17" s="1886"/>
      <c r="F17" s="1887"/>
      <c r="G17" s="1887"/>
      <c r="H17" s="1887"/>
      <c r="I17" s="1887"/>
      <c r="J17" s="1887"/>
      <c r="K17" s="1887"/>
      <c r="L17" s="1887"/>
      <c r="M17" s="1887"/>
      <c r="N17" s="1888"/>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10"/>
        <v>1</v>
      </c>
      <c r="AJ17" s="996" t="s">
        <v>125</v>
      </c>
      <c r="AK17" s="996"/>
      <c r="AL17" s="996"/>
    </row>
    <row r="18" spans="1:38" ht="16.350000000000001" customHeight="1" x14ac:dyDescent="0.2">
      <c r="A18" s="1072"/>
      <c r="B18" s="1074"/>
      <c r="C18" s="652"/>
      <c r="D18" s="1075"/>
      <c r="E18" s="1886"/>
      <c r="F18" s="1887"/>
      <c r="G18" s="1887"/>
      <c r="H18" s="1887"/>
      <c r="I18" s="1887"/>
      <c r="J18" s="1887"/>
      <c r="K18" s="1887"/>
      <c r="L18" s="1887"/>
      <c r="M18" s="1887"/>
      <c r="N18" s="1888"/>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10"/>
        <v>1</v>
      </c>
      <c r="AJ18" s="996" t="s">
        <v>126</v>
      </c>
      <c r="AK18" s="996"/>
      <c r="AL18" s="996"/>
    </row>
    <row r="19" spans="1:38" ht="16.350000000000001" customHeight="1" x14ac:dyDescent="0.2">
      <c r="A19" s="1072"/>
      <c r="B19" s="1074"/>
      <c r="C19" s="652"/>
      <c r="D19" s="1075"/>
      <c r="E19" s="1886"/>
      <c r="F19" s="1887"/>
      <c r="G19" s="1887"/>
      <c r="H19" s="1887"/>
      <c r="I19" s="1887"/>
      <c r="J19" s="1887"/>
      <c r="K19" s="1887"/>
      <c r="L19" s="1887"/>
      <c r="M19" s="1887"/>
      <c r="N19" s="1888"/>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10"/>
        <v>1</v>
      </c>
      <c r="AJ19" s="996" t="s">
        <v>127</v>
      </c>
      <c r="AK19" s="996"/>
      <c r="AL19" s="996"/>
    </row>
    <row r="20" spans="1:38" ht="16.350000000000001" customHeight="1" x14ac:dyDescent="0.2">
      <c r="A20" s="1072"/>
      <c r="B20" s="1074"/>
      <c r="C20" s="652"/>
      <c r="D20" s="1075"/>
      <c r="E20" s="1886"/>
      <c r="F20" s="1887"/>
      <c r="G20" s="1887"/>
      <c r="H20" s="1887"/>
      <c r="I20" s="1887"/>
      <c r="J20" s="1887"/>
      <c r="K20" s="1887"/>
      <c r="L20" s="1887"/>
      <c r="M20" s="1887"/>
      <c r="N20" s="1888"/>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10"/>
        <v>1</v>
      </c>
      <c r="AJ20" s="996" t="s">
        <v>128</v>
      </c>
      <c r="AK20" s="996"/>
      <c r="AL20" s="996"/>
    </row>
    <row r="21" spans="1:38" ht="16.350000000000001" customHeight="1" x14ac:dyDescent="0.2">
      <c r="A21" s="1072"/>
      <c r="B21" s="1074"/>
      <c r="C21" s="652"/>
      <c r="D21" s="1075"/>
      <c r="E21" s="1886"/>
      <c r="F21" s="1887"/>
      <c r="G21" s="1887"/>
      <c r="H21" s="1887"/>
      <c r="I21" s="1887"/>
      <c r="J21" s="1887"/>
      <c r="K21" s="1887"/>
      <c r="L21" s="1887"/>
      <c r="M21" s="1887"/>
      <c r="N21" s="1888"/>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10"/>
        <v>1</v>
      </c>
      <c r="AJ21" s="996" t="s">
        <v>129</v>
      </c>
      <c r="AK21" s="996"/>
      <c r="AL21" s="996"/>
    </row>
    <row r="22" spans="1:38" ht="16.350000000000001" customHeight="1" x14ac:dyDescent="0.2">
      <c r="A22" s="1072"/>
      <c r="B22" s="1074"/>
      <c r="C22" s="652"/>
      <c r="D22" s="1075"/>
      <c r="E22" s="1886"/>
      <c r="F22" s="1887"/>
      <c r="G22" s="1887"/>
      <c r="H22" s="1887"/>
      <c r="I22" s="1887"/>
      <c r="J22" s="1887"/>
      <c r="K22" s="1887"/>
      <c r="L22" s="1887"/>
      <c r="M22" s="1887"/>
      <c r="N22" s="1888"/>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10"/>
        <v>1</v>
      </c>
      <c r="AJ22" s="996" t="s">
        <v>121</v>
      </c>
      <c r="AK22" s="996" t="s">
        <v>129</v>
      </c>
      <c r="AL22" s="996"/>
    </row>
    <row r="23" spans="1:38" ht="16.350000000000001" customHeight="1" x14ac:dyDescent="0.2">
      <c r="A23" s="1072"/>
      <c r="B23" s="1074"/>
      <c r="C23" s="652"/>
      <c r="D23" s="1075"/>
      <c r="E23" s="1886"/>
      <c r="F23" s="1887"/>
      <c r="G23" s="1887"/>
      <c r="H23" s="1887"/>
      <c r="I23" s="1887"/>
      <c r="J23" s="1887"/>
      <c r="K23" s="1887"/>
      <c r="L23" s="1887"/>
      <c r="M23" s="1887"/>
      <c r="N23" s="1888"/>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10"/>
        <v>1</v>
      </c>
      <c r="AJ23" s="996" t="s">
        <v>122</v>
      </c>
      <c r="AK23" s="996" t="s">
        <v>128</v>
      </c>
      <c r="AL23" s="996"/>
    </row>
    <row r="24" spans="1:38" ht="16.350000000000001" customHeight="1" x14ac:dyDescent="0.2">
      <c r="A24" s="1072"/>
      <c r="B24" s="1074"/>
      <c r="C24" s="652"/>
      <c r="D24" s="1075"/>
      <c r="E24" s="1886"/>
      <c r="F24" s="1887"/>
      <c r="G24" s="1887"/>
      <c r="H24" s="1887"/>
      <c r="I24" s="1887"/>
      <c r="J24" s="1887"/>
      <c r="K24" s="1887"/>
      <c r="L24" s="1887"/>
      <c r="M24" s="1887"/>
      <c r="N24" s="1888"/>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10"/>
        <v>1</v>
      </c>
      <c r="AJ24" s="996" t="s">
        <v>123</v>
      </c>
      <c r="AK24" s="996" t="s">
        <v>127</v>
      </c>
      <c r="AL24" s="996"/>
    </row>
    <row r="25" spans="1:38" ht="16.350000000000001" customHeight="1" x14ac:dyDescent="0.2">
      <c r="A25" s="1072"/>
      <c r="B25" s="1074"/>
      <c r="C25" s="652"/>
      <c r="D25" s="1075"/>
      <c r="E25" s="1886"/>
      <c r="F25" s="1887"/>
      <c r="G25" s="1887"/>
      <c r="H25" s="1887"/>
      <c r="I25" s="1887"/>
      <c r="J25" s="1887"/>
      <c r="K25" s="1887"/>
      <c r="L25" s="1887"/>
      <c r="M25" s="1887"/>
      <c r="N25" s="1888"/>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10"/>
        <v>1</v>
      </c>
      <c r="AJ25" s="996" t="s">
        <v>124</v>
      </c>
      <c r="AK25" s="996" t="s">
        <v>126</v>
      </c>
      <c r="AL25" s="996"/>
    </row>
    <row r="26" spans="1:38" ht="16.350000000000001" customHeight="1" x14ac:dyDescent="0.2">
      <c r="A26" s="1072"/>
      <c r="B26" s="1074"/>
      <c r="C26" s="652"/>
      <c r="D26" s="1075"/>
      <c r="E26" s="1886"/>
      <c r="F26" s="1887"/>
      <c r="G26" s="1887"/>
      <c r="H26" s="1887"/>
      <c r="I26" s="1887"/>
      <c r="J26" s="1887"/>
      <c r="K26" s="1887"/>
      <c r="L26" s="1887"/>
      <c r="M26" s="1887"/>
      <c r="N26" s="1888"/>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ref="AG26:AG48" si="11">ISBLANK(B26)</f>
        <v>1</v>
      </c>
      <c r="AH26" s="245" t="b">
        <f t="shared" ref="AH26:AH48" si="12">ISBLANK(C26)</f>
        <v>1</v>
      </c>
      <c r="AJ26" s="996" t="s">
        <v>125</v>
      </c>
      <c r="AK26" s="996" t="s">
        <v>1113</v>
      </c>
      <c r="AL26" s="996"/>
    </row>
    <row r="27" spans="1:38" ht="16.350000000000001" customHeight="1" x14ac:dyDescent="0.2">
      <c r="A27" s="1072"/>
      <c r="B27" s="1074"/>
      <c r="C27" s="652"/>
      <c r="D27" s="1075"/>
      <c r="E27" s="1886"/>
      <c r="F27" s="1887"/>
      <c r="G27" s="1887"/>
      <c r="H27" s="1887"/>
      <c r="I27" s="1887"/>
      <c r="J27" s="1887"/>
      <c r="K27" s="1887"/>
      <c r="L27" s="1887"/>
      <c r="M27" s="1887"/>
      <c r="N27" s="1888"/>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11"/>
        <v>1</v>
      </c>
      <c r="AH27" s="245" t="b">
        <f t="shared" si="12"/>
        <v>1</v>
      </c>
      <c r="AJ27" s="996" t="s">
        <v>122</v>
      </c>
      <c r="AK27" s="996" t="s">
        <v>129</v>
      </c>
      <c r="AL27" s="996"/>
    </row>
    <row r="28" spans="1:38" ht="16.350000000000001" customHeight="1" x14ac:dyDescent="0.2">
      <c r="A28" s="1072"/>
      <c r="B28" s="1074"/>
      <c r="C28" s="652"/>
      <c r="D28" s="1075"/>
      <c r="E28" s="1889"/>
      <c r="F28" s="1890"/>
      <c r="G28" s="1890"/>
      <c r="H28" s="1890"/>
      <c r="I28" s="1890"/>
      <c r="J28" s="1890"/>
      <c r="K28" s="1890"/>
      <c r="L28" s="1890"/>
      <c r="M28" s="1890"/>
      <c r="N28" s="1891"/>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11"/>
        <v>1</v>
      </c>
      <c r="AH28" s="245" t="b">
        <f t="shared" si="12"/>
        <v>1</v>
      </c>
      <c r="AJ28" s="996" t="s">
        <v>123</v>
      </c>
      <c r="AK28" s="996" t="s">
        <v>128</v>
      </c>
      <c r="AL28" s="996"/>
    </row>
    <row r="29" spans="1:38" ht="16.350000000000001" customHeight="1" x14ac:dyDescent="0.2">
      <c r="A29" s="1072"/>
      <c r="B29" s="1074"/>
      <c r="C29" s="652"/>
      <c r="D29" s="1075"/>
      <c r="E29" s="1889"/>
      <c r="F29" s="1890"/>
      <c r="G29" s="1890"/>
      <c r="H29" s="1890"/>
      <c r="I29" s="1890"/>
      <c r="J29" s="1890"/>
      <c r="K29" s="1890"/>
      <c r="L29" s="1890"/>
      <c r="M29" s="1890"/>
      <c r="N29" s="1891"/>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si="11"/>
        <v>1</v>
      </c>
      <c r="AH29" s="245" t="b">
        <f t="shared" si="12"/>
        <v>1</v>
      </c>
      <c r="AJ29" s="996" t="s">
        <v>124</v>
      </c>
      <c r="AK29" s="996" t="s">
        <v>127</v>
      </c>
      <c r="AL29" s="996"/>
    </row>
    <row r="30" spans="1:38" ht="16.350000000000001" customHeight="1" x14ac:dyDescent="0.2">
      <c r="A30" s="1072"/>
      <c r="B30" s="1074"/>
      <c r="C30" s="652"/>
      <c r="D30" s="1075"/>
      <c r="E30" s="1889"/>
      <c r="F30" s="1890"/>
      <c r="G30" s="1890"/>
      <c r="H30" s="1890"/>
      <c r="I30" s="1890"/>
      <c r="J30" s="1890"/>
      <c r="K30" s="1890"/>
      <c r="L30" s="1890"/>
      <c r="M30" s="1890"/>
      <c r="N30" s="1891"/>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1"/>
        <v>1</v>
      </c>
      <c r="AH30" s="245" t="b">
        <f t="shared" si="12"/>
        <v>1</v>
      </c>
      <c r="AJ30" s="996" t="s">
        <v>125</v>
      </c>
      <c r="AK30" s="996" t="s">
        <v>126</v>
      </c>
      <c r="AL30" s="996"/>
    </row>
    <row r="31" spans="1:38" ht="16.350000000000001" customHeight="1" x14ac:dyDescent="0.2">
      <c r="A31" s="1072"/>
      <c r="B31" s="1074"/>
      <c r="C31" s="652"/>
      <c r="D31" s="1075"/>
      <c r="E31" s="1889"/>
      <c r="F31" s="1890"/>
      <c r="G31" s="1890"/>
      <c r="H31" s="1890"/>
      <c r="I31" s="1890"/>
      <c r="J31" s="1890"/>
      <c r="K31" s="1890"/>
      <c r="L31" s="1890"/>
      <c r="M31" s="1890"/>
      <c r="N31" s="1891"/>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1"/>
        <v>1</v>
      </c>
      <c r="AH31" s="245" t="b">
        <f t="shared" si="12"/>
        <v>1</v>
      </c>
      <c r="AJ31" s="996" t="s">
        <v>121</v>
      </c>
      <c r="AK31" s="996" t="s">
        <v>122</v>
      </c>
      <c r="AL31" s="996"/>
    </row>
    <row r="32" spans="1:38" ht="16.350000000000001" customHeight="1" x14ac:dyDescent="0.2">
      <c r="A32" s="1072"/>
      <c r="B32" s="1074"/>
      <c r="C32" s="652"/>
      <c r="D32" s="1075"/>
      <c r="E32" s="1889"/>
      <c r="F32" s="1890"/>
      <c r="G32" s="1890"/>
      <c r="H32" s="1890"/>
      <c r="I32" s="1890"/>
      <c r="J32" s="1890"/>
      <c r="K32" s="1890"/>
      <c r="L32" s="1890"/>
      <c r="M32" s="1890"/>
      <c r="N32" s="1891"/>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1"/>
        <v>1</v>
      </c>
      <c r="AH32" s="245" t="b">
        <f t="shared" si="12"/>
        <v>1</v>
      </c>
      <c r="AJ32" s="996" t="s">
        <v>123</v>
      </c>
      <c r="AK32" s="996" t="s">
        <v>124</v>
      </c>
      <c r="AL32" s="996"/>
    </row>
    <row r="33" spans="1:38" ht="16.350000000000001" customHeight="1" x14ac:dyDescent="0.2">
      <c r="A33" s="1072"/>
      <c r="B33" s="1074"/>
      <c r="C33" s="652"/>
      <c r="D33" s="1075"/>
      <c r="E33" s="1889"/>
      <c r="F33" s="1890"/>
      <c r="G33" s="1890"/>
      <c r="H33" s="1890"/>
      <c r="I33" s="1890"/>
      <c r="J33" s="1890"/>
      <c r="K33" s="1890"/>
      <c r="L33" s="1890"/>
      <c r="M33" s="1890"/>
      <c r="N33" s="1891"/>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1"/>
        <v>1</v>
      </c>
      <c r="AH33" s="245" t="b">
        <f t="shared" si="12"/>
        <v>1</v>
      </c>
      <c r="AJ33" s="996" t="s">
        <v>126</v>
      </c>
      <c r="AK33" s="996" t="s">
        <v>127</v>
      </c>
      <c r="AL33" s="996"/>
    </row>
    <row r="34" spans="1:38" ht="16.350000000000001" customHeight="1" x14ac:dyDescent="0.2">
      <c r="A34" s="1072"/>
      <c r="B34" s="1074"/>
      <c r="C34" s="652"/>
      <c r="D34" s="1075"/>
      <c r="E34" s="1889"/>
      <c r="F34" s="1890"/>
      <c r="G34" s="1890"/>
      <c r="H34" s="1890"/>
      <c r="I34" s="1890"/>
      <c r="J34" s="1890"/>
      <c r="K34" s="1890"/>
      <c r="L34" s="1890"/>
      <c r="M34" s="1890"/>
      <c r="N34" s="1891"/>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1"/>
        <v>1</v>
      </c>
      <c r="AH34" s="245" t="b">
        <f t="shared" si="12"/>
        <v>1</v>
      </c>
      <c r="AJ34" s="996" t="s">
        <v>128</v>
      </c>
      <c r="AK34" s="996" t="s">
        <v>129</v>
      </c>
      <c r="AL34" s="996"/>
    </row>
    <row r="35" spans="1:38" ht="16.350000000000001" customHeight="1" x14ac:dyDescent="0.2">
      <c r="A35" s="1072"/>
      <c r="B35" s="1074"/>
      <c r="C35" s="652"/>
      <c r="D35" s="1075"/>
      <c r="E35" s="1886"/>
      <c r="F35" s="1887"/>
      <c r="G35" s="1887"/>
      <c r="H35" s="1887"/>
      <c r="I35" s="1887"/>
      <c r="J35" s="1887"/>
      <c r="K35" s="1887"/>
      <c r="L35" s="1887"/>
      <c r="M35" s="1887"/>
      <c r="N35" s="1888"/>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1"/>
        <v>1</v>
      </c>
      <c r="AH35" s="245" t="b">
        <f t="shared" si="12"/>
        <v>1</v>
      </c>
      <c r="AJ35" s="996" t="s">
        <v>122</v>
      </c>
      <c r="AK35" s="996" t="s">
        <v>125</v>
      </c>
      <c r="AL35" s="996"/>
    </row>
    <row r="36" spans="1:38" ht="16.350000000000001" customHeight="1" x14ac:dyDescent="0.2">
      <c r="A36" s="1072"/>
      <c r="B36" s="1074"/>
      <c r="C36" s="652"/>
      <c r="D36" s="1075"/>
      <c r="E36" s="1886"/>
      <c r="F36" s="1887"/>
      <c r="G36" s="1887"/>
      <c r="H36" s="1887"/>
      <c r="I36" s="1887"/>
      <c r="J36" s="1887"/>
      <c r="K36" s="1887"/>
      <c r="L36" s="1887"/>
      <c r="M36" s="1887"/>
      <c r="N36" s="1888"/>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1"/>
        <v>1</v>
      </c>
      <c r="AH36" s="245" t="b">
        <f t="shared" si="12"/>
        <v>1</v>
      </c>
      <c r="AJ36" s="996" t="s">
        <v>124</v>
      </c>
      <c r="AK36" s="996" t="s">
        <v>128</v>
      </c>
      <c r="AL36" s="996"/>
    </row>
    <row r="37" spans="1:38" ht="16.350000000000001" customHeight="1" x14ac:dyDescent="0.2">
      <c r="A37" s="1072"/>
      <c r="B37" s="1074"/>
      <c r="C37" s="652"/>
      <c r="D37" s="1075"/>
      <c r="E37" s="1886"/>
      <c r="F37" s="1887"/>
      <c r="G37" s="1887"/>
      <c r="H37" s="1887"/>
      <c r="I37" s="1887"/>
      <c r="J37" s="1887"/>
      <c r="K37" s="1887"/>
      <c r="L37" s="1887"/>
      <c r="M37" s="1887"/>
      <c r="N37" s="1888"/>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1"/>
        <v>1</v>
      </c>
      <c r="AH37" s="245" t="b">
        <f t="shared" si="12"/>
        <v>1</v>
      </c>
      <c r="AJ37" s="996" t="s">
        <v>125</v>
      </c>
      <c r="AK37" s="996" t="s">
        <v>127</v>
      </c>
      <c r="AL37" s="996"/>
    </row>
    <row r="38" spans="1:38" ht="16.350000000000001" customHeight="1" x14ac:dyDescent="0.2">
      <c r="A38" s="1072"/>
      <c r="B38" s="1074"/>
      <c r="C38" s="652"/>
      <c r="D38" s="1075"/>
      <c r="E38" s="1886"/>
      <c r="F38" s="1887"/>
      <c r="G38" s="1887"/>
      <c r="H38" s="1887"/>
      <c r="I38" s="1887"/>
      <c r="J38" s="1887"/>
      <c r="K38" s="1887"/>
      <c r="L38" s="1887"/>
      <c r="M38" s="1887"/>
      <c r="N38" s="1888"/>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1"/>
        <v>1</v>
      </c>
      <c r="AH38" s="245" t="b">
        <f t="shared" si="12"/>
        <v>1</v>
      </c>
      <c r="AJ38" s="996" t="s">
        <v>126</v>
      </c>
      <c r="AK38" s="996" t="s">
        <v>121</v>
      </c>
      <c r="AL38" s="996"/>
    </row>
    <row r="39" spans="1:38" ht="16.350000000000001" customHeight="1" x14ac:dyDescent="0.2">
      <c r="A39" s="1072"/>
      <c r="B39" s="1074"/>
      <c r="C39" s="652"/>
      <c r="D39" s="1075"/>
      <c r="E39" s="1886"/>
      <c r="F39" s="1887"/>
      <c r="G39" s="1887"/>
      <c r="H39" s="1887"/>
      <c r="I39" s="1887"/>
      <c r="J39" s="1887"/>
      <c r="K39" s="1887"/>
      <c r="L39" s="1887"/>
      <c r="M39" s="1887"/>
      <c r="N39" s="1888"/>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1"/>
        <v>1</v>
      </c>
      <c r="AH39" s="245" t="b">
        <f t="shared" si="12"/>
        <v>1</v>
      </c>
      <c r="AJ39" s="996" t="s">
        <v>127</v>
      </c>
      <c r="AK39" s="996" t="s">
        <v>122</v>
      </c>
      <c r="AL39" s="996"/>
    </row>
    <row r="40" spans="1:38" ht="16.350000000000001" customHeight="1" x14ac:dyDescent="0.2">
      <c r="A40" s="1072"/>
      <c r="B40" s="1074"/>
      <c r="C40" s="652"/>
      <c r="D40" s="1075"/>
      <c r="E40" s="1886"/>
      <c r="F40" s="1887"/>
      <c r="G40" s="1887"/>
      <c r="H40" s="1887"/>
      <c r="I40" s="1887"/>
      <c r="J40" s="1887"/>
      <c r="K40" s="1887"/>
      <c r="L40" s="1887"/>
      <c r="M40" s="1887"/>
      <c r="N40" s="1888"/>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1"/>
        <v>1</v>
      </c>
      <c r="AH40" s="245" t="b">
        <f t="shared" si="12"/>
        <v>1</v>
      </c>
      <c r="AJ40" s="996" t="s">
        <v>124</v>
      </c>
      <c r="AK40" s="996" t="s">
        <v>129</v>
      </c>
      <c r="AL40" s="996"/>
    </row>
    <row r="41" spans="1:38" ht="16.350000000000001" customHeight="1" x14ac:dyDescent="0.2">
      <c r="A41" s="1072"/>
      <c r="B41" s="1074"/>
      <c r="C41" s="652"/>
      <c r="D41" s="1075"/>
      <c r="E41" s="1886"/>
      <c r="F41" s="1887"/>
      <c r="G41" s="1887"/>
      <c r="H41" s="1887"/>
      <c r="I41" s="1887"/>
      <c r="J41" s="1887"/>
      <c r="K41" s="1887"/>
      <c r="L41" s="1887"/>
      <c r="M41" s="1887"/>
      <c r="N41" s="1888"/>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1"/>
        <v>1</v>
      </c>
      <c r="AH41" s="245" t="b">
        <f t="shared" si="12"/>
        <v>1</v>
      </c>
      <c r="AJ41" s="996" t="s">
        <v>126</v>
      </c>
      <c r="AK41" s="996" t="s">
        <v>122</v>
      </c>
      <c r="AL41" s="996"/>
    </row>
    <row r="42" spans="1:38" ht="16.350000000000001" customHeight="1" x14ac:dyDescent="0.2">
      <c r="A42" s="1072"/>
      <c r="B42" s="1074"/>
      <c r="C42" s="652"/>
      <c r="D42" s="1075"/>
      <c r="E42" s="1886"/>
      <c r="F42" s="1887"/>
      <c r="G42" s="1887"/>
      <c r="H42" s="1887"/>
      <c r="I42" s="1887"/>
      <c r="J42" s="1887"/>
      <c r="K42" s="1887"/>
      <c r="L42" s="1887"/>
      <c r="M42" s="1887"/>
      <c r="N42" s="1888"/>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1"/>
        <v>1</v>
      </c>
      <c r="AH42" s="245" t="b">
        <f t="shared" si="12"/>
        <v>1</v>
      </c>
      <c r="AJ42" s="996" t="s">
        <v>123</v>
      </c>
      <c r="AK42" s="996" t="s">
        <v>121</v>
      </c>
      <c r="AL42" s="996"/>
    </row>
    <row r="43" spans="1:38" ht="16.350000000000001" customHeight="1" x14ac:dyDescent="0.2">
      <c r="A43" s="1072"/>
      <c r="B43" s="1074"/>
      <c r="C43" s="652"/>
      <c r="D43" s="1075"/>
      <c r="E43" s="1886"/>
      <c r="F43" s="1887"/>
      <c r="G43" s="1887"/>
      <c r="H43" s="1887"/>
      <c r="I43" s="1887"/>
      <c r="J43" s="1887"/>
      <c r="K43" s="1887"/>
      <c r="L43" s="1887"/>
      <c r="M43" s="1887"/>
      <c r="N43" s="1888"/>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1"/>
        <v>1</v>
      </c>
      <c r="AH43" s="245" t="b">
        <f t="shared" si="12"/>
        <v>1</v>
      </c>
      <c r="AJ43" s="996" t="s">
        <v>125</v>
      </c>
      <c r="AK43" s="996" t="s">
        <v>129</v>
      </c>
      <c r="AL43" s="996"/>
    </row>
    <row r="44" spans="1:38" ht="16.350000000000001" customHeight="1" x14ac:dyDescent="0.2">
      <c r="A44" s="1072"/>
      <c r="B44" s="1074"/>
      <c r="C44" s="652"/>
      <c r="D44" s="1075"/>
      <c r="E44" s="1886"/>
      <c r="F44" s="1887"/>
      <c r="G44" s="1887"/>
      <c r="H44" s="1887"/>
      <c r="I44" s="1887"/>
      <c r="J44" s="1887"/>
      <c r="K44" s="1887"/>
      <c r="L44" s="1887"/>
      <c r="M44" s="1887"/>
      <c r="N44" s="1888"/>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1"/>
        <v>1</v>
      </c>
      <c r="AH44" s="245" t="b">
        <f t="shared" si="12"/>
        <v>1</v>
      </c>
      <c r="AJ44" s="996" t="s">
        <v>121</v>
      </c>
      <c r="AK44" s="996" t="s">
        <v>128</v>
      </c>
      <c r="AL44" s="996"/>
    </row>
    <row r="45" spans="1:38" ht="16.350000000000001" customHeight="1" x14ac:dyDescent="0.2">
      <c r="A45" s="1072"/>
      <c r="B45" s="1074"/>
      <c r="C45" s="652"/>
      <c r="D45" s="1075"/>
      <c r="E45" s="1886"/>
      <c r="F45" s="1887"/>
      <c r="G45" s="1887"/>
      <c r="H45" s="1887"/>
      <c r="I45" s="1887"/>
      <c r="J45" s="1887"/>
      <c r="K45" s="1887"/>
      <c r="L45" s="1887"/>
      <c r="M45" s="1887"/>
      <c r="N45" s="1888"/>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1"/>
        <v>1</v>
      </c>
      <c r="AH45" s="245" t="b">
        <f t="shared" si="12"/>
        <v>1</v>
      </c>
      <c r="AJ45" s="996" t="s">
        <v>124</v>
      </c>
      <c r="AK45" s="996" t="s">
        <v>122</v>
      </c>
      <c r="AL45" s="996"/>
    </row>
    <row r="46" spans="1:38" ht="16.350000000000001" customHeight="1" x14ac:dyDescent="0.2">
      <c r="A46" s="1072"/>
      <c r="B46" s="1074"/>
      <c r="C46" s="652"/>
      <c r="D46" s="1075"/>
      <c r="E46" s="1886"/>
      <c r="F46" s="1887"/>
      <c r="G46" s="1887"/>
      <c r="H46" s="1887"/>
      <c r="I46" s="1887"/>
      <c r="J46" s="1887"/>
      <c r="K46" s="1887"/>
      <c r="L46" s="1887"/>
      <c r="M46" s="1887"/>
      <c r="N46" s="1888"/>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1"/>
        <v>1</v>
      </c>
      <c r="AH46" s="245" t="b">
        <f t="shared" si="12"/>
        <v>1</v>
      </c>
      <c r="AJ46" s="996" t="s">
        <v>126</v>
      </c>
      <c r="AK46" s="996" t="s">
        <v>129</v>
      </c>
      <c r="AL46" s="996"/>
    </row>
    <row r="47" spans="1:38" ht="16.350000000000001" customHeight="1" x14ac:dyDescent="0.2">
      <c r="A47" s="1072"/>
      <c r="B47" s="1074"/>
      <c r="C47" s="652"/>
      <c r="D47" s="1075"/>
      <c r="E47" s="1886"/>
      <c r="F47" s="1887"/>
      <c r="G47" s="1887"/>
      <c r="H47" s="1887"/>
      <c r="I47" s="1887"/>
      <c r="J47" s="1887"/>
      <c r="K47" s="1887"/>
      <c r="L47" s="1887"/>
      <c r="M47" s="1887"/>
      <c r="N47" s="1888"/>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1"/>
        <v>1</v>
      </c>
      <c r="AH47" s="245" t="b">
        <f t="shared" si="12"/>
        <v>1</v>
      </c>
      <c r="AJ47" s="996" t="s">
        <v>125</v>
      </c>
      <c r="AK47" s="996" t="s">
        <v>123</v>
      </c>
      <c r="AL47" s="996"/>
    </row>
    <row r="48" spans="1:38" ht="16.350000000000001" customHeight="1" x14ac:dyDescent="0.2">
      <c r="A48" s="1072"/>
      <c r="B48" s="1074"/>
      <c r="C48" s="652"/>
      <c r="D48" s="1075"/>
      <c r="E48" s="1886"/>
      <c r="F48" s="1887"/>
      <c r="G48" s="1887"/>
      <c r="H48" s="1887"/>
      <c r="I48" s="1887"/>
      <c r="J48" s="1887"/>
      <c r="K48" s="1887"/>
      <c r="L48" s="1887"/>
      <c r="M48" s="1887"/>
      <c r="N48" s="1888"/>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1"/>
        <v>1</v>
      </c>
      <c r="AH48" s="245" t="b">
        <f t="shared" si="12"/>
        <v>1</v>
      </c>
      <c r="AJ48" s="996" t="s">
        <v>128</v>
      </c>
      <c r="AK48" s="996" t="s">
        <v>126</v>
      </c>
      <c r="AL48" s="996"/>
    </row>
    <row r="49" spans="1:38" ht="16.350000000000001" customHeight="1" x14ac:dyDescent="0.2">
      <c r="A49" s="1073"/>
      <c r="B49" s="1076"/>
      <c r="C49" s="1058"/>
      <c r="D49" s="1077"/>
      <c r="E49" s="1892"/>
      <c r="F49" s="1893"/>
      <c r="G49" s="1893"/>
      <c r="H49" s="1893"/>
      <c r="I49" s="1893"/>
      <c r="J49" s="1893"/>
      <c r="K49" s="1893"/>
      <c r="L49" s="1893"/>
      <c r="M49" s="1893"/>
      <c r="N49" s="1894"/>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selectLockedCells="1"/>
  <dataConsolidate link="1"/>
  <mergeCells count="55">
    <mergeCell ref="E15:N15"/>
    <mergeCell ref="L6:M6"/>
    <mergeCell ref="E12:N12"/>
    <mergeCell ref="B12:D12"/>
    <mergeCell ref="B9:J9"/>
    <mergeCell ref="B10:J10"/>
    <mergeCell ref="H1:J1"/>
    <mergeCell ref="H2:J3"/>
    <mergeCell ref="H4:J4"/>
    <mergeCell ref="E13:N13"/>
    <mergeCell ref="E14:N14"/>
    <mergeCell ref="A5:J5"/>
    <mergeCell ref="K2:L2"/>
    <mergeCell ref="K3:L3"/>
    <mergeCell ref="K4:L4"/>
    <mergeCell ref="M1:N1"/>
    <mergeCell ref="M2:N2"/>
    <mergeCell ref="M3:N3"/>
    <mergeCell ref="M4:N4"/>
    <mergeCell ref="K1:L1"/>
    <mergeCell ref="E38:N38"/>
    <mergeCell ref="E27:N27"/>
    <mergeCell ref="E16:N16"/>
    <mergeCell ref="E17:N17"/>
    <mergeCell ref="E18:N18"/>
    <mergeCell ref="E19:N19"/>
    <mergeCell ref="E20:N20"/>
    <mergeCell ref="E21:N21"/>
    <mergeCell ref="E22:N22"/>
    <mergeCell ref="E23:N23"/>
    <mergeCell ref="E24:N24"/>
    <mergeCell ref="E25:N25"/>
    <mergeCell ref="E26:N26"/>
    <mergeCell ref="E44:N44"/>
    <mergeCell ref="E49:N49"/>
    <mergeCell ref="E45:N45"/>
    <mergeCell ref="E46:N46"/>
    <mergeCell ref="E47:N47"/>
    <mergeCell ref="E48:N48"/>
    <mergeCell ref="AJ10:AL12"/>
    <mergeCell ref="E40:N40"/>
    <mergeCell ref="E41:N41"/>
    <mergeCell ref="E42:N42"/>
    <mergeCell ref="E43:N43"/>
    <mergeCell ref="E39:N39"/>
    <mergeCell ref="E28:N28"/>
    <mergeCell ref="E29:N29"/>
    <mergeCell ref="E30:N30"/>
    <mergeCell ref="E31:N31"/>
    <mergeCell ref="E32:N32"/>
    <mergeCell ref="E33:N33"/>
    <mergeCell ref="E34:N34"/>
    <mergeCell ref="E35:N35"/>
    <mergeCell ref="E36:N36"/>
    <mergeCell ref="E37:N37"/>
  </mergeCells>
  <phoneticPr fontId="0" type="noConversion"/>
  <conditionalFormatting sqref="H2:J4">
    <cfRule type="cellIs" dxfId="1013" priority="1" stopIfTrue="1" operator="equal">
      <formula>""</formula>
    </cfRule>
  </conditionalFormatting>
  <conditionalFormatting sqref="E13:N49">
    <cfRule type="expression" dxfId="1012" priority="2" stopIfTrue="1">
      <formula>LEN(E13)&gt;20</formula>
    </cfRule>
  </conditionalFormatting>
  <dataValidations count="3">
    <dataValidation type="list" allowBlank="1" showErrorMessage="1" sqref="B13:B49" xr:uid="{00000000-0002-0000-0800-000000000000}">
      <formula1>$R$1:$R$9</formula1>
    </dataValidation>
    <dataValidation type="list" allowBlank="1" showInputMessage="1" showErrorMessage="1" sqref="C13:C49" xr:uid="{00000000-0002-0000-0800-000001000000}">
      <formula1>IF(AG13,$T$1,$R13:$Y13)</formula1>
    </dataValidation>
    <dataValidation type="list" allowBlank="1" showInputMessage="1" showErrorMessage="1" sqref="D13:D49" xr:uid="{00000000-0002-0000-0800-000002000000}">
      <formula1>IF(AH13,$T$1:$T$1,$Z13:$AF13)</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controls>
    <mc:AlternateContent xmlns:mc="http://schemas.openxmlformats.org/markup-compatibility/2006">
      <mc:Choice Requires="x14">
        <control shapeId="182068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1820687" r:id="rId4" name="btnColorTag"/>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indexed="31"/>
  </sheetPr>
  <dimension ref="A1:AL65"/>
  <sheetViews>
    <sheetView showGridLines="0" zoomScaleNormal="100" zoomScaleSheetLayoutView="100" workbookViewId="0">
      <selection activeCell="B13" sqref="B13"/>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48" t="str">
        <f>IF(ISBLANK(R1),"",VLOOKUP(R1,'Job Info.'!X:AA,4,FALSE))</f>
        <v>Master</v>
      </c>
      <c r="I1" s="1848"/>
      <c r="J1" s="1848"/>
      <c r="K1" s="1911" t="s">
        <v>95</v>
      </c>
      <c r="L1" s="1911"/>
      <c r="M1" s="1911"/>
      <c r="N1" s="1904" t="str">
        <f ca="1">'Job Info.'!D12</f>
        <v>775-428-0600</v>
      </c>
      <c r="O1" s="1904"/>
      <c r="P1" s="474"/>
      <c r="Q1" s="484" t="s">
        <v>722</v>
      </c>
      <c r="R1" s="747" t="s">
        <v>118</v>
      </c>
      <c r="S1" s="378">
        <f>IF(ISBLANK(R1),"",VLOOKUP(R1,'Job Info.'!X:AA,2,FALSE))</f>
        <v>0</v>
      </c>
      <c r="AF1" s="378"/>
      <c r="AJ1" s="256" t="s">
        <v>1131</v>
      </c>
      <c r="AK1" s="1040"/>
      <c r="AL1" s="486" t="s">
        <v>723</v>
      </c>
    </row>
    <row r="2" spans="1:38" s="245" customFormat="1" ht="12.95" customHeight="1" thickTop="1" x14ac:dyDescent="0.2">
      <c r="A2" s="374"/>
      <c r="B2" s="374"/>
      <c r="C2" s="374"/>
      <c r="D2" s="374"/>
      <c r="E2" s="374"/>
      <c r="F2" s="374"/>
      <c r="G2" s="374"/>
      <c r="H2" s="1905" t="str">
        <f>IF(ISBLANK(R1),"",IF(VLOOKUP(R1,'Job Info.'!X:Z,2,FALSE),"Released for Fabrication",""))</f>
        <v/>
      </c>
      <c r="I2" s="1906"/>
      <c r="J2" s="1907"/>
      <c r="K2" s="1911" t="s">
        <v>96</v>
      </c>
      <c r="L2" s="1911"/>
      <c r="M2" s="1911"/>
      <c r="N2" s="1904" t="str">
        <f ca="1">'Job Info.'!D13</f>
        <v>775-867-2140</v>
      </c>
      <c r="O2" s="1904"/>
      <c r="P2" s="474"/>
      <c r="AF2" s="378"/>
      <c r="AK2" s="1040"/>
    </row>
    <row r="3" spans="1:38" s="245" customFormat="1" ht="12.95" customHeight="1" x14ac:dyDescent="0.2">
      <c r="A3" s="374"/>
      <c r="B3" s="374"/>
      <c r="C3" s="374"/>
      <c r="D3" s="374"/>
      <c r="E3" s="374"/>
      <c r="F3" s="374"/>
      <c r="G3" s="374"/>
      <c r="H3" s="1856"/>
      <c r="I3" s="1857"/>
      <c r="J3" s="1858"/>
      <c r="K3" s="1911" t="s">
        <v>98</v>
      </c>
      <c r="L3" s="1911"/>
      <c r="M3" s="1911"/>
      <c r="N3" s="1904" t="str">
        <f ca="1">'Job Info.'!D14</f>
        <v>775-867-2169</v>
      </c>
      <c r="O3" s="1904"/>
      <c r="P3" s="474"/>
      <c r="AF3" s="378"/>
      <c r="AK3" s="1040"/>
    </row>
    <row r="4" spans="1:38" s="245" customFormat="1" ht="12.95" customHeight="1" thickBot="1" x14ac:dyDescent="0.25">
      <c r="A4" s="374"/>
      <c r="B4" s="374"/>
      <c r="C4" s="374"/>
      <c r="D4" s="374"/>
      <c r="E4" s="374"/>
      <c r="F4" s="374"/>
      <c r="G4" s="374"/>
      <c r="H4" s="1908" t="str">
        <f>IF(ISBLANK(R1),"",IF(VLOOKUP(R1,'Job Info.'!X:Z,2,FALSE),VLOOKUP(R1,'Job Info.'!X:Z,3,FALSE),""))</f>
        <v/>
      </c>
      <c r="I4" s="1909"/>
      <c r="J4" s="1910"/>
      <c r="K4" s="1911" t="s">
        <v>97</v>
      </c>
      <c r="L4" s="1911"/>
      <c r="M4" s="1911"/>
      <c r="N4" s="1904" t="str">
        <f ca="1">'Job Info.'!D15</f>
        <v>775-867-2060</v>
      </c>
      <c r="O4" s="1904"/>
      <c r="P4" s="474"/>
      <c r="AF4" s="378"/>
      <c r="AK4" s="1040"/>
    </row>
    <row r="5" spans="1:38" s="245" customFormat="1" ht="12.95" customHeight="1" thickTop="1" x14ac:dyDescent="0.2">
      <c r="A5" s="1862" t="str">
        <f ca="1">'Job Info.'!D11</f>
        <v>8200 Woolery Way | Fallon, NV 89406 | www.newmill.com</v>
      </c>
      <c r="B5" s="1862"/>
      <c r="C5" s="1862"/>
      <c r="D5" s="1862"/>
      <c r="E5" s="1862"/>
      <c r="F5" s="1862"/>
      <c r="G5" s="1862"/>
      <c r="H5" s="1862"/>
      <c r="I5" s="1862"/>
      <c r="J5" s="1862"/>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32">
        <f>IF(ISBLANK('Job Info.'!D8),"",'Job Info.'!D8)</f>
        <v>45048</v>
      </c>
      <c r="M6" s="1832"/>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 xml:space="preserve"> of 19</v>
      </c>
      <c r="M7" s="658"/>
      <c r="N7" s="374"/>
      <c r="O7" s="374"/>
      <c r="P7" s="474"/>
      <c r="R7" s="1083"/>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24" t="str">
        <f>IF(ISBLANK('Job Info.'!D3),"",'Job Info.'!D3)</f>
        <v>MINDEN UPS BLDG 1</v>
      </c>
      <c r="C9" s="1824"/>
      <c r="D9" s="1824"/>
      <c r="E9" s="1824"/>
      <c r="F9" s="1824"/>
      <c r="G9" s="1825"/>
      <c r="H9" s="1873" t="s">
        <v>2</v>
      </c>
      <c r="I9" s="1873"/>
      <c r="J9" s="1824" t="str">
        <f>IF(ISBLANK('Job Info.'!D5),"",'Job Info.'!D5)</f>
        <v>NN22-0071</v>
      </c>
      <c r="K9" s="1824"/>
      <c r="L9" s="1824"/>
      <c r="M9" s="1824"/>
      <c r="N9" s="1824"/>
      <c r="O9" s="1825"/>
      <c r="P9" s="22"/>
    </row>
    <row r="10" spans="1:38" ht="12.2" customHeight="1" x14ac:dyDescent="0.2">
      <c r="A10" s="471" t="s">
        <v>3</v>
      </c>
      <c r="B10" s="1824" t="str">
        <f>IF(ISBLANK('Job Info.'!D4),"",'Job Info.'!D4)</f>
        <v>MINDEN, NV</v>
      </c>
      <c r="C10" s="1824"/>
      <c r="D10" s="1824"/>
      <c r="E10" s="1824"/>
      <c r="F10" s="1824"/>
      <c r="G10" s="1825"/>
      <c r="H10" s="1873" t="s">
        <v>22</v>
      </c>
      <c r="I10" s="1873"/>
      <c r="J10" s="1824" t="str">
        <f>IF(ISBLANK('Job Info.'!D6),"",'Job Info.'!D6)</f>
        <v>JMM</v>
      </c>
      <c r="K10" s="1825"/>
      <c r="L10" s="1917" t="s">
        <v>23</v>
      </c>
      <c r="M10" s="1873"/>
      <c r="N10" s="1824" t="str">
        <f>IF(ISBLANK('Job Info.'!D7),"",'Job Info.'!D7)</f>
        <v>NR</v>
      </c>
      <c r="O10" s="1825"/>
      <c r="P10" s="22"/>
    </row>
    <row r="11" spans="1:38" ht="3.95" customHeight="1" x14ac:dyDescent="0.2">
      <c r="A11" s="1087"/>
      <c r="B11" s="19"/>
      <c r="C11" s="19"/>
      <c r="D11" s="19"/>
      <c r="E11" s="19"/>
      <c r="F11" s="19"/>
      <c r="G11" s="19"/>
      <c r="H11" s="19"/>
      <c r="I11" s="19"/>
      <c r="J11" s="19"/>
      <c r="K11" s="19"/>
      <c r="L11" s="19"/>
      <c r="M11" s="19"/>
      <c r="N11" s="19"/>
      <c r="O11" s="19"/>
      <c r="P11" s="22"/>
      <c r="R11" s="1918" t="s">
        <v>420</v>
      </c>
      <c r="S11" s="1919"/>
      <c r="T11" s="1919"/>
      <c r="U11" s="1919"/>
      <c r="V11" s="1919"/>
      <c r="W11" s="1919"/>
      <c r="X11" s="1919"/>
      <c r="Y11" s="1919"/>
      <c r="Z11" s="1919"/>
      <c r="AA11" s="1919"/>
      <c r="AB11" s="1919"/>
      <c r="AC11" s="1919"/>
      <c r="AD11" s="1919"/>
      <c r="AE11" s="1920"/>
      <c r="AF11" s="1912" t="s">
        <v>455</v>
      </c>
      <c r="AG11" s="1912" t="s">
        <v>456</v>
      </c>
      <c r="AH11" s="1912" t="s">
        <v>1101</v>
      </c>
    </row>
    <row r="12" spans="1:38" s="21" customFormat="1" ht="15.95" customHeight="1" x14ac:dyDescent="0.2">
      <c r="A12" s="1915" t="s">
        <v>40</v>
      </c>
      <c r="B12" s="1927" t="s">
        <v>56</v>
      </c>
      <c r="C12" s="1928"/>
      <c r="D12" s="1928"/>
      <c r="E12" s="1928"/>
      <c r="F12" s="1928"/>
      <c r="G12" s="1928"/>
      <c r="H12" s="1928"/>
      <c r="I12" s="1928"/>
      <c r="J12" s="1928"/>
      <c r="K12" s="1928"/>
      <c r="L12" s="1928"/>
      <c r="M12" s="1928"/>
      <c r="N12" s="1928"/>
      <c r="O12" s="1929"/>
      <c r="P12" s="22"/>
      <c r="R12" s="1921"/>
      <c r="S12" s="1922"/>
      <c r="T12" s="1922"/>
      <c r="U12" s="1922"/>
      <c r="V12" s="1922"/>
      <c r="W12" s="1922"/>
      <c r="X12" s="1922"/>
      <c r="Y12" s="1922"/>
      <c r="Z12" s="1922"/>
      <c r="AA12" s="1922"/>
      <c r="AB12" s="1922"/>
      <c r="AC12" s="1922"/>
      <c r="AD12" s="1922"/>
      <c r="AE12" s="1923"/>
      <c r="AF12" s="1913"/>
      <c r="AG12" s="1913"/>
      <c r="AH12" s="1913"/>
      <c r="AK12" s="1043"/>
    </row>
    <row r="13" spans="1:38" ht="15.95" customHeight="1" x14ac:dyDescent="0.2">
      <c r="A13" s="1916"/>
      <c r="B13" s="1500"/>
      <c r="C13" s="1501"/>
      <c r="D13" s="1501"/>
      <c r="E13" s="1501"/>
      <c r="F13" s="1501"/>
      <c r="G13" s="1501"/>
      <c r="H13" s="1501"/>
      <c r="I13" s="1501"/>
      <c r="J13" s="1501"/>
      <c r="K13" s="1501"/>
      <c r="L13" s="1501"/>
      <c r="M13" s="1501"/>
      <c r="N13" s="1501"/>
      <c r="O13" s="1502"/>
      <c r="P13" s="656" t="s">
        <v>90</v>
      </c>
      <c r="R13" s="1924"/>
      <c r="S13" s="1925"/>
      <c r="T13" s="1925"/>
      <c r="U13" s="1925"/>
      <c r="V13" s="1925"/>
      <c r="W13" s="1925"/>
      <c r="X13" s="1925"/>
      <c r="Y13" s="1925"/>
      <c r="Z13" s="1925"/>
      <c r="AA13" s="1925"/>
      <c r="AB13" s="1925"/>
      <c r="AC13" s="1925"/>
      <c r="AD13" s="1925"/>
      <c r="AE13" s="1926"/>
      <c r="AF13" s="1914"/>
      <c r="AG13" s="1914"/>
      <c r="AH13" s="1914"/>
    </row>
    <row r="14" spans="1:38" ht="15.95" customHeight="1" x14ac:dyDescent="0.2">
      <c r="A14" s="1488"/>
      <c r="B14" s="1489"/>
      <c r="C14" s="1490"/>
      <c r="D14" s="1490"/>
      <c r="E14" s="1490"/>
      <c r="F14" s="1490"/>
      <c r="G14" s="1490"/>
      <c r="H14" s="1490"/>
      <c r="I14" s="1490"/>
      <c r="J14" s="1490"/>
      <c r="K14" s="1490"/>
      <c r="L14" s="1490"/>
      <c r="M14" s="1490"/>
      <c r="N14" s="1490"/>
      <c r="O14" s="1491"/>
      <c r="P14" s="657" t="str">
        <f t="shared" ref="P14:P49" si="0">IF(ISBLANK(A14),"",SUM(B14:O14))</f>
        <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c r="B15" s="1493"/>
      <c r="C15" s="1494"/>
      <c r="D15" s="1494"/>
      <c r="E15" s="1494"/>
      <c r="F15" s="1494"/>
      <c r="G15" s="1494"/>
      <c r="H15" s="1494"/>
      <c r="I15" s="1494"/>
      <c r="J15" s="1494"/>
      <c r="K15" s="1494"/>
      <c r="L15" s="1494"/>
      <c r="M15" s="1494"/>
      <c r="N15" s="1494"/>
      <c r="O15" s="1495"/>
      <c r="P15" s="657" t="str">
        <f t="shared" si="0"/>
        <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044" t="b">
        <v>0</v>
      </c>
    </row>
    <row r="16" spans="1:38" ht="15.95" customHeight="1" x14ac:dyDescent="0.2">
      <c r="A16" s="1492"/>
      <c r="B16" s="1493"/>
      <c r="C16" s="1494"/>
      <c r="D16" s="1494"/>
      <c r="E16" s="1494"/>
      <c r="F16" s="1494"/>
      <c r="G16" s="1494"/>
      <c r="H16" s="1494"/>
      <c r="I16" s="1494"/>
      <c r="J16" s="1494"/>
      <c r="K16" s="1494"/>
      <c r="L16" s="1494"/>
      <c r="M16" s="1494"/>
      <c r="N16" s="1494"/>
      <c r="O16" s="1495"/>
      <c r="P16" s="657" t="str">
        <f t="shared" si="0"/>
        <v/>
      </c>
      <c r="R16" s="37"/>
      <c r="S16" s="37"/>
      <c r="T16" s="37"/>
      <c r="U16" s="37"/>
      <c r="V16" s="37"/>
      <c r="W16" s="37"/>
      <c r="X16" s="37"/>
      <c r="Y16" s="37"/>
      <c r="Z16" s="37"/>
      <c r="AA16" s="37"/>
      <c r="AB16" s="37"/>
      <c r="AC16" s="37"/>
      <c r="AD16" s="37"/>
      <c r="AE16" s="37"/>
      <c r="AF16" s="90"/>
      <c r="AG16" s="89" t="b">
        <f t="shared" si="1"/>
        <v>0</v>
      </c>
      <c r="AH16" s="1044" t="b">
        <v>0</v>
      </c>
    </row>
    <row r="17" spans="1:34" ht="15.95" customHeight="1" x14ac:dyDescent="0.2">
      <c r="A17" s="1492"/>
      <c r="B17" s="1493"/>
      <c r="C17" s="1494"/>
      <c r="D17" s="1494"/>
      <c r="E17" s="1494"/>
      <c r="F17" s="1494"/>
      <c r="G17" s="1494"/>
      <c r="H17" s="1494"/>
      <c r="I17" s="1494"/>
      <c r="J17" s="1494"/>
      <c r="K17" s="1494"/>
      <c r="L17" s="1494"/>
      <c r="M17" s="1494"/>
      <c r="N17" s="1494"/>
      <c r="O17" s="1495"/>
      <c r="P17" s="657" t="str">
        <f t="shared" si="0"/>
        <v/>
      </c>
      <c r="R17" s="37"/>
      <c r="S17" s="37"/>
      <c r="T17" s="37"/>
      <c r="U17" s="37"/>
      <c r="V17" s="37"/>
      <c r="W17" s="37"/>
      <c r="X17" s="37"/>
      <c r="Y17" s="37"/>
      <c r="Z17" s="37"/>
      <c r="AA17" s="37"/>
      <c r="AB17" s="37"/>
      <c r="AC17" s="37"/>
      <c r="AD17" s="37"/>
      <c r="AE17" s="37"/>
      <c r="AF17" s="90"/>
      <c r="AG17" s="89" t="b">
        <f t="shared" si="1"/>
        <v>0</v>
      </c>
      <c r="AH17" s="1044" t="b">
        <v>0</v>
      </c>
    </row>
    <row r="18" spans="1:34" ht="15.95" customHeight="1" x14ac:dyDescent="0.2">
      <c r="A18" s="1492"/>
      <c r="B18" s="1493"/>
      <c r="C18" s="1494"/>
      <c r="D18" s="1494"/>
      <c r="E18" s="1494"/>
      <c r="F18" s="1494"/>
      <c r="G18" s="1494"/>
      <c r="H18" s="1494"/>
      <c r="I18" s="1494"/>
      <c r="J18" s="1494"/>
      <c r="K18" s="1494"/>
      <c r="L18" s="1494"/>
      <c r="M18" s="1494"/>
      <c r="N18" s="1494"/>
      <c r="O18" s="1495"/>
      <c r="P18" s="657" t="str">
        <f t="shared" si="0"/>
        <v/>
      </c>
      <c r="R18" s="37"/>
      <c r="S18" s="37"/>
      <c r="T18" s="37"/>
      <c r="U18" s="37"/>
      <c r="V18" s="37"/>
      <c r="W18" s="37"/>
      <c r="X18" s="37"/>
      <c r="Y18" s="37"/>
      <c r="Z18" s="37"/>
      <c r="AA18" s="37"/>
      <c r="AB18" s="37"/>
      <c r="AC18" s="37"/>
      <c r="AD18" s="37"/>
      <c r="AE18" s="37"/>
      <c r="AF18" s="90"/>
      <c r="AG18" s="89" t="b">
        <f t="shared" si="1"/>
        <v>0</v>
      </c>
      <c r="AH18" s="1044" t="b">
        <v>0</v>
      </c>
    </row>
    <row r="19" spans="1:34" ht="15.95" customHeight="1" x14ac:dyDescent="0.2">
      <c r="A19" s="1492"/>
      <c r="B19" s="1493"/>
      <c r="C19" s="1494"/>
      <c r="D19" s="1494"/>
      <c r="E19" s="1494"/>
      <c r="F19" s="1494"/>
      <c r="G19" s="1494"/>
      <c r="H19" s="1494"/>
      <c r="I19" s="1494"/>
      <c r="J19" s="1494"/>
      <c r="K19" s="1494"/>
      <c r="L19" s="1494"/>
      <c r="M19" s="1494"/>
      <c r="N19" s="1494"/>
      <c r="O19" s="1495"/>
      <c r="P19" s="657" t="str">
        <f t="shared" si="0"/>
        <v/>
      </c>
      <c r="R19" s="37"/>
      <c r="S19" s="37"/>
      <c r="T19" s="37"/>
      <c r="U19" s="37"/>
      <c r="V19" s="37"/>
      <c r="W19" s="37"/>
      <c r="X19" s="37"/>
      <c r="Y19" s="37"/>
      <c r="Z19" s="37"/>
      <c r="AA19" s="37"/>
      <c r="AB19" s="37"/>
      <c r="AC19" s="37"/>
      <c r="AD19" s="37"/>
      <c r="AE19" s="37"/>
      <c r="AF19" s="90"/>
      <c r="AG19" s="89" t="b">
        <f t="shared" si="1"/>
        <v>0</v>
      </c>
      <c r="AH19" s="1044" t="b">
        <v>0</v>
      </c>
    </row>
    <row r="20" spans="1:34" ht="15.95" customHeight="1" x14ac:dyDescent="0.2">
      <c r="A20" s="1492"/>
      <c r="B20" s="1493"/>
      <c r="C20" s="1494"/>
      <c r="D20" s="1494"/>
      <c r="E20" s="1494"/>
      <c r="F20" s="1494"/>
      <c r="G20" s="1494"/>
      <c r="H20" s="1494"/>
      <c r="I20" s="1494"/>
      <c r="J20" s="1494"/>
      <c r="K20" s="1494"/>
      <c r="L20" s="1494"/>
      <c r="M20" s="1494"/>
      <c r="N20" s="1494"/>
      <c r="O20" s="1495"/>
      <c r="P20" s="657" t="str">
        <f t="shared" si="0"/>
        <v/>
      </c>
      <c r="R20" s="37"/>
      <c r="S20" s="37"/>
      <c r="T20" s="37"/>
      <c r="U20" s="37"/>
      <c r="V20" s="37"/>
      <c r="W20" s="37"/>
      <c r="X20" s="37"/>
      <c r="Y20" s="37"/>
      <c r="Z20" s="37"/>
      <c r="AA20" s="37"/>
      <c r="AB20" s="37"/>
      <c r="AC20" s="37"/>
      <c r="AD20" s="37"/>
      <c r="AE20" s="37"/>
      <c r="AF20" s="90"/>
      <c r="AG20" s="89" t="b">
        <f t="shared" si="1"/>
        <v>0</v>
      </c>
      <c r="AH20" s="1044" t="b">
        <v>0</v>
      </c>
    </row>
    <row r="21" spans="1:34" ht="15.95" customHeight="1" x14ac:dyDescent="0.2">
      <c r="A21" s="1492"/>
      <c r="B21" s="1493"/>
      <c r="C21" s="1494"/>
      <c r="D21" s="1494"/>
      <c r="E21" s="1494"/>
      <c r="F21" s="1494"/>
      <c r="G21" s="1494"/>
      <c r="H21" s="1494"/>
      <c r="I21" s="1494"/>
      <c r="J21" s="1494"/>
      <c r="K21" s="1494"/>
      <c r="L21" s="1494"/>
      <c r="M21" s="1494"/>
      <c r="N21" s="1494"/>
      <c r="O21" s="1495"/>
      <c r="P21" s="657" t="str">
        <f t="shared" si="0"/>
        <v/>
      </c>
      <c r="R21" s="37"/>
      <c r="S21" s="37"/>
      <c r="T21" s="37"/>
      <c r="U21" s="37"/>
      <c r="V21" s="37"/>
      <c r="W21" s="37"/>
      <c r="X21" s="37"/>
      <c r="Y21" s="37"/>
      <c r="Z21" s="37"/>
      <c r="AA21" s="37"/>
      <c r="AB21" s="37"/>
      <c r="AC21" s="37"/>
      <c r="AD21" s="37"/>
      <c r="AE21" s="37"/>
      <c r="AF21" s="90"/>
      <c r="AG21" s="89" t="b">
        <f t="shared" si="1"/>
        <v>0</v>
      </c>
      <c r="AH21" s="1044" t="b">
        <v>0</v>
      </c>
    </row>
    <row r="22" spans="1:34" ht="15.95" customHeight="1" x14ac:dyDescent="0.2">
      <c r="A22" s="1492"/>
      <c r="B22" s="1493"/>
      <c r="C22" s="1494"/>
      <c r="D22" s="1494"/>
      <c r="E22" s="1494"/>
      <c r="F22" s="1494"/>
      <c r="G22" s="1494"/>
      <c r="H22" s="1494"/>
      <c r="I22" s="1494"/>
      <c r="J22" s="1494"/>
      <c r="K22" s="1494"/>
      <c r="L22" s="1494"/>
      <c r="M22" s="1494"/>
      <c r="N22" s="1494"/>
      <c r="O22" s="1495"/>
      <c r="P22" s="657" t="str">
        <f t="shared" si="0"/>
        <v/>
      </c>
      <c r="R22" s="37"/>
      <c r="S22" s="37"/>
      <c r="T22" s="37"/>
      <c r="U22" s="37"/>
      <c r="V22" s="37"/>
      <c r="W22" s="37"/>
      <c r="X22" s="37"/>
      <c r="Y22" s="37"/>
      <c r="Z22" s="37"/>
      <c r="AA22" s="37"/>
      <c r="AB22" s="37"/>
      <c r="AC22" s="37"/>
      <c r="AD22" s="37"/>
      <c r="AE22" s="37"/>
      <c r="AF22" s="90"/>
      <c r="AG22" s="89" t="b">
        <f t="shared" si="1"/>
        <v>0</v>
      </c>
      <c r="AH22" s="1044" t="b">
        <v>0</v>
      </c>
    </row>
    <row r="23" spans="1:34" ht="15.95" customHeight="1" x14ac:dyDescent="0.2">
      <c r="A23" s="1492"/>
      <c r="B23" s="1493"/>
      <c r="C23" s="1494"/>
      <c r="D23" s="1494"/>
      <c r="E23" s="1494"/>
      <c r="F23" s="1494"/>
      <c r="G23" s="1494"/>
      <c r="H23" s="1494"/>
      <c r="I23" s="1494"/>
      <c r="J23" s="1494"/>
      <c r="K23" s="1494"/>
      <c r="L23" s="1494"/>
      <c r="M23" s="1494"/>
      <c r="N23" s="1494"/>
      <c r="O23" s="1495"/>
      <c r="P23" s="657" t="str">
        <f t="shared" si="0"/>
        <v/>
      </c>
      <c r="R23" s="37"/>
      <c r="S23" s="37"/>
      <c r="T23" s="37"/>
      <c r="U23" s="37"/>
      <c r="V23" s="37"/>
      <c r="W23" s="37"/>
      <c r="X23" s="37"/>
      <c r="Y23" s="37"/>
      <c r="Z23" s="37"/>
      <c r="AA23" s="37"/>
      <c r="AB23" s="37"/>
      <c r="AC23" s="37"/>
      <c r="AD23" s="37"/>
      <c r="AE23" s="37"/>
      <c r="AF23" s="90"/>
      <c r="AG23" s="89" t="b">
        <f t="shared" si="1"/>
        <v>0</v>
      </c>
      <c r="AH23" s="1044" t="b">
        <v>0</v>
      </c>
    </row>
    <row r="24" spans="1:34" ht="15.95" customHeight="1" x14ac:dyDescent="0.2">
      <c r="A24" s="1492"/>
      <c r="B24" s="1493"/>
      <c r="C24" s="1494"/>
      <c r="D24" s="1494"/>
      <c r="E24" s="1494"/>
      <c r="F24" s="1494"/>
      <c r="G24" s="1494"/>
      <c r="H24" s="1494"/>
      <c r="I24" s="1494"/>
      <c r="J24" s="1494"/>
      <c r="K24" s="1494"/>
      <c r="L24" s="1494"/>
      <c r="M24" s="1494"/>
      <c r="N24" s="1494"/>
      <c r="O24" s="1495"/>
      <c r="P24" s="657" t="str">
        <f t="shared" si="0"/>
        <v/>
      </c>
      <c r="R24" s="37"/>
      <c r="S24" s="37"/>
      <c r="T24" s="37"/>
      <c r="U24" s="37"/>
      <c r="V24" s="37"/>
      <c r="W24" s="37"/>
      <c r="X24" s="37"/>
      <c r="Y24" s="37"/>
      <c r="Z24" s="37"/>
      <c r="AA24" s="37"/>
      <c r="AB24" s="37"/>
      <c r="AC24" s="37"/>
      <c r="AD24" s="37"/>
      <c r="AE24" s="37"/>
      <c r="AF24" s="90"/>
      <c r="AG24" s="89" t="b">
        <f t="shared" si="1"/>
        <v>0</v>
      </c>
      <c r="AH24" s="1044" t="b">
        <v>0</v>
      </c>
    </row>
    <row r="25" spans="1:34" ht="15.95" customHeight="1" x14ac:dyDescent="0.2">
      <c r="A25" s="1492"/>
      <c r="B25" s="1493"/>
      <c r="C25" s="1494"/>
      <c r="D25" s="1494"/>
      <c r="E25" s="1494"/>
      <c r="F25" s="1494"/>
      <c r="G25" s="1494"/>
      <c r="H25" s="1494"/>
      <c r="I25" s="1494"/>
      <c r="J25" s="1494"/>
      <c r="K25" s="1494"/>
      <c r="L25" s="1494"/>
      <c r="M25" s="1494"/>
      <c r="N25" s="1494"/>
      <c r="O25" s="1495"/>
      <c r="P25" s="657" t="str">
        <f t="shared" si="0"/>
        <v/>
      </c>
      <c r="R25" s="37"/>
      <c r="S25" s="37"/>
      <c r="T25" s="37"/>
      <c r="U25" s="37"/>
      <c r="V25" s="37"/>
      <c r="W25" s="37"/>
      <c r="X25" s="37"/>
      <c r="Y25" s="37"/>
      <c r="Z25" s="37"/>
      <c r="AA25" s="37"/>
      <c r="AB25" s="37"/>
      <c r="AC25" s="37"/>
      <c r="AD25" s="37"/>
      <c r="AE25" s="37"/>
      <c r="AF25" s="90"/>
      <c r="AG25" s="89" t="b">
        <f t="shared" si="1"/>
        <v>0</v>
      </c>
      <c r="AH25" s="1044" t="b">
        <v>0</v>
      </c>
    </row>
    <row r="26" spans="1:34" ht="15.95" customHeight="1" x14ac:dyDescent="0.2">
      <c r="A26" s="1492"/>
      <c r="B26" s="1493"/>
      <c r="C26" s="1494"/>
      <c r="D26" s="1494"/>
      <c r="E26" s="1494"/>
      <c r="F26" s="1494"/>
      <c r="G26" s="1494"/>
      <c r="H26" s="1494"/>
      <c r="I26" s="1494"/>
      <c r="J26" s="1494"/>
      <c r="K26" s="1494"/>
      <c r="L26" s="1494"/>
      <c r="M26" s="1494"/>
      <c r="N26" s="1494"/>
      <c r="O26" s="1495"/>
      <c r="P26" s="657" t="str">
        <f t="shared" si="0"/>
        <v/>
      </c>
      <c r="R26" s="37"/>
      <c r="S26" s="37"/>
      <c r="T26" s="37"/>
      <c r="U26" s="37"/>
      <c r="V26" s="37"/>
      <c r="W26" s="37"/>
      <c r="X26" s="37"/>
      <c r="Y26" s="37"/>
      <c r="Z26" s="37"/>
      <c r="AA26" s="37"/>
      <c r="AB26" s="37"/>
      <c r="AC26" s="37"/>
      <c r="AD26" s="37"/>
      <c r="AE26" s="37"/>
      <c r="AF26" s="90"/>
      <c r="AG26" s="89" t="b">
        <f t="shared" si="1"/>
        <v>0</v>
      </c>
      <c r="AH26" s="1044" t="b">
        <v>0</v>
      </c>
    </row>
    <row r="27" spans="1:34" ht="15.95" customHeight="1" x14ac:dyDescent="0.2">
      <c r="A27" s="1492"/>
      <c r="B27" s="1493"/>
      <c r="C27" s="1494"/>
      <c r="D27" s="1494"/>
      <c r="E27" s="1494"/>
      <c r="F27" s="1494"/>
      <c r="G27" s="1494"/>
      <c r="H27" s="1494"/>
      <c r="I27" s="1494"/>
      <c r="J27" s="1494"/>
      <c r="K27" s="1494"/>
      <c r="L27" s="1494"/>
      <c r="M27" s="1494"/>
      <c r="N27" s="1494"/>
      <c r="O27" s="1495"/>
      <c r="P27" s="657" t="str">
        <f t="shared" si="0"/>
        <v/>
      </c>
      <c r="R27" s="37"/>
      <c r="S27" s="37"/>
      <c r="T27" s="37"/>
      <c r="U27" s="37"/>
      <c r="V27" s="37"/>
      <c r="W27" s="37"/>
      <c r="X27" s="37"/>
      <c r="Y27" s="37"/>
      <c r="Z27" s="37"/>
      <c r="AA27" s="37"/>
      <c r="AB27" s="37"/>
      <c r="AC27" s="37"/>
      <c r="AD27" s="37"/>
      <c r="AE27" s="37"/>
      <c r="AF27" s="90"/>
      <c r="AG27" s="89" t="b">
        <f t="shared" si="1"/>
        <v>0</v>
      </c>
      <c r="AH27" s="1044" t="b">
        <v>0</v>
      </c>
    </row>
    <row r="28" spans="1:34" ht="15.95" customHeight="1" x14ac:dyDescent="0.2">
      <c r="A28" s="1492"/>
      <c r="B28" s="1493"/>
      <c r="C28" s="1494"/>
      <c r="D28" s="1494"/>
      <c r="E28" s="1494"/>
      <c r="F28" s="1494"/>
      <c r="G28" s="1494"/>
      <c r="H28" s="1494"/>
      <c r="I28" s="1494"/>
      <c r="J28" s="1494"/>
      <c r="K28" s="1494"/>
      <c r="L28" s="1494"/>
      <c r="M28" s="1494"/>
      <c r="N28" s="1494"/>
      <c r="O28" s="1495"/>
      <c r="P28" s="657" t="str">
        <f t="shared" si="0"/>
        <v/>
      </c>
      <c r="R28" s="37"/>
      <c r="S28" s="37"/>
      <c r="T28" s="37"/>
      <c r="U28" s="37"/>
      <c r="V28" s="37"/>
      <c r="W28" s="37"/>
      <c r="X28" s="37"/>
      <c r="Y28" s="37"/>
      <c r="Z28" s="37"/>
      <c r="AA28" s="37"/>
      <c r="AB28" s="37"/>
      <c r="AC28" s="37"/>
      <c r="AD28" s="37"/>
      <c r="AE28" s="37"/>
      <c r="AF28" s="90"/>
      <c r="AG28" s="89" t="b">
        <f t="shared" si="1"/>
        <v>0</v>
      </c>
      <c r="AH28" s="1044" t="b">
        <v>0</v>
      </c>
    </row>
    <row r="29" spans="1:34" ht="15.95" customHeight="1" x14ac:dyDescent="0.2">
      <c r="A29" s="1492"/>
      <c r="B29" s="1493"/>
      <c r="C29" s="1494"/>
      <c r="D29" s="1494"/>
      <c r="E29" s="1494"/>
      <c r="F29" s="1494"/>
      <c r="G29" s="1494"/>
      <c r="H29" s="1494"/>
      <c r="I29" s="1494"/>
      <c r="J29" s="1494"/>
      <c r="K29" s="1494"/>
      <c r="L29" s="1494"/>
      <c r="M29" s="1494"/>
      <c r="N29" s="1494"/>
      <c r="O29" s="1495"/>
      <c r="P29" s="657" t="str">
        <f t="shared" si="0"/>
        <v/>
      </c>
      <c r="R29" s="37"/>
      <c r="S29" s="37"/>
      <c r="T29" s="37"/>
      <c r="U29" s="37"/>
      <c r="V29" s="37"/>
      <c r="W29" s="37"/>
      <c r="X29" s="37"/>
      <c r="Y29" s="37"/>
      <c r="Z29" s="37"/>
      <c r="AA29" s="37"/>
      <c r="AB29" s="37"/>
      <c r="AC29" s="37"/>
      <c r="AD29" s="37"/>
      <c r="AE29" s="37"/>
      <c r="AF29" s="90"/>
      <c r="AG29" s="89" t="b">
        <f t="shared" si="1"/>
        <v>0</v>
      </c>
      <c r="AH29" s="1044" t="b">
        <v>0</v>
      </c>
    </row>
    <row r="30" spans="1:34" ht="15.95" customHeight="1" x14ac:dyDescent="0.2">
      <c r="A30" s="1492"/>
      <c r="B30" s="1493"/>
      <c r="C30" s="1494"/>
      <c r="D30" s="1494"/>
      <c r="E30" s="1494"/>
      <c r="F30" s="1494"/>
      <c r="G30" s="1494"/>
      <c r="H30" s="1494"/>
      <c r="I30" s="1494"/>
      <c r="J30" s="1494"/>
      <c r="K30" s="1494"/>
      <c r="L30" s="1494"/>
      <c r="M30" s="1494"/>
      <c r="N30" s="1494"/>
      <c r="O30" s="1495"/>
      <c r="P30" s="657" t="str">
        <f t="shared" si="0"/>
        <v/>
      </c>
      <c r="R30" s="37"/>
      <c r="S30" s="37"/>
      <c r="T30" s="37"/>
      <c r="U30" s="37"/>
      <c r="V30" s="37"/>
      <c r="W30" s="37"/>
      <c r="X30" s="37"/>
      <c r="Y30" s="37"/>
      <c r="Z30" s="37"/>
      <c r="AA30" s="37"/>
      <c r="AB30" s="37"/>
      <c r="AC30" s="37"/>
      <c r="AD30" s="37"/>
      <c r="AE30" s="37"/>
      <c r="AF30" s="90"/>
      <c r="AG30" s="89" t="b">
        <f t="shared" si="1"/>
        <v>0</v>
      </c>
      <c r="AH30" s="1044" t="b">
        <v>0</v>
      </c>
    </row>
    <row r="31" spans="1:34" ht="15.95" customHeight="1" x14ac:dyDescent="0.2">
      <c r="A31" s="1492"/>
      <c r="B31" s="1493"/>
      <c r="C31" s="1494"/>
      <c r="D31" s="1494"/>
      <c r="E31" s="1494"/>
      <c r="F31" s="1494"/>
      <c r="G31" s="1494"/>
      <c r="H31" s="1494"/>
      <c r="I31" s="1494"/>
      <c r="J31" s="1494"/>
      <c r="K31" s="1494"/>
      <c r="L31" s="1494"/>
      <c r="M31" s="1494"/>
      <c r="N31" s="1494"/>
      <c r="O31" s="1495"/>
      <c r="P31" s="657" t="str">
        <f t="shared" si="0"/>
        <v/>
      </c>
      <c r="R31" s="37"/>
      <c r="S31" s="37"/>
      <c r="T31" s="37"/>
      <c r="U31" s="37"/>
      <c r="V31" s="37"/>
      <c r="W31" s="37"/>
      <c r="X31" s="37"/>
      <c r="Y31" s="37"/>
      <c r="Z31" s="37"/>
      <c r="AA31" s="37"/>
      <c r="AB31" s="37"/>
      <c r="AC31" s="37"/>
      <c r="AD31" s="37"/>
      <c r="AE31" s="37"/>
      <c r="AF31" s="90"/>
      <c r="AG31" s="89" t="b">
        <f t="shared" si="1"/>
        <v>0</v>
      </c>
      <c r="AH31" s="1044" t="b">
        <v>0</v>
      </c>
    </row>
    <row r="32" spans="1:34" ht="15.95" customHeight="1" x14ac:dyDescent="0.2">
      <c r="A32" s="1492"/>
      <c r="B32" s="1493"/>
      <c r="C32" s="1494"/>
      <c r="D32" s="1494"/>
      <c r="E32" s="1494"/>
      <c r="F32" s="1494"/>
      <c r="G32" s="1494"/>
      <c r="H32" s="1494"/>
      <c r="I32" s="1494"/>
      <c r="J32" s="1494"/>
      <c r="K32" s="1494"/>
      <c r="L32" s="1494"/>
      <c r="M32" s="1494"/>
      <c r="N32" s="1494"/>
      <c r="O32" s="1495"/>
      <c r="P32" s="657" t="str">
        <f t="shared" si="0"/>
        <v/>
      </c>
      <c r="R32" s="37"/>
      <c r="S32" s="37"/>
      <c r="T32" s="37"/>
      <c r="U32" s="37"/>
      <c r="V32" s="37"/>
      <c r="W32" s="37"/>
      <c r="X32" s="37"/>
      <c r="Y32" s="37"/>
      <c r="Z32" s="37"/>
      <c r="AA32" s="37"/>
      <c r="AB32" s="37"/>
      <c r="AC32" s="37"/>
      <c r="AD32" s="37"/>
      <c r="AE32" s="37"/>
      <c r="AF32" s="90"/>
      <c r="AG32" s="89" t="b">
        <f t="shared" si="1"/>
        <v>0</v>
      </c>
      <c r="AH32" s="1044" t="b">
        <v>0</v>
      </c>
    </row>
    <row r="33" spans="1:34" ht="15.95" customHeight="1" x14ac:dyDescent="0.2">
      <c r="A33" s="1492"/>
      <c r="B33" s="1493"/>
      <c r="C33" s="1494"/>
      <c r="D33" s="1494"/>
      <c r="E33" s="1494"/>
      <c r="F33" s="1494"/>
      <c r="G33" s="1494"/>
      <c r="H33" s="1494"/>
      <c r="I33" s="1494"/>
      <c r="J33" s="1494"/>
      <c r="K33" s="1494"/>
      <c r="L33" s="1494"/>
      <c r="M33" s="1494"/>
      <c r="N33" s="1494"/>
      <c r="O33" s="1495"/>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1492"/>
      <c r="B34" s="1493"/>
      <c r="C34" s="1494"/>
      <c r="D34" s="1494"/>
      <c r="E34" s="1494"/>
      <c r="F34" s="1494"/>
      <c r="G34" s="1494"/>
      <c r="H34" s="1494"/>
      <c r="I34" s="1494"/>
      <c r="J34" s="1494"/>
      <c r="K34" s="1494"/>
      <c r="L34" s="1494"/>
      <c r="M34" s="1494"/>
      <c r="N34" s="1494"/>
      <c r="O34" s="1495"/>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1492"/>
      <c r="B35" s="1493"/>
      <c r="C35" s="1494"/>
      <c r="D35" s="1494"/>
      <c r="E35" s="1494"/>
      <c r="F35" s="1494"/>
      <c r="G35" s="1494"/>
      <c r="H35" s="1494"/>
      <c r="I35" s="1494"/>
      <c r="J35" s="1494"/>
      <c r="K35" s="1494"/>
      <c r="L35" s="1494"/>
      <c r="M35" s="1494"/>
      <c r="N35" s="1494"/>
      <c r="O35" s="1495"/>
      <c r="P35" s="657" t="str">
        <f t="shared" si="0"/>
        <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1492"/>
      <c r="B36" s="1493"/>
      <c r="C36" s="1494"/>
      <c r="D36" s="1494"/>
      <c r="E36" s="1494"/>
      <c r="F36" s="1494"/>
      <c r="G36" s="1494"/>
      <c r="H36" s="1494"/>
      <c r="I36" s="1494"/>
      <c r="J36" s="1494"/>
      <c r="K36" s="1494"/>
      <c r="L36" s="1494"/>
      <c r="M36" s="1494"/>
      <c r="N36" s="1494"/>
      <c r="O36" s="1495"/>
      <c r="P36" s="657" t="str">
        <f t="shared" si="0"/>
        <v/>
      </c>
      <c r="R36" s="37"/>
      <c r="S36" s="37"/>
      <c r="T36" s="37"/>
      <c r="U36" s="37"/>
      <c r="V36" s="37"/>
      <c r="W36" s="37"/>
      <c r="X36" s="37"/>
      <c r="Y36" s="37"/>
      <c r="Z36" s="37"/>
      <c r="AA36" s="37"/>
      <c r="AB36" s="37"/>
      <c r="AC36" s="37"/>
      <c r="AD36" s="37"/>
      <c r="AE36" s="37"/>
      <c r="AF36" s="90"/>
      <c r="AG36" s="89" t="b">
        <f t="shared" si="1"/>
        <v>0</v>
      </c>
      <c r="AH36" s="1044" t="b">
        <v>0</v>
      </c>
    </row>
    <row r="37" spans="1:34" ht="15.95" customHeight="1" x14ac:dyDescent="0.2">
      <c r="A37" s="1492"/>
      <c r="B37" s="1493"/>
      <c r="C37" s="1494"/>
      <c r="D37" s="1494"/>
      <c r="E37" s="1494"/>
      <c r="F37" s="1494"/>
      <c r="G37" s="1494"/>
      <c r="H37" s="1494"/>
      <c r="I37" s="1494"/>
      <c r="J37" s="1494"/>
      <c r="K37" s="1494"/>
      <c r="L37" s="1494"/>
      <c r="M37" s="1494"/>
      <c r="N37" s="1494"/>
      <c r="O37" s="1495"/>
      <c r="P37" s="657" t="str">
        <f t="shared" si="0"/>
        <v/>
      </c>
      <c r="R37" s="37"/>
      <c r="S37" s="37"/>
      <c r="T37" s="37"/>
      <c r="U37" s="37"/>
      <c r="V37" s="37"/>
      <c r="W37" s="37"/>
      <c r="X37" s="37"/>
      <c r="Y37" s="37"/>
      <c r="Z37" s="37"/>
      <c r="AA37" s="37"/>
      <c r="AB37" s="37"/>
      <c r="AC37" s="37"/>
      <c r="AD37" s="37"/>
      <c r="AE37" s="37"/>
      <c r="AF37" s="90"/>
      <c r="AG37" s="89" t="b">
        <f t="shared" si="1"/>
        <v>0</v>
      </c>
      <c r="AH37" s="1044" t="b">
        <v>0</v>
      </c>
    </row>
    <row r="38" spans="1:34" ht="15.95" customHeight="1" x14ac:dyDescent="0.2">
      <c r="A38" s="1492"/>
      <c r="B38" s="1493"/>
      <c r="C38" s="1494"/>
      <c r="D38" s="1494"/>
      <c r="E38" s="1494"/>
      <c r="F38" s="1494"/>
      <c r="G38" s="1494"/>
      <c r="H38" s="1494"/>
      <c r="I38" s="1494"/>
      <c r="J38" s="1494"/>
      <c r="K38" s="1494"/>
      <c r="L38" s="1494"/>
      <c r="M38" s="1494"/>
      <c r="N38" s="1494"/>
      <c r="O38" s="1495"/>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1492"/>
      <c r="B39" s="1493"/>
      <c r="C39" s="1494"/>
      <c r="D39" s="1494"/>
      <c r="E39" s="1494"/>
      <c r="F39" s="1494"/>
      <c r="G39" s="1494"/>
      <c r="H39" s="1494"/>
      <c r="I39" s="1494"/>
      <c r="J39" s="1494"/>
      <c r="K39" s="1494"/>
      <c r="L39" s="1494"/>
      <c r="M39" s="1494"/>
      <c r="N39" s="1494"/>
      <c r="O39" s="1495"/>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1492"/>
      <c r="B40" s="1493"/>
      <c r="C40" s="1494"/>
      <c r="D40" s="1494"/>
      <c r="E40" s="1494"/>
      <c r="F40" s="1494"/>
      <c r="G40" s="1494"/>
      <c r="H40" s="1494"/>
      <c r="I40" s="1494"/>
      <c r="J40" s="1494"/>
      <c r="K40" s="1494"/>
      <c r="L40" s="1494"/>
      <c r="M40" s="1494"/>
      <c r="N40" s="1494"/>
      <c r="O40" s="1495"/>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1492"/>
      <c r="B41" s="1493"/>
      <c r="C41" s="1494"/>
      <c r="D41" s="1494"/>
      <c r="E41" s="1494"/>
      <c r="F41" s="1494"/>
      <c r="G41" s="1494"/>
      <c r="H41" s="1494"/>
      <c r="I41" s="1494"/>
      <c r="J41" s="1494"/>
      <c r="K41" s="1494"/>
      <c r="L41" s="1494"/>
      <c r="M41" s="1494"/>
      <c r="N41" s="1494"/>
      <c r="O41" s="1495"/>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1492"/>
      <c r="B42" s="1493"/>
      <c r="C42" s="1494"/>
      <c r="D42" s="1494"/>
      <c r="E42" s="1494"/>
      <c r="F42" s="1494"/>
      <c r="G42" s="1494"/>
      <c r="H42" s="1494"/>
      <c r="I42" s="1494"/>
      <c r="J42" s="1494"/>
      <c r="K42" s="1494"/>
      <c r="L42" s="1494"/>
      <c r="M42" s="1494"/>
      <c r="N42" s="1494"/>
      <c r="O42" s="1495"/>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1492"/>
      <c r="B43" s="1493"/>
      <c r="C43" s="1494"/>
      <c r="D43" s="1494"/>
      <c r="E43" s="1494"/>
      <c r="F43" s="1494"/>
      <c r="G43" s="1494"/>
      <c r="H43" s="1494"/>
      <c r="I43" s="1494"/>
      <c r="J43" s="1494"/>
      <c r="K43" s="1494"/>
      <c r="L43" s="1494"/>
      <c r="M43" s="1494"/>
      <c r="N43" s="1494"/>
      <c r="O43" s="1495"/>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1492"/>
      <c r="B44" s="1493"/>
      <c r="C44" s="1494"/>
      <c r="D44" s="1494"/>
      <c r="E44" s="1494"/>
      <c r="F44" s="1494"/>
      <c r="G44" s="1494"/>
      <c r="H44" s="1494"/>
      <c r="I44" s="1494"/>
      <c r="J44" s="1494"/>
      <c r="K44" s="1494"/>
      <c r="L44" s="1494"/>
      <c r="M44" s="1494"/>
      <c r="N44" s="1494"/>
      <c r="O44" s="1495"/>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2"/>
      <c r="B45" s="1493"/>
      <c r="C45" s="1494"/>
      <c r="D45" s="1494"/>
      <c r="E45" s="1494"/>
      <c r="F45" s="1494"/>
      <c r="G45" s="1494"/>
      <c r="H45" s="1494"/>
      <c r="I45" s="1494"/>
      <c r="J45" s="1494"/>
      <c r="K45" s="1494"/>
      <c r="L45" s="1494"/>
      <c r="M45" s="1494"/>
      <c r="N45" s="1494"/>
      <c r="O45" s="1495"/>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2"/>
      <c r="B46" s="1493"/>
      <c r="C46" s="1494"/>
      <c r="D46" s="1494"/>
      <c r="E46" s="1494"/>
      <c r="F46" s="1494"/>
      <c r="G46" s="1494"/>
      <c r="H46" s="1494"/>
      <c r="I46" s="1494"/>
      <c r="J46" s="1494"/>
      <c r="K46" s="1494"/>
      <c r="L46" s="1494"/>
      <c r="M46" s="1494"/>
      <c r="N46" s="1494"/>
      <c r="O46" s="1495"/>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2"/>
      <c r="B47" s="1493"/>
      <c r="C47" s="1494"/>
      <c r="D47" s="1494"/>
      <c r="E47" s="1494"/>
      <c r="F47" s="1494"/>
      <c r="G47" s="1494"/>
      <c r="H47" s="1494"/>
      <c r="I47" s="1494"/>
      <c r="J47" s="1494"/>
      <c r="K47" s="1494"/>
      <c r="L47" s="1494"/>
      <c r="M47" s="1494"/>
      <c r="N47" s="1494"/>
      <c r="O47" s="1495"/>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2"/>
      <c r="B48" s="1493"/>
      <c r="C48" s="1494"/>
      <c r="D48" s="1494"/>
      <c r="E48" s="1494"/>
      <c r="F48" s="1494"/>
      <c r="G48" s="1494"/>
      <c r="H48" s="1494"/>
      <c r="I48" s="1494"/>
      <c r="J48" s="1494"/>
      <c r="K48" s="1494"/>
      <c r="L48" s="1494"/>
      <c r="M48" s="1494"/>
      <c r="N48" s="1494"/>
      <c r="O48" s="1495"/>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6"/>
      <c r="B49" s="1497"/>
      <c r="C49" s="1498"/>
      <c r="D49" s="1498"/>
      <c r="E49" s="1498"/>
      <c r="F49" s="1498"/>
      <c r="G49" s="1498"/>
      <c r="H49" s="1498"/>
      <c r="I49" s="1498"/>
      <c r="J49" s="1498"/>
      <c r="K49" s="1498"/>
      <c r="L49" s="1498"/>
      <c r="M49" s="1498"/>
      <c r="N49" s="1498"/>
      <c r="O49" s="1499"/>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t="str">
        <f t="shared" ref="B50:O50" si="2">IF(ISBLANK(B13),"",SUM(B14:B49))</f>
        <v/>
      </c>
      <c r="C50" s="654" t="str">
        <f t="shared" si="2"/>
        <v/>
      </c>
      <c r="D50" s="654" t="str">
        <f t="shared" si="2"/>
        <v/>
      </c>
      <c r="E50" s="654" t="str">
        <f t="shared" si="2"/>
        <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row>
    <row r="62" spans="1:34" hidden="1" x14ac:dyDescent="0.2"/>
    <row r="63" spans="1:34" hidden="1" x14ac:dyDescent="0.2">
      <c r="A63" s="1044" t="b">
        <v>1</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selectLockedCells="1"/>
  <mergeCells count="27">
    <mergeCell ref="AH11:AH13"/>
    <mergeCell ref="AF11:AF13"/>
    <mergeCell ref="AG11:AG13"/>
    <mergeCell ref="A12:A13"/>
    <mergeCell ref="L10:M10"/>
    <mergeCell ref="H10:I10"/>
    <mergeCell ref="R11:AE13"/>
    <mergeCell ref="B10:G10"/>
    <mergeCell ref="B12:O12"/>
    <mergeCell ref="J10:K10"/>
    <mergeCell ref="N10:O10"/>
    <mergeCell ref="A5:J5"/>
    <mergeCell ref="L6:M6"/>
    <mergeCell ref="H9:I9"/>
    <mergeCell ref="B9:G9"/>
    <mergeCell ref="N3:O3"/>
    <mergeCell ref="N4:O4"/>
    <mergeCell ref="J9:O9"/>
    <mergeCell ref="N1:O1"/>
    <mergeCell ref="N2:O2"/>
    <mergeCell ref="H1:J1"/>
    <mergeCell ref="H2:J3"/>
    <mergeCell ref="H4:J4"/>
    <mergeCell ref="K3:M3"/>
    <mergeCell ref="K4:M4"/>
    <mergeCell ref="K1:M1"/>
    <mergeCell ref="K2:M2"/>
  </mergeCells>
  <phoneticPr fontId="0" type="noConversion"/>
  <conditionalFormatting sqref="A14:A49">
    <cfRule type="expression" dxfId="1011" priority="2">
      <formula>OR(A14="Girder",A14="Girders",A14="Joist",A14="Joists",A14="Bridging")</formula>
    </cfRule>
    <cfRule type="expression" dxfId="1010" priority="3">
      <formula>AND(P14&gt;0,ISBLANK(AF14),OR($R$1="",$R$1="M"))</formula>
    </cfRule>
    <cfRule type="expression" dxfId="1009" priority="11">
      <formula>$AH14</formula>
    </cfRule>
  </conditionalFormatting>
  <conditionalFormatting sqref="H2:J4">
    <cfRule type="cellIs" dxfId="1008" priority="9" stopIfTrue="1" operator="equal">
      <formula>""</formula>
    </cfRule>
  </conditionalFormatting>
  <conditionalFormatting sqref="B14:O49">
    <cfRule type="expression" dxfId="1007" priority="4">
      <formula>IF($R$1="M",AND(B14&gt;R14,R14&gt;0),B14&lt;R14)</formula>
    </cfRule>
    <cfRule type="expression" dxfId="1006" priority="7">
      <formula>OR(AND($R$1="M",NOT($S$1),B14=R14),B14="-")</formula>
    </cfRule>
    <cfRule type="expression" dxfId="1005" priority="8">
      <formula>IF(NOT(ISBLANK($R$1)),IF($R$1="M",IF(ISTEXT(B14),0,B14)&lt;R14,IF(ISTEXT(B14),0,B14)&gt;R14))</formula>
    </cfRule>
    <cfRule type="expression" dxfId="1004" priority="10">
      <formula>OR($AH14,B$63)</formula>
    </cfRule>
  </conditionalFormatting>
  <conditionalFormatting sqref="B13:O13">
    <cfRule type="expression" dxfId="1003" priority="1">
      <formula>AND(NOT(ISBLANK(B$13)),ISERROR(MATCH(B$13,$AK:$AK,0)))</formula>
    </cfRule>
    <cfRule type="expression" dxfId="1002" priority="12">
      <formula>B$63</formula>
    </cfRule>
  </conditionalFormatting>
  <dataValidations count="2">
    <dataValidation type="custom" allowBlank="1" showInputMessage="1" showErrorMessage="1" errorTitle="Input Error" error="Value can only be a positive integer OR a dash." sqref="B14:O49" xr:uid="{00000000-0002-0000-0900-000000000000}">
      <formula1>IF(ISNUMBER(B14),B14=ABS(TRUNC(B14,0)),B14="-")</formula1>
    </dataValidation>
    <dataValidation type="custom" allowBlank="1" showInputMessage="1" showErrorMessage="1" errorTitle="Error" error="Values containing only spaces are not allowed._x000a_Values that start or end with spaces are also not allowed." sqref="B13:O13" xr:uid="{00000000-0002-0000-0900-000001000000}">
      <formula1>B13=TRIM(B13)</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indexed="42"/>
  </sheetPr>
  <dimension ref="A1:JP92"/>
  <sheetViews>
    <sheetView showGridLines="0" zoomScaleNormal="100" zoomScaleSheetLayoutView="50" workbookViewId="0">
      <selection activeCell="A28" sqref="A28"/>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130" hidden="1" customWidth="1"/>
    <col min="62" max="63" width="6.7109375" style="130" hidden="1" customWidth="1"/>
    <col min="64" max="64" width="10.5703125" style="130" hidden="1" customWidth="1"/>
    <col min="65" max="65" width="12.140625" style="130" hidden="1" customWidth="1"/>
    <col min="66" max="67" width="7.140625" style="130" hidden="1" customWidth="1"/>
    <col min="68" max="68" width="10.5703125" style="130" hidden="1" customWidth="1"/>
    <col min="69" max="69" width="8.42578125" style="130" hidden="1" customWidth="1"/>
    <col min="70" max="70" width="15.7109375" style="130" hidden="1" customWidth="1"/>
    <col min="71" max="71" width="3.7109375" style="130" hidden="1" customWidth="1"/>
    <col min="72" max="72" width="6.7109375" style="130" hidden="1" customWidth="1"/>
    <col min="73" max="73" width="3.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0" width="8.7109375" style="140" hidden="1" customWidth="1"/>
    <col min="211" max="211" width="12.7109375" style="140" hidden="1" customWidth="1"/>
    <col min="212" max="212" width="8.7109375" style="131" hidden="1" customWidth="1"/>
    <col min="213" max="213" width="8.7109375" style="132" hidden="1" customWidth="1"/>
    <col min="214" max="237" width="8.7109375" style="140" hidden="1" customWidth="1"/>
    <col min="238" max="260" width="8.7109375" style="130" hidden="1" customWidth="1"/>
    <col min="261" max="273" width="6.7109375" style="130" hidden="1" customWidth="1"/>
    <col min="274" max="274" width="8.7109375" style="130" hidden="1" customWidth="1"/>
    <col min="275" max="275" width="6.7109375" style="130" hidden="1" customWidth="1"/>
    <col min="276" max="706" width="6.7109375" style="130" customWidth="1"/>
    <col min="707" max="707" width="0" style="130" hidden="1" customWidth="1"/>
    <col min="708" max="16384" width="0"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48" t="str">
        <f>IF(BJ1="","",VLOOKUP(BJ1,'Job Info.'!X:AA,4,FALSE))</f>
        <v>Master</v>
      </c>
      <c r="R1" s="1848"/>
      <c r="S1" s="1848"/>
      <c r="T1" s="1848"/>
      <c r="U1" s="382"/>
      <c r="V1" s="375"/>
      <c r="W1" s="2083" t="s">
        <v>95</v>
      </c>
      <c r="X1" s="2083"/>
      <c r="Y1" s="2083"/>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2096" t="str">
        <f>Q1</f>
        <v>Master</v>
      </c>
      <c r="AV1" s="2096"/>
      <c r="AW1" s="2096"/>
      <c r="AX1" s="2096"/>
      <c r="AY1" s="382"/>
      <c r="AZ1" s="382"/>
      <c r="BA1" s="2083" t="s">
        <v>95</v>
      </c>
      <c r="BB1" s="2083"/>
      <c r="BC1" s="2083"/>
      <c r="BD1" s="1851" t="str">
        <f ca="1">'Job Info.'!D12</f>
        <v>775-428-0600</v>
      </c>
      <c r="BE1" s="1851"/>
      <c r="BF1" s="1851"/>
      <c r="BG1" s="466"/>
      <c r="BH1" s="487" t="s">
        <v>722</v>
      </c>
      <c r="BJ1" s="243" t="str">
        <f>'Job Info.'!Q30</f>
        <v>M</v>
      </c>
      <c r="BK1" s="243" t="b">
        <f>'Job Info.'!Q32</f>
        <v>0</v>
      </c>
      <c r="BL1" s="760" t="s">
        <v>957</v>
      </c>
      <c r="CA1" s="488" t="s">
        <v>723</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241"/>
      <c r="EO1" s="924"/>
      <c r="EP1" s="925"/>
      <c r="EQ1" s="241"/>
      <c r="ER1" s="241"/>
      <c r="ES1" s="241"/>
      <c r="ET1" s="241"/>
      <c r="EU1" s="241"/>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P1" s="246"/>
      <c r="FR1" s="246"/>
      <c r="FS1" s="246"/>
      <c r="FT1" s="246"/>
      <c r="FV1" s="488"/>
      <c r="FZ1" s="488" t="s">
        <v>723</v>
      </c>
      <c r="GA1" s="241"/>
      <c r="GB1" s="241"/>
      <c r="GC1" s="241"/>
      <c r="GD1" s="241"/>
      <c r="GE1" s="241"/>
      <c r="GF1" s="241"/>
      <c r="GG1" s="241"/>
      <c r="GH1" s="241"/>
      <c r="GI1" s="241"/>
      <c r="GJ1" s="241"/>
      <c r="GY1" s="487" t="s">
        <v>718</v>
      </c>
      <c r="GZ1" s="377" t="s">
        <v>1158</v>
      </c>
      <c r="HA1" s="117" t="b">
        <f>'Job Info.'!U4</f>
        <v>0</v>
      </c>
      <c r="HK1" s="243"/>
      <c r="HL1" s="243"/>
      <c r="HM1" s="243"/>
      <c r="HN1" s="242"/>
      <c r="HO1" s="248"/>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JP1" s="488"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53" t="str">
        <f>IF(BJ1="","",IF(VLOOKUP(BJ1,'Job Info.'!X:Z,2,FALSE),"Released for Fabrication",""))</f>
        <v/>
      </c>
      <c r="R2" s="1854"/>
      <c r="S2" s="1854"/>
      <c r="T2" s="1855"/>
      <c r="U2" s="382"/>
      <c r="V2" s="375"/>
      <c r="W2" s="2083" t="s">
        <v>96</v>
      </c>
      <c r="X2" s="2083"/>
      <c r="Y2" s="2083"/>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53" t="str">
        <f>Q2</f>
        <v/>
      </c>
      <c r="AV2" s="1854"/>
      <c r="AW2" s="1854"/>
      <c r="AX2" s="1855"/>
      <c r="AY2" s="382"/>
      <c r="AZ2" s="382"/>
      <c r="BA2" s="2083" t="s">
        <v>96</v>
      </c>
      <c r="BB2" s="2083"/>
      <c r="BC2" s="2083"/>
      <c r="BD2" s="1851" t="str">
        <f ca="1">'Job Info.'!D13</f>
        <v>775-867-2140</v>
      </c>
      <c r="BE2" s="1851"/>
      <c r="BF2" s="1851"/>
      <c r="BG2" s="466"/>
      <c r="BH2" s="261"/>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241"/>
      <c r="ER2" s="241"/>
      <c r="ES2" s="241"/>
      <c r="ET2" s="241"/>
      <c r="EU2" s="241"/>
      <c r="EV2" s="491" t="s">
        <v>731</v>
      </c>
      <c r="EW2" s="293"/>
      <c r="EY2" s="293"/>
      <c r="EZ2" s="294" t="s">
        <v>468</v>
      </c>
      <c r="FA2" s="295">
        <f>'Job Info.'!L19</f>
        <v>0.375</v>
      </c>
      <c r="FB2" s="294" t="s">
        <v>648</v>
      </c>
      <c r="FC2" s="296">
        <f>'Job Info.'!L21</f>
        <v>0.5</v>
      </c>
      <c r="FD2" s="294" t="s">
        <v>649</v>
      </c>
      <c r="FE2" s="296">
        <f>'Job Info.'!L22</f>
        <v>0.25</v>
      </c>
      <c r="FF2" s="293" t="s">
        <v>523</v>
      </c>
      <c r="FG2" s="296">
        <f>'Job Info.'!L20</f>
        <v>0.1875</v>
      </c>
      <c r="FH2" s="246"/>
      <c r="FI2" s="246"/>
      <c r="FJ2" s="246"/>
      <c r="FL2" s="246"/>
      <c r="FM2" s="246"/>
      <c r="FN2" s="246"/>
      <c r="FO2" s="246"/>
      <c r="FP2" s="246"/>
      <c r="FQ2" s="246"/>
      <c r="FR2" s="246"/>
      <c r="FS2" s="246"/>
      <c r="FT2" s="246"/>
      <c r="GA2" s="241"/>
      <c r="GB2" s="241"/>
      <c r="GC2" s="241"/>
      <c r="GD2" s="241"/>
      <c r="GE2" s="241"/>
      <c r="GF2" s="241"/>
      <c r="GG2" s="241"/>
      <c r="GH2" s="241"/>
      <c r="GI2" s="241"/>
      <c r="GJ2" s="241"/>
      <c r="HA2" s="2084" t="s">
        <v>40</v>
      </c>
      <c r="HB2" s="2085" t="s">
        <v>130</v>
      </c>
      <c r="HC2" s="2085" t="s">
        <v>31</v>
      </c>
      <c r="HD2" s="2085" t="s">
        <v>25</v>
      </c>
      <c r="HE2" s="2089"/>
      <c r="HF2" s="2095" t="s">
        <v>88</v>
      </c>
      <c r="HG2" s="1985" t="s">
        <v>9</v>
      </c>
      <c r="HH2" s="2093"/>
      <c r="HI2" s="2093"/>
      <c r="HJ2" s="2093" t="s">
        <v>10</v>
      </c>
      <c r="HK2" s="2093"/>
      <c r="HL2" s="1983"/>
      <c r="HM2" s="2087" t="s">
        <v>11</v>
      </c>
      <c r="HN2" s="2088"/>
      <c r="HO2" s="2090" t="s">
        <v>12</v>
      </c>
      <c r="HP2" s="2091"/>
      <c r="HQ2" s="2091" t="s">
        <v>13</v>
      </c>
      <c r="HR2" s="2102"/>
      <c r="HS2" s="2092" t="s">
        <v>14</v>
      </c>
      <c r="HT2" s="2093"/>
      <c r="HU2" s="2093"/>
      <c r="HV2" s="2093"/>
      <c r="HW2" s="2094"/>
      <c r="HX2" s="1985" t="s">
        <v>111</v>
      </c>
      <c r="HY2" s="1983"/>
      <c r="HZ2" s="1116" t="s">
        <v>15</v>
      </c>
      <c r="IA2" s="2132" t="s">
        <v>939</v>
      </c>
      <c r="IB2" s="243"/>
      <c r="IC2" s="243"/>
      <c r="ID2" s="243"/>
      <c r="IE2" s="243"/>
      <c r="IF2" s="1977" t="s">
        <v>62</v>
      </c>
      <c r="IG2" s="1979" t="s">
        <v>32</v>
      </c>
      <c r="IH2" s="1980"/>
      <c r="II2" s="1983" t="s">
        <v>34</v>
      </c>
      <c r="IJ2" s="1984"/>
      <c r="IK2" s="1985"/>
      <c r="IL2" s="1979" t="s">
        <v>35</v>
      </c>
      <c r="IM2" s="1980"/>
      <c r="IN2" s="1986" t="s">
        <v>63</v>
      </c>
      <c r="IO2" s="1988" t="s">
        <v>737</v>
      </c>
      <c r="IP2" s="1989"/>
      <c r="IQ2" s="1989"/>
      <c r="IR2" s="1989"/>
      <c r="IS2" s="1989"/>
      <c r="IT2" s="1990"/>
      <c r="IU2" s="1984" t="s">
        <v>82</v>
      </c>
      <c r="IV2" s="1984"/>
      <c r="IW2" s="1984"/>
      <c r="IX2" s="1984"/>
      <c r="IY2" s="1984"/>
      <c r="IZ2" s="1984"/>
      <c r="JA2" s="1984"/>
      <c r="JB2" s="1984"/>
      <c r="JC2" s="1984"/>
      <c r="JD2" s="1984"/>
      <c r="JE2" s="1984"/>
      <c r="JF2" s="1984"/>
      <c r="JG2" s="1984"/>
      <c r="JH2" s="1984"/>
      <c r="JI2" s="1984"/>
      <c r="JJ2" s="1991"/>
      <c r="JK2" s="1973" t="s">
        <v>1160</v>
      </c>
    </row>
    <row r="3" spans="1:276" s="117" customFormat="1" ht="12.95" customHeight="1" thickBot="1" x14ac:dyDescent="0.3">
      <c r="A3" s="382"/>
      <c r="B3" s="382"/>
      <c r="C3" s="382"/>
      <c r="D3" s="382"/>
      <c r="E3" s="382"/>
      <c r="F3" s="382"/>
      <c r="G3" s="382"/>
      <c r="H3" s="382"/>
      <c r="I3" s="382"/>
      <c r="J3" s="382"/>
      <c r="K3" s="382"/>
      <c r="L3" s="382"/>
      <c r="M3" s="382"/>
      <c r="N3" s="382"/>
      <c r="O3" s="382"/>
      <c r="P3" s="382"/>
      <c r="Q3" s="1856"/>
      <c r="R3" s="1857"/>
      <c r="S3" s="1857"/>
      <c r="T3" s="1858"/>
      <c r="U3" s="382"/>
      <c r="V3" s="375"/>
      <c r="W3" s="2083" t="s">
        <v>98</v>
      </c>
      <c r="X3" s="2083"/>
      <c r="Y3" s="2083"/>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56"/>
      <c r="AV3" s="1857"/>
      <c r="AW3" s="1857"/>
      <c r="AX3" s="1858"/>
      <c r="AY3" s="382"/>
      <c r="AZ3" s="382"/>
      <c r="BA3" s="2083" t="s">
        <v>98</v>
      </c>
      <c r="BB3" s="2083"/>
      <c r="BC3" s="2083"/>
      <c r="BD3" s="1851" t="str">
        <f ca="1">'Job Info.'!D14</f>
        <v>775-867-2169</v>
      </c>
      <c r="BE3" s="1851"/>
      <c r="BF3" s="1851"/>
      <c r="BG3" s="374"/>
      <c r="BH3" s="261"/>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923"/>
      <c r="EQ3" s="241"/>
      <c r="ER3" s="241"/>
      <c r="ES3" s="241"/>
      <c r="ET3" s="241"/>
      <c r="EU3" s="987"/>
      <c r="EW3" s="293"/>
      <c r="EX3" s="298" t="s">
        <v>942</v>
      </c>
      <c r="EY3" s="298" t="s">
        <v>1102</v>
      </c>
      <c r="EZ3" s="299" t="s">
        <v>171</v>
      </c>
      <c r="FA3" s="300" t="s">
        <v>462</v>
      </c>
      <c r="FB3" s="301" t="s">
        <v>463</v>
      </c>
      <c r="FC3" s="300" t="s">
        <v>464</v>
      </c>
      <c r="FD3" s="300" t="s">
        <v>465</v>
      </c>
      <c r="FE3" s="300" t="s">
        <v>466</v>
      </c>
      <c r="FF3" s="300" t="s">
        <v>681</v>
      </c>
      <c r="FG3" s="2014" t="s">
        <v>1107</v>
      </c>
      <c r="FH3" s="2015"/>
      <c r="FI3" s="2016"/>
      <c r="FJ3" s="246"/>
      <c r="FK3" s="130"/>
      <c r="FL3" s="246"/>
      <c r="FM3" s="246"/>
      <c r="FN3" s="246"/>
      <c r="FO3" s="246"/>
      <c r="FP3" s="246"/>
      <c r="FQ3" s="246"/>
      <c r="FR3" s="246"/>
      <c r="FS3" s="246"/>
      <c r="FT3" s="246"/>
      <c r="FZ3" s="487" t="s">
        <v>716</v>
      </c>
      <c r="GA3" s="241"/>
      <c r="GB3" s="241"/>
      <c r="GC3" s="241"/>
      <c r="GD3" s="241"/>
      <c r="GE3" s="241"/>
      <c r="GF3" s="241"/>
      <c r="GG3" s="241"/>
      <c r="GH3" s="241"/>
      <c r="GI3" s="241"/>
      <c r="GJ3" s="241"/>
      <c r="GN3" s="490" t="s">
        <v>717</v>
      </c>
      <c r="HA3" s="2084"/>
      <c r="HB3" s="2085"/>
      <c r="HC3" s="2085"/>
      <c r="HD3" s="2085"/>
      <c r="HE3" s="2089"/>
      <c r="HF3" s="2095"/>
      <c r="HG3" s="1993" t="s">
        <v>16</v>
      </c>
      <c r="HH3" s="2086"/>
      <c r="HI3" s="1102" t="s">
        <v>732</v>
      </c>
      <c r="HJ3" s="2086" t="s">
        <v>16</v>
      </c>
      <c r="HK3" s="2086"/>
      <c r="HL3" s="1065" t="s">
        <v>732</v>
      </c>
      <c r="HM3" s="1106" t="s">
        <v>18</v>
      </c>
      <c r="HN3" s="461" t="s">
        <v>19</v>
      </c>
      <c r="HO3" s="2090"/>
      <c r="HP3" s="2091"/>
      <c r="HQ3" s="2091"/>
      <c r="HR3" s="2102"/>
      <c r="HS3" s="1996" t="s">
        <v>80</v>
      </c>
      <c r="HT3" s="2086"/>
      <c r="HU3" s="2086" t="s">
        <v>81</v>
      </c>
      <c r="HV3" s="2086"/>
      <c r="HW3" s="461" t="s">
        <v>27</v>
      </c>
      <c r="HX3" s="1101" t="s">
        <v>112</v>
      </c>
      <c r="HY3" s="1065" t="s">
        <v>113</v>
      </c>
      <c r="HZ3" s="1117" t="s">
        <v>57</v>
      </c>
      <c r="IA3" s="2133"/>
      <c r="IB3" s="243"/>
      <c r="IC3" s="243"/>
      <c r="ID3" s="243"/>
      <c r="IE3" s="243"/>
      <c r="IF3" s="1978"/>
      <c r="IG3" s="1981"/>
      <c r="IH3" s="1982"/>
      <c r="II3" s="1102" t="s">
        <v>33</v>
      </c>
      <c r="IJ3" s="1992" t="s">
        <v>16</v>
      </c>
      <c r="IK3" s="1993"/>
      <c r="IL3" s="1981"/>
      <c r="IM3" s="1982"/>
      <c r="IN3" s="1987"/>
      <c r="IO3" s="1118" t="s">
        <v>738</v>
      </c>
      <c r="IP3" s="1103" t="s">
        <v>735</v>
      </c>
      <c r="IQ3" s="1103" t="s">
        <v>736</v>
      </c>
      <c r="IR3" s="1107" t="s">
        <v>60</v>
      </c>
      <c r="IS3" s="1105" t="s">
        <v>739</v>
      </c>
      <c r="IT3" s="1119" t="s">
        <v>740</v>
      </c>
      <c r="IU3" s="1994" t="s">
        <v>58</v>
      </c>
      <c r="IV3" s="1993"/>
      <c r="IW3" s="1120" t="s">
        <v>63</v>
      </c>
      <c r="IX3" s="1121" t="s">
        <v>59</v>
      </c>
      <c r="IY3" s="1995" t="s">
        <v>58</v>
      </c>
      <c r="IZ3" s="1996"/>
      <c r="JA3" s="1120" t="s">
        <v>63</v>
      </c>
      <c r="JB3" s="1121" t="s">
        <v>59</v>
      </c>
      <c r="JC3" s="1995" t="s">
        <v>58</v>
      </c>
      <c r="JD3" s="1996"/>
      <c r="JE3" s="1120" t="s">
        <v>63</v>
      </c>
      <c r="JF3" s="1121" t="s">
        <v>59</v>
      </c>
      <c r="JG3" s="1995" t="s">
        <v>58</v>
      </c>
      <c r="JH3" s="1996"/>
      <c r="JI3" s="1120" t="s">
        <v>63</v>
      </c>
      <c r="JJ3" s="1121" t="s">
        <v>59</v>
      </c>
      <c r="JK3" s="1974"/>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59" t="str">
        <f>IF(BJ1="","",IF(VLOOKUP(BJ1,'Job Info.'!X:Z,2,FALSE),VLOOKUP(BJ1,'Job Info.'!X:Z,3,FALSE),""))</f>
        <v/>
      </c>
      <c r="R4" s="1860"/>
      <c r="S4" s="1860"/>
      <c r="T4" s="1861"/>
      <c r="U4" s="374"/>
      <c r="V4" s="375"/>
      <c r="W4" s="2083" t="s">
        <v>97</v>
      </c>
      <c r="X4" s="2083"/>
      <c r="Y4" s="2083"/>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097" t="str">
        <f>Q4</f>
        <v/>
      </c>
      <c r="AV4" s="2098"/>
      <c r="AW4" s="2098"/>
      <c r="AX4" s="2099"/>
      <c r="AY4" s="382"/>
      <c r="AZ4" s="382"/>
      <c r="BA4" s="2083" t="s">
        <v>97</v>
      </c>
      <c r="BB4" s="2083"/>
      <c r="BC4" s="2083"/>
      <c r="BD4" s="1851" t="str">
        <f ca="1">'Job Info.'!D15</f>
        <v>775-867-2060</v>
      </c>
      <c r="BE4" s="1851"/>
      <c r="BF4" s="1851"/>
      <c r="BG4" s="374"/>
      <c r="BH4" s="261"/>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244"/>
      <c r="DA4" s="244"/>
      <c r="DB4" s="2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924"/>
      <c r="EW4" s="303" t="s">
        <v>438</v>
      </c>
      <c r="EX4" s="304">
        <v>1.125</v>
      </c>
      <c r="EY4" s="304">
        <f>'Job Info.'!N15/2</f>
        <v>1.5</v>
      </c>
      <c r="EZ4" s="305">
        <f>'Job Info.'!H15</f>
        <v>7.5</v>
      </c>
      <c r="FA4" s="306">
        <f>'Job Info.'!J15</f>
        <v>6</v>
      </c>
      <c r="FB4" s="306">
        <f>'Job Info.'!I15</f>
        <v>4</v>
      </c>
      <c r="FC4" s="306">
        <f>'Job Info.'!K15</f>
        <v>5</v>
      </c>
      <c r="FD4" s="307">
        <f>'Job Info.'!M15</f>
        <v>0.8125</v>
      </c>
      <c r="FE4" s="306">
        <f>'Job Info.'!L15</f>
        <v>1.5</v>
      </c>
      <c r="FF4" s="306">
        <f>'Job Info.'!O15</f>
        <v>5</v>
      </c>
      <c r="FG4" s="773">
        <v>0</v>
      </c>
      <c r="FH4" s="773">
        <v>7.125</v>
      </c>
      <c r="FI4" s="774">
        <v>17.125</v>
      </c>
      <c r="FJ4" s="246"/>
      <c r="FK4" s="246"/>
      <c r="FL4" s="246"/>
      <c r="FM4" s="246"/>
      <c r="FN4" s="246"/>
      <c r="FO4" s="246"/>
      <c r="FP4" s="246"/>
      <c r="FQ4" s="246"/>
      <c r="FR4" s="246"/>
      <c r="FS4" s="246"/>
      <c r="FT4" s="246"/>
      <c r="FU4" s="245"/>
      <c r="FV4" s="245"/>
      <c r="FZ4" s="245"/>
      <c r="GA4" s="241"/>
      <c r="GB4" s="241"/>
      <c r="GC4" s="241"/>
      <c r="GD4" s="241"/>
      <c r="GE4" s="241"/>
      <c r="GF4" s="241"/>
      <c r="GG4" s="241"/>
      <c r="GH4" s="241"/>
      <c r="GI4" s="241"/>
      <c r="GJ4" s="241"/>
      <c r="GK4" s="245"/>
      <c r="HA4" s="2110" t="s">
        <v>597</v>
      </c>
      <c r="HB4" s="2130" t="s">
        <v>130</v>
      </c>
      <c r="HC4" s="2202" t="s">
        <v>478</v>
      </c>
      <c r="HD4" s="2204" t="s">
        <v>479</v>
      </c>
      <c r="HE4" s="2205"/>
      <c r="HF4" s="2128" t="s">
        <v>611</v>
      </c>
      <c r="HG4" s="2104" t="s">
        <v>595</v>
      </c>
      <c r="HH4" s="2105"/>
      <c r="HI4" s="2104" t="s">
        <v>596</v>
      </c>
      <c r="HJ4" s="2105"/>
      <c r="HK4" s="2108" t="s">
        <v>488</v>
      </c>
      <c r="HL4" s="2112" t="s">
        <v>612</v>
      </c>
      <c r="HM4" s="2128" t="s">
        <v>611</v>
      </c>
      <c r="HN4" s="2104" t="s">
        <v>595</v>
      </c>
      <c r="HO4" s="2105"/>
      <c r="HP4" s="2104" t="s">
        <v>596</v>
      </c>
      <c r="HQ4" s="2105"/>
      <c r="HR4" s="2108" t="s">
        <v>488</v>
      </c>
      <c r="HS4" s="2112" t="s">
        <v>612</v>
      </c>
      <c r="HT4" s="2269" t="s">
        <v>552</v>
      </c>
      <c r="HU4" s="2116" t="s">
        <v>480</v>
      </c>
      <c r="HV4" s="2117"/>
      <c r="HW4" s="2118" t="s">
        <v>1155</v>
      </c>
      <c r="HX4" s="2118" t="s">
        <v>481</v>
      </c>
      <c r="HY4" s="2264" t="s">
        <v>636</v>
      </c>
      <c r="HZ4" s="2266" t="s">
        <v>637</v>
      </c>
      <c r="IA4" s="2268" t="s">
        <v>805</v>
      </c>
      <c r="IB4" s="2268"/>
      <c r="IC4" s="2127" t="s">
        <v>1021</v>
      </c>
      <c r="ID4" s="2127"/>
      <c r="IE4" s="243"/>
      <c r="IF4" s="1997" t="s">
        <v>1062</v>
      </c>
      <c r="IG4" s="1999" t="s">
        <v>32</v>
      </c>
      <c r="IH4" s="2000"/>
      <c r="II4" s="2003" t="s">
        <v>34</v>
      </c>
      <c r="IJ4" s="2005" t="s">
        <v>489</v>
      </c>
      <c r="IK4" s="2006"/>
      <c r="IL4" s="1975" t="s">
        <v>600</v>
      </c>
      <c r="IM4" s="1975" t="s">
        <v>601</v>
      </c>
      <c r="IN4" s="2006" t="s">
        <v>602</v>
      </c>
      <c r="IO4" s="2006" t="s">
        <v>603</v>
      </c>
      <c r="IP4" s="2006" t="s">
        <v>604</v>
      </c>
      <c r="IQ4" s="2009" t="s">
        <v>605</v>
      </c>
      <c r="IR4" s="2010"/>
      <c r="IS4" s="2011" t="s">
        <v>598</v>
      </c>
      <c r="IT4" s="2012"/>
      <c r="IU4" s="2003" t="s">
        <v>609</v>
      </c>
      <c r="IV4" s="2013" t="s">
        <v>599</v>
      </c>
      <c r="IW4" s="2011" t="s">
        <v>598</v>
      </c>
      <c r="IX4" s="2012"/>
      <c r="IY4" s="2003" t="s">
        <v>609</v>
      </c>
      <c r="IZ4" s="2013" t="s">
        <v>599</v>
      </c>
      <c r="JA4" s="2011" t="s">
        <v>598</v>
      </c>
      <c r="JB4" s="2012"/>
      <c r="JC4" s="2003" t="s">
        <v>609</v>
      </c>
      <c r="JD4" s="2013" t="s">
        <v>599</v>
      </c>
      <c r="JE4" s="2011" t="s">
        <v>598</v>
      </c>
      <c r="JF4" s="2012"/>
      <c r="JG4" s="2003" t="s">
        <v>609</v>
      </c>
      <c r="JH4" s="1973" t="s">
        <v>599</v>
      </c>
      <c r="JK4" s="1973" t="s">
        <v>1160</v>
      </c>
    </row>
    <row r="5" spans="1:276" s="117" customFormat="1" ht="12.95" customHeight="1" thickTop="1" thickBot="1" x14ac:dyDescent="0.25">
      <c r="A5" s="2078" t="str">
        <f ca="1">'Job Info.'!D11</f>
        <v>8200 Woolery Way | Fallon, NV 89406 | www.newmill.com</v>
      </c>
      <c r="B5" s="2079"/>
      <c r="C5" s="2079"/>
      <c r="D5" s="2079"/>
      <c r="E5" s="2079"/>
      <c r="F5" s="2079"/>
      <c r="G5" s="2079"/>
      <c r="H5" s="2079"/>
      <c r="I5" s="2079"/>
      <c r="J5" s="2079"/>
      <c r="K5" s="2079"/>
      <c r="L5" s="2079"/>
      <c r="M5" s="374"/>
      <c r="N5" s="374"/>
      <c r="O5" s="374"/>
      <c r="P5" s="374"/>
      <c r="Q5" s="374"/>
      <c r="R5" s="374"/>
      <c r="S5" s="374"/>
      <c r="T5" s="374"/>
      <c r="U5" s="374"/>
      <c r="V5" s="374"/>
      <c r="W5" s="374"/>
      <c r="X5" s="374"/>
      <c r="Y5" s="1089"/>
      <c r="Z5" s="1089"/>
      <c r="AA5" s="374"/>
      <c r="AB5" s="2100" t="str">
        <f ca="1">'Job Info.'!D11</f>
        <v>8200 Woolery Way | Fallon, NV 89406 | www.newmill.com</v>
      </c>
      <c r="AC5" s="2100"/>
      <c r="AD5" s="2100"/>
      <c r="AE5" s="2100"/>
      <c r="AF5" s="2100"/>
      <c r="AG5" s="2100"/>
      <c r="AH5" s="2100"/>
      <c r="AI5" s="2100"/>
      <c r="AJ5" s="2100"/>
      <c r="AK5" s="2100"/>
      <c r="AL5" s="2100"/>
      <c r="AM5" s="2100"/>
      <c r="AN5" s="2100"/>
      <c r="AO5" s="2100"/>
      <c r="AP5" s="2100"/>
      <c r="AQ5" s="2100"/>
      <c r="AR5" s="374"/>
      <c r="AS5" s="374"/>
      <c r="AT5" s="374"/>
      <c r="AU5" s="374"/>
      <c r="AV5" s="374"/>
      <c r="AW5" s="374"/>
      <c r="AX5" s="374"/>
      <c r="AY5" s="374"/>
      <c r="AZ5" s="374"/>
      <c r="BA5" s="374"/>
      <c r="BB5" s="374"/>
      <c r="BC5" s="374"/>
      <c r="BD5" s="374"/>
      <c r="BE5" s="374"/>
      <c r="BF5" s="374"/>
      <c r="BG5" s="374"/>
      <c r="BH5" s="261"/>
      <c r="CA5" s="246"/>
      <c r="CB5" s="244"/>
      <c r="CC5" s="244"/>
      <c r="CD5" s="244"/>
      <c r="CE5" s="244"/>
      <c r="CF5" s="244"/>
      <c r="CG5" s="244"/>
      <c r="CH5" s="244"/>
      <c r="CI5" s="244"/>
      <c r="CJ5" s="244"/>
      <c r="CK5" s="244"/>
      <c r="CL5" s="244"/>
      <c r="CM5" s="244"/>
      <c r="CN5" s="244"/>
      <c r="CO5" s="244"/>
      <c r="CP5" s="244"/>
      <c r="CQ5" s="244"/>
      <c r="CR5" s="244"/>
      <c r="CS5" s="244"/>
      <c r="CT5" s="244"/>
      <c r="CU5" s="244"/>
      <c r="CV5" s="244"/>
      <c r="CW5" s="244"/>
      <c r="CX5" s="241"/>
      <c r="CY5" s="244"/>
      <c r="CZ5" s="244"/>
      <c r="DA5" s="244"/>
      <c r="DB5" s="244"/>
      <c r="DC5" s="244"/>
      <c r="DD5" s="244"/>
      <c r="DE5" s="244"/>
      <c r="DF5" s="244"/>
      <c r="DG5" s="244"/>
      <c r="DH5" s="1622">
        <v>5</v>
      </c>
      <c r="DI5" s="1622">
        <v>4</v>
      </c>
      <c r="DJ5" s="1622">
        <v>3</v>
      </c>
      <c r="DK5" s="1622">
        <v>5</v>
      </c>
      <c r="DL5" s="1622">
        <v>2</v>
      </c>
      <c r="DM5" s="1622">
        <v>3</v>
      </c>
      <c r="DN5" s="1622">
        <v>5</v>
      </c>
      <c r="DO5" s="1622">
        <v>3</v>
      </c>
      <c r="DP5" s="1622">
        <v>4</v>
      </c>
      <c r="DQ5" s="1623">
        <v>4.57</v>
      </c>
      <c r="DR5" s="1623">
        <v>3.57</v>
      </c>
      <c r="DS5" s="1623">
        <v>3.57</v>
      </c>
      <c r="DT5" s="1623">
        <v>3.57</v>
      </c>
      <c r="DU5" s="1623">
        <v>3.57</v>
      </c>
      <c r="DV5" s="1622">
        <v>4</v>
      </c>
      <c r="DW5" s="1622">
        <v>5</v>
      </c>
      <c r="DX5" s="1622">
        <v>3</v>
      </c>
      <c r="DY5" s="1622">
        <v>2.29</v>
      </c>
      <c r="DZ5" s="1622">
        <v>4</v>
      </c>
      <c r="EA5" s="1622">
        <v>5</v>
      </c>
      <c r="EB5" s="1622">
        <v>3</v>
      </c>
      <c r="EC5" s="1622">
        <v>2.29</v>
      </c>
      <c r="ED5" s="1622">
        <v>4</v>
      </c>
      <c r="EE5" s="1622">
        <v>5</v>
      </c>
      <c r="EF5" s="1622">
        <v>3</v>
      </c>
      <c r="EG5" s="1622">
        <v>2.29</v>
      </c>
      <c r="EH5" s="1622">
        <v>4</v>
      </c>
      <c r="EI5" s="1622">
        <v>5</v>
      </c>
      <c r="EJ5" s="1622">
        <v>3</v>
      </c>
      <c r="EK5" s="1622">
        <v>2.29</v>
      </c>
      <c r="EL5" s="1622">
        <v>8</v>
      </c>
      <c r="EM5" s="1622">
        <v>8</v>
      </c>
      <c r="EN5" s="1622">
        <v>10</v>
      </c>
      <c r="EO5" s="1622">
        <v>6</v>
      </c>
      <c r="EP5" s="1622">
        <v>4.71</v>
      </c>
      <c r="EQ5" s="1622">
        <v>4.71</v>
      </c>
      <c r="ER5" s="1622">
        <v>3.57</v>
      </c>
      <c r="ES5" s="1622">
        <v>3.57</v>
      </c>
      <c r="ET5" s="1622">
        <v>3.57</v>
      </c>
      <c r="EU5" s="1622">
        <v>3.57</v>
      </c>
      <c r="EW5" s="1025" t="s">
        <v>1129</v>
      </c>
      <c r="EX5" s="1026">
        <f ca="1">OFFSET('Job Info.'!AI3,'Job Info.'!P34,1)</f>
        <v>1.1499999999999999</v>
      </c>
      <c r="EY5" s="309"/>
      <c r="EZ5" s="309"/>
      <c r="FA5" s="293"/>
      <c r="FB5" s="293"/>
      <c r="FC5" s="293"/>
      <c r="FD5" s="293"/>
      <c r="FE5" s="293"/>
      <c r="FF5" s="293"/>
      <c r="FG5" s="775">
        <v>4.5</v>
      </c>
      <c r="FH5" s="775">
        <v>5</v>
      </c>
      <c r="FI5" s="776">
        <v>6</v>
      </c>
      <c r="FJ5" s="246"/>
      <c r="FK5" s="246"/>
      <c r="FM5" s="243"/>
      <c r="FN5" s="243"/>
      <c r="FO5" s="243"/>
      <c r="FP5" s="242"/>
      <c r="FQ5" s="248"/>
      <c r="FR5" s="243"/>
      <c r="FS5" s="243"/>
      <c r="FT5" s="243"/>
      <c r="FU5" s="245"/>
      <c r="FV5" s="245"/>
      <c r="FZ5" s="245"/>
      <c r="GA5" s="241"/>
      <c r="GB5" s="241"/>
      <c r="GC5" s="241"/>
      <c r="GD5" s="241"/>
      <c r="GE5" s="241"/>
      <c r="GF5" s="241"/>
      <c r="GG5" s="241"/>
      <c r="GH5" s="241"/>
      <c r="GI5" s="241"/>
      <c r="GJ5" s="241"/>
      <c r="GK5" s="245"/>
      <c r="HA5" s="2111"/>
      <c r="HB5" s="2131"/>
      <c r="HC5" s="2203"/>
      <c r="HD5" s="2206"/>
      <c r="HE5" s="2207"/>
      <c r="HF5" s="2129"/>
      <c r="HG5" s="2106"/>
      <c r="HH5" s="2107"/>
      <c r="HI5" s="2106"/>
      <c r="HJ5" s="2107"/>
      <c r="HK5" s="2109"/>
      <c r="HL5" s="2113"/>
      <c r="HM5" s="2129"/>
      <c r="HN5" s="2106"/>
      <c r="HO5" s="2107"/>
      <c r="HP5" s="2106"/>
      <c r="HQ5" s="2107"/>
      <c r="HR5" s="2109"/>
      <c r="HS5" s="2113"/>
      <c r="HT5" s="2207"/>
      <c r="HU5" s="128" t="s">
        <v>418</v>
      </c>
      <c r="HV5" s="129" t="s">
        <v>553</v>
      </c>
      <c r="HW5" s="2119"/>
      <c r="HX5" s="2119"/>
      <c r="HY5" s="2265"/>
      <c r="HZ5" s="2267"/>
      <c r="IA5" s="810" t="s">
        <v>606</v>
      </c>
      <c r="IB5" s="811" t="s">
        <v>607</v>
      </c>
      <c r="IC5" s="496" t="s">
        <v>606</v>
      </c>
      <c r="ID5" s="497" t="s">
        <v>607</v>
      </c>
      <c r="IE5" s="243"/>
      <c r="IF5" s="1998"/>
      <c r="IG5" s="2001"/>
      <c r="IH5" s="2002"/>
      <c r="II5" s="2004"/>
      <c r="IJ5" s="2007"/>
      <c r="IK5" s="2008"/>
      <c r="IL5" s="1976"/>
      <c r="IM5" s="1976"/>
      <c r="IN5" s="2008"/>
      <c r="IO5" s="2008"/>
      <c r="IP5" s="2008"/>
      <c r="IQ5" s="520" t="s">
        <v>606</v>
      </c>
      <c r="IR5" s="521" t="s">
        <v>607</v>
      </c>
      <c r="IS5" s="545" t="s">
        <v>633</v>
      </c>
      <c r="IT5" s="546" t="s">
        <v>608</v>
      </c>
      <c r="IU5" s="2004"/>
      <c r="IV5" s="2005"/>
      <c r="IW5" s="545" t="s">
        <v>633</v>
      </c>
      <c r="IX5" s="546" t="s">
        <v>608</v>
      </c>
      <c r="IY5" s="2004"/>
      <c r="IZ5" s="2005"/>
      <c r="JA5" s="545" t="s">
        <v>633</v>
      </c>
      <c r="JB5" s="546" t="s">
        <v>608</v>
      </c>
      <c r="JC5" s="2004"/>
      <c r="JD5" s="2005"/>
      <c r="JE5" s="545" t="s">
        <v>633</v>
      </c>
      <c r="JF5" s="546" t="s">
        <v>608</v>
      </c>
      <c r="JG5" s="2004"/>
      <c r="JH5" s="1974"/>
      <c r="JK5" s="1974"/>
    </row>
    <row r="6" spans="1:276" s="117" customFormat="1" ht="12.95" customHeight="1" thickTop="1" thickBot="1" x14ac:dyDescent="0.25">
      <c r="A6" s="374"/>
      <c r="B6" s="374"/>
      <c r="C6" s="374"/>
      <c r="D6" s="374"/>
      <c r="E6" s="374"/>
      <c r="F6" s="374"/>
      <c r="G6" s="374"/>
      <c r="H6" s="374"/>
      <c r="I6" s="374"/>
      <c r="J6" s="374"/>
      <c r="K6" s="374"/>
      <c r="L6" s="374"/>
      <c r="M6" s="2082" t="str">
        <f>IF(NOT(ISERROR(FIND("galv",LOWER($M$7)))),"**USE STEEL TAGS**  **NO A490 BOLTS**","")</f>
        <v/>
      </c>
      <c r="N6" s="1947"/>
      <c r="O6" s="1947"/>
      <c r="P6" s="1947"/>
      <c r="Q6" s="1947"/>
      <c r="R6" s="1947"/>
      <c r="S6" s="1947"/>
      <c r="T6" s="1947"/>
      <c r="U6"/>
      <c r="V6" s="2076" t="s">
        <v>20</v>
      </c>
      <c r="W6" s="2076"/>
      <c r="X6" s="1832">
        <f>IF(ISBLANK('Job Info.'!D8),"",'Job Info.'!D8)</f>
        <v>45048</v>
      </c>
      <c r="Y6" s="1832"/>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076" t="s">
        <v>20</v>
      </c>
      <c r="BA6" s="2076"/>
      <c r="BB6" s="1832">
        <f>X6</f>
        <v>45048</v>
      </c>
      <c r="BC6" s="1832"/>
      <c r="BD6" s="1832"/>
      <c r="BE6" s="1090"/>
      <c r="BF6" s="374"/>
      <c r="BG6" s="374"/>
      <c r="BH6" s="261"/>
      <c r="BI6" s="503" t="s">
        <v>1132</v>
      </c>
      <c r="CA6" s="246"/>
      <c r="CB6" s="244"/>
      <c r="CC6" s="244"/>
      <c r="CD6" s="244"/>
      <c r="CE6" s="244"/>
      <c r="CF6" s="244"/>
      <c r="CG6" s="244"/>
      <c r="CH6" s="244"/>
      <c r="CI6" s="244"/>
      <c r="CJ6" s="244"/>
      <c r="CK6" s="244"/>
      <c r="CL6" s="244"/>
      <c r="CM6" s="244"/>
      <c r="CN6" s="244"/>
      <c r="CO6" s="244"/>
      <c r="CP6" s="244"/>
      <c r="CQ6" s="244"/>
      <c r="CR6" s="244"/>
      <c r="CS6" s="244"/>
      <c r="CT6" s="244"/>
      <c r="CU6" s="244"/>
      <c r="CV6" s="244"/>
      <c r="CW6" s="244"/>
      <c r="CX6" s="241"/>
      <c r="CY6" s="244"/>
      <c r="CZ6" s="244"/>
      <c r="DA6" s="244"/>
      <c r="DB6" s="244"/>
      <c r="DC6" s="244"/>
      <c r="DD6" s="244"/>
      <c r="DE6" s="244"/>
      <c r="DF6" s="244"/>
      <c r="DG6" s="244"/>
      <c r="DH6" s="2034" t="s">
        <v>639</v>
      </c>
      <c r="DI6" s="2035"/>
      <c r="DJ6" s="2035"/>
      <c r="DK6" s="2035"/>
      <c r="DL6" s="2035"/>
      <c r="DM6" s="2035"/>
      <c r="DN6" s="2035"/>
      <c r="DO6" s="2035"/>
      <c r="DP6" s="2035"/>
      <c r="DQ6" s="2035"/>
      <c r="DR6" s="2035"/>
      <c r="DS6" s="2035"/>
      <c r="DT6" s="2035"/>
      <c r="DU6" s="2035"/>
      <c r="DV6" s="2035"/>
      <c r="DW6" s="2035"/>
      <c r="DX6" s="2035"/>
      <c r="DY6" s="2035"/>
      <c r="DZ6" s="2035"/>
      <c r="EA6" s="2035"/>
      <c r="EB6" s="2035"/>
      <c r="EC6" s="2035"/>
      <c r="ED6" s="2035"/>
      <c r="EE6" s="2035"/>
      <c r="EF6" s="2035"/>
      <c r="EG6" s="2035"/>
      <c r="EH6" s="2035"/>
      <c r="EI6" s="2035"/>
      <c r="EJ6" s="2035"/>
      <c r="EK6" s="2036"/>
      <c r="EL6" s="203"/>
      <c r="EM6" s="203"/>
      <c r="EN6" s="203"/>
      <c r="EO6" s="927"/>
      <c r="EP6" s="927"/>
      <c r="EQ6" s="927"/>
      <c r="ER6" s="927"/>
      <c r="ES6" s="927"/>
      <c r="ET6" s="924"/>
      <c r="EU6" s="924"/>
      <c r="EV6" s="293"/>
      <c r="EW6" s="1300" t="s">
        <v>1207</v>
      </c>
      <c r="EX6" s="1299">
        <v>0.5</v>
      </c>
      <c r="EY6" s="293"/>
      <c r="EZ6" s="293"/>
      <c r="FA6" s="293"/>
      <c r="FB6" s="293"/>
      <c r="FC6" s="293"/>
      <c r="FD6" s="310"/>
      <c r="FE6" s="246"/>
      <c r="FF6" s="246"/>
      <c r="FG6" s="246"/>
      <c r="FH6" s="246"/>
      <c r="FI6" s="246"/>
      <c r="FJ6" s="246"/>
      <c r="FK6" s="246"/>
      <c r="FL6" s="253"/>
      <c r="FM6" s="243"/>
      <c r="FN6" s="243"/>
      <c r="FO6" s="243"/>
      <c r="FP6" s="242"/>
      <c r="FQ6" s="248"/>
      <c r="FR6" s="243"/>
      <c r="FS6" s="243"/>
      <c r="FT6" s="243"/>
      <c r="FU6" s="245"/>
      <c r="FV6" s="245"/>
      <c r="FZ6" s="245"/>
      <c r="GA6" s="241"/>
      <c r="GB6" s="241"/>
      <c r="GC6" s="241"/>
      <c r="GD6" s="241"/>
      <c r="GE6" s="241"/>
      <c r="GF6" s="241"/>
      <c r="GG6" s="241"/>
      <c r="GH6" s="241"/>
      <c r="GI6" s="241"/>
      <c r="GJ6" s="241"/>
      <c r="GK6" s="245"/>
      <c r="ID6" s="921" t="s">
        <v>1157</v>
      </c>
      <c r="IE6" s="255">
        <v>112</v>
      </c>
      <c r="IF6" s="255">
        <v>113</v>
      </c>
      <c r="IG6" s="255">
        <f t="shared" ref="IG6:JH6" si="0">IF6+1</f>
        <v>114</v>
      </c>
      <c r="IH6" s="255">
        <f t="shared" si="0"/>
        <v>115</v>
      </c>
      <c r="II6" s="255">
        <f t="shared" si="0"/>
        <v>116</v>
      </c>
      <c r="IJ6" s="255">
        <f t="shared" si="0"/>
        <v>117</v>
      </c>
      <c r="IK6" s="255">
        <f t="shared" si="0"/>
        <v>118</v>
      </c>
      <c r="IL6" s="255">
        <f t="shared" si="0"/>
        <v>119</v>
      </c>
      <c r="IM6" s="255">
        <f t="shared" si="0"/>
        <v>120</v>
      </c>
      <c r="IN6" s="255">
        <f t="shared" si="0"/>
        <v>121</v>
      </c>
      <c r="IO6" s="255">
        <f t="shared" si="0"/>
        <v>122</v>
      </c>
      <c r="IP6" s="255">
        <f t="shared" si="0"/>
        <v>123</v>
      </c>
      <c r="IQ6" s="255">
        <f t="shared" si="0"/>
        <v>124</v>
      </c>
      <c r="IR6" s="255">
        <f t="shared" si="0"/>
        <v>125</v>
      </c>
      <c r="IS6" s="255">
        <f t="shared" si="0"/>
        <v>126</v>
      </c>
      <c r="IT6" s="255">
        <f t="shared" si="0"/>
        <v>127</v>
      </c>
      <c r="IU6" s="255">
        <f t="shared" si="0"/>
        <v>128</v>
      </c>
      <c r="IV6" s="255">
        <f t="shared" si="0"/>
        <v>129</v>
      </c>
      <c r="IW6" s="255">
        <f t="shared" si="0"/>
        <v>130</v>
      </c>
      <c r="IX6" s="255">
        <f t="shared" si="0"/>
        <v>131</v>
      </c>
      <c r="IY6" s="255">
        <f t="shared" si="0"/>
        <v>132</v>
      </c>
      <c r="IZ6" s="255">
        <f t="shared" si="0"/>
        <v>133</v>
      </c>
      <c r="JA6" s="255">
        <f t="shared" si="0"/>
        <v>134</v>
      </c>
      <c r="JB6" s="255">
        <f t="shared" si="0"/>
        <v>135</v>
      </c>
      <c r="JC6" s="255">
        <f t="shared" si="0"/>
        <v>136</v>
      </c>
      <c r="JD6" s="255">
        <f t="shared" si="0"/>
        <v>137</v>
      </c>
      <c r="JE6" s="255">
        <f t="shared" si="0"/>
        <v>138</v>
      </c>
      <c r="JF6" s="255">
        <f t="shared" si="0"/>
        <v>139</v>
      </c>
      <c r="JG6" s="255">
        <f t="shared" si="0"/>
        <v>140</v>
      </c>
      <c r="JH6" s="255">
        <f t="shared" si="0"/>
        <v>141</v>
      </c>
      <c r="JI6" s="255"/>
      <c r="JJ6" s="255"/>
      <c r="JK6" s="255"/>
    </row>
    <row r="7" spans="1:276" s="117" customFormat="1" ht="12.95" customHeight="1" x14ac:dyDescent="0.2">
      <c r="A7" s="1091" t="s">
        <v>37</v>
      </c>
      <c r="B7" s="374"/>
      <c r="C7" s="374"/>
      <c r="D7" s="374"/>
      <c r="E7" s="374"/>
      <c r="F7" s="374"/>
      <c r="G7" s="374"/>
      <c r="H7" s="374"/>
      <c r="I7" s="374"/>
      <c r="J7" s="374"/>
      <c r="K7" s="2076" t="s">
        <v>26</v>
      </c>
      <c r="L7" s="2077"/>
      <c r="M7" s="2081" t="str">
        <f>IF(ISBLANK(DA20),"",DA20)</f>
        <v/>
      </c>
      <c r="N7" s="1940"/>
      <c r="O7" s="1940"/>
      <c r="P7" s="1940"/>
      <c r="Q7" s="1940"/>
      <c r="R7" s="1940"/>
      <c r="S7" s="1940"/>
      <c r="T7"/>
      <c r="U7"/>
      <c r="V7" s="2076" t="s">
        <v>21</v>
      </c>
      <c r="W7" s="2076"/>
      <c r="X7" s="1175" t="str">
        <f>CONCATENATE(BI7, " of ",IF(ISBLANK('Job Info.'!D9),"",'Job Info.'!D9))</f>
        <v xml:space="preserve">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076" t="s">
        <v>21</v>
      </c>
      <c r="BA7" s="2076"/>
      <c r="BB7" s="1099" t="str">
        <f>CONCATENATE(IF(ISBLANK(BI7),"",BI7+1), " of ",IF(ISBLANK('Job Info.'!D9),"",'Job Info.'!D9))</f>
        <v xml:space="preserve"> of 19</v>
      </c>
      <c r="BC7" s="658"/>
      <c r="BD7" s="658"/>
      <c r="BE7" s="374"/>
      <c r="BF7" s="374"/>
      <c r="BG7" s="374"/>
      <c r="BH7" s="261"/>
      <c r="BI7" s="1083"/>
      <c r="CA7" s="246"/>
      <c r="CB7" s="244"/>
      <c r="CC7" s="244"/>
      <c r="CD7" s="244"/>
      <c r="CE7" s="244"/>
      <c r="CF7" s="244"/>
      <c r="CG7" s="244"/>
      <c r="CH7" s="244"/>
      <c r="CI7" s="244"/>
      <c r="CJ7" s="244"/>
      <c r="CK7" s="244"/>
      <c r="CL7" s="244"/>
      <c r="CM7" s="244"/>
      <c r="CN7" s="244"/>
      <c r="CO7" s="244"/>
      <c r="CP7" s="244"/>
      <c r="CQ7" s="244"/>
      <c r="CR7" s="244"/>
      <c r="CS7" s="244"/>
      <c r="CT7" s="244"/>
      <c r="CU7" s="244"/>
      <c r="CV7" s="244"/>
      <c r="CW7" s="244"/>
      <c r="CX7" s="241"/>
      <c r="CY7" s="244"/>
      <c r="CZ7" s="244"/>
      <c r="DA7" s="244"/>
      <c r="DB7" s="244"/>
      <c r="DC7" s="244"/>
      <c r="DD7" s="244"/>
      <c r="DE7" s="244"/>
      <c r="DF7" s="244"/>
      <c r="DG7" s="244"/>
      <c r="DH7" s="2037"/>
      <c r="DI7" s="2038"/>
      <c r="DJ7" s="2038"/>
      <c r="DK7" s="2038"/>
      <c r="DL7" s="2038"/>
      <c r="DM7" s="2038"/>
      <c r="DN7" s="2038"/>
      <c r="DO7" s="2038"/>
      <c r="DP7" s="2038"/>
      <c r="DQ7" s="2038"/>
      <c r="DR7" s="2038"/>
      <c r="DS7" s="2038"/>
      <c r="DT7" s="2038"/>
      <c r="DU7" s="2038"/>
      <c r="DV7" s="2038"/>
      <c r="DW7" s="2038"/>
      <c r="DX7" s="2038"/>
      <c r="DY7" s="2038"/>
      <c r="DZ7" s="2038"/>
      <c r="EA7" s="2038"/>
      <c r="EB7" s="2038"/>
      <c r="EC7" s="2038"/>
      <c r="ED7" s="2038"/>
      <c r="EE7" s="2038"/>
      <c r="EF7" s="2038"/>
      <c r="EG7" s="2038"/>
      <c r="EH7" s="2038"/>
      <c r="EI7" s="2038"/>
      <c r="EJ7" s="2038"/>
      <c r="EK7" s="2039"/>
      <c r="EL7" s="244"/>
      <c r="EM7" s="244"/>
      <c r="EN7" s="203"/>
      <c r="EO7" s="924"/>
      <c r="EP7" s="927"/>
      <c r="EQ7" s="927"/>
      <c r="ER7" s="927"/>
      <c r="ES7" s="924"/>
      <c r="ET7" s="924"/>
      <c r="EU7" s="924"/>
      <c r="EV7" s="293"/>
      <c r="EW7" s="293"/>
      <c r="EX7" s="293"/>
      <c r="EY7" s="293"/>
      <c r="EZ7" s="293"/>
      <c r="FA7" s="293"/>
      <c r="FB7" s="293"/>
      <c r="FC7" s="293"/>
      <c r="FD7" s="310"/>
      <c r="FE7" s="246"/>
      <c r="FF7" s="246"/>
      <c r="FG7" s="246"/>
      <c r="FH7" s="246"/>
      <c r="FI7" s="246"/>
      <c r="FJ7" s="246"/>
      <c r="FK7" s="246"/>
      <c r="FL7" s="253"/>
      <c r="FM7" s="243"/>
      <c r="FN7" s="243"/>
      <c r="FO7" s="243"/>
      <c r="FP7" s="242"/>
      <c r="FQ7" s="248"/>
      <c r="FR7" s="243"/>
      <c r="FS7" s="243"/>
      <c r="FT7" s="243"/>
      <c r="FU7" s="245"/>
      <c r="FV7" s="245"/>
      <c r="FZ7" s="245"/>
      <c r="GA7" s="241"/>
      <c r="GB7" s="241"/>
      <c r="GC7" s="241"/>
      <c r="GD7" s="241"/>
      <c r="GE7" s="241"/>
      <c r="GF7" s="241"/>
      <c r="GG7" s="241"/>
      <c r="GH7" s="241"/>
      <c r="GI7" s="241"/>
      <c r="GJ7" s="241"/>
      <c r="GK7" s="245"/>
      <c r="ID7" s="921" t="s">
        <v>1133</v>
      </c>
      <c r="IE7" s="1169">
        <v>28</v>
      </c>
      <c r="IF7" s="255">
        <v>29</v>
      </c>
      <c r="IG7" s="255">
        <f t="shared" ref="IG7:JH7" si="1">IF7+1</f>
        <v>30</v>
      </c>
      <c r="IH7" s="255">
        <f t="shared" si="1"/>
        <v>31</v>
      </c>
      <c r="II7" s="255">
        <f t="shared" si="1"/>
        <v>32</v>
      </c>
      <c r="IJ7" s="255">
        <f t="shared" si="1"/>
        <v>33</v>
      </c>
      <c r="IK7" s="255">
        <f t="shared" si="1"/>
        <v>34</v>
      </c>
      <c r="IL7" s="255">
        <f t="shared" si="1"/>
        <v>35</v>
      </c>
      <c r="IM7" s="255">
        <f t="shared" si="1"/>
        <v>36</v>
      </c>
      <c r="IN7" s="255">
        <f t="shared" si="1"/>
        <v>37</v>
      </c>
      <c r="IO7" s="255">
        <f t="shared" si="1"/>
        <v>38</v>
      </c>
      <c r="IP7" s="255">
        <f t="shared" si="1"/>
        <v>39</v>
      </c>
      <c r="IQ7" s="255">
        <f t="shared" si="1"/>
        <v>40</v>
      </c>
      <c r="IR7" s="255">
        <f t="shared" si="1"/>
        <v>41</v>
      </c>
      <c r="IS7" s="255">
        <f t="shared" si="1"/>
        <v>42</v>
      </c>
      <c r="IT7" s="255">
        <f t="shared" si="1"/>
        <v>43</v>
      </c>
      <c r="IU7" s="255">
        <f t="shared" si="1"/>
        <v>44</v>
      </c>
      <c r="IV7" s="255">
        <f t="shared" si="1"/>
        <v>45</v>
      </c>
      <c r="IW7" s="255">
        <f t="shared" si="1"/>
        <v>46</v>
      </c>
      <c r="IX7" s="255">
        <f t="shared" si="1"/>
        <v>47</v>
      </c>
      <c r="IY7" s="255">
        <f t="shared" si="1"/>
        <v>48</v>
      </c>
      <c r="IZ7" s="255">
        <f t="shared" si="1"/>
        <v>49</v>
      </c>
      <c r="JA7" s="255">
        <f t="shared" si="1"/>
        <v>50</v>
      </c>
      <c r="JB7" s="255">
        <f t="shared" si="1"/>
        <v>51</v>
      </c>
      <c r="JC7" s="255">
        <f t="shared" si="1"/>
        <v>52</v>
      </c>
      <c r="JD7" s="255">
        <f t="shared" si="1"/>
        <v>53</v>
      </c>
      <c r="JE7" s="255">
        <f t="shared" si="1"/>
        <v>54</v>
      </c>
      <c r="JF7" s="255">
        <f t="shared" si="1"/>
        <v>55</v>
      </c>
      <c r="JG7" s="255">
        <f t="shared" si="1"/>
        <v>56</v>
      </c>
      <c r="JH7" s="255">
        <f t="shared" si="1"/>
        <v>57</v>
      </c>
      <c r="JI7" s="255">
        <f>JH7+1</f>
        <v>58</v>
      </c>
      <c r="JJ7" s="255">
        <f>JI7+1</f>
        <v>59</v>
      </c>
      <c r="JK7" s="255"/>
    </row>
    <row r="8" spans="1:276" s="117" customFormat="1" ht="2.85" customHeight="1" thickBot="1" x14ac:dyDescent="0.25">
      <c r="A8" s="2080"/>
      <c r="B8" s="2080"/>
      <c r="C8" s="2080"/>
      <c r="D8" s="2080"/>
      <c r="E8" s="2080"/>
      <c r="F8" s="2080"/>
      <c r="G8" s="2080"/>
      <c r="H8" s="2080"/>
      <c r="I8" s="2080"/>
      <c r="J8" s="2080"/>
      <c r="K8" s="2080"/>
      <c r="L8" s="2080"/>
      <c r="M8" s="2080"/>
      <c r="N8" s="2080"/>
      <c r="O8" s="2080"/>
      <c r="P8" s="2080"/>
      <c r="Q8" s="2080"/>
      <c r="R8" s="2080"/>
      <c r="S8" s="2080"/>
      <c r="T8" s="2080"/>
      <c r="U8" s="2080"/>
      <c r="V8" s="2080"/>
      <c r="W8" s="2080"/>
      <c r="X8" s="2080"/>
      <c r="Y8" s="2080"/>
      <c r="Z8" s="2080"/>
      <c r="AA8" s="2080"/>
      <c r="AB8" s="2080"/>
      <c r="AC8" s="2080"/>
      <c r="AD8" s="2080"/>
      <c r="AE8" s="2080"/>
      <c r="AF8" s="2080"/>
      <c r="AG8" s="2080"/>
      <c r="AH8" s="2080"/>
      <c r="AI8" s="2080"/>
      <c r="AJ8" s="2080"/>
      <c r="AK8" s="2080"/>
      <c r="AL8" s="2080"/>
      <c r="AM8" s="2080"/>
      <c r="AN8" s="2080"/>
      <c r="AO8" s="2080"/>
      <c r="AP8" s="2080"/>
      <c r="AQ8" s="2080"/>
      <c r="AR8" s="2080"/>
      <c r="AS8" s="2080"/>
      <c r="AT8" s="2080"/>
      <c r="AU8" s="2080"/>
      <c r="AV8" s="2080"/>
      <c r="AW8" s="2080"/>
      <c r="AX8" s="2080"/>
      <c r="AY8" s="2080"/>
      <c r="AZ8" s="2080"/>
      <c r="BA8" s="2080"/>
      <c r="BB8" s="2080"/>
      <c r="BC8" s="2080"/>
      <c r="BD8" s="2080"/>
      <c r="BE8" s="2080"/>
      <c r="BF8" s="2080"/>
      <c r="BG8" s="2080"/>
      <c r="BH8" s="261"/>
      <c r="CA8" s="246"/>
      <c r="CB8" s="244"/>
      <c r="CC8" s="244"/>
      <c r="CD8" s="244"/>
      <c r="CE8" s="244"/>
      <c r="CF8" s="244"/>
      <c r="CG8" s="244"/>
      <c r="CH8" s="244"/>
      <c r="CI8" s="244"/>
      <c r="CJ8" s="244"/>
      <c r="CK8" s="244"/>
      <c r="CL8" s="244"/>
      <c r="CM8" s="244"/>
      <c r="CN8" s="244"/>
      <c r="CO8" s="244"/>
      <c r="CP8" s="244"/>
      <c r="CQ8" s="244"/>
      <c r="CR8" s="244"/>
      <c r="CS8" s="244"/>
      <c r="CT8" s="244"/>
      <c r="CU8" s="244"/>
      <c r="CV8" s="244"/>
      <c r="CW8" s="244"/>
      <c r="CX8" s="241"/>
      <c r="CY8" s="244"/>
      <c r="CZ8" s="244"/>
      <c r="DA8" s="244"/>
      <c r="DB8" s="244"/>
      <c r="DC8" s="244"/>
      <c r="DD8" s="244"/>
      <c r="DE8" s="244"/>
      <c r="DF8" s="244"/>
      <c r="DG8" s="244"/>
      <c r="DH8" s="2040"/>
      <c r="DI8" s="2041"/>
      <c r="DJ8" s="2041"/>
      <c r="DK8" s="2041"/>
      <c r="DL8" s="2041"/>
      <c r="DM8" s="2041"/>
      <c r="DN8" s="2041"/>
      <c r="DO8" s="2041"/>
      <c r="DP8" s="2041"/>
      <c r="DQ8" s="2041"/>
      <c r="DR8" s="2041"/>
      <c r="DS8" s="2041"/>
      <c r="DT8" s="2041"/>
      <c r="DU8" s="2041"/>
      <c r="DV8" s="2041"/>
      <c r="DW8" s="2041"/>
      <c r="DX8" s="2041"/>
      <c r="DY8" s="2041"/>
      <c r="DZ8" s="2041"/>
      <c r="EA8" s="2041"/>
      <c r="EB8" s="2041"/>
      <c r="EC8" s="2041"/>
      <c r="ED8" s="2041"/>
      <c r="EE8" s="2041"/>
      <c r="EF8" s="2041"/>
      <c r="EG8" s="2041"/>
      <c r="EH8" s="2041"/>
      <c r="EI8" s="2041"/>
      <c r="EJ8" s="2041"/>
      <c r="EK8" s="2042"/>
      <c r="EL8" s="244"/>
      <c r="EM8" s="244"/>
      <c r="EN8" s="203"/>
      <c r="EO8" s="244"/>
      <c r="EP8" s="203"/>
      <c r="EQ8" s="203"/>
      <c r="ER8" s="203"/>
      <c r="ES8" s="244"/>
      <c r="ET8" s="244"/>
      <c r="EU8" s="244"/>
      <c r="EV8" s="246"/>
      <c r="EW8" s="246"/>
      <c r="EX8" s="246"/>
      <c r="EY8" s="246"/>
      <c r="EZ8" s="246"/>
      <c r="FA8" s="246"/>
      <c r="FB8" s="246"/>
      <c r="FC8" s="246"/>
      <c r="FD8" s="246"/>
      <c r="FE8" s="246"/>
      <c r="FF8" s="246"/>
      <c r="FG8" s="246"/>
      <c r="FH8" s="246"/>
      <c r="FI8" s="246"/>
      <c r="FJ8" s="246"/>
      <c r="FK8" s="246"/>
      <c r="FM8" s="243"/>
      <c r="FN8" s="243"/>
      <c r="FO8" s="254"/>
      <c r="FP8" s="242"/>
      <c r="FQ8" s="248"/>
      <c r="FR8" s="243"/>
      <c r="FS8" s="243"/>
      <c r="FT8" s="243"/>
      <c r="FU8" s="245"/>
      <c r="FV8" s="245"/>
      <c r="FZ8" s="245"/>
      <c r="GA8" s="241"/>
      <c r="GB8" s="241"/>
      <c r="GC8" s="241"/>
      <c r="GD8" s="241"/>
      <c r="GE8" s="241"/>
      <c r="GF8" s="241"/>
      <c r="GG8" s="241"/>
      <c r="GH8" s="241"/>
      <c r="GI8" s="241"/>
      <c r="GJ8" s="241"/>
      <c r="GK8" s="245"/>
    </row>
    <row r="9" spans="1:276" s="117" customFormat="1" ht="12.2" customHeight="1" thickTop="1" x14ac:dyDescent="0.2">
      <c r="A9" s="1917" t="s">
        <v>1</v>
      </c>
      <c r="B9" s="1873"/>
      <c r="C9" s="1824" t="str">
        <f>IF(ISBLANK('Job Info.'!D3),"",'Job Info.'!D3)</f>
        <v>MINDEN UPS BLDG 1</v>
      </c>
      <c r="D9" s="1824"/>
      <c r="E9" s="1824"/>
      <c r="F9" s="1824"/>
      <c r="G9" s="1824"/>
      <c r="H9" s="1824"/>
      <c r="I9" s="1824"/>
      <c r="J9" s="1824"/>
      <c r="K9" s="1824"/>
      <c r="L9" s="1824"/>
      <c r="M9" s="1824"/>
      <c r="N9" s="1824"/>
      <c r="O9" s="1824"/>
      <c r="P9" s="1825"/>
      <c r="Q9" s="1917" t="s">
        <v>2</v>
      </c>
      <c r="R9" s="1873"/>
      <c r="S9" s="1873"/>
      <c r="T9" s="1825" t="str">
        <f>IF(ISBLANK('Job Info.'!D5),"",'Job Info.'!D5)</f>
        <v>NN22-0071</v>
      </c>
      <c r="U9" s="2101"/>
      <c r="V9" s="2101"/>
      <c r="W9" s="2101"/>
      <c r="X9" s="2101"/>
      <c r="Y9" s="2101"/>
      <c r="Z9" s="2101"/>
      <c r="AA9" s="2101"/>
      <c r="AB9" s="2075" t="s">
        <v>1</v>
      </c>
      <c r="AC9" s="2075"/>
      <c r="AD9" s="1917"/>
      <c r="AE9" s="1824" t="str">
        <f>C9</f>
        <v>MINDEN UPS BLDG 1</v>
      </c>
      <c r="AF9" s="1824"/>
      <c r="AG9" s="1824"/>
      <c r="AH9" s="1824"/>
      <c r="AI9" s="1824"/>
      <c r="AJ9" s="1824"/>
      <c r="AK9" s="1824"/>
      <c r="AL9" s="1824"/>
      <c r="AM9" s="1824"/>
      <c r="AN9" s="1824"/>
      <c r="AO9" s="1824"/>
      <c r="AP9" s="1824"/>
      <c r="AQ9" s="1824"/>
      <c r="AR9" s="1824"/>
      <c r="AS9" s="1824"/>
      <c r="AT9" s="1825"/>
      <c r="AU9" s="1917" t="s">
        <v>2</v>
      </c>
      <c r="AV9" s="1873"/>
      <c r="AW9" s="1873"/>
      <c r="AX9" s="1824" t="str">
        <f>T9</f>
        <v>NN22-0071</v>
      </c>
      <c r="AY9" s="1824"/>
      <c r="AZ9" s="1824"/>
      <c r="BA9" s="1824"/>
      <c r="BB9" s="1824"/>
      <c r="BC9" s="1824"/>
      <c r="BD9" s="1824"/>
      <c r="BE9" s="1824"/>
      <c r="BF9" s="1824"/>
      <c r="BG9" s="1825"/>
      <c r="BH9" s="261"/>
      <c r="CA9" s="246"/>
      <c r="CB9" s="244"/>
      <c r="CC9" s="244"/>
      <c r="CD9" s="244"/>
      <c r="CE9" s="244"/>
      <c r="CF9" s="244"/>
      <c r="CG9" s="244"/>
      <c r="CH9" s="244"/>
      <c r="CI9" s="244"/>
      <c r="CJ9" s="244"/>
      <c r="CK9" s="244"/>
      <c r="CL9" s="244"/>
      <c r="CM9" s="244"/>
      <c r="CN9" s="244"/>
      <c r="CO9" s="244"/>
      <c r="CP9" s="244"/>
      <c r="CQ9" s="244"/>
      <c r="CR9" s="244"/>
      <c r="CS9" s="244"/>
      <c r="CT9" s="244"/>
      <c r="CU9" s="244"/>
      <c r="CV9" s="244"/>
      <c r="CW9" s="244"/>
      <c r="CX9" s="241"/>
      <c r="CY9" s="244"/>
      <c r="CZ9" s="244"/>
      <c r="DA9" s="244"/>
      <c r="DB9" s="244"/>
      <c r="DC9" s="244"/>
      <c r="DD9" s="244"/>
      <c r="DE9" s="244"/>
      <c r="DF9" s="244"/>
      <c r="DG9" s="244"/>
      <c r="DH9" s="2020" t="s">
        <v>613</v>
      </c>
      <c r="DI9" s="1930" t="s">
        <v>640</v>
      </c>
      <c r="DJ9" s="1943"/>
      <c r="DK9" s="1943"/>
      <c r="DL9" s="1943"/>
      <c r="DM9" s="1943"/>
      <c r="DN9" s="1970"/>
      <c r="DO9" s="2017" t="s">
        <v>1287</v>
      </c>
      <c r="DP9" s="1930" t="s">
        <v>641</v>
      </c>
      <c r="DQ9" s="1931"/>
      <c r="DR9" s="1931"/>
      <c r="DS9" s="1931"/>
      <c r="DT9" s="1931"/>
      <c r="DU9" s="1932"/>
      <c r="DV9" s="2209" t="s">
        <v>610</v>
      </c>
      <c r="DW9" s="1931"/>
      <c r="DX9" s="1931"/>
      <c r="DY9" s="1931"/>
      <c r="DZ9" s="1931"/>
      <c r="EA9" s="1931"/>
      <c r="EB9" s="1931"/>
      <c r="EC9" s="1931"/>
      <c r="ED9" s="1931"/>
      <c r="EE9" s="1931"/>
      <c r="EF9" s="1931"/>
      <c r="EG9" s="1931"/>
      <c r="EH9" s="1931"/>
      <c r="EI9" s="1931"/>
      <c r="EJ9" s="1931"/>
      <c r="EK9" s="1932"/>
      <c r="EL9" s="244"/>
      <c r="EM9" s="244"/>
      <c r="EN9" s="203"/>
      <c r="EO9" s="244"/>
      <c r="EP9" s="203"/>
      <c r="EQ9" s="241"/>
      <c r="ER9" s="241"/>
      <c r="ES9" s="241"/>
      <c r="ET9" s="241"/>
      <c r="EU9" s="244"/>
      <c r="EV9" s="246"/>
      <c r="EW9" s="246"/>
      <c r="EX9" s="246"/>
      <c r="EY9" s="246"/>
      <c r="EZ9" s="246"/>
      <c r="FA9" s="246"/>
      <c r="FB9" s="246"/>
      <c r="FC9" s="246"/>
      <c r="FD9" s="246"/>
      <c r="FE9" s="246"/>
      <c r="FG9" s="246"/>
      <c r="FH9" s="246"/>
      <c r="FI9" s="246"/>
      <c r="FJ9" s="246"/>
      <c r="FK9" s="246"/>
      <c r="FL9" s="253"/>
      <c r="FM9" s="243"/>
      <c r="FN9" s="243"/>
      <c r="FO9" s="243"/>
      <c r="FP9" s="242"/>
      <c r="FQ9" s="248"/>
      <c r="FR9" s="243"/>
      <c r="FS9" s="243"/>
      <c r="FT9" s="243"/>
      <c r="FU9" s="245"/>
      <c r="FV9" s="245"/>
      <c r="FZ9" s="245"/>
      <c r="GA9" s="241"/>
      <c r="GB9" s="241"/>
      <c r="GC9" s="241"/>
      <c r="GD9" s="241"/>
      <c r="GE9" s="241"/>
      <c r="GF9" s="241"/>
      <c r="GG9" s="241"/>
      <c r="GH9" s="241"/>
      <c r="GI9" s="241"/>
      <c r="GJ9" s="241"/>
      <c r="GK9" s="245"/>
      <c r="ID9" s="921" t="s">
        <v>1156</v>
      </c>
      <c r="IE9" s="255">
        <v>1</v>
      </c>
      <c r="IF9" s="255">
        <f>1+ID21</f>
        <v>31</v>
      </c>
      <c r="IG9" s="255">
        <f t="shared" ref="IG9:JH9" si="2">IF9+1</f>
        <v>32</v>
      </c>
      <c r="IH9" s="255">
        <f t="shared" si="2"/>
        <v>33</v>
      </c>
      <c r="II9" s="255">
        <f t="shared" si="2"/>
        <v>34</v>
      </c>
      <c r="IJ9" s="255">
        <f t="shared" si="2"/>
        <v>35</v>
      </c>
      <c r="IK9" s="255">
        <f t="shared" si="2"/>
        <v>36</v>
      </c>
      <c r="IL9" s="255">
        <f t="shared" si="2"/>
        <v>37</v>
      </c>
      <c r="IM9" s="255">
        <f t="shared" si="2"/>
        <v>38</v>
      </c>
      <c r="IN9" s="255">
        <f t="shared" si="2"/>
        <v>39</v>
      </c>
      <c r="IO9" s="255">
        <f t="shared" si="2"/>
        <v>40</v>
      </c>
      <c r="IP9" s="255">
        <f t="shared" si="2"/>
        <v>41</v>
      </c>
      <c r="IQ9" s="255">
        <f t="shared" si="2"/>
        <v>42</v>
      </c>
      <c r="IR9" s="255">
        <f t="shared" si="2"/>
        <v>43</v>
      </c>
      <c r="IS9" s="255">
        <f t="shared" si="2"/>
        <v>44</v>
      </c>
      <c r="IT9" s="255">
        <f t="shared" si="2"/>
        <v>45</v>
      </c>
      <c r="IU9" s="255">
        <f t="shared" si="2"/>
        <v>46</v>
      </c>
      <c r="IV9" s="255">
        <f t="shared" si="2"/>
        <v>47</v>
      </c>
      <c r="IW9" s="255">
        <f t="shared" si="2"/>
        <v>48</v>
      </c>
      <c r="IX9" s="255">
        <f t="shared" si="2"/>
        <v>49</v>
      </c>
      <c r="IY9" s="255">
        <f t="shared" si="2"/>
        <v>50</v>
      </c>
      <c r="IZ9" s="255">
        <f t="shared" si="2"/>
        <v>51</v>
      </c>
      <c r="JA9" s="255">
        <f t="shared" si="2"/>
        <v>52</v>
      </c>
      <c r="JB9" s="255">
        <f t="shared" si="2"/>
        <v>53</v>
      </c>
      <c r="JC9" s="255">
        <f t="shared" si="2"/>
        <v>54</v>
      </c>
      <c r="JD9" s="255">
        <f t="shared" si="2"/>
        <v>55</v>
      </c>
      <c r="JE9" s="255">
        <f t="shared" si="2"/>
        <v>56</v>
      </c>
      <c r="JF9" s="255">
        <f t="shared" si="2"/>
        <v>57</v>
      </c>
      <c r="JG9" s="255">
        <f t="shared" si="2"/>
        <v>58</v>
      </c>
      <c r="JH9" s="255">
        <f t="shared" si="2"/>
        <v>59</v>
      </c>
      <c r="JI9" s="255"/>
      <c r="JJ9" s="255"/>
      <c r="JK9" s="255">
        <v>62</v>
      </c>
    </row>
    <row r="10" spans="1:276" s="117" customFormat="1" ht="12.2" customHeight="1" x14ac:dyDescent="0.2">
      <c r="A10" s="1917" t="s">
        <v>3</v>
      </c>
      <c r="B10" s="1873"/>
      <c r="C10" s="1824" t="str">
        <f>IF(ISBLANK('Job Info.'!D4),"",'Job Info.'!D4)</f>
        <v>MINDEN, NV</v>
      </c>
      <c r="D10" s="1824"/>
      <c r="E10" s="1824"/>
      <c r="F10" s="1824"/>
      <c r="G10" s="1824"/>
      <c r="H10" s="1824"/>
      <c r="I10" s="1824"/>
      <c r="J10" s="1824"/>
      <c r="K10" s="1824"/>
      <c r="L10" s="1824"/>
      <c r="M10" s="1824"/>
      <c r="N10" s="1824"/>
      <c r="O10" s="1824"/>
      <c r="P10" s="1825"/>
      <c r="Q10" s="1917" t="s">
        <v>22</v>
      </c>
      <c r="R10" s="1873"/>
      <c r="S10" s="1873"/>
      <c r="T10" s="1824" t="str">
        <f>IF(ISBLANK('Job Info.'!D6),"",'Job Info.'!D6)</f>
        <v>JMM</v>
      </c>
      <c r="U10" s="1824"/>
      <c r="V10" s="1824"/>
      <c r="W10" s="1825"/>
      <c r="X10" s="1917" t="s">
        <v>23</v>
      </c>
      <c r="Y10" s="1873"/>
      <c r="Z10" s="1825" t="str">
        <f>IF(ISBLANK('Job Info.'!D7),"",'Job Info.'!D7)</f>
        <v>NR</v>
      </c>
      <c r="AA10" s="2101"/>
      <c r="AB10" s="2075" t="s">
        <v>3</v>
      </c>
      <c r="AC10" s="2075"/>
      <c r="AD10" s="1917"/>
      <c r="AE10" s="1824" t="str">
        <f>C10</f>
        <v>MINDEN, NV</v>
      </c>
      <c r="AF10" s="1824"/>
      <c r="AG10" s="1824"/>
      <c r="AH10" s="1824"/>
      <c r="AI10" s="1824"/>
      <c r="AJ10" s="1824"/>
      <c r="AK10" s="1824"/>
      <c r="AL10" s="1824"/>
      <c r="AM10" s="1824"/>
      <c r="AN10" s="1824"/>
      <c r="AO10" s="1824"/>
      <c r="AP10" s="1824"/>
      <c r="AQ10" s="1824"/>
      <c r="AR10" s="1824"/>
      <c r="AS10" s="1824"/>
      <c r="AT10" s="1825"/>
      <c r="AU10" s="1917" t="s">
        <v>22</v>
      </c>
      <c r="AV10" s="1873"/>
      <c r="AW10" s="1873"/>
      <c r="AX10" s="1824" t="str">
        <f>T10</f>
        <v>JMM</v>
      </c>
      <c r="AY10" s="1824"/>
      <c r="AZ10" s="1824"/>
      <c r="BA10" s="1825"/>
      <c r="BB10" s="1917" t="s">
        <v>23</v>
      </c>
      <c r="BC10" s="1873"/>
      <c r="BD10" s="1873"/>
      <c r="BE10" s="1824" t="str">
        <f>Z10</f>
        <v>NR</v>
      </c>
      <c r="BF10" s="1824"/>
      <c r="BG10" s="1825"/>
      <c r="BH10" s="261"/>
      <c r="CA10" s="246"/>
      <c r="CB10" s="244"/>
      <c r="CC10" s="244"/>
      <c r="CD10" s="244"/>
      <c r="CE10" s="244"/>
      <c r="CF10" s="244"/>
      <c r="CG10" s="244"/>
      <c r="CH10" s="244"/>
      <c r="CI10" s="244"/>
      <c r="CJ10" s="244"/>
      <c r="CK10" s="244"/>
      <c r="CL10" s="244"/>
      <c r="CM10" s="244"/>
      <c r="CN10" s="244"/>
      <c r="CO10" s="244"/>
      <c r="CP10" s="244"/>
      <c r="CQ10" s="244"/>
      <c r="CR10" s="244"/>
      <c r="CS10" s="244"/>
      <c r="CT10" s="244"/>
      <c r="CU10" s="244"/>
      <c r="CV10" s="244"/>
      <c r="CW10" s="244"/>
      <c r="CX10" s="241"/>
      <c r="CY10" s="244"/>
      <c r="CZ10" s="241"/>
      <c r="DA10" s="241"/>
      <c r="DB10" s="241"/>
      <c r="DC10" s="241"/>
      <c r="DD10" s="241"/>
      <c r="DE10" s="241"/>
      <c r="DF10" s="241"/>
      <c r="DG10" s="241"/>
      <c r="DH10" s="2021"/>
      <c r="DI10" s="1971"/>
      <c r="DJ10" s="1947"/>
      <c r="DK10" s="1947"/>
      <c r="DL10" s="1947"/>
      <c r="DM10" s="1947"/>
      <c r="DN10" s="1972"/>
      <c r="DO10" s="2018"/>
      <c r="DP10" s="1933"/>
      <c r="DQ10" s="1884"/>
      <c r="DR10" s="1884"/>
      <c r="DS10" s="1884"/>
      <c r="DT10" s="1884"/>
      <c r="DU10" s="1934"/>
      <c r="DV10" s="2187"/>
      <c r="DW10" s="1884"/>
      <c r="DX10" s="1884"/>
      <c r="DY10" s="1884"/>
      <c r="DZ10" s="1884"/>
      <c r="EA10" s="1884"/>
      <c r="EB10" s="1884"/>
      <c r="EC10" s="1884"/>
      <c r="ED10" s="1884"/>
      <c r="EE10" s="1884"/>
      <c r="EF10" s="1884"/>
      <c r="EG10" s="1884"/>
      <c r="EH10" s="1884"/>
      <c r="EI10" s="1884"/>
      <c r="EJ10" s="1884"/>
      <c r="EK10" s="1934"/>
      <c r="EL10" s="241"/>
      <c r="EM10" s="241"/>
      <c r="EN10" s="926"/>
      <c r="EO10" s="241"/>
      <c r="EP10" s="241"/>
      <c r="EQ10" s="241"/>
      <c r="ER10" s="241"/>
      <c r="ES10" s="241"/>
      <c r="ET10" s="241"/>
      <c r="EU10" s="241"/>
      <c r="FV10" s="245"/>
      <c r="FZ10" s="245"/>
      <c r="GA10" s="241"/>
      <c r="GB10" s="241"/>
      <c r="GC10" s="241"/>
      <c r="GD10" s="241"/>
      <c r="GE10" s="241"/>
      <c r="GF10" s="241"/>
      <c r="GG10" s="241"/>
      <c r="GH10" s="241"/>
      <c r="GI10" s="241"/>
      <c r="GJ10" s="241"/>
      <c r="GK10" s="245"/>
      <c r="ID10" s="921" t="s">
        <v>1133</v>
      </c>
      <c r="IE10" s="255">
        <v>1</v>
      </c>
      <c r="IF10" s="255">
        <v>31</v>
      </c>
      <c r="IG10" s="255">
        <f t="shared" ref="IG10:JK10" si="3">IF10+1</f>
        <v>32</v>
      </c>
      <c r="IH10" s="255">
        <f t="shared" si="3"/>
        <v>33</v>
      </c>
      <c r="II10" s="255">
        <f t="shared" si="3"/>
        <v>34</v>
      </c>
      <c r="IJ10" s="255">
        <f t="shared" si="3"/>
        <v>35</v>
      </c>
      <c r="IK10" s="255">
        <f t="shared" si="3"/>
        <v>36</v>
      </c>
      <c r="IL10" s="255">
        <f t="shared" si="3"/>
        <v>37</v>
      </c>
      <c r="IM10" s="255">
        <f t="shared" si="3"/>
        <v>38</v>
      </c>
      <c r="IN10" s="255">
        <f t="shared" si="3"/>
        <v>39</v>
      </c>
      <c r="IO10" s="255">
        <f t="shared" si="3"/>
        <v>40</v>
      </c>
      <c r="IP10" s="255">
        <f t="shared" si="3"/>
        <v>41</v>
      </c>
      <c r="IQ10" s="255">
        <f t="shared" si="3"/>
        <v>42</v>
      </c>
      <c r="IR10" s="255">
        <f t="shared" si="3"/>
        <v>43</v>
      </c>
      <c r="IS10" s="255">
        <f t="shared" si="3"/>
        <v>44</v>
      </c>
      <c r="IT10" s="255">
        <f t="shared" si="3"/>
        <v>45</v>
      </c>
      <c r="IU10" s="255">
        <f t="shared" si="3"/>
        <v>46</v>
      </c>
      <c r="IV10" s="255">
        <f t="shared" si="3"/>
        <v>47</v>
      </c>
      <c r="IW10" s="255">
        <f t="shared" si="3"/>
        <v>48</v>
      </c>
      <c r="IX10" s="255">
        <f t="shared" si="3"/>
        <v>49</v>
      </c>
      <c r="IY10" s="255">
        <f t="shared" si="3"/>
        <v>50</v>
      </c>
      <c r="IZ10" s="255">
        <f t="shared" si="3"/>
        <v>51</v>
      </c>
      <c r="JA10" s="255">
        <f t="shared" si="3"/>
        <v>52</v>
      </c>
      <c r="JB10" s="255">
        <f t="shared" si="3"/>
        <v>53</v>
      </c>
      <c r="JC10" s="255">
        <f t="shared" si="3"/>
        <v>54</v>
      </c>
      <c r="JD10" s="255">
        <f t="shared" si="3"/>
        <v>55</v>
      </c>
      <c r="JE10" s="255">
        <f t="shared" si="3"/>
        <v>56</v>
      </c>
      <c r="JF10" s="255">
        <f t="shared" si="3"/>
        <v>57</v>
      </c>
      <c r="JG10" s="255">
        <f t="shared" si="3"/>
        <v>58</v>
      </c>
      <c r="JH10" s="255">
        <f t="shared" si="3"/>
        <v>59</v>
      </c>
      <c r="JI10" s="255">
        <f t="shared" si="3"/>
        <v>60</v>
      </c>
      <c r="JJ10" s="255">
        <f t="shared" si="3"/>
        <v>61</v>
      </c>
      <c r="JK10" s="255">
        <f t="shared" si="3"/>
        <v>62</v>
      </c>
    </row>
    <row r="11" spans="1:276" ht="3.95" customHeight="1" thickBot="1" x14ac:dyDescent="0.25">
      <c r="A11" s="2126"/>
      <c r="B11" s="2126"/>
      <c r="C11" s="2126"/>
      <c r="D11" s="2126"/>
      <c r="E11" s="2126"/>
      <c r="F11" s="2126"/>
      <c r="G11" s="2126"/>
      <c r="H11" s="2126"/>
      <c r="I11" s="2126"/>
      <c r="J11" s="2126"/>
      <c r="K11" s="2126"/>
      <c r="L11" s="2126"/>
      <c r="M11" s="2126"/>
      <c r="N11" s="2126"/>
      <c r="O11" s="2126"/>
      <c r="P11" s="2126"/>
      <c r="Q11" s="2126"/>
      <c r="R11" s="2126"/>
      <c r="S11" s="2126"/>
      <c r="T11" s="2126"/>
      <c r="U11" s="2126"/>
      <c r="V11" s="2126"/>
      <c r="W11" s="2126"/>
      <c r="X11" s="2126"/>
      <c r="Y11" s="2126"/>
      <c r="Z11" s="2126"/>
      <c r="AA11" s="2126"/>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41"/>
      <c r="CY11" s="198"/>
      <c r="CZ11" s="141"/>
      <c r="DA11" s="141"/>
      <c r="DB11" s="141"/>
      <c r="DC11" s="141"/>
      <c r="DD11" s="141"/>
      <c r="DE11" s="141"/>
      <c r="DF11" s="141"/>
      <c r="DG11" s="141"/>
      <c r="DH11" s="2021"/>
      <c r="DI11" s="1971"/>
      <c r="DJ11" s="1947"/>
      <c r="DK11" s="1947"/>
      <c r="DL11" s="1947"/>
      <c r="DM11" s="1947"/>
      <c r="DN11" s="1972"/>
      <c r="DO11" s="2018"/>
      <c r="DP11" s="1935" t="s">
        <v>601</v>
      </c>
      <c r="DQ11" s="1555"/>
      <c r="DR11" s="1937" t="s">
        <v>603</v>
      </c>
      <c r="DS11" s="1555"/>
      <c r="DT11" s="1555"/>
      <c r="DU11" s="1555"/>
      <c r="DV11" s="2187"/>
      <c r="DW11" s="1884"/>
      <c r="DX11" s="1884"/>
      <c r="DY11" s="1884"/>
      <c r="DZ11" s="1884"/>
      <c r="EA11" s="1884"/>
      <c r="EB11" s="1884"/>
      <c r="EC11" s="1884"/>
      <c r="ED11" s="1884"/>
      <c r="EE11" s="1884"/>
      <c r="EF11" s="1884"/>
      <c r="EG11" s="1884"/>
      <c r="EH11" s="1884"/>
      <c r="EI11" s="1884"/>
      <c r="EJ11" s="1884"/>
      <c r="EK11" s="1934"/>
      <c r="EL11" s="141"/>
      <c r="EM11" s="141"/>
      <c r="EN11" s="928"/>
      <c r="EO11" s="141"/>
      <c r="EP11" s="141"/>
      <c r="EQ11" s="141"/>
      <c r="ER11" s="141"/>
      <c r="ES11" s="141"/>
      <c r="ET11" s="141"/>
      <c r="EU11" s="141"/>
      <c r="FV11" s="2"/>
      <c r="FW11" s="117"/>
      <c r="FX11" s="117"/>
      <c r="FY11" s="117"/>
      <c r="FZ11" s="2"/>
      <c r="GA11" s="141"/>
      <c r="GB11" s="141"/>
      <c r="GC11" s="141"/>
      <c r="GD11" s="141"/>
      <c r="GE11" s="141"/>
      <c r="GF11" s="141"/>
      <c r="GG11" s="141"/>
      <c r="GH11" s="141"/>
      <c r="GI11" s="141"/>
      <c r="GJ11" s="141"/>
      <c r="GK11" s="2"/>
      <c r="HA11" s="130"/>
      <c r="HB11" s="130"/>
      <c r="HC11" s="130"/>
      <c r="HD11" s="130"/>
      <c r="HE11" s="130"/>
      <c r="HF11" s="130"/>
      <c r="HG11" s="130"/>
      <c r="HH11" s="130"/>
      <c r="HI11" s="130"/>
      <c r="HM11" s="131"/>
      <c r="HN11" s="132"/>
      <c r="ID11" s="140"/>
      <c r="IE11" s="140"/>
      <c r="IF11" s="140"/>
      <c r="IG11" s="140"/>
      <c r="IH11" s="140"/>
      <c r="II11" s="140"/>
      <c r="IJ11" s="140"/>
      <c r="IK11" s="140"/>
      <c r="IL11" s="140"/>
      <c r="JL11" s="117"/>
      <c r="JM11" s="117"/>
    </row>
    <row r="12" spans="1:276" ht="12" customHeight="1" thickBot="1" x14ac:dyDescent="0.25">
      <c r="A12" s="1093"/>
      <c r="B12" s="1093"/>
      <c r="C12" s="1093"/>
      <c r="D12" s="1093"/>
      <c r="E12" s="1093"/>
      <c r="F12" s="1093"/>
      <c r="G12" s="1093"/>
      <c r="H12" s="1093"/>
      <c r="I12" s="1093"/>
      <c r="J12" s="1093"/>
      <c r="K12" s="1093"/>
      <c r="L12" s="1093"/>
      <c r="M12" s="1093"/>
      <c r="N12" s="1093"/>
      <c r="O12" s="1093"/>
      <c r="P12" s="1093"/>
      <c r="Q12" s="1093"/>
      <c r="R12" s="1093"/>
      <c r="S12" s="1093"/>
      <c r="T12" s="1093"/>
      <c r="U12" s="1093"/>
      <c r="V12" s="1093"/>
      <c r="W12" s="1093"/>
      <c r="X12" s="1093"/>
      <c r="Y12" s="1093"/>
      <c r="Z12" s="1093"/>
      <c r="AA12" s="1093"/>
      <c r="AB12" s="2084" t="s">
        <v>40</v>
      </c>
      <c r="AC12" s="1977" t="s">
        <v>62</v>
      </c>
      <c r="AD12" s="1979" t="s">
        <v>32</v>
      </c>
      <c r="AE12" s="1980"/>
      <c r="AF12" s="1983" t="s">
        <v>34</v>
      </c>
      <c r="AG12" s="1984"/>
      <c r="AH12" s="1985"/>
      <c r="AI12" s="1979" t="s">
        <v>35</v>
      </c>
      <c r="AJ12" s="1980"/>
      <c r="AK12" s="1986" t="s">
        <v>63</v>
      </c>
      <c r="AL12" s="1988" t="s">
        <v>737</v>
      </c>
      <c r="AM12" s="1989"/>
      <c r="AN12" s="1989"/>
      <c r="AO12" s="1989"/>
      <c r="AP12" s="1989"/>
      <c r="AQ12" s="1990"/>
      <c r="AR12" s="1984" t="s">
        <v>82</v>
      </c>
      <c r="AS12" s="1984"/>
      <c r="AT12" s="1984"/>
      <c r="AU12" s="1984"/>
      <c r="AV12" s="1984"/>
      <c r="AW12" s="1984"/>
      <c r="AX12" s="1984"/>
      <c r="AY12" s="1984"/>
      <c r="AZ12" s="1984"/>
      <c r="BA12" s="1984"/>
      <c r="BB12" s="1984"/>
      <c r="BC12" s="1984"/>
      <c r="BD12" s="1984"/>
      <c r="BE12" s="1984"/>
      <c r="BF12" s="1984"/>
      <c r="BG12" s="1991"/>
      <c r="BH12" s="261"/>
      <c r="BJ12" s="117"/>
      <c r="BK12" s="117"/>
      <c r="BL12" s="117"/>
      <c r="BM12" s="117"/>
      <c r="BN12" s="117"/>
      <c r="BO12" s="117"/>
      <c r="BW12" s="2055" t="s">
        <v>630</v>
      </c>
      <c r="BX12" s="2056"/>
      <c r="BY12" s="2056"/>
      <c r="BZ12" s="2057"/>
      <c r="CA12" s="105"/>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41"/>
      <c r="CY12" s="198"/>
      <c r="CZ12" s="141"/>
      <c r="DA12" s="141"/>
      <c r="DB12" s="141"/>
      <c r="DC12" s="141"/>
      <c r="DD12" s="141"/>
      <c r="DE12" s="141"/>
      <c r="DF12" s="141"/>
      <c r="DG12" s="141"/>
      <c r="DH12" s="2021"/>
      <c r="DI12" s="2027" t="s">
        <v>1289</v>
      </c>
      <c r="DJ12" s="1999" t="s">
        <v>32</v>
      </c>
      <c r="DK12" s="2000"/>
      <c r="DL12" s="2003" t="s">
        <v>34</v>
      </c>
      <c r="DM12" s="2005" t="s">
        <v>489</v>
      </c>
      <c r="DN12" s="2006"/>
      <c r="DO12" s="2018"/>
      <c r="DP12" s="1935"/>
      <c r="DQ12" s="2029" t="s">
        <v>602</v>
      </c>
      <c r="DR12" s="1937"/>
      <c r="DS12" s="2029" t="s">
        <v>604</v>
      </c>
      <c r="DT12" s="2031" t="s">
        <v>605</v>
      </c>
      <c r="DU12" s="2032"/>
      <c r="DV12" s="2011" t="s">
        <v>598</v>
      </c>
      <c r="DW12" s="2012"/>
      <c r="DX12" s="2023" t="s">
        <v>1287</v>
      </c>
      <c r="DY12" s="2025" t="s">
        <v>1288</v>
      </c>
      <c r="DZ12" s="2011" t="s">
        <v>598</v>
      </c>
      <c r="EA12" s="2012"/>
      <c r="EB12" s="2023" t="s">
        <v>1287</v>
      </c>
      <c r="EC12" s="2025" t="s">
        <v>1288</v>
      </c>
      <c r="ED12" s="2011" t="s">
        <v>598</v>
      </c>
      <c r="EE12" s="2012"/>
      <c r="EF12" s="2023" t="s">
        <v>1287</v>
      </c>
      <c r="EG12" s="2025" t="s">
        <v>1288</v>
      </c>
      <c r="EH12" s="2011" t="s">
        <v>598</v>
      </c>
      <c r="EI12" s="2012"/>
      <c r="EJ12" s="2023" t="s">
        <v>1287</v>
      </c>
      <c r="EK12" s="2210" t="s">
        <v>1288</v>
      </c>
      <c r="EL12" s="141"/>
      <c r="EM12" s="2033"/>
      <c r="EN12" s="928"/>
      <c r="EO12" s="141"/>
      <c r="EP12" s="141"/>
      <c r="EQ12" s="141"/>
      <c r="ER12" s="141"/>
      <c r="ES12" s="141"/>
      <c r="ET12" s="141"/>
      <c r="EU12" s="141"/>
      <c r="FV12" s="2"/>
      <c r="FW12" s="117"/>
      <c r="FX12" s="117"/>
      <c r="FY12" s="117"/>
      <c r="FZ12" s="2"/>
      <c r="GA12" s="141"/>
      <c r="GB12" s="141"/>
      <c r="GC12" s="141"/>
      <c r="GD12" s="141"/>
      <c r="GE12" s="141"/>
      <c r="GF12" s="141"/>
      <c r="GG12" s="141"/>
      <c r="GH12" s="141"/>
      <c r="GI12" s="141"/>
      <c r="GJ12" s="141"/>
      <c r="GK12" s="2"/>
      <c r="HA12" s="130"/>
      <c r="HB12" s="130"/>
      <c r="HC12" s="130"/>
      <c r="HD12" s="130"/>
      <c r="HE12" s="130"/>
      <c r="HF12" s="130"/>
      <c r="HG12" s="130"/>
      <c r="HH12" s="130"/>
      <c r="HI12" s="130"/>
      <c r="HM12" s="131"/>
      <c r="HN12" s="132"/>
      <c r="ID12" s="140"/>
      <c r="IE12" s="2184" t="s">
        <v>632</v>
      </c>
      <c r="IF12" s="2114" t="s">
        <v>1161</v>
      </c>
      <c r="IG12" s="2114" t="s">
        <v>1162</v>
      </c>
      <c r="IH12" s="2114" t="s">
        <v>1163</v>
      </c>
      <c r="II12" s="2114" t="s">
        <v>1164</v>
      </c>
      <c r="IJ12" s="2114" t="s">
        <v>1166</v>
      </c>
      <c r="IK12" s="2114" t="s">
        <v>1165</v>
      </c>
      <c r="IL12" s="2114" t="str">
        <f>IF($HA$1,"Load (Kip)","Panel ""B"" Feet")</f>
        <v>Panel "B" Feet</v>
      </c>
      <c r="IM12" s="2114" t="str">
        <f>IF($HA$1,"OSHA N/F/B","Panel ""B"" Inch")</f>
        <v>Panel "B" Inch</v>
      </c>
      <c r="IN12" s="2114" t="str">
        <f>IF($HA$1,"Girder TC Ga","Load (Kip)")</f>
        <v>Load (Kip)</v>
      </c>
      <c r="IO12" s="2114" t="str">
        <f>IF($HA$1,"Jst Hole (x/16)","OSHA N/F/B")</f>
        <v>OSHA N/F/B</v>
      </c>
      <c r="IP12" s="2114" t="str">
        <f>IF($HA$1,"Joist Gage","Girder TC Gage")</f>
        <v>Girder TC Gage</v>
      </c>
      <c r="IQ12" s="2114" t="str">
        <f>IF($HA$1,"TC Hole L","Girder TC Hole (x/16)")</f>
        <v>Girder TC Hole (x/16)</v>
      </c>
      <c r="IR12" s="2114" t="str">
        <f>IF($HA$1,"TC Hole R","Joist Gage")</f>
        <v>Joist Gage</v>
      </c>
      <c r="IS12" s="2114" t="str">
        <f>IF($HA$1,"Add Jst#1 Feet","TCHoleL")</f>
        <v>TCHoleL</v>
      </c>
      <c r="IT12" s="2114" t="str">
        <f>IF($HA$1,"Add Jst#1 Inch","TC Hole R")</f>
        <v>TC Hole R</v>
      </c>
      <c r="IU12" s="2114" t="str">
        <f>IF($HA$1,"Add Jst#1 Load","Add Jst#1 Feet")</f>
        <v>Add Jst#1 Feet</v>
      </c>
      <c r="IV12" s="2114" t="str">
        <f>IF($HA$1,"Add Jst#1 Bolt N/F/B","Add Jst#1 inch")</f>
        <v>Add Jst#1 inch</v>
      </c>
      <c r="IW12" s="2114" t="str">
        <f>IF($HA$1,"Add Jst#2 Feet","Add Jst#1 Load")</f>
        <v>Add Jst#1 Load</v>
      </c>
      <c r="IX12" s="2114" t="str">
        <f>IF($HA$1,"Add Jst#2 Inch","Add Jst#1 Bolt N/F/B")</f>
        <v>Add Jst#1 Bolt N/F/B</v>
      </c>
      <c r="IY12" s="2114" t="str">
        <f>IF($HA$1,"Add Jst#2 Load","Add Jst#2 Feet")</f>
        <v>Add Jst#2 Feet</v>
      </c>
      <c r="IZ12" s="2114" t="str">
        <f>IF($HA$1,"Add Jst#2 Bolt N/F/B","Add Jst#2 inch")</f>
        <v>Add Jst#2 inch</v>
      </c>
      <c r="JA12" s="2114" t="str">
        <f>IF($HA$1,"Add Jst#3 Feet","Add Jst#2 Load")</f>
        <v>Add Jst#2 Load</v>
      </c>
      <c r="JB12" s="2114" t="str">
        <f>IF($HA$1,"Add Jst#3 Inch","Add Jst#2 Bolt N/F/B")</f>
        <v>Add Jst#2 Bolt N/F/B</v>
      </c>
      <c r="JC12" s="2114" t="str">
        <f>IF($HA$1,"Add Jst#3 Load","Add Jst#3 Feet")</f>
        <v>Add Jst#3 Feet</v>
      </c>
      <c r="JD12" s="2114" t="str">
        <f>IF($HA$1,"Add Jst#3 Bolt N/F/B","Add Jst#3 inch")</f>
        <v>Add Jst#3 inch</v>
      </c>
      <c r="JE12" s="2114" t="str">
        <f>IF($HA$1,"Add Jst#4 Feet","Add Jst#3 Load")</f>
        <v>Add Jst#3 Load</v>
      </c>
      <c r="JF12" s="2114" t="str">
        <f>IF($HA$1,"Add Jst#4 Inch","Add Jst#3 Bolt N/F/B")</f>
        <v>Add Jst#3 Bolt N/F/B</v>
      </c>
      <c r="JG12" s="2114" t="str">
        <f>IF($HA$1,"Add Jst#4 Load","Add Jst#4 Feet")</f>
        <v>Add Jst#4 Feet</v>
      </c>
      <c r="JH12" s="2114" t="str">
        <f>IF($HA$1,"Add Jst#4 Bolt N/F/B","Add Jst#4 inch")</f>
        <v>Add Jst#4 inch</v>
      </c>
      <c r="JI12" s="2114" t="str">
        <f>IF($HA$1,"-","Add Jst#4 Load")</f>
        <v>Add Jst#4 Load</v>
      </c>
      <c r="JJ12" s="2114" t="str">
        <f>IF($HA$1,"-","Add Jst#4 Bolt N/F/B")</f>
        <v>Add Jst#4 Bolt N/F/B</v>
      </c>
      <c r="JK12" s="2270" t="str">
        <f>IF($HA$1,"# Rows Req'd","# Rows Req'd")</f>
        <v># Rows Req'd</v>
      </c>
      <c r="JL12" s="2272" t="s">
        <v>1168</v>
      </c>
      <c r="JM12" s="117"/>
    </row>
    <row r="13" spans="1:276" ht="21" customHeight="1" thickTop="1" thickBot="1" x14ac:dyDescent="0.3">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093"/>
      <c r="W13" s="1093"/>
      <c r="X13" s="1093"/>
      <c r="Y13" s="1093"/>
      <c r="Z13" s="1093"/>
      <c r="AA13" s="1093"/>
      <c r="AB13" s="2084"/>
      <c r="AC13" s="1978"/>
      <c r="AD13" s="1981"/>
      <c r="AE13" s="1982"/>
      <c r="AF13" s="1102" t="s">
        <v>33</v>
      </c>
      <c r="AG13" s="1992" t="s">
        <v>16</v>
      </c>
      <c r="AH13" s="1993"/>
      <c r="AI13" s="1981"/>
      <c r="AJ13" s="1982"/>
      <c r="AK13" s="1987"/>
      <c r="AL13" s="1118" t="s">
        <v>738</v>
      </c>
      <c r="AM13" s="1103" t="s">
        <v>735</v>
      </c>
      <c r="AN13" s="1103" t="s">
        <v>736</v>
      </c>
      <c r="AO13" s="1107" t="s">
        <v>60</v>
      </c>
      <c r="AP13" s="1105" t="s">
        <v>739</v>
      </c>
      <c r="AQ13" s="1119" t="s">
        <v>740</v>
      </c>
      <c r="AR13" s="1994" t="s">
        <v>58</v>
      </c>
      <c r="AS13" s="1993"/>
      <c r="AT13" s="1120" t="s">
        <v>63</v>
      </c>
      <c r="AU13" s="1121" t="s">
        <v>59</v>
      </c>
      <c r="AV13" s="1995" t="s">
        <v>58</v>
      </c>
      <c r="AW13" s="1996"/>
      <c r="AX13" s="1120" t="s">
        <v>63</v>
      </c>
      <c r="AY13" s="1121" t="s">
        <v>59</v>
      </c>
      <c r="AZ13" s="1995" t="s">
        <v>58</v>
      </c>
      <c r="BA13" s="1996"/>
      <c r="BB13" s="1120" t="s">
        <v>63</v>
      </c>
      <c r="BC13" s="1121" t="s">
        <v>59</v>
      </c>
      <c r="BD13" s="1995" t="s">
        <v>58</v>
      </c>
      <c r="BE13" s="1996"/>
      <c r="BF13" s="1120" t="s">
        <v>63</v>
      </c>
      <c r="BG13" s="1121" t="s">
        <v>59</v>
      </c>
      <c r="BH13" s="261"/>
      <c r="BJ13" s="117"/>
      <c r="BK13" s="117"/>
      <c r="BL13" s="117"/>
      <c r="BM13" s="117"/>
      <c r="BN13" s="117"/>
      <c r="BW13" s="371" t="s">
        <v>631</v>
      </c>
      <c r="BX13" s="372" t="s">
        <v>632</v>
      </c>
      <c r="BY13" s="372" t="s">
        <v>170</v>
      </c>
      <c r="BZ13" s="371" t="s">
        <v>788</v>
      </c>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41"/>
      <c r="CY13" s="198"/>
      <c r="CZ13" s="141"/>
      <c r="DA13" s="141"/>
      <c r="DB13" s="141"/>
      <c r="DC13" s="141"/>
      <c r="DD13" s="141"/>
      <c r="DE13" s="141"/>
      <c r="DF13" s="141"/>
      <c r="DG13" s="141"/>
      <c r="DH13" s="2022"/>
      <c r="DI13" s="2028"/>
      <c r="DJ13" s="2001"/>
      <c r="DK13" s="2002"/>
      <c r="DL13" s="2004"/>
      <c r="DM13" s="2007"/>
      <c r="DN13" s="2008"/>
      <c r="DO13" s="2019"/>
      <c r="DP13" s="1936"/>
      <c r="DQ13" s="2030"/>
      <c r="DR13" s="1938"/>
      <c r="DS13" s="2030"/>
      <c r="DT13" s="1602" t="s">
        <v>606</v>
      </c>
      <c r="DU13" s="1603" t="s">
        <v>607</v>
      </c>
      <c r="DV13" s="1580" t="s">
        <v>633</v>
      </c>
      <c r="DW13" s="1581" t="s">
        <v>608</v>
      </c>
      <c r="DX13" s="2024"/>
      <c r="DY13" s="2026"/>
      <c r="DZ13" s="1580" t="s">
        <v>633</v>
      </c>
      <c r="EA13" s="1581" t="s">
        <v>608</v>
      </c>
      <c r="EB13" s="2024"/>
      <c r="EC13" s="2026"/>
      <c r="ED13" s="1580" t="s">
        <v>633</v>
      </c>
      <c r="EE13" s="1581" t="s">
        <v>608</v>
      </c>
      <c r="EF13" s="2024"/>
      <c r="EG13" s="2026"/>
      <c r="EH13" s="1580" t="s">
        <v>633</v>
      </c>
      <c r="EI13" s="1581" t="s">
        <v>608</v>
      </c>
      <c r="EJ13" s="2024"/>
      <c r="EK13" s="2211"/>
      <c r="EL13" s="141"/>
      <c r="EM13" s="2033"/>
      <c r="EN13" s="141"/>
      <c r="EO13" s="141"/>
      <c r="EP13" s="928"/>
      <c r="EQ13" s="141"/>
      <c r="ER13" s="141"/>
      <c r="ES13" s="141"/>
      <c r="ET13" s="141"/>
      <c r="EU13" s="141"/>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X13" s="197"/>
      <c r="FZ13" s="2"/>
      <c r="GA13" s="141"/>
      <c r="GB13" s="141"/>
      <c r="GC13" s="141"/>
      <c r="GD13" s="141"/>
      <c r="GE13" s="141"/>
      <c r="GF13" s="141"/>
      <c r="GG13" s="141"/>
      <c r="GH13" s="141"/>
      <c r="GI13" s="141"/>
      <c r="GJ13" s="141"/>
      <c r="GK13" s="2"/>
      <c r="HA13" s="130"/>
      <c r="HB13" s="130"/>
      <c r="HC13" s="130"/>
      <c r="HD13" s="130"/>
      <c r="HE13" s="130"/>
      <c r="HF13" s="130"/>
      <c r="HG13" s="130"/>
      <c r="HH13" s="130"/>
      <c r="HI13" s="130"/>
      <c r="HM13" s="131"/>
      <c r="HN13" s="132"/>
      <c r="ID13" s="140"/>
      <c r="IE13" s="2185"/>
      <c r="IF13" s="2115"/>
      <c r="IG13" s="2115"/>
      <c r="IH13" s="2115"/>
      <c r="II13" s="2115"/>
      <c r="IJ13" s="2115"/>
      <c r="IK13" s="2115"/>
      <c r="IL13" s="2115"/>
      <c r="IM13" s="2115"/>
      <c r="IN13" s="2115"/>
      <c r="IO13" s="2115"/>
      <c r="IP13" s="2115"/>
      <c r="IQ13" s="2115"/>
      <c r="IR13" s="2115"/>
      <c r="IS13" s="2115"/>
      <c r="IT13" s="2115"/>
      <c r="IU13" s="2115"/>
      <c r="IV13" s="2115"/>
      <c r="IW13" s="2115"/>
      <c r="IX13" s="2115"/>
      <c r="IY13" s="2115"/>
      <c r="IZ13" s="2115"/>
      <c r="JA13" s="2115"/>
      <c r="JB13" s="2115"/>
      <c r="JC13" s="2115"/>
      <c r="JD13" s="2115"/>
      <c r="JE13" s="2115"/>
      <c r="JF13" s="2115"/>
      <c r="JG13" s="2115"/>
      <c r="JH13" s="2115"/>
      <c r="JI13" s="2115"/>
      <c r="JJ13" s="2115"/>
      <c r="JK13" s="2271"/>
      <c r="JL13" s="2273"/>
      <c r="JM13" s="117"/>
    </row>
    <row r="14" spans="1:276" ht="12.6" customHeight="1" thickTop="1" thickBot="1" x14ac:dyDescent="0.25">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093"/>
      <c r="W14" s="1093"/>
      <c r="X14" s="1093"/>
      <c r="Y14" s="1093"/>
      <c r="Z14" s="1093"/>
      <c r="AA14" s="1093"/>
      <c r="AB14" s="1733" t="str">
        <f>IF(ISBLANK(DH14),"",DH14)</f>
        <v/>
      </c>
      <c r="AC14" s="1734" t="str">
        <f t="shared" ref="AC14:AC45" si="4">IF(ISBLANK(DI14),"",UPPER(DI14))</f>
        <v/>
      </c>
      <c r="AD14" s="1735" t="str">
        <f>IF(ISERROR(FV54),"",IF(FV54="","",TRUNC(FV54/12)))</f>
        <v/>
      </c>
      <c r="AE14" s="1736" t="str">
        <f>IF(ISERROR(FV54),"",IF(FV54="","",FV54-(AD14*12)))</f>
        <v/>
      </c>
      <c r="AF14" s="1734" t="str">
        <f>IF(ISERROR(FO54),"",IF(FO54="","",FO54))</f>
        <v/>
      </c>
      <c r="AG14" s="1735" t="str">
        <f>IF(ISERROR(FX54),"",IF(FX54="","",TRUNC(FX54/12)))</f>
        <v/>
      </c>
      <c r="AH14" s="1736" t="str">
        <f>IF(ISERROR(FX54),"",IF(FX54="","",FX54-(AG14*12)))</f>
        <v/>
      </c>
      <c r="AI14" s="1735" t="str">
        <f>IF(ISERROR(FZ54),"",IF(FZ54="","",TRUNC(FZ54/12)))</f>
        <v/>
      </c>
      <c r="AJ14" s="1736" t="str">
        <f>IF(ISERROR(FZ54),"",IF(FZ54="","",FZ54-(AI14*12)))</f>
        <v/>
      </c>
      <c r="AK14" s="1737" t="str">
        <f>IF(ISBLANK(DO14),"",DO14)</f>
        <v/>
      </c>
      <c r="AL14" s="1738" t="str">
        <f t="shared" ref="AL14:AL45" si="5">IF(ISBLANK(DP14),"",UPPER(DP14))</f>
        <v/>
      </c>
      <c r="AM14" s="1739" t="str">
        <f>IF(ISBLANK(DQ14),"",DQ14)</f>
        <v/>
      </c>
      <c r="AN14" s="1734" t="str">
        <f>IF(ISBLANK(DR14),"",DR14)</f>
        <v/>
      </c>
      <c r="AO14" s="1740" t="str">
        <f>IF(ISBLANK(DS14),"",DS14)</f>
        <v/>
      </c>
      <c r="AP14" s="1741" t="str">
        <f t="shared" ref="AP14:AP45" si="6">IF(ISERROR(GD54),"ERR",IF(OR(GD54="",GD54=0),"",GD54))</f>
        <v/>
      </c>
      <c r="AQ14" s="1742" t="str">
        <f t="shared" ref="AQ14:AQ45" si="7">IF(ISERROR(GE54),"ERR",IF(OR(GE54="",GE54=0),"",GE54))</f>
        <v/>
      </c>
      <c r="AR14" s="1743" t="str">
        <f>IF(ISERROR(GF54),"ERR",IF(GF54="","",IF(ISTEXT(GF54),"P",TRUNC(GF54/12))))</f>
        <v/>
      </c>
      <c r="AS14" s="1736" t="str">
        <f>IF(ISERROR(GF54),"",IF(GF54="","",IF(AR14="P",GF54,GF54-(AR14*12))))</f>
        <v/>
      </c>
      <c r="AT14" s="1744" t="str">
        <f>IF(ISBLANK(DX14),"",DX14)</f>
        <v/>
      </c>
      <c r="AU14" s="1745" t="str">
        <f t="shared" ref="AU14:AU45" si="8">IF(ISBLANK(DY14),"",UPPER(DY14))</f>
        <v/>
      </c>
      <c r="AV14" s="1700" t="str">
        <f>IF(ISERROR(GG54),"ERR",IF(GG54="","",IF(ISTEXT(GG54),"P",TRUNC(GG54/12))))</f>
        <v/>
      </c>
      <c r="AW14" s="1736" t="str">
        <f>IF(ISERROR(GG54),"",IF(GG54="","",IF(AV14="P",GG54,GG54-(AV14*12))))</f>
        <v/>
      </c>
      <c r="AX14" s="1744" t="str">
        <f>IF(ISBLANK(EB14),"",EB14)</f>
        <v/>
      </c>
      <c r="AY14" s="1745" t="str">
        <f t="shared" ref="AY14:AY45" si="9">IF(ISBLANK(EC14),"",UPPER(EC14))</f>
        <v/>
      </c>
      <c r="AZ14" s="1700" t="str">
        <f>IF(ISERROR(GH54),"ERR",IF(GH54="","",IF(ISTEXT(GH54),"P",TRUNC(GH54/12))))</f>
        <v/>
      </c>
      <c r="BA14" s="1736" t="str">
        <f>IF(ISERROR(GH54),"",IF(GH54="","",IF(AZ14="P",GH54,GH54-(AZ14*12))))</f>
        <v/>
      </c>
      <c r="BB14" s="1744" t="str">
        <f>IF(ISBLANK(EF14),"",EF14)</f>
        <v/>
      </c>
      <c r="BC14" s="1745" t="str">
        <f t="shared" ref="BC14:BC45" si="10">IF(ISBLANK(EG14),"",UPPER(EG14))</f>
        <v/>
      </c>
      <c r="BD14" s="1700" t="str">
        <f>IF(ISERROR(GI54),"ERR",IF(GI54="","",IF(ISTEXT(GI54),"P",TRUNC(GI54/12))))</f>
        <v/>
      </c>
      <c r="BE14" s="1736" t="str">
        <f>IF(ISERROR(GI54),"",IF(GI54="","",IF(BD14="P",GI54,GI54-(BD14*12))))</f>
        <v/>
      </c>
      <c r="BF14" s="1744" t="str">
        <f>IF(ISBLANK(EJ14),"",EJ14)</f>
        <v/>
      </c>
      <c r="BG14" s="1746" t="str">
        <f t="shared" ref="BG14:BG45" si="11">IF(ISBLANK(EK14),"",UPPER(EK14))</f>
        <v/>
      </c>
      <c r="BH14" s="261"/>
      <c r="BJ14" s="143"/>
      <c r="BW14" s="991">
        <f>IF(AB14="",0,1)+IF(AC14="",0,1)+IF(AD14="",0,1)+IF(AE14="",0,1)+IF(AF14="",0,1)+IF(AG14="",0,1)+IF(AH14="",0,1)+IF(AI14="",0,1)+IF(AJ14="",0,1)+IF(AK14="",0,1)+IF(AL14="",0,1)+IF(AM14="",0,1)+IF(AN14="",0,1)+IF(AO14="",0,1)+IF(AP14="",0,1)+IF(AQ14="",0,1)+IF(AR14="",0,1)+IF(AS14="",0,1)+IF(AT14="",0,1)+IF(AU14="",0,1)+IF(AV14="",0,1)+IF(AW14="",0,1)+IF(AX14="",0,1)+IF(AY14="",0,1)+IF(AZ14="",0,1)+IF(BA14="",0,1)+IF(BB14="",0,1)+IF(BC14="",0,1)+IF(BD14="",0,1)+IF(BE14="",0,1)+IF(BF14="",0,1)+IF(BG14="",0,1)</f>
        <v>0</v>
      </c>
      <c r="BX14" s="994" t="str">
        <f>AB14</f>
        <v/>
      </c>
      <c r="BY14" s="991" t="b">
        <f>IF(ISERROR(VLOOKUP(BX14,$BJ$14:$BL$45,3,FALSE)),FALSE,VLOOKUP(BX14,$BJ$14:$BL$45,3,FALSE))</f>
        <v>0</v>
      </c>
      <c r="BZ14" s="1303" t="b">
        <f>IF($BK$1,IF(BX14="",FALSE,IF(ISERROR(VLOOKUP(BX14,$A$28:$B$45,2,FALSE)),FALSE,IF(VLOOKUP(BX14,$A$28:$B$45,2,FALSE)=0,TRUE,FALSE))))</f>
        <v>0</v>
      </c>
      <c r="CB14" s="198"/>
      <c r="CC14" s="198"/>
      <c r="CD14" s="198"/>
      <c r="CE14" s="198"/>
      <c r="CF14" s="198"/>
      <c r="CG14" s="141"/>
      <c r="CH14" s="141"/>
      <c r="CI14" s="141"/>
      <c r="CJ14" s="141"/>
      <c r="CK14" s="141"/>
      <c r="CL14" s="141"/>
      <c r="CM14" s="198"/>
      <c r="CN14" s="198"/>
      <c r="CO14" s="198"/>
      <c r="CP14" s="198"/>
      <c r="CQ14" s="198"/>
      <c r="CR14" s="198"/>
      <c r="CS14" s="198"/>
      <c r="CT14" s="198"/>
      <c r="CU14" s="198"/>
      <c r="CV14" s="198"/>
      <c r="CW14" s="198"/>
      <c r="CX14" s="141"/>
      <c r="CY14" s="198"/>
      <c r="CZ14" s="141"/>
      <c r="DA14" s="141"/>
      <c r="DB14" s="141"/>
      <c r="DC14" s="141"/>
      <c r="DD14" s="141"/>
      <c r="DE14" s="141"/>
      <c r="DF14" s="141"/>
      <c r="DG14" s="141"/>
      <c r="DH14" s="672"/>
      <c r="DI14" s="665"/>
      <c r="DJ14" s="690"/>
      <c r="DK14" s="1330"/>
      <c r="DL14" s="666"/>
      <c r="DM14" s="691"/>
      <c r="DN14" s="1333"/>
      <c r="DO14" s="667"/>
      <c r="DP14" s="668"/>
      <c r="DQ14" s="1418"/>
      <c r="DR14" s="669"/>
      <c r="DS14" s="1610"/>
      <c r="DT14" s="1604"/>
      <c r="DU14" s="1605"/>
      <c r="DV14" s="678"/>
      <c r="DW14" s="1336"/>
      <c r="DX14" s="670"/>
      <c r="DY14" s="666"/>
      <c r="DZ14" s="678"/>
      <c r="EA14" s="1338"/>
      <c r="EB14" s="670"/>
      <c r="EC14" s="666"/>
      <c r="ED14" s="678"/>
      <c r="EE14" s="1338"/>
      <c r="EF14" s="670"/>
      <c r="EG14" s="666"/>
      <c r="EH14" s="678"/>
      <c r="EI14" s="1338"/>
      <c r="EJ14" s="670"/>
      <c r="EK14" s="671"/>
      <c r="EL14" s="929"/>
      <c r="EM14" s="1004"/>
      <c r="EN14" s="141"/>
      <c r="EO14" s="141"/>
      <c r="EP14" s="928"/>
      <c r="EQ14" s="141"/>
      <c r="ER14" s="141"/>
      <c r="ES14" s="141"/>
      <c r="ET14" s="141"/>
      <c r="EU14" s="141"/>
      <c r="EX14" s="503" t="str">
        <f>CONCATENATE(BX14,AC14)</f>
        <v/>
      </c>
      <c r="EY14" s="940" t="str">
        <f t="shared" ref="EY14:EY45" si="12">IF(OR(ISBLANK(AB14),AB14=""),"",VLOOKUP(LEFT(EX14,LEN(EX14)-1),$BJ$28:$BO$45,6,FALSE)=SUMIF($EX$14:$EX$45,EX14,$AF$14:$AF$45)+2)</f>
        <v/>
      </c>
      <c r="EZ14" s="940" t="str">
        <f>IF(AB14="","",IF(VLOOKUP(BX14,$A$28:$F$45,6,FALSE)="",0,HLOOKUP(VLOOKUP(BX14,$A$28:$F$45,6,FALSE),$FG$4:$FI$5,2,TRUE)))</f>
        <v/>
      </c>
      <c r="FA14" s="958" t="str">
        <f ca="1">IF(FB15="","",FB14=FF14)</f>
        <v/>
      </c>
      <c r="FB14" s="134"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34">
        <f t="shared" ref="FC14:FC45" si="13">IF(ISNUMBER(AD14),AD14,0)*12+IF(ISNUMBER(AE14),AE14,0)</f>
        <v>0</v>
      </c>
      <c r="FD14" s="134">
        <f t="shared" ref="FD14:FD45" si="14">IF(ISNUMBER(AF14),AF14,0)*(IF(ISNUMBER(AG14),AG14,0)*12+IF(ISNUMBER(AH14),AH14,0))</f>
        <v>0</v>
      </c>
      <c r="FE14" s="134">
        <f t="shared" ref="FE14:FE45" si="15">IF(ISNUMBER(AI14),AI14,0)*12+IF(ISNUMBER(AJ14),AJ14,0)</f>
        <v>0</v>
      </c>
      <c r="FF14" s="134">
        <f ca="1">SUM(FC14:FE14)+IF(FE14=0,FF15,0)</f>
        <v>0</v>
      </c>
      <c r="FN14" s="754"/>
      <c r="FO14" s="754"/>
      <c r="FP14" s="754" t="b">
        <v>0</v>
      </c>
      <c r="FQ14" s="754" t="b">
        <f>NOT(ISERROR(VLOOKUP(AB14,$A$28:$A$45,1,FALSE)))</f>
        <v>1</v>
      </c>
      <c r="FX14" s="197"/>
      <c r="FZ14" s="2"/>
      <c r="GA14" s="141"/>
      <c r="GB14" s="141"/>
      <c r="GC14" s="141"/>
      <c r="GD14" s="141"/>
      <c r="GE14" s="141"/>
      <c r="GF14" s="141"/>
      <c r="GG14" s="141"/>
      <c r="GH14" s="141"/>
      <c r="GI14" s="141"/>
      <c r="GJ14" s="141"/>
      <c r="GK14" s="2"/>
      <c r="HA14" s="130"/>
      <c r="HB14" s="130"/>
      <c r="HC14" s="130"/>
      <c r="HD14" s="130"/>
      <c r="HE14" s="130"/>
      <c r="HF14" s="130"/>
      <c r="HG14" s="130"/>
      <c r="HH14" s="130"/>
      <c r="HI14" s="130"/>
      <c r="HM14" s="131"/>
      <c r="HN14" s="132"/>
      <c r="ID14" s="780"/>
      <c r="IE14" s="1256"/>
      <c r="IF14" s="1257"/>
      <c r="IG14" s="1258"/>
      <c r="IH14" s="1259"/>
      <c r="II14" s="1257"/>
      <c r="IJ14" s="1258"/>
      <c r="IK14" s="1259"/>
      <c r="IL14" s="1257"/>
      <c r="IM14" s="1257"/>
      <c r="IN14" s="1257"/>
      <c r="IO14" s="1257"/>
      <c r="IP14" s="1257"/>
      <c r="IQ14" s="1257"/>
      <c r="IR14" s="1257"/>
      <c r="IS14" s="1258"/>
      <c r="IT14" s="1259"/>
      <c r="IU14" s="1257"/>
      <c r="IV14" s="1257"/>
      <c r="IW14" s="1258"/>
      <c r="IX14" s="1259"/>
      <c r="IY14" s="1257"/>
      <c r="IZ14" s="1257"/>
      <c r="JA14" s="1258"/>
      <c r="JB14" s="1259"/>
      <c r="JC14" s="1257"/>
      <c r="JD14" s="1257"/>
      <c r="JE14" s="1258"/>
      <c r="JF14" s="1259"/>
      <c r="JG14" s="1257"/>
      <c r="JH14" s="1257"/>
      <c r="JI14" s="1257"/>
      <c r="JJ14" s="1260"/>
      <c r="JK14" s="1257"/>
      <c r="JL14" s="1170">
        <f>IF(JK14="",0,1)</f>
        <v>0</v>
      </c>
      <c r="JM14" s="117"/>
    </row>
    <row r="15" spans="1:276" ht="12.6" customHeight="1" thickTop="1"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093"/>
      <c r="W15" s="1093"/>
      <c r="X15" s="1093"/>
      <c r="Y15" s="1093"/>
      <c r="Z15" s="1093"/>
      <c r="AA15" s="1093"/>
      <c r="AB15" s="1448" t="str">
        <f t="shared" ref="AB15:AB23" si="16">IF(ISBLANK(DH15),"",DH15)</f>
        <v/>
      </c>
      <c r="AC15" s="1710" t="str">
        <f t="shared" si="4"/>
        <v/>
      </c>
      <c r="AD15" s="1705" t="str">
        <f ca="1">IF(ISERROR(FV55),"",IF(FV55="","",TRUNC(FV55/12)))</f>
        <v/>
      </c>
      <c r="AE15" s="1709" t="str">
        <f ca="1">IF(ISERROR(FV55),"",IF(FV55="","",FV55-(AD15*12)))</f>
        <v/>
      </c>
      <c r="AF15" s="1710" t="str">
        <f ca="1">IF(ISERROR(FO55),"",IF(FO55="","",FO55))</f>
        <v/>
      </c>
      <c r="AG15" s="1705" t="str">
        <f ca="1">IF(ISERROR(FX55),"",IF(FX55="","",TRUNC(FX55/12)))</f>
        <v/>
      </c>
      <c r="AH15" s="1709" t="str">
        <f ca="1">IF(ISERROR(FX55),"",IF(FX55="","",FX55-(AG15*12)))</f>
        <v/>
      </c>
      <c r="AI15" s="1705" t="str">
        <f ca="1">IF(ISERROR(FZ55),"",IF(FZ55="","",TRUNC(FZ55/12)))</f>
        <v/>
      </c>
      <c r="AJ15" s="1709" t="str">
        <f ca="1">IF(ISERROR(FZ55),"",IF(FZ55="","",FZ55-(AI15*12)))</f>
        <v/>
      </c>
      <c r="AK15" s="1747" t="str">
        <f t="shared" ref="AK15:AK20" si="17">IF(ISBLANK(DO15),"",DO15)</f>
        <v/>
      </c>
      <c r="AL15" s="1748" t="str">
        <f t="shared" si="5"/>
        <v/>
      </c>
      <c r="AM15" s="1749" t="str">
        <f t="shared" ref="AM15:AM20" si="18">IF(ISBLANK(DQ15),"",DQ15)</f>
        <v/>
      </c>
      <c r="AN15" s="1710" t="str">
        <f t="shared" ref="AN15:AN20" si="19">IF(ISBLANK(DR15),"",DR15)</f>
        <v/>
      </c>
      <c r="AO15" s="1750" t="str">
        <f t="shared" ref="AO15:AO20" si="20">IF(ISBLANK(DS15),"",DS15)</f>
        <v/>
      </c>
      <c r="AP15" s="1712" t="str">
        <f t="shared" si="6"/>
        <v/>
      </c>
      <c r="AQ15" s="1751" t="str">
        <f t="shared" si="7"/>
        <v/>
      </c>
      <c r="AR15" s="1708" t="str">
        <f t="shared" ref="AR15:AR45" si="21">IF(ISERROR(GF55),"ERR",IF(GF55="","",IF(ISTEXT(GF55),"P",TRUNC(GF55/12))))</f>
        <v/>
      </c>
      <c r="AS15" s="1709" t="str">
        <f t="shared" ref="AS15:AS45" si="22">IF(ISERROR(GF55),"",IF(GF55="","",IF(AR15="P",GF55,GF55-(AR15*12))))</f>
        <v/>
      </c>
      <c r="AT15" s="1752" t="str">
        <f t="shared" ref="AT15:AT45" si="23">IF(ISBLANK(DX15),"",DX15)</f>
        <v/>
      </c>
      <c r="AU15" s="1753" t="str">
        <f t="shared" si="8"/>
        <v/>
      </c>
      <c r="AV15" s="1714" t="str">
        <f t="shared" ref="AV15:AV45" si="24">IF(ISERROR(GG55),"ERR",IF(GG55="","",IF(ISTEXT(GG55),"P",TRUNC(GG55/12))))</f>
        <v/>
      </c>
      <c r="AW15" s="1709" t="str">
        <f t="shared" ref="AW15:AW45" si="25">IF(ISERROR(GG55),"",IF(GG55="","",IF(AV15="P",GG55,GG55-(AV15*12))))</f>
        <v/>
      </c>
      <c r="AX15" s="1752" t="str">
        <f t="shared" ref="AX15:AX45" si="26">IF(ISBLANK(EB15),"",EB15)</f>
        <v/>
      </c>
      <c r="AY15" s="1753" t="str">
        <f t="shared" si="9"/>
        <v/>
      </c>
      <c r="AZ15" s="1714" t="str">
        <f t="shared" ref="AZ15:AZ45" si="27">IF(ISERROR(GH55),"ERR",IF(GH55="","",IF(ISTEXT(GH55),"P",TRUNC(GH55/12))))</f>
        <v/>
      </c>
      <c r="BA15" s="1709" t="str">
        <f t="shared" ref="BA15:BA45" si="28">IF(ISERROR(GH55),"",IF(GH55="","",IF(AZ15="P",GH55,GH55-(AZ15*12))))</f>
        <v/>
      </c>
      <c r="BB15" s="1752" t="str">
        <f t="shared" ref="BB15:BB45" si="29">IF(ISBLANK(EF15),"",EF15)</f>
        <v/>
      </c>
      <c r="BC15" s="1753" t="str">
        <f t="shared" si="10"/>
        <v/>
      </c>
      <c r="BD15" s="1714" t="str">
        <f t="shared" ref="BD15:BD45" si="30">IF(ISERROR(GI55),"ERR",IF(GI55="","",IF(ISTEXT(GI55),"P",TRUNC(GI55/12))))</f>
        <v/>
      </c>
      <c r="BE15" s="1709" t="str">
        <f t="shared" ref="BE15:BE45" si="31">IF(ISERROR(GI55),"",IF(GI55="","",IF(BD15="P",GI55,GI55-(BD15*12))))</f>
        <v/>
      </c>
      <c r="BF15" s="1752" t="str">
        <f t="shared" ref="BF15:BF20" si="32">IF(ISBLANK(EJ15),"",EJ15)</f>
        <v/>
      </c>
      <c r="BG15" s="1753" t="str">
        <f t="shared" si="11"/>
        <v/>
      </c>
      <c r="BH15" s="261"/>
      <c r="BJ15" s="143"/>
      <c r="BW15" s="991">
        <f t="shared" ref="BW15:BW45" ca="1" si="33">IF(AB15="",0,1)+IF(AC15="",0,1)+IF(AD15="",0,1)+IF(AE15="",0,1)+IF(AF15="",0,1)+IF(AG15="",0,1)+IF(AH15="",0,1)+IF(AI15="",0,1)+IF(AJ15="",0,1)+IF(AK15="",0,1)+IF(AL15="",0,1)+IF(AM15="",0,1)+IF(AN15="",0,1)+IF(AO15="",0,1)+IF(AP15="",0,1)+IF(AQ15="",0,1)+IF(AR15="",0,1)+IF(AS15="",0,1)+IF(AT15="",0,1)+IF(AU15="",0,1)+IF(AV15="",0,1)+IF(AW15="",0,1)+IF(AX15="",0,1)+IF(AY15="",0,1)+IF(AZ15="",0,1)+IF(BA15="",0,1)+IF(BB15="",0,1)+IF(BC15="",0,1)+IF(BD15="",0,1)+IF(BE15="",0,1)+IF(BF15="",0,1)+IF(BG15="",0,1)</f>
        <v>0</v>
      </c>
      <c r="BX15" s="991" t="str">
        <f ca="1">IF(AND(AB15="",BW15&gt;0),BX14,IF(ISBLANK(AB15),"",AB15))</f>
        <v/>
      </c>
      <c r="BY15" s="991" t="b">
        <f t="shared" ref="BY15:BY45" ca="1" si="34">IF(ISERROR(VLOOKUP(BX15,$BJ$14:$BL$45,3,FALSE)),FALSE,VLOOKUP(BX15,$BJ$14:$BL$45,3,FALSE))</f>
        <v>0</v>
      </c>
      <c r="BZ15" s="1303" t="b">
        <f>IF($BK$1,IF(BX15="",FALSE,IF(ISERROR(VLOOKUP(BX15,$A$28:$B$45,2,FALSE)),FALSE,IF(VLOOKUP(BX15,$A$28:$B$45,2,FALSE)=0,TRUE,FALSE))))</f>
        <v>0</v>
      </c>
      <c r="CB15" s="198"/>
      <c r="CC15" s="198"/>
      <c r="CD15" s="198"/>
      <c r="CE15" s="198"/>
      <c r="CF15" s="198"/>
      <c r="CG15" s="141"/>
      <c r="CH15" s="141"/>
      <c r="CI15" s="141"/>
      <c r="CJ15" s="141"/>
      <c r="CK15" s="141"/>
      <c r="CL15" s="141"/>
      <c r="CM15" s="198"/>
      <c r="CN15" s="198"/>
      <c r="CO15" s="198"/>
      <c r="CP15" s="198"/>
      <c r="CQ15" s="198"/>
      <c r="CR15" s="198"/>
      <c r="CS15" s="198"/>
      <c r="CT15" s="198"/>
      <c r="CU15" s="198"/>
      <c r="CV15" s="198"/>
      <c r="CW15" s="198"/>
      <c r="CX15" s="141"/>
      <c r="CY15" s="198"/>
      <c r="CZ15" s="141"/>
      <c r="DA15" s="141"/>
      <c r="DB15" s="141"/>
      <c r="DC15" s="141"/>
      <c r="DD15" s="141"/>
      <c r="DE15" s="141"/>
      <c r="DF15" s="141"/>
      <c r="DG15" s="141"/>
      <c r="DH15" s="672"/>
      <c r="DI15" s="673"/>
      <c r="DJ15" s="692"/>
      <c r="DK15" s="1331"/>
      <c r="DL15" s="674"/>
      <c r="DM15" s="693"/>
      <c r="DN15" s="1334"/>
      <c r="DO15" s="675"/>
      <c r="DP15" s="676"/>
      <c r="DQ15" s="1419"/>
      <c r="DR15" s="677"/>
      <c r="DS15" s="1611"/>
      <c r="DT15" s="1606"/>
      <c r="DU15" s="1607"/>
      <c r="DV15" s="678"/>
      <c r="DW15" s="1336"/>
      <c r="DX15" s="679"/>
      <c r="DY15" s="674"/>
      <c r="DZ15" s="678"/>
      <c r="EA15" s="1336"/>
      <c r="EB15" s="679"/>
      <c r="EC15" s="674"/>
      <c r="ED15" s="678"/>
      <c r="EE15" s="1336"/>
      <c r="EF15" s="679"/>
      <c r="EG15" s="674"/>
      <c r="EH15" s="678"/>
      <c r="EI15" s="1336"/>
      <c r="EJ15" s="679"/>
      <c r="EK15" s="680"/>
      <c r="EL15" s="929"/>
      <c r="EM15" s="1004"/>
      <c r="EN15" s="930"/>
      <c r="EO15" s="931"/>
      <c r="EP15" s="141"/>
      <c r="EQ15" s="141"/>
      <c r="ER15" s="141"/>
      <c r="ES15" s="141"/>
      <c r="ET15" s="141"/>
      <c r="EU15" s="141"/>
      <c r="EX15" s="503" t="str">
        <f t="shared" ref="EX15:EX45" ca="1" si="35">IF(AND(AC15="",BX15=BX14),EX14,CONCATENATE(BX15,AC15))</f>
        <v/>
      </c>
      <c r="EY15" s="940" t="str">
        <f t="shared" si="12"/>
        <v/>
      </c>
      <c r="EZ15" s="940" t="str">
        <f t="shared" ref="EZ15:EZ45" si="36">IF(AB15="","",IF(VLOOKUP(BX15,$A$28:$F$45,6,FALSE)="",0,HLOOKUP(VLOOKUP(BX15,$A$28:$F$45,6,FALSE),$FG$4:$FI$5,2,TRUE)))</f>
        <v/>
      </c>
      <c r="FA15" s="958" t="str">
        <f ca="1">IF(FB15="","",IF(FC15=0,FA14,FB15=FF15))</f>
        <v/>
      </c>
      <c r="FB15" s="134" t="str">
        <f t="shared" ref="FB15:FB45" ca="1" si="37">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34">
        <f t="shared" ca="1" si="13"/>
        <v>0</v>
      </c>
      <c r="FD15" s="134">
        <f t="shared" ca="1" si="14"/>
        <v>0</v>
      </c>
      <c r="FE15" s="134">
        <f t="shared" ca="1" si="15"/>
        <v>0</v>
      </c>
      <c r="FF15" s="134">
        <f t="shared" ref="FF15:FF45" ca="1" si="38">SUM(FC15:FE15)+IF(FE15=0,FF16,0)</f>
        <v>0</v>
      </c>
      <c r="FN15" s="754"/>
      <c r="FO15" s="754"/>
      <c r="FP15" s="754" t="b">
        <v>0</v>
      </c>
      <c r="FQ15" s="754" t="b">
        <f t="shared" ref="FQ15:FQ45" si="39">NOT(ISERROR(VLOOKUP(AB15,$A$28:$A$45,1,FALSE)))</f>
        <v>1</v>
      </c>
      <c r="FX15" s="197"/>
      <c r="FZ15" s="2"/>
      <c r="GA15" s="141"/>
      <c r="GB15" s="141"/>
      <c r="GC15" s="141"/>
      <c r="GD15" s="141"/>
      <c r="GE15" s="141"/>
      <c r="GF15" s="141"/>
      <c r="GG15" s="141"/>
      <c r="GH15" s="141"/>
      <c r="GI15" s="141"/>
      <c r="GJ15" s="141"/>
      <c r="GK15" s="2"/>
      <c r="HA15" s="2186" t="s">
        <v>622</v>
      </c>
      <c r="HB15" s="1931"/>
      <c r="HC15" s="1931"/>
      <c r="HD15" s="1931"/>
      <c r="HE15" s="1931"/>
      <c r="HF15" s="1931"/>
      <c r="HG15" s="1931"/>
      <c r="HH15" s="1931"/>
      <c r="HI15" s="1931"/>
      <c r="HJ15" s="1931"/>
      <c r="HK15" s="1931"/>
      <c r="HL15" s="1931"/>
      <c r="HM15" s="1931"/>
      <c r="HN15" s="1931"/>
      <c r="HO15" s="1931"/>
      <c r="HP15" s="1931"/>
      <c r="HQ15" s="1931"/>
      <c r="HR15" s="1931"/>
      <c r="HS15" s="1931"/>
      <c r="HT15" s="1931"/>
      <c r="HU15" s="1931"/>
      <c r="HV15" s="1931"/>
      <c r="HW15" s="1931"/>
      <c r="HX15" s="1932"/>
      <c r="ID15" s="781"/>
      <c r="IE15" s="1241"/>
      <c r="IF15" s="1242"/>
      <c r="IG15" s="1243"/>
      <c r="IH15" s="1244"/>
      <c r="II15" s="1242"/>
      <c r="IJ15" s="1243"/>
      <c r="IK15" s="1244"/>
      <c r="IL15" s="1242"/>
      <c r="IM15" s="1242"/>
      <c r="IN15" s="1242"/>
      <c r="IO15" s="1242"/>
      <c r="IP15" s="1242"/>
      <c r="IQ15" s="1242"/>
      <c r="IR15" s="1242"/>
      <c r="IS15" s="1243"/>
      <c r="IT15" s="1244"/>
      <c r="IU15" s="1242"/>
      <c r="IV15" s="1242"/>
      <c r="IW15" s="1243"/>
      <c r="IX15" s="1244"/>
      <c r="IY15" s="1242"/>
      <c r="IZ15" s="1242"/>
      <c r="JA15" s="1243"/>
      <c r="JB15" s="1244"/>
      <c r="JC15" s="1242"/>
      <c r="JD15" s="1242"/>
      <c r="JE15" s="1243"/>
      <c r="JF15" s="1244"/>
      <c r="JG15" s="1242"/>
      <c r="JH15" s="1242"/>
      <c r="JI15" s="1242"/>
      <c r="JJ15" s="1245"/>
      <c r="JK15" s="1242"/>
      <c r="JL15" s="1171">
        <f ca="1">IF(ISBLANK(JK15),IF(JL14=0,0,IF(VALUE(OFFSET(JK15,JL14*-1,0))&lt;JL14+1,0,JL14+1)),1)</f>
        <v>0</v>
      </c>
      <c r="JM15" s="117"/>
    </row>
    <row r="16" spans="1:276" ht="12.6" customHeight="1" x14ac:dyDescent="0.2">
      <c r="A16" s="1093"/>
      <c r="B16" s="1093"/>
      <c r="C16" s="1093"/>
      <c r="D16" s="1093"/>
      <c r="E16" s="1093"/>
      <c r="F16" s="1093"/>
      <c r="G16" s="1093"/>
      <c r="H16" s="1093"/>
      <c r="I16" s="1093"/>
      <c r="J16" s="1093"/>
      <c r="K16" s="1093"/>
      <c r="L16" s="1093"/>
      <c r="M16" s="1093"/>
      <c r="N16" s="1093"/>
      <c r="O16" s="1093"/>
      <c r="P16" s="1093"/>
      <c r="Q16" s="1093"/>
      <c r="R16" s="1093"/>
      <c r="S16" s="1093"/>
      <c r="T16" s="1093"/>
      <c r="U16" s="1093"/>
      <c r="V16" s="1093"/>
      <c r="W16" s="1093"/>
      <c r="X16" s="1093"/>
      <c r="Y16" s="1093"/>
      <c r="Z16" s="1093"/>
      <c r="AA16" s="1093"/>
      <c r="AB16" s="1448" t="str">
        <f t="shared" si="16"/>
        <v/>
      </c>
      <c r="AC16" s="1710" t="str">
        <f t="shared" si="4"/>
        <v/>
      </c>
      <c r="AD16" s="1705" t="str">
        <f ca="1">IF(ISERROR(FV56),"",IF(FV56="","",TRUNC(FV56/12)))</f>
        <v/>
      </c>
      <c r="AE16" s="1709" t="str">
        <f ca="1">IF(ISERROR(FV56),"",IF(FV56="","",FV56-(AD16*12)))</f>
        <v/>
      </c>
      <c r="AF16" s="1710" t="str">
        <f ca="1">IF(ISERROR(FO56),"",IF(FO56="","",FO56))</f>
        <v/>
      </c>
      <c r="AG16" s="1705" t="str">
        <f ca="1">IF(ISERROR(FX56),"",IF(FX56="","",TRUNC(FX56/12)))</f>
        <v/>
      </c>
      <c r="AH16" s="1709" t="str">
        <f ca="1">IF(ISERROR(FX56),"",IF(FX56="","",FX56-(AG16*12)))</f>
        <v/>
      </c>
      <c r="AI16" s="1705" t="str">
        <f ca="1">IF(ISERROR(FZ56),"",IF(FZ56="","",TRUNC(FZ56/12)))</f>
        <v/>
      </c>
      <c r="AJ16" s="1709" t="str">
        <f ca="1">IF(ISERROR(FZ56),"",IF(FZ56="","",FZ56-(AI16*12)))</f>
        <v/>
      </c>
      <c r="AK16" s="1747" t="str">
        <f t="shared" si="17"/>
        <v/>
      </c>
      <c r="AL16" s="1748" t="str">
        <f t="shared" si="5"/>
        <v/>
      </c>
      <c r="AM16" s="1749" t="str">
        <f t="shared" si="18"/>
        <v/>
      </c>
      <c r="AN16" s="1710" t="str">
        <f t="shared" si="19"/>
        <v/>
      </c>
      <c r="AO16" s="1750" t="str">
        <f t="shared" si="20"/>
        <v/>
      </c>
      <c r="AP16" s="1712" t="str">
        <f t="shared" si="6"/>
        <v/>
      </c>
      <c r="AQ16" s="1751" t="str">
        <f t="shared" si="7"/>
        <v/>
      </c>
      <c r="AR16" s="1708" t="str">
        <f t="shared" si="21"/>
        <v/>
      </c>
      <c r="AS16" s="1709" t="str">
        <f t="shared" si="22"/>
        <v/>
      </c>
      <c r="AT16" s="1752" t="str">
        <f t="shared" si="23"/>
        <v/>
      </c>
      <c r="AU16" s="1753" t="str">
        <f t="shared" si="8"/>
        <v/>
      </c>
      <c r="AV16" s="1714" t="str">
        <f t="shared" si="24"/>
        <v/>
      </c>
      <c r="AW16" s="1709" t="str">
        <f t="shared" si="25"/>
        <v/>
      </c>
      <c r="AX16" s="1752" t="str">
        <f t="shared" si="26"/>
        <v/>
      </c>
      <c r="AY16" s="1753" t="str">
        <f t="shared" si="9"/>
        <v/>
      </c>
      <c r="AZ16" s="1714" t="str">
        <f t="shared" si="27"/>
        <v/>
      </c>
      <c r="BA16" s="1709" t="str">
        <f t="shared" si="28"/>
        <v/>
      </c>
      <c r="BB16" s="1752" t="str">
        <f t="shared" si="29"/>
        <v/>
      </c>
      <c r="BC16" s="1753" t="str">
        <f t="shared" si="10"/>
        <v/>
      </c>
      <c r="BD16" s="1714" t="str">
        <f t="shared" si="30"/>
        <v/>
      </c>
      <c r="BE16" s="1709" t="str">
        <f t="shared" si="31"/>
        <v/>
      </c>
      <c r="BF16" s="1752" t="str">
        <f t="shared" si="32"/>
        <v/>
      </c>
      <c r="BG16" s="1753" t="str">
        <f t="shared" si="11"/>
        <v/>
      </c>
      <c r="BH16" s="261"/>
      <c r="BJ16" s="143"/>
      <c r="BW16" s="991">
        <f t="shared" ca="1" si="33"/>
        <v>0</v>
      </c>
      <c r="BX16" s="991" t="str">
        <f t="shared" ref="BX16:BX45" ca="1" si="40">IF(AND(AB16="",BW16&gt;0),BX15,IF(ISBLANK(AB16),"",AB16))</f>
        <v/>
      </c>
      <c r="BY16" s="991" t="b">
        <f t="shared" ca="1" si="34"/>
        <v>0</v>
      </c>
      <c r="BZ16" s="1303" t="b">
        <f t="shared" ref="BZ16:BZ45" si="41">IF($BK$1,IF(BX16="",FALSE,IF(ISERROR(VLOOKUP(BX16,$A$28:$B$45,2,FALSE)),FALSE,IF(VLOOKUP(BX16,$A$28:$B$45,2,FALSE)=0,TRUE,FALSE))))</f>
        <v>0</v>
      </c>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41"/>
      <c r="CY16" s="198"/>
      <c r="CZ16" s="141"/>
      <c r="DA16" s="141"/>
      <c r="DB16" s="141"/>
      <c r="DC16" s="141"/>
      <c r="DD16" s="141"/>
      <c r="DE16" s="141"/>
      <c r="DF16" s="141"/>
      <c r="DG16" s="141"/>
      <c r="DH16" s="672"/>
      <c r="DI16" s="673"/>
      <c r="DJ16" s="692"/>
      <c r="DK16" s="1331"/>
      <c r="DL16" s="674"/>
      <c r="DM16" s="693"/>
      <c r="DN16" s="1334"/>
      <c r="DO16" s="675"/>
      <c r="DP16" s="676"/>
      <c r="DQ16" s="1419"/>
      <c r="DR16" s="677"/>
      <c r="DS16" s="1611"/>
      <c r="DT16" s="1606"/>
      <c r="DU16" s="1607"/>
      <c r="DV16" s="678"/>
      <c r="DW16" s="1336"/>
      <c r="DX16" s="679"/>
      <c r="DY16" s="674"/>
      <c r="DZ16" s="678"/>
      <c r="EA16" s="1336"/>
      <c r="EB16" s="679"/>
      <c r="EC16" s="674"/>
      <c r="ED16" s="678"/>
      <c r="EE16" s="1336"/>
      <c r="EF16" s="679"/>
      <c r="EG16" s="674"/>
      <c r="EH16" s="678"/>
      <c r="EI16" s="1336"/>
      <c r="EJ16" s="679"/>
      <c r="EK16" s="680"/>
      <c r="EL16" s="929"/>
      <c r="EM16" s="1004"/>
      <c r="EN16" s="930"/>
      <c r="EO16" s="931"/>
      <c r="EP16" s="141"/>
      <c r="EQ16" s="141"/>
      <c r="ER16" s="141"/>
      <c r="ES16" s="141"/>
      <c r="ET16" s="141"/>
      <c r="EU16" s="141"/>
      <c r="EX16" s="503" t="str">
        <f t="shared" ca="1" si="35"/>
        <v/>
      </c>
      <c r="EY16" s="940" t="str">
        <f t="shared" si="12"/>
        <v/>
      </c>
      <c r="EZ16" s="940" t="str">
        <f t="shared" si="36"/>
        <v/>
      </c>
      <c r="FA16" s="958" t="str">
        <f t="shared" ref="FA16:FA45" ca="1" si="42">IF(FB16="","",IF(FC16=0,FA15,FB16=FF16))</f>
        <v/>
      </c>
      <c r="FB16" s="134" t="str">
        <f t="shared" ca="1" si="37"/>
        <v/>
      </c>
      <c r="FC16" s="134">
        <f t="shared" ca="1" si="13"/>
        <v>0</v>
      </c>
      <c r="FD16" s="134">
        <f t="shared" ca="1" si="14"/>
        <v>0</v>
      </c>
      <c r="FE16" s="134">
        <f t="shared" ca="1" si="15"/>
        <v>0</v>
      </c>
      <c r="FF16" s="134">
        <f t="shared" ca="1" si="38"/>
        <v>0</v>
      </c>
      <c r="FN16" s="754"/>
      <c r="FO16" s="754"/>
      <c r="FP16" s="754" t="b">
        <v>0</v>
      </c>
      <c r="FQ16" s="754" t="b">
        <f t="shared" si="39"/>
        <v>1</v>
      </c>
      <c r="FX16" s="197"/>
      <c r="FZ16" s="2"/>
      <c r="GA16" s="141"/>
      <c r="GB16" s="141"/>
      <c r="GC16" s="141"/>
      <c r="GD16" s="141"/>
      <c r="GE16" s="141"/>
      <c r="GF16" s="141"/>
      <c r="GG16" s="141"/>
      <c r="GH16" s="141"/>
      <c r="GI16" s="141"/>
      <c r="GJ16" s="141"/>
      <c r="GK16" s="2"/>
      <c r="GO16" s="140"/>
      <c r="GZ16" s="140"/>
      <c r="HA16" s="2187"/>
      <c r="HB16" s="1884"/>
      <c r="HC16" s="1884"/>
      <c r="HD16" s="1884"/>
      <c r="HE16" s="1884"/>
      <c r="HF16" s="1884"/>
      <c r="HG16" s="1884"/>
      <c r="HH16" s="1884"/>
      <c r="HI16" s="1884"/>
      <c r="HJ16" s="1884"/>
      <c r="HK16" s="1884"/>
      <c r="HL16" s="1884"/>
      <c r="HM16" s="1884"/>
      <c r="HN16" s="1884"/>
      <c r="HO16" s="1884"/>
      <c r="HP16" s="1884"/>
      <c r="HQ16" s="1884"/>
      <c r="HR16" s="1884"/>
      <c r="HS16" s="1884"/>
      <c r="HT16" s="1884"/>
      <c r="HU16" s="1884"/>
      <c r="HV16" s="1884"/>
      <c r="HW16" s="1884"/>
      <c r="HX16" s="1934"/>
      <c r="ID16" s="781"/>
      <c r="IE16" s="1241"/>
      <c r="IF16" s="1242"/>
      <c r="IG16" s="1243"/>
      <c r="IH16" s="1244"/>
      <c r="II16" s="1242"/>
      <c r="IJ16" s="1243"/>
      <c r="IK16" s="1244"/>
      <c r="IL16" s="1242"/>
      <c r="IM16" s="1242"/>
      <c r="IN16" s="1242"/>
      <c r="IO16" s="1242"/>
      <c r="IP16" s="1242"/>
      <c r="IQ16" s="1242"/>
      <c r="IR16" s="1242"/>
      <c r="IS16" s="1243"/>
      <c r="IT16" s="1244"/>
      <c r="IU16" s="1242"/>
      <c r="IV16" s="1242"/>
      <c r="IW16" s="1243"/>
      <c r="IX16" s="1244"/>
      <c r="IY16" s="1242"/>
      <c r="IZ16" s="1242"/>
      <c r="JA16" s="1243"/>
      <c r="JB16" s="1244"/>
      <c r="JC16" s="1242"/>
      <c r="JD16" s="1242"/>
      <c r="JE16" s="1243"/>
      <c r="JF16" s="1244"/>
      <c r="JG16" s="1242"/>
      <c r="JH16" s="1242"/>
      <c r="JI16" s="1242"/>
      <c r="JJ16" s="1245"/>
      <c r="JK16" s="1242"/>
      <c r="JL16" s="1171">
        <f t="shared" ref="JL16:JL45" ca="1" si="43">IF(ISBLANK(JK16),IF(JL15=0,0,IF(VALUE(OFFSET(JK16,JL15*-1,0))&lt;JL15+1,0,JL15+1)),1)</f>
        <v>0</v>
      </c>
    </row>
    <row r="17" spans="1:274" ht="12.6" customHeight="1" thickBot="1" x14ac:dyDescent="0.25">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093"/>
      <c r="W17" s="1093"/>
      <c r="X17" s="1093"/>
      <c r="Y17" s="1093"/>
      <c r="Z17" s="1093"/>
      <c r="AA17" s="1093"/>
      <c r="AB17" s="1448" t="str">
        <f t="shared" si="16"/>
        <v/>
      </c>
      <c r="AC17" s="1710" t="str">
        <f t="shared" si="4"/>
        <v/>
      </c>
      <c r="AD17" s="1705" t="str">
        <f ca="1">IF(ISERROR(FV57),"",IF(FV57="","",TRUNC(FV57/12)))</f>
        <v/>
      </c>
      <c r="AE17" s="1709" t="str">
        <f ca="1">IF(ISERROR(FV57),"",IF(FV57="","",FV57-(AD17*12)))</f>
        <v/>
      </c>
      <c r="AF17" s="1710" t="str">
        <f ca="1">IF(ISERROR(FO57),"",IF(FO57="","",FO57))</f>
        <v/>
      </c>
      <c r="AG17" s="1705" t="str">
        <f ca="1">IF(ISERROR(FX57),"",IF(FX57="","",TRUNC(FX57/12)))</f>
        <v/>
      </c>
      <c r="AH17" s="1709" t="str">
        <f ca="1">IF(ISERROR(FX57),"",IF(FX57="","",FX57-(AG17*12)))</f>
        <v/>
      </c>
      <c r="AI17" s="1705" t="str">
        <f ca="1">IF(ISERROR(FZ57),"",IF(FZ57="","",TRUNC(FZ57/12)))</f>
        <v/>
      </c>
      <c r="AJ17" s="1709" t="str">
        <f ca="1">IF(ISERROR(FZ57),"",IF(FZ57="","",FZ57-(AI17*12)))</f>
        <v/>
      </c>
      <c r="AK17" s="1747" t="str">
        <f t="shared" si="17"/>
        <v/>
      </c>
      <c r="AL17" s="1748" t="str">
        <f t="shared" si="5"/>
        <v/>
      </c>
      <c r="AM17" s="1749" t="str">
        <f t="shared" si="18"/>
        <v/>
      </c>
      <c r="AN17" s="1710" t="str">
        <f t="shared" si="19"/>
        <v/>
      </c>
      <c r="AO17" s="1750" t="str">
        <f t="shared" si="20"/>
        <v/>
      </c>
      <c r="AP17" s="1712" t="str">
        <f t="shared" si="6"/>
        <v/>
      </c>
      <c r="AQ17" s="1751" t="str">
        <f t="shared" si="7"/>
        <v/>
      </c>
      <c r="AR17" s="1708" t="str">
        <f t="shared" si="21"/>
        <v/>
      </c>
      <c r="AS17" s="1709" t="str">
        <f t="shared" si="22"/>
        <v/>
      </c>
      <c r="AT17" s="1752" t="str">
        <f t="shared" si="23"/>
        <v/>
      </c>
      <c r="AU17" s="1753" t="str">
        <f t="shared" si="8"/>
        <v/>
      </c>
      <c r="AV17" s="1714" t="str">
        <f t="shared" si="24"/>
        <v/>
      </c>
      <c r="AW17" s="1709" t="str">
        <f t="shared" si="25"/>
        <v/>
      </c>
      <c r="AX17" s="1752" t="str">
        <f t="shared" si="26"/>
        <v/>
      </c>
      <c r="AY17" s="1753" t="str">
        <f t="shared" si="9"/>
        <v/>
      </c>
      <c r="AZ17" s="1714" t="str">
        <f t="shared" si="27"/>
        <v/>
      </c>
      <c r="BA17" s="1709" t="str">
        <f t="shared" si="28"/>
        <v/>
      </c>
      <c r="BB17" s="1752" t="str">
        <f t="shared" si="29"/>
        <v/>
      </c>
      <c r="BC17" s="1753" t="str">
        <f t="shared" si="10"/>
        <v/>
      </c>
      <c r="BD17" s="1714" t="str">
        <f t="shared" si="30"/>
        <v/>
      </c>
      <c r="BE17" s="1709" t="str">
        <f t="shared" si="31"/>
        <v/>
      </c>
      <c r="BF17" s="1752" t="str">
        <f t="shared" si="32"/>
        <v/>
      </c>
      <c r="BG17" s="1753" t="str">
        <f t="shared" si="11"/>
        <v/>
      </c>
      <c r="BH17" s="261"/>
      <c r="BJ17" s="143"/>
      <c r="BW17" s="991">
        <f t="shared" ca="1" si="33"/>
        <v>0</v>
      </c>
      <c r="BX17" s="991" t="str">
        <f t="shared" ca="1" si="40"/>
        <v/>
      </c>
      <c r="BY17" s="991" t="b">
        <f t="shared" ca="1" si="34"/>
        <v>0</v>
      </c>
      <c r="BZ17" s="1303" t="b">
        <f t="shared" si="41"/>
        <v>0</v>
      </c>
      <c r="CB17" s="198"/>
      <c r="CC17" s="198"/>
      <c r="CD17" s="198"/>
      <c r="CE17" s="198"/>
      <c r="CF17" s="198"/>
      <c r="CG17" s="141"/>
      <c r="CH17" s="141"/>
      <c r="CI17" s="141"/>
      <c r="CJ17" s="141"/>
      <c r="CK17" s="141"/>
      <c r="CL17" s="141"/>
      <c r="CM17" s="141"/>
      <c r="CN17" s="141"/>
      <c r="CO17" s="141"/>
      <c r="CP17" s="141"/>
      <c r="CQ17" s="141"/>
      <c r="CR17" s="141"/>
      <c r="CS17" s="141"/>
      <c r="CT17" s="141"/>
      <c r="CU17" s="198"/>
      <c r="CV17" s="198"/>
      <c r="CW17" s="198"/>
      <c r="CX17" s="141"/>
      <c r="CY17" s="198"/>
      <c r="CZ17" s="141"/>
      <c r="DA17" s="141"/>
      <c r="DB17" s="141"/>
      <c r="DC17" s="141"/>
      <c r="DD17" s="141"/>
      <c r="DE17" s="141"/>
      <c r="DF17" s="141"/>
      <c r="DG17" s="141"/>
      <c r="DH17" s="1282"/>
      <c r="DI17" s="673"/>
      <c r="DJ17" s="692"/>
      <c r="DK17" s="1331"/>
      <c r="DL17" s="674"/>
      <c r="DM17" s="693"/>
      <c r="DN17" s="1334"/>
      <c r="DO17" s="675"/>
      <c r="DP17" s="676"/>
      <c r="DQ17" s="1419"/>
      <c r="DR17" s="677"/>
      <c r="DS17" s="1611"/>
      <c r="DT17" s="1606"/>
      <c r="DU17" s="1607"/>
      <c r="DV17" s="678"/>
      <c r="DW17" s="1336"/>
      <c r="DX17" s="679"/>
      <c r="DY17" s="674"/>
      <c r="DZ17" s="678"/>
      <c r="EA17" s="1336"/>
      <c r="EB17" s="679"/>
      <c r="EC17" s="674"/>
      <c r="ED17" s="678"/>
      <c r="EE17" s="1336"/>
      <c r="EF17" s="679"/>
      <c r="EG17" s="674"/>
      <c r="EH17" s="678"/>
      <c r="EI17" s="1336"/>
      <c r="EJ17" s="679"/>
      <c r="EK17" s="680"/>
      <c r="EL17" s="929"/>
      <c r="EM17" s="1004"/>
      <c r="EN17" s="930"/>
      <c r="EO17" s="931"/>
      <c r="EP17" s="141"/>
      <c r="EQ17" s="141"/>
      <c r="ER17" s="141"/>
      <c r="ES17" s="141"/>
      <c r="ET17" s="141"/>
      <c r="EU17" s="141"/>
      <c r="EX17" s="503" t="str">
        <f t="shared" ca="1" si="35"/>
        <v/>
      </c>
      <c r="EY17" s="940" t="str">
        <f t="shared" si="12"/>
        <v/>
      </c>
      <c r="EZ17" s="940" t="str">
        <f t="shared" si="36"/>
        <v/>
      </c>
      <c r="FA17" s="958" t="str">
        <f t="shared" ca="1" si="42"/>
        <v/>
      </c>
      <c r="FB17" s="134" t="str">
        <f t="shared" ca="1" si="37"/>
        <v/>
      </c>
      <c r="FC17" s="134">
        <f t="shared" ca="1" si="13"/>
        <v>0</v>
      </c>
      <c r="FD17" s="134">
        <f t="shared" ca="1" si="14"/>
        <v>0</v>
      </c>
      <c r="FE17" s="134">
        <f t="shared" ca="1" si="15"/>
        <v>0</v>
      </c>
      <c r="FF17" s="134">
        <f t="shared" ca="1" si="38"/>
        <v>0</v>
      </c>
      <c r="FN17" s="754"/>
      <c r="FO17" s="754"/>
      <c r="FP17" s="754" t="b">
        <v>0</v>
      </c>
      <c r="FQ17" s="754" t="b">
        <f t="shared" si="39"/>
        <v>1</v>
      </c>
      <c r="FX17" s="197"/>
      <c r="FZ17" s="2"/>
      <c r="GA17" s="141"/>
      <c r="GB17" s="141"/>
      <c r="GC17" s="141"/>
      <c r="GD17" s="141"/>
      <c r="GE17" s="141"/>
      <c r="GF17" s="141"/>
      <c r="GG17" s="141"/>
      <c r="GH17" s="141"/>
      <c r="GI17" s="141"/>
      <c r="GJ17" s="141"/>
      <c r="GK17" s="2"/>
      <c r="HA17" s="2188"/>
      <c r="HB17" s="2189"/>
      <c r="HC17" s="2189"/>
      <c r="HD17" s="2189"/>
      <c r="HE17" s="2189"/>
      <c r="HF17" s="2189"/>
      <c r="HG17" s="2189"/>
      <c r="HH17" s="2189"/>
      <c r="HI17" s="2189"/>
      <c r="HJ17" s="2189"/>
      <c r="HK17" s="2189"/>
      <c r="HL17" s="2189"/>
      <c r="HM17" s="2189"/>
      <c r="HN17" s="2189"/>
      <c r="HO17" s="2189"/>
      <c r="HP17" s="2189"/>
      <c r="HQ17" s="2189"/>
      <c r="HR17" s="2189"/>
      <c r="HS17" s="2189"/>
      <c r="HT17" s="2189"/>
      <c r="HU17" s="2189"/>
      <c r="HV17" s="2189"/>
      <c r="HW17" s="2189"/>
      <c r="HX17" s="2190"/>
      <c r="ID17" s="781"/>
      <c r="IE17" s="1241"/>
      <c r="IF17" s="1242"/>
      <c r="IG17" s="1243"/>
      <c r="IH17" s="1244"/>
      <c r="II17" s="1242"/>
      <c r="IJ17" s="1243"/>
      <c r="IK17" s="1244"/>
      <c r="IL17" s="1242"/>
      <c r="IM17" s="1242"/>
      <c r="IN17" s="1242"/>
      <c r="IO17" s="1242"/>
      <c r="IP17" s="1242"/>
      <c r="IQ17" s="1242"/>
      <c r="IR17" s="1242"/>
      <c r="IS17" s="1243"/>
      <c r="IT17" s="1244"/>
      <c r="IU17" s="1242"/>
      <c r="IV17" s="1242"/>
      <c r="IW17" s="1243"/>
      <c r="IX17" s="1244"/>
      <c r="IY17" s="1242"/>
      <c r="IZ17" s="1242"/>
      <c r="JA17" s="1243"/>
      <c r="JB17" s="1244"/>
      <c r="JC17" s="1242"/>
      <c r="JD17" s="1242"/>
      <c r="JE17" s="1243"/>
      <c r="JF17" s="1244"/>
      <c r="JG17" s="1242"/>
      <c r="JH17" s="1242"/>
      <c r="JI17" s="1242"/>
      <c r="JJ17" s="1245"/>
      <c r="JK17" s="1242"/>
      <c r="JL17" s="1171">
        <f t="shared" ca="1" si="43"/>
        <v>0</v>
      </c>
      <c r="JN17" s="132"/>
    </row>
    <row r="18" spans="1:274" ht="12.6" customHeight="1" thickTop="1"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093"/>
      <c r="W18" s="1093"/>
      <c r="X18" s="1093"/>
      <c r="Y18" s="1093"/>
      <c r="Z18" s="1093"/>
      <c r="AA18" s="1093"/>
      <c r="AB18" s="1448" t="str">
        <f t="shared" si="16"/>
        <v/>
      </c>
      <c r="AC18" s="1710" t="str">
        <f t="shared" si="4"/>
        <v/>
      </c>
      <c r="AD18" s="1705" t="str">
        <f ca="1">IF(ISERROR(FV58),"",IF(FV58="","",TRUNC(FV58/12)))</f>
        <v/>
      </c>
      <c r="AE18" s="1709" t="str">
        <f ca="1">IF(ISERROR(FV58),"",IF(FV58="","",FV58-(AD18*12)))</f>
        <v/>
      </c>
      <c r="AF18" s="1710" t="str">
        <f ca="1">IF(ISERROR(FO58),"",IF(FO58="","",FO58))</f>
        <v/>
      </c>
      <c r="AG18" s="1705" t="str">
        <f ca="1">IF(ISERROR(FX58),"",IF(FX58="","",TRUNC(FX58/12)))</f>
        <v/>
      </c>
      <c r="AH18" s="1709" t="str">
        <f ca="1">IF(ISERROR(FX58),"",IF(FX58="","",FX58-(AG18*12)))</f>
        <v/>
      </c>
      <c r="AI18" s="1705" t="str">
        <f ca="1">IF(ISERROR(FZ58),"",IF(FZ58="","",TRUNC(FZ58/12)))</f>
        <v/>
      </c>
      <c r="AJ18" s="1709" t="str">
        <f ca="1">IF(ISERROR(FZ58),"",IF(FZ58="","",FZ58-(AI18*12)))</f>
        <v/>
      </c>
      <c r="AK18" s="1747" t="str">
        <f t="shared" si="17"/>
        <v/>
      </c>
      <c r="AL18" s="1748" t="str">
        <f t="shared" si="5"/>
        <v/>
      </c>
      <c r="AM18" s="1749" t="str">
        <f t="shared" si="18"/>
        <v/>
      </c>
      <c r="AN18" s="1710" t="str">
        <f t="shared" si="19"/>
        <v/>
      </c>
      <c r="AO18" s="1750" t="str">
        <f t="shared" si="20"/>
        <v/>
      </c>
      <c r="AP18" s="1712" t="str">
        <f t="shared" si="6"/>
        <v/>
      </c>
      <c r="AQ18" s="1751" t="str">
        <f t="shared" si="7"/>
        <v/>
      </c>
      <c r="AR18" s="1708" t="str">
        <f t="shared" si="21"/>
        <v/>
      </c>
      <c r="AS18" s="1709" t="str">
        <f t="shared" si="22"/>
        <v/>
      </c>
      <c r="AT18" s="1752" t="str">
        <f t="shared" si="23"/>
        <v/>
      </c>
      <c r="AU18" s="1753" t="str">
        <f t="shared" si="8"/>
        <v/>
      </c>
      <c r="AV18" s="1714" t="str">
        <f t="shared" si="24"/>
        <v/>
      </c>
      <c r="AW18" s="1709" t="str">
        <f t="shared" si="25"/>
        <v/>
      </c>
      <c r="AX18" s="1752" t="str">
        <f t="shared" si="26"/>
        <v/>
      </c>
      <c r="AY18" s="1753" t="str">
        <f t="shared" si="9"/>
        <v/>
      </c>
      <c r="AZ18" s="1714" t="str">
        <f t="shared" si="27"/>
        <v/>
      </c>
      <c r="BA18" s="1709" t="str">
        <f t="shared" si="28"/>
        <v/>
      </c>
      <c r="BB18" s="1752" t="str">
        <f t="shared" si="29"/>
        <v/>
      </c>
      <c r="BC18" s="1753" t="str">
        <f t="shared" si="10"/>
        <v/>
      </c>
      <c r="BD18" s="1714" t="str">
        <f t="shared" si="30"/>
        <v/>
      </c>
      <c r="BE18" s="1709" t="str">
        <f t="shared" si="31"/>
        <v/>
      </c>
      <c r="BF18" s="1752" t="str">
        <f t="shared" si="32"/>
        <v/>
      </c>
      <c r="BG18" s="1753" t="str">
        <f t="shared" si="11"/>
        <v/>
      </c>
      <c r="BH18" s="261"/>
      <c r="BJ18" s="143"/>
      <c r="BW18" s="991">
        <f ca="1">IF(AB18="",0,1)+IF(AC18="",0,1)+IF(AD18="",0,1)+IF(AE18="",0,1)+IF(AF18="",0,1)+IF(AG18="",0,1)+IF(AH18="",0,1)+IF(AI18="",0,1)+IF(AJ18="",0,1)+IF(AK18="",0,1)+IF(AL18="",0,1)+IF(AM18="",0,1)+IF(AN18="",0,1)+IF(AO18="",0,1)+IF(AP18="",0,1)+IF(AQ18="",0,1)+IF(AR18="",0,1)+IF(AS18="",0,1)+IF(AT18="",0,1)+IF(AU18="",0,1)+IF(AV18="",0,1)+IF(AW18="",0,1)+IF(AX18="",0,1)+IF(AY18="",0,1)+IF(AZ18="",0,1)+IF(BA18="",0,1)+IF(BB18="",0,1)+IF(BC18="",0,1)+IF(BD18="",0,1)+IF(BE18="",0,1)+IF(BF18="",0,1)+IF(BG18="",0,1)</f>
        <v>0</v>
      </c>
      <c r="BX18" s="991" t="str">
        <f t="shared" ca="1" si="40"/>
        <v/>
      </c>
      <c r="BY18" s="991" t="b">
        <f t="shared" ca="1" si="34"/>
        <v>0</v>
      </c>
      <c r="BZ18" s="1303" t="b">
        <f t="shared" si="41"/>
        <v>0</v>
      </c>
      <c r="CB18" s="198"/>
      <c r="CC18" s="198"/>
      <c r="CD18" s="198"/>
      <c r="CE18" s="198"/>
      <c r="CF18" s="198"/>
      <c r="CG18" s="141"/>
      <c r="CH18" s="141"/>
      <c r="CI18" s="141"/>
      <c r="CJ18" s="141"/>
      <c r="CK18" s="141"/>
      <c r="CL18" s="141"/>
      <c r="CM18" s="141"/>
      <c r="CN18" s="141"/>
      <c r="CO18" s="141"/>
      <c r="CP18" s="141"/>
      <c r="CQ18" s="141"/>
      <c r="CR18" s="141"/>
      <c r="CS18" s="141"/>
      <c r="CT18" s="141"/>
      <c r="CU18" s="198"/>
      <c r="CV18" s="198"/>
      <c r="CW18" s="198"/>
      <c r="CX18" s="141"/>
      <c r="CY18" s="198"/>
      <c r="CZ18" s="141"/>
      <c r="DA18" s="141"/>
      <c r="DB18" s="141"/>
      <c r="DC18" s="141"/>
      <c r="DD18" s="141"/>
      <c r="DE18" s="141"/>
      <c r="DF18" s="141"/>
      <c r="DG18" s="141"/>
      <c r="DH18" s="672"/>
      <c r="DI18" s="673"/>
      <c r="DJ18" s="692"/>
      <c r="DK18" s="1331"/>
      <c r="DL18" s="674"/>
      <c r="DM18" s="693"/>
      <c r="DN18" s="1334"/>
      <c r="DO18" s="675"/>
      <c r="DP18" s="676"/>
      <c r="DQ18" s="1419"/>
      <c r="DR18" s="677"/>
      <c r="DS18" s="1611"/>
      <c r="DT18" s="1606"/>
      <c r="DU18" s="1607"/>
      <c r="DV18" s="678"/>
      <c r="DW18" s="1336"/>
      <c r="DX18" s="679"/>
      <c r="DY18" s="674"/>
      <c r="DZ18" s="678"/>
      <c r="EA18" s="1336"/>
      <c r="EB18" s="679"/>
      <c r="EC18" s="674"/>
      <c r="ED18" s="678"/>
      <c r="EE18" s="1336"/>
      <c r="EF18" s="679"/>
      <c r="EG18" s="674"/>
      <c r="EH18" s="678"/>
      <c r="EI18" s="1336"/>
      <c r="EJ18" s="679"/>
      <c r="EK18" s="680"/>
      <c r="EL18" s="929"/>
      <c r="EM18" s="1004"/>
      <c r="EN18" s="930"/>
      <c r="EO18" s="931"/>
      <c r="EP18" s="141"/>
      <c r="EQ18" s="141"/>
      <c r="ER18" s="141"/>
      <c r="ES18" s="141"/>
      <c r="ET18" s="141"/>
      <c r="EU18" s="141"/>
      <c r="EX18" s="503" t="str">
        <f t="shared" ca="1" si="35"/>
        <v/>
      </c>
      <c r="EY18" s="940" t="str">
        <f t="shared" si="12"/>
        <v/>
      </c>
      <c r="EZ18" s="940" t="str">
        <f t="shared" si="36"/>
        <v/>
      </c>
      <c r="FA18" s="958" t="str">
        <f t="shared" ca="1" si="42"/>
        <v/>
      </c>
      <c r="FB18" s="134" t="str">
        <f t="shared" ca="1" si="37"/>
        <v/>
      </c>
      <c r="FC18" s="134">
        <f t="shared" ca="1" si="13"/>
        <v>0</v>
      </c>
      <c r="FD18" s="134">
        <f t="shared" ca="1" si="14"/>
        <v>0</v>
      </c>
      <c r="FE18" s="134">
        <f t="shared" ca="1" si="15"/>
        <v>0</v>
      </c>
      <c r="FF18" s="134">
        <f t="shared" ca="1" si="38"/>
        <v>0</v>
      </c>
      <c r="FN18" s="754"/>
      <c r="FO18" s="754"/>
      <c r="FP18" s="754" t="b">
        <v>0</v>
      </c>
      <c r="FQ18" s="754" t="b">
        <f t="shared" si="39"/>
        <v>1</v>
      </c>
      <c r="FX18" s="197"/>
      <c r="FZ18" s="2"/>
      <c r="GA18" s="141"/>
      <c r="GB18" s="141"/>
      <c r="GC18" s="141"/>
      <c r="GD18" s="141"/>
      <c r="GE18" s="141"/>
      <c r="GF18" s="141"/>
      <c r="GG18" s="141"/>
      <c r="GH18" s="141"/>
      <c r="GI18" s="141"/>
      <c r="GJ18" s="141"/>
      <c r="GK18" s="2"/>
      <c r="HA18" s="130"/>
      <c r="HB18" s="130"/>
      <c r="HC18" s="130"/>
      <c r="HD18" s="130"/>
      <c r="HE18" s="130"/>
      <c r="HF18" s="130"/>
      <c r="HG18" s="130"/>
      <c r="HH18" s="130"/>
      <c r="HI18" s="130"/>
      <c r="HM18" s="131"/>
      <c r="HN18" s="132"/>
      <c r="ID18" s="781"/>
      <c r="IE18" s="1241"/>
      <c r="IF18" s="1242"/>
      <c r="IG18" s="1243"/>
      <c r="IH18" s="1244"/>
      <c r="II18" s="1242"/>
      <c r="IJ18" s="1243"/>
      <c r="IK18" s="1244"/>
      <c r="IL18" s="1242"/>
      <c r="IM18" s="1242"/>
      <c r="IN18" s="1242"/>
      <c r="IO18" s="1242"/>
      <c r="IP18" s="1242"/>
      <c r="IQ18" s="1242"/>
      <c r="IR18" s="1242"/>
      <c r="IS18" s="1243"/>
      <c r="IT18" s="1244"/>
      <c r="IU18" s="1242"/>
      <c r="IV18" s="1242"/>
      <c r="IW18" s="1243"/>
      <c r="IX18" s="1244"/>
      <c r="IY18" s="1242"/>
      <c r="IZ18" s="1242"/>
      <c r="JA18" s="1243"/>
      <c r="JB18" s="1244"/>
      <c r="JC18" s="1242"/>
      <c r="JD18" s="1242"/>
      <c r="JE18" s="1243"/>
      <c r="JF18" s="1244"/>
      <c r="JG18" s="1242"/>
      <c r="JH18" s="1242"/>
      <c r="JI18" s="1242"/>
      <c r="JJ18" s="1245"/>
      <c r="JK18" s="1242"/>
      <c r="JL18" s="1171">
        <f t="shared" ca="1" si="43"/>
        <v>0</v>
      </c>
      <c r="JN18" s="132"/>
    </row>
    <row r="19" spans="1:274" ht="12.6" customHeight="1"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093"/>
      <c r="W19" s="1093"/>
      <c r="X19" s="1093"/>
      <c r="Y19" s="1093"/>
      <c r="Z19" s="1093"/>
      <c r="AA19" s="1093"/>
      <c r="AB19" s="1448" t="str">
        <f t="shared" si="16"/>
        <v/>
      </c>
      <c r="AC19" s="1710" t="str">
        <f t="shared" si="4"/>
        <v/>
      </c>
      <c r="AD19" s="1705" t="str">
        <f t="shared" ref="AD19:AD45" ca="1" si="44">IF(ISERROR(FV59),"",IF(FV59="","",TRUNC(FV59/12)))</f>
        <v/>
      </c>
      <c r="AE19" s="1709" t="str">
        <f t="shared" ref="AE19:AE45" ca="1" si="45">IF(ISERROR(FV59),"",IF(FV59="","",FV59-(AD19*12)))</f>
        <v/>
      </c>
      <c r="AF19" s="1710" t="str">
        <f t="shared" ref="AF19:AF45" ca="1" si="46">IF(ISERROR(FO59),"",IF(FO59="","",FO59))</f>
        <v/>
      </c>
      <c r="AG19" s="1705" t="str">
        <f t="shared" ref="AG19:AG45" ca="1" si="47">IF(ISERROR(FX59),"",IF(FX59="","",TRUNC(FX59/12)))</f>
        <v/>
      </c>
      <c r="AH19" s="1709" t="str">
        <f t="shared" ref="AH19:AH45" ca="1" si="48">IF(ISERROR(FX59),"",IF(FX59="","",FX59-(AG19*12)))</f>
        <v/>
      </c>
      <c r="AI19" s="1705" t="str">
        <f t="shared" ref="AI19:AI45" ca="1" si="49">IF(ISERROR(FZ59),"",IF(FZ59="","",TRUNC(FZ59/12)))</f>
        <v/>
      </c>
      <c r="AJ19" s="1709" t="str">
        <f t="shared" ref="AJ19:AJ45" ca="1" si="50">IF(ISERROR(FZ59),"",IF(FZ59="","",FZ59-(AI19*12)))</f>
        <v/>
      </c>
      <c r="AK19" s="1747" t="str">
        <f t="shared" si="17"/>
        <v/>
      </c>
      <c r="AL19" s="1748" t="str">
        <f t="shared" si="5"/>
        <v/>
      </c>
      <c r="AM19" s="1749" t="str">
        <f t="shared" si="18"/>
        <v/>
      </c>
      <c r="AN19" s="1710" t="str">
        <f t="shared" si="19"/>
        <v/>
      </c>
      <c r="AO19" s="1750" t="str">
        <f t="shared" si="20"/>
        <v/>
      </c>
      <c r="AP19" s="1712" t="str">
        <f t="shared" si="6"/>
        <v/>
      </c>
      <c r="AQ19" s="1751" t="str">
        <f t="shared" si="7"/>
        <v/>
      </c>
      <c r="AR19" s="1708" t="str">
        <f t="shared" si="21"/>
        <v/>
      </c>
      <c r="AS19" s="1709" t="str">
        <f t="shared" si="22"/>
        <v/>
      </c>
      <c r="AT19" s="1752" t="str">
        <f t="shared" si="23"/>
        <v/>
      </c>
      <c r="AU19" s="1753" t="str">
        <f t="shared" si="8"/>
        <v/>
      </c>
      <c r="AV19" s="1714" t="str">
        <f t="shared" si="24"/>
        <v/>
      </c>
      <c r="AW19" s="1709" t="str">
        <f t="shared" si="25"/>
        <v/>
      </c>
      <c r="AX19" s="1752" t="str">
        <f t="shared" si="26"/>
        <v/>
      </c>
      <c r="AY19" s="1753" t="str">
        <f t="shared" si="9"/>
        <v/>
      </c>
      <c r="AZ19" s="1714" t="str">
        <f t="shared" si="27"/>
        <v/>
      </c>
      <c r="BA19" s="1709" t="str">
        <f t="shared" si="28"/>
        <v/>
      </c>
      <c r="BB19" s="1752" t="str">
        <f t="shared" si="29"/>
        <v/>
      </c>
      <c r="BC19" s="1753" t="str">
        <f t="shared" si="10"/>
        <v/>
      </c>
      <c r="BD19" s="1714" t="str">
        <f t="shared" si="30"/>
        <v/>
      </c>
      <c r="BE19" s="1709" t="str">
        <f t="shared" si="31"/>
        <v/>
      </c>
      <c r="BF19" s="1752" t="str">
        <f t="shared" si="32"/>
        <v/>
      </c>
      <c r="BG19" s="1753" t="str">
        <f t="shared" si="11"/>
        <v/>
      </c>
      <c r="BH19" s="261"/>
      <c r="BJ19" s="143"/>
      <c r="BW19" s="991">
        <f t="shared" ca="1" si="33"/>
        <v>0</v>
      </c>
      <c r="BX19" s="991" t="str">
        <f t="shared" ca="1" si="40"/>
        <v/>
      </c>
      <c r="BY19" s="991" t="b">
        <f t="shared" ca="1" si="34"/>
        <v>0</v>
      </c>
      <c r="BZ19" s="1303" t="b">
        <f t="shared" si="41"/>
        <v>0</v>
      </c>
      <c r="CB19" s="198"/>
      <c r="CC19" s="198"/>
      <c r="CD19" s="198"/>
      <c r="CE19" s="198"/>
      <c r="CF19" s="198"/>
      <c r="CG19" s="198"/>
      <c r="CH19" s="198"/>
      <c r="CI19" s="205"/>
      <c r="CJ19" s="205"/>
      <c r="CK19" s="205"/>
      <c r="CL19" s="205"/>
      <c r="CM19" s="205"/>
      <c r="CN19" s="205"/>
      <c r="CO19" s="205"/>
      <c r="CP19" s="198"/>
      <c r="CQ19" s="198"/>
      <c r="CR19" s="206"/>
      <c r="CS19" s="198"/>
      <c r="CT19" s="198"/>
      <c r="CU19" s="198"/>
      <c r="CV19" s="198"/>
      <c r="CW19" s="198"/>
      <c r="CX19" s="141"/>
      <c r="CY19" s="198"/>
      <c r="CZ19" s="141"/>
      <c r="DA19" s="141"/>
      <c r="DB19" s="141"/>
      <c r="DC19" s="141"/>
      <c r="DD19" s="141"/>
      <c r="DE19" s="141"/>
      <c r="DF19" s="141"/>
      <c r="DG19" s="141"/>
      <c r="DH19" s="672"/>
      <c r="DI19" s="673"/>
      <c r="DJ19" s="692"/>
      <c r="DK19" s="1331"/>
      <c r="DL19" s="674"/>
      <c r="DM19" s="693"/>
      <c r="DN19" s="1334"/>
      <c r="DO19" s="675"/>
      <c r="DP19" s="676"/>
      <c r="DQ19" s="1419"/>
      <c r="DR19" s="677"/>
      <c r="DS19" s="1611"/>
      <c r="DT19" s="1606"/>
      <c r="DU19" s="1607"/>
      <c r="DV19" s="678"/>
      <c r="DW19" s="1336"/>
      <c r="DX19" s="679"/>
      <c r="DY19" s="674"/>
      <c r="DZ19" s="678"/>
      <c r="EA19" s="1336"/>
      <c r="EB19" s="679"/>
      <c r="EC19" s="674"/>
      <c r="ED19" s="678"/>
      <c r="EE19" s="1336"/>
      <c r="EF19" s="679"/>
      <c r="EG19" s="674"/>
      <c r="EH19" s="678"/>
      <c r="EI19" s="1336"/>
      <c r="EJ19" s="679"/>
      <c r="EK19" s="680"/>
      <c r="EL19" s="929"/>
      <c r="EM19" s="1004"/>
      <c r="EN19" s="930"/>
      <c r="EO19" s="931"/>
      <c r="EP19" s="141"/>
      <c r="EQ19" s="141"/>
      <c r="ER19" s="141"/>
      <c r="ES19" s="141"/>
      <c r="ET19" s="141"/>
      <c r="EU19" s="141"/>
      <c r="EX19" s="503" t="str">
        <f t="shared" ca="1" si="35"/>
        <v/>
      </c>
      <c r="EY19" s="940" t="str">
        <f t="shared" si="12"/>
        <v/>
      </c>
      <c r="EZ19" s="940" t="str">
        <f t="shared" si="36"/>
        <v/>
      </c>
      <c r="FA19" s="958" t="str">
        <f t="shared" ca="1" si="42"/>
        <v/>
      </c>
      <c r="FB19" s="134" t="str">
        <f t="shared" ca="1" si="37"/>
        <v/>
      </c>
      <c r="FC19" s="134">
        <f t="shared" ca="1" si="13"/>
        <v>0</v>
      </c>
      <c r="FD19" s="134">
        <f t="shared" ca="1" si="14"/>
        <v>0</v>
      </c>
      <c r="FE19" s="134">
        <f t="shared" ca="1" si="15"/>
        <v>0</v>
      </c>
      <c r="FF19" s="134">
        <f t="shared" ca="1" si="38"/>
        <v>0</v>
      </c>
      <c r="FN19" s="754"/>
      <c r="FO19" s="754"/>
      <c r="FP19" s="754" t="b">
        <v>0</v>
      </c>
      <c r="FQ19" s="754" t="b">
        <f t="shared" si="39"/>
        <v>1</v>
      </c>
      <c r="FX19" s="197"/>
      <c r="FZ19" s="2"/>
      <c r="GA19" s="141"/>
      <c r="GB19" s="141"/>
      <c r="GC19" s="141"/>
      <c r="GD19" s="141"/>
      <c r="GE19" s="141"/>
      <c r="GF19" s="141"/>
      <c r="GG19" s="141"/>
      <c r="GH19" s="141"/>
      <c r="GI19" s="141"/>
      <c r="GJ19" s="141"/>
      <c r="GK19" s="2"/>
      <c r="GZ19" s="1165" t="s">
        <v>1157</v>
      </c>
      <c r="HA19" s="1166">
        <v>80</v>
      </c>
      <c r="HB19" s="1166">
        <f t="shared" ref="HB19:ID19" si="51">HA19+1</f>
        <v>81</v>
      </c>
      <c r="HC19" s="1166">
        <f t="shared" si="51"/>
        <v>82</v>
      </c>
      <c r="HD19" s="1166">
        <f t="shared" si="51"/>
        <v>83</v>
      </c>
      <c r="HE19" s="1166">
        <f t="shared" si="51"/>
        <v>84</v>
      </c>
      <c r="HF19" s="1166">
        <f t="shared" si="51"/>
        <v>85</v>
      </c>
      <c r="HG19" s="1166">
        <f t="shared" si="51"/>
        <v>86</v>
      </c>
      <c r="HH19" s="1166">
        <f t="shared" si="51"/>
        <v>87</v>
      </c>
      <c r="HI19" s="1166">
        <f t="shared" si="51"/>
        <v>88</v>
      </c>
      <c r="HJ19" s="1166">
        <f t="shared" si="51"/>
        <v>89</v>
      </c>
      <c r="HK19" s="1166">
        <f t="shared" si="51"/>
        <v>90</v>
      </c>
      <c r="HL19" s="1166">
        <f t="shared" si="51"/>
        <v>91</v>
      </c>
      <c r="HM19" s="1166">
        <f t="shared" si="51"/>
        <v>92</v>
      </c>
      <c r="HN19" s="1166">
        <f t="shared" si="51"/>
        <v>93</v>
      </c>
      <c r="HO19" s="1166">
        <f t="shared" si="51"/>
        <v>94</v>
      </c>
      <c r="HP19" s="1166">
        <f t="shared" si="51"/>
        <v>95</v>
      </c>
      <c r="HQ19" s="1166">
        <f t="shared" si="51"/>
        <v>96</v>
      </c>
      <c r="HR19" s="1166">
        <f t="shared" si="51"/>
        <v>97</v>
      </c>
      <c r="HS19" s="1166">
        <f t="shared" si="51"/>
        <v>98</v>
      </c>
      <c r="HT19" s="1166">
        <f t="shared" si="51"/>
        <v>99</v>
      </c>
      <c r="HU19" s="1166">
        <f t="shared" si="51"/>
        <v>100</v>
      </c>
      <c r="HV19" s="1166">
        <f t="shared" si="51"/>
        <v>101</v>
      </c>
      <c r="HW19" s="1166">
        <f t="shared" si="51"/>
        <v>102</v>
      </c>
      <c r="HX19" s="1166">
        <f t="shared" si="51"/>
        <v>103</v>
      </c>
      <c r="HY19" s="1166">
        <f t="shared" si="51"/>
        <v>104</v>
      </c>
      <c r="HZ19" s="1166">
        <f t="shared" si="51"/>
        <v>105</v>
      </c>
      <c r="IA19" s="1166">
        <f t="shared" si="51"/>
        <v>106</v>
      </c>
      <c r="IB19" s="1166">
        <f t="shared" si="51"/>
        <v>107</v>
      </c>
      <c r="IC19" s="1166">
        <f t="shared" si="51"/>
        <v>108</v>
      </c>
      <c r="ID19" s="1166">
        <f t="shared" si="51"/>
        <v>109</v>
      </c>
      <c r="IE19" s="1241"/>
      <c r="IF19" s="1242"/>
      <c r="IG19" s="1243"/>
      <c r="IH19" s="1244"/>
      <c r="II19" s="1242"/>
      <c r="IJ19" s="1243"/>
      <c r="IK19" s="1244"/>
      <c r="IL19" s="1242"/>
      <c r="IM19" s="1242"/>
      <c r="IN19" s="1242"/>
      <c r="IO19" s="1242"/>
      <c r="IP19" s="1242"/>
      <c r="IQ19" s="1242"/>
      <c r="IR19" s="1242"/>
      <c r="IS19" s="1243"/>
      <c r="IT19" s="1244"/>
      <c r="IU19" s="1242"/>
      <c r="IV19" s="1242"/>
      <c r="IW19" s="1243"/>
      <c r="IX19" s="1244"/>
      <c r="IY19" s="1242"/>
      <c r="IZ19" s="1242"/>
      <c r="JA19" s="1243"/>
      <c r="JB19" s="1244"/>
      <c r="JC19" s="1242"/>
      <c r="JD19" s="1242"/>
      <c r="JE19" s="1243"/>
      <c r="JF19" s="1244"/>
      <c r="JG19" s="1242"/>
      <c r="JH19" s="1242"/>
      <c r="JI19" s="1242"/>
      <c r="JJ19" s="1245"/>
      <c r="JK19" s="1242"/>
      <c r="JL19" s="1171">
        <f t="shared" ca="1" si="43"/>
        <v>0</v>
      </c>
    </row>
    <row r="20" spans="1:274" ht="12.6" customHeight="1"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093"/>
      <c r="W20" s="1093"/>
      <c r="X20" s="1093"/>
      <c r="Y20" s="1093"/>
      <c r="Z20" s="1093"/>
      <c r="AA20" s="1093"/>
      <c r="AB20" s="1448" t="str">
        <f t="shared" si="16"/>
        <v/>
      </c>
      <c r="AC20" s="1710" t="str">
        <f t="shared" si="4"/>
        <v/>
      </c>
      <c r="AD20" s="1705" t="str">
        <f t="shared" ca="1" si="44"/>
        <v/>
      </c>
      <c r="AE20" s="1709" t="str">
        <f t="shared" ca="1" si="45"/>
        <v/>
      </c>
      <c r="AF20" s="1710" t="str">
        <f t="shared" ca="1" si="46"/>
        <v/>
      </c>
      <c r="AG20" s="1705" t="str">
        <f t="shared" ca="1" si="47"/>
        <v/>
      </c>
      <c r="AH20" s="1709" t="str">
        <f t="shared" ca="1" si="48"/>
        <v/>
      </c>
      <c r="AI20" s="1705" t="str">
        <f t="shared" ca="1" si="49"/>
        <v/>
      </c>
      <c r="AJ20" s="1709" t="str">
        <f t="shared" ca="1" si="50"/>
        <v/>
      </c>
      <c r="AK20" s="1747" t="str">
        <f t="shared" si="17"/>
        <v/>
      </c>
      <c r="AL20" s="1748" t="str">
        <f t="shared" si="5"/>
        <v/>
      </c>
      <c r="AM20" s="1749" t="str">
        <f t="shared" si="18"/>
        <v/>
      </c>
      <c r="AN20" s="1710" t="str">
        <f t="shared" si="19"/>
        <v/>
      </c>
      <c r="AO20" s="1750" t="str">
        <f t="shared" si="20"/>
        <v/>
      </c>
      <c r="AP20" s="1712" t="str">
        <f t="shared" si="6"/>
        <v/>
      </c>
      <c r="AQ20" s="1751" t="str">
        <f t="shared" si="7"/>
        <v/>
      </c>
      <c r="AR20" s="1708" t="str">
        <f t="shared" si="21"/>
        <v/>
      </c>
      <c r="AS20" s="1709" t="str">
        <f t="shared" si="22"/>
        <v/>
      </c>
      <c r="AT20" s="1752" t="str">
        <f t="shared" si="23"/>
        <v/>
      </c>
      <c r="AU20" s="1753" t="str">
        <f t="shared" si="8"/>
        <v/>
      </c>
      <c r="AV20" s="1714" t="str">
        <f t="shared" si="24"/>
        <v/>
      </c>
      <c r="AW20" s="1709" t="str">
        <f t="shared" si="25"/>
        <v/>
      </c>
      <c r="AX20" s="1752" t="str">
        <f t="shared" si="26"/>
        <v/>
      </c>
      <c r="AY20" s="1753" t="str">
        <f t="shared" si="9"/>
        <v/>
      </c>
      <c r="AZ20" s="1714" t="str">
        <f t="shared" si="27"/>
        <v/>
      </c>
      <c r="BA20" s="1709" t="str">
        <f t="shared" si="28"/>
        <v/>
      </c>
      <c r="BB20" s="1752" t="str">
        <f t="shared" si="29"/>
        <v/>
      </c>
      <c r="BC20" s="1753" t="str">
        <f t="shared" si="10"/>
        <v/>
      </c>
      <c r="BD20" s="1714" t="str">
        <f t="shared" si="30"/>
        <v/>
      </c>
      <c r="BE20" s="1709" t="str">
        <f t="shared" si="31"/>
        <v/>
      </c>
      <c r="BF20" s="1752" t="str">
        <f t="shared" si="32"/>
        <v/>
      </c>
      <c r="BG20" s="1753" t="str">
        <f t="shared" si="11"/>
        <v/>
      </c>
      <c r="BH20" s="261"/>
      <c r="BJ20" s="143"/>
      <c r="BW20" s="991">
        <f t="shared" ca="1" si="33"/>
        <v>0</v>
      </c>
      <c r="BX20" s="991" t="str">
        <f t="shared" ca="1" si="40"/>
        <v/>
      </c>
      <c r="BY20" s="991" t="b">
        <f t="shared" ca="1" si="34"/>
        <v>0</v>
      </c>
      <c r="BZ20" s="1303" t="b">
        <f t="shared" si="41"/>
        <v>0</v>
      </c>
      <c r="CB20" s="198"/>
      <c r="CC20" s="198"/>
      <c r="CD20" s="198"/>
      <c r="CE20" s="198"/>
      <c r="CF20" s="198"/>
      <c r="CG20" s="198"/>
      <c r="CH20" s="198"/>
      <c r="CI20" s="205"/>
      <c r="CJ20" s="205"/>
      <c r="CK20" s="205"/>
      <c r="CL20" s="205"/>
      <c r="CM20" s="205"/>
      <c r="CN20" s="205"/>
      <c r="CO20" s="205"/>
      <c r="CP20" s="198"/>
      <c r="CQ20" s="198"/>
      <c r="CR20" s="206"/>
      <c r="CS20" s="198"/>
      <c r="CT20" s="198"/>
      <c r="CU20" s="198"/>
      <c r="CV20" s="198"/>
      <c r="CW20" s="198"/>
      <c r="CX20" s="141"/>
      <c r="CY20" s="198"/>
      <c r="CZ20" s="393" t="s">
        <v>678</v>
      </c>
      <c r="DA20" s="1939"/>
      <c r="DB20" s="1940"/>
      <c r="DC20" s="141"/>
      <c r="DD20" s="141"/>
      <c r="DE20" s="141"/>
      <c r="DF20" s="141"/>
      <c r="DG20" s="141"/>
      <c r="DH20" s="672"/>
      <c r="DI20" s="673"/>
      <c r="DJ20" s="692"/>
      <c r="DK20" s="1331"/>
      <c r="DL20" s="674"/>
      <c r="DM20" s="693"/>
      <c r="DN20" s="1334"/>
      <c r="DO20" s="675"/>
      <c r="DP20" s="676"/>
      <c r="DQ20" s="1419"/>
      <c r="DR20" s="677"/>
      <c r="DS20" s="1611"/>
      <c r="DT20" s="1606"/>
      <c r="DU20" s="1607"/>
      <c r="DV20" s="678"/>
      <c r="DW20" s="1336"/>
      <c r="DX20" s="679"/>
      <c r="DY20" s="674"/>
      <c r="DZ20" s="678"/>
      <c r="EA20" s="1336"/>
      <c r="EB20" s="679"/>
      <c r="EC20" s="674"/>
      <c r="ED20" s="678"/>
      <c r="EE20" s="1336"/>
      <c r="EF20" s="679"/>
      <c r="EG20" s="674"/>
      <c r="EH20" s="678"/>
      <c r="EI20" s="1336"/>
      <c r="EJ20" s="679"/>
      <c r="EK20" s="680"/>
      <c r="EL20" s="929"/>
      <c r="EM20" s="1004"/>
      <c r="EN20" s="930"/>
      <c r="EO20" s="931"/>
      <c r="EP20" s="141"/>
      <c r="EQ20" s="141"/>
      <c r="ER20" s="141"/>
      <c r="ES20" s="141"/>
      <c r="ET20" s="141"/>
      <c r="EU20" s="141"/>
      <c r="EX20" s="503" t="str">
        <f t="shared" ca="1" si="35"/>
        <v/>
      </c>
      <c r="EY20" s="940" t="str">
        <f t="shared" si="12"/>
        <v/>
      </c>
      <c r="EZ20" s="940" t="str">
        <f t="shared" si="36"/>
        <v/>
      </c>
      <c r="FA20" s="958" t="str">
        <f t="shared" ca="1" si="42"/>
        <v/>
      </c>
      <c r="FB20" s="134" t="str">
        <f t="shared" ca="1" si="37"/>
        <v/>
      </c>
      <c r="FC20" s="134">
        <f t="shared" ca="1" si="13"/>
        <v>0</v>
      </c>
      <c r="FD20" s="134">
        <f t="shared" ca="1" si="14"/>
        <v>0</v>
      </c>
      <c r="FE20" s="134">
        <f t="shared" ca="1" si="15"/>
        <v>0</v>
      </c>
      <c r="FF20" s="134">
        <f t="shared" ca="1" si="38"/>
        <v>0</v>
      </c>
      <c r="FN20" s="754"/>
      <c r="FO20" s="754"/>
      <c r="FP20" s="754" t="b">
        <v>0</v>
      </c>
      <c r="FQ20" s="754" t="b">
        <f t="shared" si="39"/>
        <v>1</v>
      </c>
      <c r="FX20" s="197"/>
      <c r="FZ20" s="2"/>
      <c r="GA20" s="141"/>
      <c r="GB20" s="141"/>
      <c r="GC20" s="141"/>
      <c r="GD20" s="141"/>
      <c r="GE20" s="141"/>
      <c r="GF20" s="141"/>
      <c r="GG20" s="141"/>
      <c r="GH20" s="141"/>
      <c r="GI20" s="141"/>
      <c r="GJ20" s="141"/>
      <c r="GK20" s="2"/>
      <c r="GZ20" s="1165" t="s">
        <v>1133</v>
      </c>
      <c r="HA20" s="1166">
        <v>1</v>
      </c>
      <c r="HB20" s="1166">
        <f t="shared" ref="HB20:HZ20" si="52">HA20+1</f>
        <v>2</v>
      </c>
      <c r="HC20" s="1166">
        <f t="shared" si="52"/>
        <v>3</v>
      </c>
      <c r="HD20" s="1166">
        <f t="shared" si="52"/>
        <v>4</v>
      </c>
      <c r="HE20" s="1166">
        <f t="shared" si="52"/>
        <v>5</v>
      </c>
      <c r="HF20" s="1166">
        <f t="shared" si="52"/>
        <v>6</v>
      </c>
      <c r="HG20" s="1166">
        <f t="shared" si="52"/>
        <v>7</v>
      </c>
      <c r="HH20" s="1166">
        <f t="shared" si="52"/>
        <v>8</v>
      </c>
      <c r="HI20" s="1166">
        <f t="shared" si="52"/>
        <v>9</v>
      </c>
      <c r="HJ20" s="1166">
        <f t="shared" si="52"/>
        <v>10</v>
      </c>
      <c r="HK20" s="1166">
        <f t="shared" si="52"/>
        <v>11</v>
      </c>
      <c r="HL20" s="1166">
        <f t="shared" si="52"/>
        <v>12</v>
      </c>
      <c r="HM20" s="1166">
        <f t="shared" si="52"/>
        <v>13</v>
      </c>
      <c r="HN20" s="1166">
        <f t="shared" si="52"/>
        <v>14</v>
      </c>
      <c r="HO20" s="1166">
        <f t="shared" si="52"/>
        <v>15</v>
      </c>
      <c r="HP20" s="1166">
        <f t="shared" si="52"/>
        <v>16</v>
      </c>
      <c r="HQ20" s="1166">
        <f t="shared" si="52"/>
        <v>17</v>
      </c>
      <c r="HR20" s="1166">
        <f t="shared" si="52"/>
        <v>18</v>
      </c>
      <c r="HS20" s="1166">
        <f t="shared" si="52"/>
        <v>19</v>
      </c>
      <c r="HT20" s="1166">
        <f t="shared" si="52"/>
        <v>20</v>
      </c>
      <c r="HU20" s="1166">
        <f t="shared" si="52"/>
        <v>21</v>
      </c>
      <c r="HV20" s="1166">
        <f t="shared" si="52"/>
        <v>22</v>
      </c>
      <c r="HW20" s="1166">
        <f t="shared" si="52"/>
        <v>23</v>
      </c>
      <c r="HX20" s="1166">
        <f t="shared" si="52"/>
        <v>24</v>
      </c>
      <c r="HY20" s="1166">
        <f t="shared" si="52"/>
        <v>25</v>
      </c>
      <c r="HZ20" s="1166">
        <f t="shared" si="52"/>
        <v>26</v>
      </c>
      <c r="IA20" s="1167" t="s">
        <v>1167</v>
      </c>
      <c r="IB20" s="1166">
        <v>27</v>
      </c>
      <c r="IC20" s="1166"/>
      <c r="ID20" s="1166"/>
      <c r="IE20" s="1241"/>
      <c r="IF20" s="1242"/>
      <c r="IG20" s="1243"/>
      <c r="IH20" s="1244"/>
      <c r="II20" s="1242"/>
      <c r="IJ20" s="1243"/>
      <c r="IK20" s="1244"/>
      <c r="IL20" s="1242"/>
      <c r="IM20" s="1242"/>
      <c r="IN20" s="1242"/>
      <c r="IO20" s="1242"/>
      <c r="IP20" s="1242"/>
      <c r="IQ20" s="1242"/>
      <c r="IR20" s="1242"/>
      <c r="IS20" s="1243"/>
      <c r="IT20" s="1244"/>
      <c r="IU20" s="1242"/>
      <c r="IV20" s="1242"/>
      <c r="IW20" s="1243"/>
      <c r="IX20" s="1244"/>
      <c r="IY20" s="1242"/>
      <c r="IZ20" s="1242"/>
      <c r="JA20" s="1243"/>
      <c r="JB20" s="1244"/>
      <c r="JC20" s="1242"/>
      <c r="JD20" s="1242"/>
      <c r="JE20" s="1243"/>
      <c r="JF20" s="1244"/>
      <c r="JG20" s="1242"/>
      <c r="JH20" s="1242"/>
      <c r="JI20" s="1242"/>
      <c r="JJ20" s="1245"/>
      <c r="JK20" s="1242"/>
      <c r="JL20" s="1171">
        <f t="shared" ca="1" si="43"/>
        <v>0</v>
      </c>
    </row>
    <row r="21" spans="1:274" ht="12.6" customHeight="1" thickBot="1" x14ac:dyDescent="0.25">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093"/>
      <c r="W21" s="1093"/>
      <c r="X21" s="1093"/>
      <c r="Y21" s="1093"/>
      <c r="Z21" s="1093"/>
      <c r="AA21" s="1093"/>
      <c r="AB21" s="1448" t="str">
        <f t="shared" si="16"/>
        <v/>
      </c>
      <c r="AC21" s="1710" t="str">
        <f t="shared" si="4"/>
        <v/>
      </c>
      <c r="AD21" s="1705" t="str">
        <f t="shared" ca="1" si="44"/>
        <v/>
      </c>
      <c r="AE21" s="1709" t="str">
        <f t="shared" ca="1" si="45"/>
        <v/>
      </c>
      <c r="AF21" s="1710" t="str">
        <f t="shared" ca="1" si="46"/>
        <v/>
      </c>
      <c r="AG21" s="1705" t="str">
        <f t="shared" ca="1" si="47"/>
        <v/>
      </c>
      <c r="AH21" s="1709" t="str">
        <f t="shared" ca="1" si="48"/>
        <v/>
      </c>
      <c r="AI21" s="1705" t="str">
        <f t="shared" ca="1" si="49"/>
        <v/>
      </c>
      <c r="AJ21" s="1709" t="str">
        <f t="shared" ca="1" si="50"/>
        <v/>
      </c>
      <c r="AK21" s="1747" t="str">
        <f t="shared" ref="AK21:AK45" si="53">IF(ISBLANK(DO21),"",DO21)</f>
        <v/>
      </c>
      <c r="AL21" s="1748" t="str">
        <f t="shared" si="5"/>
        <v/>
      </c>
      <c r="AM21" s="1749" t="str">
        <f t="shared" ref="AM21:AM45" si="54">IF(ISBLANK(DQ21),"",DQ21)</f>
        <v/>
      </c>
      <c r="AN21" s="1710" t="str">
        <f t="shared" ref="AN21:AN45" si="55">IF(ISBLANK(DR21),"",DR21)</f>
        <v/>
      </c>
      <c r="AO21" s="1750" t="str">
        <f t="shared" ref="AO21:AO45" si="56">IF(ISBLANK(DS21),"",DS21)</f>
        <v/>
      </c>
      <c r="AP21" s="1712" t="str">
        <f t="shared" si="6"/>
        <v/>
      </c>
      <c r="AQ21" s="1751" t="str">
        <f t="shared" si="7"/>
        <v/>
      </c>
      <c r="AR21" s="1708" t="str">
        <f t="shared" si="21"/>
        <v/>
      </c>
      <c r="AS21" s="1709" t="str">
        <f t="shared" si="22"/>
        <v/>
      </c>
      <c r="AT21" s="1752" t="str">
        <f t="shared" si="23"/>
        <v/>
      </c>
      <c r="AU21" s="1753" t="str">
        <f t="shared" si="8"/>
        <v/>
      </c>
      <c r="AV21" s="1714" t="str">
        <f t="shared" si="24"/>
        <v/>
      </c>
      <c r="AW21" s="1709" t="str">
        <f t="shared" si="25"/>
        <v/>
      </c>
      <c r="AX21" s="1752" t="str">
        <f t="shared" si="26"/>
        <v/>
      </c>
      <c r="AY21" s="1753" t="str">
        <f t="shared" si="9"/>
        <v/>
      </c>
      <c r="AZ21" s="1714" t="str">
        <f t="shared" si="27"/>
        <v/>
      </c>
      <c r="BA21" s="1709" t="str">
        <f t="shared" si="28"/>
        <v/>
      </c>
      <c r="BB21" s="1752" t="str">
        <f t="shared" si="29"/>
        <v/>
      </c>
      <c r="BC21" s="1753" t="str">
        <f t="shared" si="10"/>
        <v/>
      </c>
      <c r="BD21" s="1714" t="str">
        <f t="shared" si="30"/>
        <v/>
      </c>
      <c r="BE21" s="1709" t="str">
        <f t="shared" si="31"/>
        <v/>
      </c>
      <c r="BF21" s="1752" t="str">
        <f t="shared" ref="BF21:BF45" si="57">IF(ISBLANK(EJ21),"",EJ21)</f>
        <v/>
      </c>
      <c r="BG21" s="1753" t="str">
        <f t="shared" si="11"/>
        <v/>
      </c>
      <c r="BH21" s="261"/>
      <c r="BJ21" s="143"/>
      <c r="BW21" s="991">
        <f t="shared" ca="1" si="33"/>
        <v>0</v>
      </c>
      <c r="BX21" s="991" t="str">
        <f t="shared" ca="1" si="40"/>
        <v/>
      </c>
      <c r="BY21" s="991" t="b">
        <f t="shared" ca="1" si="34"/>
        <v>0</v>
      </c>
      <c r="BZ21" s="1303" t="b">
        <f t="shared" si="41"/>
        <v>0</v>
      </c>
      <c r="CB21" s="1622">
        <v>6</v>
      </c>
      <c r="CC21" s="1622">
        <v>4</v>
      </c>
      <c r="CD21" s="1622">
        <v>15</v>
      </c>
      <c r="CE21" s="1622">
        <v>4</v>
      </c>
      <c r="CF21" s="1622">
        <v>5</v>
      </c>
      <c r="CG21" s="1623">
        <v>3</v>
      </c>
      <c r="CH21" s="1623">
        <v>4.57</v>
      </c>
      <c r="CI21" s="1623">
        <v>4.57</v>
      </c>
      <c r="CJ21" s="1623">
        <v>4.57</v>
      </c>
      <c r="CK21" s="1623">
        <v>4.57</v>
      </c>
      <c r="CL21" s="1623">
        <v>4</v>
      </c>
      <c r="CM21" s="1623">
        <v>5</v>
      </c>
      <c r="CN21" s="1623">
        <v>5.29</v>
      </c>
      <c r="CO21" s="1623">
        <v>5.29</v>
      </c>
      <c r="CP21" s="1623">
        <v>4</v>
      </c>
      <c r="CQ21" s="1623">
        <v>3</v>
      </c>
      <c r="CR21" s="1623">
        <v>4.57</v>
      </c>
      <c r="CS21" s="1623">
        <v>4.57</v>
      </c>
      <c r="CT21" s="1623">
        <v>4.57</v>
      </c>
      <c r="CU21" s="1623">
        <v>4.57</v>
      </c>
      <c r="CV21" s="1623">
        <v>4</v>
      </c>
      <c r="CW21" s="1623">
        <v>5</v>
      </c>
      <c r="CX21" s="1623">
        <v>5.29</v>
      </c>
      <c r="CY21" s="1623">
        <v>5.29</v>
      </c>
      <c r="CZ21" s="1623">
        <v>4</v>
      </c>
      <c r="DA21" s="1622">
        <v>5</v>
      </c>
      <c r="DB21" s="1622">
        <v>15</v>
      </c>
      <c r="DC21" s="1623">
        <v>21.57</v>
      </c>
      <c r="DD21" s="1622">
        <v>4</v>
      </c>
      <c r="DE21" s="1622">
        <v>4</v>
      </c>
      <c r="DF21" s="141"/>
      <c r="DG21" s="141"/>
      <c r="DH21" s="672"/>
      <c r="DI21" s="673"/>
      <c r="DJ21" s="692"/>
      <c r="DK21" s="1331"/>
      <c r="DL21" s="674"/>
      <c r="DM21" s="693"/>
      <c r="DN21" s="1334"/>
      <c r="DO21" s="675"/>
      <c r="DP21" s="676"/>
      <c r="DQ21" s="1419"/>
      <c r="DR21" s="677"/>
      <c r="DS21" s="1611"/>
      <c r="DT21" s="1606"/>
      <c r="DU21" s="1607"/>
      <c r="DV21" s="678"/>
      <c r="DW21" s="1336"/>
      <c r="DX21" s="679"/>
      <c r="DY21" s="674"/>
      <c r="DZ21" s="678"/>
      <c r="EA21" s="1336"/>
      <c r="EB21" s="679"/>
      <c r="EC21" s="674"/>
      <c r="ED21" s="678"/>
      <c r="EE21" s="1336"/>
      <c r="EF21" s="679"/>
      <c r="EG21" s="674"/>
      <c r="EH21" s="678"/>
      <c r="EI21" s="1336"/>
      <c r="EJ21" s="679"/>
      <c r="EK21" s="680"/>
      <c r="EL21" s="141"/>
      <c r="EM21" s="1004"/>
      <c r="EN21" s="930"/>
      <c r="EO21" s="931"/>
      <c r="EP21" s="141"/>
      <c r="EQ21" s="141"/>
      <c r="ER21" s="141"/>
      <c r="ES21" s="141"/>
      <c r="ET21" s="141"/>
      <c r="EU21" s="141"/>
      <c r="EX21" s="503" t="str">
        <f t="shared" ca="1" si="35"/>
        <v/>
      </c>
      <c r="EY21" s="940" t="str">
        <f t="shared" si="12"/>
        <v/>
      </c>
      <c r="EZ21" s="940" t="str">
        <f t="shared" si="36"/>
        <v/>
      </c>
      <c r="FA21" s="958" t="str">
        <f t="shared" ca="1" si="42"/>
        <v/>
      </c>
      <c r="FB21" s="134" t="str">
        <f t="shared" ca="1" si="37"/>
        <v/>
      </c>
      <c r="FC21" s="134">
        <f t="shared" ca="1" si="13"/>
        <v>0</v>
      </c>
      <c r="FD21" s="134">
        <f t="shared" ca="1" si="14"/>
        <v>0</v>
      </c>
      <c r="FE21" s="134">
        <f t="shared" ca="1" si="15"/>
        <v>0</v>
      </c>
      <c r="FF21" s="134">
        <f t="shared" ca="1" si="38"/>
        <v>0</v>
      </c>
      <c r="FN21" s="754"/>
      <c r="FO21" s="754"/>
      <c r="FP21" s="754" t="b">
        <v>0</v>
      </c>
      <c r="FQ21" s="754" t="b">
        <f t="shared" si="39"/>
        <v>1</v>
      </c>
      <c r="FX21" s="756"/>
      <c r="FZ21" s="23"/>
      <c r="GA21" s="141"/>
      <c r="GB21" s="141"/>
      <c r="GC21" s="141"/>
      <c r="GD21" s="141"/>
      <c r="GE21" s="141"/>
      <c r="GF21" s="141"/>
      <c r="GG21" s="141"/>
      <c r="GH21" s="141"/>
      <c r="GI21" s="141"/>
      <c r="GJ21" s="141"/>
      <c r="GK21" s="23"/>
      <c r="GZ21" s="1165" t="s">
        <v>1156</v>
      </c>
      <c r="HA21" s="1166">
        <v>1</v>
      </c>
      <c r="HB21" s="1166">
        <f>HA21+1</f>
        <v>2</v>
      </c>
      <c r="HC21" s="1166">
        <f t="shared" ref="HC21:HK22" si="58">HB21+1</f>
        <v>3</v>
      </c>
      <c r="HD21" s="1166">
        <f t="shared" si="58"/>
        <v>4</v>
      </c>
      <c r="HE21" s="1166">
        <f t="shared" si="58"/>
        <v>5</v>
      </c>
      <c r="HF21" s="1166">
        <f t="shared" si="58"/>
        <v>6</v>
      </c>
      <c r="HG21" s="1166">
        <f t="shared" si="58"/>
        <v>7</v>
      </c>
      <c r="HH21" s="1166">
        <f t="shared" si="58"/>
        <v>8</v>
      </c>
      <c r="HI21" s="1166">
        <f t="shared" si="58"/>
        <v>9</v>
      </c>
      <c r="HJ21" s="1166">
        <f t="shared" si="58"/>
        <v>10</v>
      </c>
      <c r="HK21" s="1166">
        <f t="shared" si="58"/>
        <v>11</v>
      </c>
      <c r="HL21" s="1166">
        <f t="shared" ref="HL21:HX22" si="59">HK21+1</f>
        <v>12</v>
      </c>
      <c r="HM21" s="1166">
        <f t="shared" si="59"/>
        <v>13</v>
      </c>
      <c r="HN21" s="1166">
        <f t="shared" si="59"/>
        <v>14</v>
      </c>
      <c r="HO21" s="1166">
        <f t="shared" si="59"/>
        <v>15</v>
      </c>
      <c r="HP21" s="1166">
        <f t="shared" si="59"/>
        <v>16</v>
      </c>
      <c r="HQ21" s="1166">
        <f t="shared" si="59"/>
        <v>17</v>
      </c>
      <c r="HR21" s="1166">
        <f t="shared" si="59"/>
        <v>18</v>
      </c>
      <c r="HS21" s="1166">
        <f t="shared" ref="HS21:ID21" si="60">HR21+1</f>
        <v>19</v>
      </c>
      <c r="HT21" s="1166">
        <f t="shared" si="60"/>
        <v>20</v>
      </c>
      <c r="HU21" s="1166">
        <f t="shared" si="60"/>
        <v>21</v>
      </c>
      <c r="HV21" s="1166">
        <f t="shared" si="60"/>
        <v>22</v>
      </c>
      <c r="HW21" s="1166">
        <f t="shared" si="60"/>
        <v>23</v>
      </c>
      <c r="HX21" s="1166">
        <f t="shared" si="60"/>
        <v>24</v>
      </c>
      <c r="HY21" s="1166">
        <f t="shared" si="60"/>
        <v>25</v>
      </c>
      <c r="HZ21" s="1166">
        <f t="shared" si="60"/>
        <v>26</v>
      </c>
      <c r="IA21" s="1168">
        <f t="shared" si="60"/>
        <v>27</v>
      </c>
      <c r="IB21" s="1168">
        <f t="shared" si="60"/>
        <v>28</v>
      </c>
      <c r="IC21" s="1168">
        <f t="shared" si="60"/>
        <v>29</v>
      </c>
      <c r="ID21" s="1168">
        <f t="shared" si="60"/>
        <v>30</v>
      </c>
      <c r="IE21" s="1241"/>
      <c r="IF21" s="1242"/>
      <c r="IG21" s="1243"/>
      <c r="IH21" s="1244"/>
      <c r="II21" s="1242"/>
      <c r="IJ21" s="1243"/>
      <c r="IK21" s="1244"/>
      <c r="IL21" s="1242"/>
      <c r="IM21" s="1242"/>
      <c r="IN21" s="1242"/>
      <c r="IO21" s="1242"/>
      <c r="IP21" s="1242"/>
      <c r="IQ21" s="1242"/>
      <c r="IR21" s="1242"/>
      <c r="IS21" s="1243"/>
      <c r="IT21" s="1244"/>
      <c r="IU21" s="1242"/>
      <c r="IV21" s="1242"/>
      <c r="IW21" s="1243"/>
      <c r="IX21" s="1244"/>
      <c r="IY21" s="1242"/>
      <c r="IZ21" s="1242"/>
      <c r="JA21" s="1243"/>
      <c r="JB21" s="1244"/>
      <c r="JC21" s="1242"/>
      <c r="JD21" s="1242"/>
      <c r="JE21" s="1243"/>
      <c r="JF21" s="1244"/>
      <c r="JG21" s="1242"/>
      <c r="JH21" s="1242"/>
      <c r="JI21" s="1242"/>
      <c r="JJ21" s="1245"/>
      <c r="JK21" s="1242"/>
      <c r="JL21" s="1171">
        <f t="shared" ca="1" si="43"/>
        <v>0</v>
      </c>
    </row>
    <row r="22" spans="1:274" ht="12.6" customHeight="1" thickTop="1"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093"/>
      <c r="W22" s="1093"/>
      <c r="X22" s="1093"/>
      <c r="Y22" s="1093"/>
      <c r="Z22" s="1093"/>
      <c r="AA22" s="1093"/>
      <c r="AB22" s="1448" t="str">
        <f t="shared" si="16"/>
        <v/>
      </c>
      <c r="AC22" s="1710" t="str">
        <f t="shared" si="4"/>
        <v/>
      </c>
      <c r="AD22" s="1705" t="str">
        <f t="shared" ca="1" si="44"/>
        <v/>
      </c>
      <c r="AE22" s="1709" t="str">
        <f t="shared" ca="1" si="45"/>
        <v/>
      </c>
      <c r="AF22" s="1710" t="str">
        <f t="shared" ca="1" si="46"/>
        <v/>
      </c>
      <c r="AG22" s="1705" t="str">
        <f t="shared" ca="1" si="47"/>
        <v/>
      </c>
      <c r="AH22" s="1709" t="str">
        <f t="shared" ca="1" si="48"/>
        <v/>
      </c>
      <c r="AI22" s="1705" t="str">
        <f t="shared" ca="1" si="49"/>
        <v/>
      </c>
      <c r="AJ22" s="1709" t="str">
        <f t="shared" ca="1" si="50"/>
        <v/>
      </c>
      <c r="AK22" s="1747" t="str">
        <f t="shared" si="53"/>
        <v/>
      </c>
      <c r="AL22" s="1748" t="str">
        <f t="shared" si="5"/>
        <v/>
      </c>
      <c r="AM22" s="1749" t="str">
        <f t="shared" si="54"/>
        <v/>
      </c>
      <c r="AN22" s="1710" t="str">
        <f t="shared" si="55"/>
        <v/>
      </c>
      <c r="AO22" s="1750" t="str">
        <f t="shared" si="56"/>
        <v/>
      </c>
      <c r="AP22" s="1712" t="str">
        <f t="shared" si="6"/>
        <v/>
      </c>
      <c r="AQ22" s="1751" t="str">
        <f t="shared" si="7"/>
        <v/>
      </c>
      <c r="AR22" s="1708" t="str">
        <f t="shared" si="21"/>
        <v/>
      </c>
      <c r="AS22" s="1709" t="str">
        <f t="shared" si="22"/>
        <v/>
      </c>
      <c r="AT22" s="1752" t="str">
        <f t="shared" si="23"/>
        <v/>
      </c>
      <c r="AU22" s="1753" t="str">
        <f t="shared" si="8"/>
        <v/>
      </c>
      <c r="AV22" s="1714" t="str">
        <f t="shared" si="24"/>
        <v/>
      </c>
      <c r="AW22" s="1709" t="str">
        <f t="shared" si="25"/>
        <v/>
      </c>
      <c r="AX22" s="1752" t="str">
        <f t="shared" si="26"/>
        <v/>
      </c>
      <c r="AY22" s="1753" t="str">
        <f t="shared" si="9"/>
        <v/>
      </c>
      <c r="AZ22" s="1714" t="str">
        <f t="shared" si="27"/>
        <v/>
      </c>
      <c r="BA22" s="1709" t="str">
        <f t="shared" si="28"/>
        <v/>
      </c>
      <c r="BB22" s="1752" t="str">
        <f t="shared" si="29"/>
        <v/>
      </c>
      <c r="BC22" s="1753" t="str">
        <f t="shared" si="10"/>
        <v/>
      </c>
      <c r="BD22" s="1714" t="str">
        <f t="shared" si="30"/>
        <v/>
      </c>
      <c r="BE22" s="1709" t="str">
        <f t="shared" si="31"/>
        <v/>
      </c>
      <c r="BF22" s="1752" t="str">
        <f t="shared" si="57"/>
        <v/>
      </c>
      <c r="BG22" s="1753" t="str">
        <f t="shared" si="11"/>
        <v/>
      </c>
      <c r="BH22" s="261"/>
      <c r="BJ22" s="143"/>
      <c r="BW22" s="991">
        <f t="shared" ca="1" si="33"/>
        <v>0</v>
      </c>
      <c r="BX22" s="991" t="str">
        <f t="shared" ca="1" si="40"/>
        <v/>
      </c>
      <c r="BY22" s="991" t="b">
        <f t="shared" ca="1" si="34"/>
        <v>0</v>
      </c>
      <c r="BZ22" s="1303" t="b">
        <f t="shared" si="41"/>
        <v>0</v>
      </c>
      <c r="CB22" s="2034" t="s">
        <v>638</v>
      </c>
      <c r="CC22" s="2049"/>
      <c r="CD22" s="2049"/>
      <c r="CE22" s="2049"/>
      <c r="CF22" s="2049"/>
      <c r="CG22" s="2049"/>
      <c r="CH22" s="2049"/>
      <c r="CI22" s="2049"/>
      <c r="CJ22" s="2049"/>
      <c r="CK22" s="2049"/>
      <c r="CL22" s="2049"/>
      <c r="CM22" s="2049"/>
      <c r="CN22" s="2049"/>
      <c r="CO22" s="2049"/>
      <c r="CP22" s="2049"/>
      <c r="CQ22" s="2049"/>
      <c r="CR22" s="2049"/>
      <c r="CS22" s="2049"/>
      <c r="CT22" s="2049"/>
      <c r="CU22" s="2049"/>
      <c r="CV22" s="2049"/>
      <c r="CW22" s="2049"/>
      <c r="CX22" s="2049"/>
      <c r="CY22" s="2049"/>
      <c r="CZ22" s="1943"/>
      <c r="DA22" s="1943"/>
      <c r="DB22" s="1943"/>
      <c r="DC22" s="1943"/>
      <c r="DD22" s="1943"/>
      <c r="DE22" s="1944"/>
      <c r="DF22" s="141"/>
      <c r="DG22" s="141"/>
      <c r="DH22" s="672"/>
      <c r="DI22" s="673"/>
      <c r="DJ22" s="692"/>
      <c r="DK22" s="1331"/>
      <c r="DL22" s="674"/>
      <c r="DM22" s="693"/>
      <c r="DN22" s="1334"/>
      <c r="DO22" s="675"/>
      <c r="DP22" s="676"/>
      <c r="DQ22" s="1419"/>
      <c r="DR22" s="677"/>
      <c r="DS22" s="1611"/>
      <c r="DT22" s="1606"/>
      <c r="DU22" s="1607"/>
      <c r="DV22" s="678"/>
      <c r="DW22" s="1336"/>
      <c r="DX22" s="679"/>
      <c r="DY22" s="674"/>
      <c r="DZ22" s="678"/>
      <c r="EA22" s="1336"/>
      <c r="EB22" s="679"/>
      <c r="EC22" s="674"/>
      <c r="ED22" s="678"/>
      <c r="EE22" s="1336"/>
      <c r="EF22" s="679"/>
      <c r="EG22" s="674"/>
      <c r="EH22" s="678"/>
      <c r="EI22" s="1336"/>
      <c r="EJ22" s="679"/>
      <c r="EK22" s="680"/>
      <c r="EL22" s="141"/>
      <c r="EM22" s="1004"/>
      <c r="EN22" s="930"/>
      <c r="EO22" s="931"/>
      <c r="EP22" s="141"/>
      <c r="EQ22" s="141"/>
      <c r="ER22" s="141"/>
      <c r="ES22" s="141"/>
      <c r="ET22" s="141"/>
      <c r="EU22" s="141"/>
      <c r="EX22" s="503" t="str">
        <f t="shared" ca="1" si="35"/>
        <v/>
      </c>
      <c r="EY22" s="940" t="str">
        <f t="shared" si="12"/>
        <v/>
      </c>
      <c r="EZ22" s="940" t="str">
        <f t="shared" si="36"/>
        <v/>
      </c>
      <c r="FA22" s="958" t="str">
        <f t="shared" ca="1" si="42"/>
        <v/>
      </c>
      <c r="FB22" s="134" t="str">
        <f t="shared" ca="1" si="37"/>
        <v/>
      </c>
      <c r="FC22" s="134">
        <f t="shared" ca="1" si="13"/>
        <v>0</v>
      </c>
      <c r="FD22" s="134">
        <f t="shared" ca="1" si="14"/>
        <v>0</v>
      </c>
      <c r="FE22" s="134">
        <f t="shared" ca="1" si="15"/>
        <v>0</v>
      </c>
      <c r="FF22" s="134">
        <f t="shared" ca="1" si="38"/>
        <v>0</v>
      </c>
      <c r="FN22" s="754"/>
      <c r="FO22" s="754"/>
      <c r="FP22" s="754" t="b">
        <v>0</v>
      </c>
      <c r="FQ22" s="754" t="b">
        <f t="shared" si="39"/>
        <v>1</v>
      </c>
      <c r="FX22" s="756"/>
      <c r="FZ22" s="23"/>
      <c r="GA22" s="141"/>
      <c r="GB22" s="141"/>
      <c r="GC22" s="141"/>
      <c r="GD22" s="141"/>
      <c r="GE22" s="141"/>
      <c r="GF22" s="141"/>
      <c r="GG22" s="141"/>
      <c r="GH22" s="141"/>
      <c r="GI22" s="141"/>
      <c r="GJ22" s="141"/>
      <c r="GK22" s="23"/>
      <c r="GZ22" s="1165" t="s">
        <v>1133</v>
      </c>
      <c r="HA22" s="1166">
        <v>1</v>
      </c>
      <c r="HB22" s="1166">
        <f>HA22+1</f>
        <v>2</v>
      </c>
      <c r="HC22" s="1166">
        <f>HB22+1</f>
        <v>3</v>
      </c>
      <c r="HD22" s="1166">
        <f t="shared" si="58"/>
        <v>4</v>
      </c>
      <c r="HE22" s="1166">
        <f t="shared" si="58"/>
        <v>5</v>
      </c>
      <c r="HF22" s="1166">
        <f t="shared" si="58"/>
        <v>6</v>
      </c>
      <c r="HG22" s="1166">
        <f t="shared" si="58"/>
        <v>7</v>
      </c>
      <c r="HH22" s="1166">
        <f t="shared" si="58"/>
        <v>8</v>
      </c>
      <c r="HI22" s="1166">
        <f t="shared" si="58"/>
        <v>9</v>
      </c>
      <c r="HJ22" s="1166">
        <f t="shared" si="58"/>
        <v>10</v>
      </c>
      <c r="HK22" s="1166">
        <f t="shared" si="58"/>
        <v>11</v>
      </c>
      <c r="HL22" s="1166">
        <f t="shared" si="59"/>
        <v>12</v>
      </c>
      <c r="HM22" s="1166">
        <f t="shared" si="59"/>
        <v>13</v>
      </c>
      <c r="HN22" s="1166">
        <f t="shared" si="59"/>
        <v>14</v>
      </c>
      <c r="HO22" s="1166">
        <f t="shared" si="59"/>
        <v>15</v>
      </c>
      <c r="HP22" s="1166">
        <f t="shared" si="59"/>
        <v>16</v>
      </c>
      <c r="HQ22" s="1166">
        <f t="shared" si="59"/>
        <v>17</v>
      </c>
      <c r="HR22" s="1166">
        <f t="shared" si="59"/>
        <v>18</v>
      </c>
      <c r="HS22" s="1166">
        <f t="shared" si="59"/>
        <v>19</v>
      </c>
      <c r="HT22" s="1166">
        <f t="shared" si="59"/>
        <v>20</v>
      </c>
      <c r="HU22" s="1166">
        <f t="shared" si="59"/>
        <v>21</v>
      </c>
      <c r="HV22" s="1166">
        <f t="shared" si="59"/>
        <v>22</v>
      </c>
      <c r="HW22" s="1166">
        <f t="shared" si="59"/>
        <v>23</v>
      </c>
      <c r="HX22" s="1166">
        <f t="shared" si="59"/>
        <v>24</v>
      </c>
      <c r="HY22" s="1166">
        <f>HX22+1</f>
        <v>25</v>
      </c>
      <c r="HZ22" s="1166">
        <f>HY22+1</f>
        <v>26</v>
      </c>
      <c r="IA22" s="1166">
        <f>HZ22+1</f>
        <v>27</v>
      </c>
      <c r="IB22" s="1166">
        <f>IA22+1</f>
        <v>28</v>
      </c>
      <c r="IC22" s="1166"/>
      <c r="ID22" s="1166"/>
      <c r="IE22" s="1241"/>
      <c r="IF22" s="1242"/>
      <c r="IG22" s="1243"/>
      <c r="IH22" s="1244"/>
      <c r="II22" s="1242"/>
      <c r="IJ22" s="1243"/>
      <c r="IK22" s="1244"/>
      <c r="IL22" s="1242"/>
      <c r="IM22" s="1242"/>
      <c r="IN22" s="1242"/>
      <c r="IO22" s="1242"/>
      <c r="IP22" s="1242"/>
      <c r="IQ22" s="1242"/>
      <c r="IR22" s="1242"/>
      <c r="IS22" s="1243"/>
      <c r="IT22" s="1244"/>
      <c r="IU22" s="1242"/>
      <c r="IV22" s="1242"/>
      <c r="IW22" s="1243"/>
      <c r="IX22" s="1244"/>
      <c r="IY22" s="1242"/>
      <c r="IZ22" s="1242"/>
      <c r="JA22" s="1243"/>
      <c r="JB22" s="1244"/>
      <c r="JC22" s="1242"/>
      <c r="JD22" s="1242"/>
      <c r="JE22" s="1243"/>
      <c r="JF22" s="1244"/>
      <c r="JG22" s="1242"/>
      <c r="JH22" s="1242"/>
      <c r="JI22" s="1242"/>
      <c r="JJ22" s="1245"/>
      <c r="JK22" s="1242"/>
      <c r="JL22" s="1171">
        <f t="shared" ca="1" si="43"/>
        <v>0</v>
      </c>
    </row>
    <row r="23" spans="1:274" ht="12.6" customHeight="1" thickBot="1" x14ac:dyDescent="0.25">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093"/>
      <c r="W23" s="1093"/>
      <c r="X23" s="1093"/>
      <c r="Y23" s="1093"/>
      <c r="Z23" s="1093"/>
      <c r="AA23" s="1093"/>
      <c r="AB23" s="1448" t="str">
        <f t="shared" si="16"/>
        <v/>
      </c>
      <c r="AC23" s="1710" t="str">
        <f t="shared" si="4"/>
        <v/>
      </c>
      <c r="AD23" s="1705" t="str">
        <f t="shared" ca="1" si="44"/>
        <v/>
      </c>
      <c r="AE23" s="1709" t="str">
        <f t="shared" ca="1" si="45"/>
        <v/>
      </c>
      <c r="AF23" s="1710" t="str">
        <f t="shared" ca="1" si="46"/>
        <v/>
      </c>
      <c r="AG23" s="1705" t="str">
        <f t="shared" ca="1" si="47"/>
        <v/>
      </c>
      <c r="AH23" s="1709" t="str">
        <f t="shared" ca="1" si="48"/>
        <v/>
      </c>
      <c r="AI23" s="1705" t="str">
        <f t="shared" ca="1" si="49"/>
        <v/>
      </c>
      <c r="AJ23" s="1709" t="str">
        <f t="shared" ca="1" si="50"/>
        <v/>
      </c>
      <c r="AK23" s="1747" t="str">
        <f t="shared" si="53"/>
        <v/>
      </c>
      <c r="AL23" s="1748" t="str">
        <f t="shared" si="5"/>
        <v/>
      </c>
      <c r="AM23" s="1749" t="str">
        <f t="shared" si="54"/>
        <v/>
      </c>
      <c r="AN23" s="1710" t="str">
        <f t="shared" si="55"/>
        <v/>
      </c>
      <c r="AO23" s="1750" t="str">
        <f t="shared" si="56"/>
        <v/>
      </c>
      <c r="AP23" s="1712" t="str">
        <f t="shared" si="6"/>
        <v/>
      </c>
      <c r="AQ23" s="1751" t="str">
        <f t="shared" si="7"/>
        <v/>
      </c>
      <c r="AR23" s="1708" t="str">
        <f t="shared" si="21"/>
        <v/>
      </c>
      <c r="AS23" s="1709" t="str">
        <f t="shared" si="22"/>
        <v/>
      </c>
      <c r="AT23" s="1752" t="str">
        <f t="shared" si="23"/>
        <v/>
      </c>
      <c r="AU23" s="1753" t="str">
        <f t="shared" si="8"/>
        <v/>
      </c>
      <c r="AV23" s="1714" t="str">
        <f t="shared" si="24"/>
        <v/>
      </c>
      <c r="AW23" s="1709" t="str">
        <f t="shared" si="25"/>
        <v/>
      </c>
      <c r="AX23" s="1752" t="str">
        <f t="shared" si="26"/>
        <v/>
      </c>
      <c r="AY23" s="1753" t="str">
        <f t="shared" si="9"/>
        <v/>
      </c>
      <c r="AZ23" s="1714" t="str">
        <f t="shared" si="27"/>
        <v/>
      </c>
      <c r="BA23" s="1709" t="str">
        <f t="shared" si="28"/>
        <v/>
      </c>
      <c r="BB23" s="1752" t="str">
        <f t="shared" si="29"/>
        <v/>
      </c>
      <c r="BC23" s="1753" t="str">
        <f t="shared" si="10"/>
        <v/>
      </c>
      <c r="BD23" s="1714" t="str">
        <f t="shared" si="30"/>
        <v/>
      </c>
      <c r="BE23" s="1709" t="str">
        <f t="shared" si="31"/>
        <v/>
      </c>
      <c r="BF23" s="1752" t="str">
        <f t="shared" si="57"/>
        <v/>
      </c>
      <c r="BG23" s="1753" t="str">
        <f t="shared" si="11"/>
        <v/>
      </c>
      <c r="BH23" s="261"/>
      <c r="BJ23" s="143"/>
      <c r="BW23" s="991">
        <f t="shared" ca="1" si="33"/>
        <v>0</v>
      </c>
      <c r="BX23" s="991" t="str">
        <f t="shared" ca="1" si="40"/>
        <v/>
      </c>
      <c r="BY23" s="991" t="b">
        <f t="shared" ca="1" si="34"/>
        <v>0</v>
      </c>
      <c r="BZ23" s="1303" t="b">
        <f t="shared" si="41"/>
        <v>0</v>
      </c>
      <c r="CB23" s="2050"/>
      <c r="CC23" s="2051"/>
      <c r="CD23" s="2051"/>
      <c r="CE23" s="2051"/>
      <c r="CF23" s="2051"/>
      <c r="CG23" s="2051"/>
      <c r="CH23" s="2051"/>
      <c r="CI23" s="2051"/>
      <c r="CJ23" s="2051"/>
      <c r="CK23" s="2051"/>
      <c r="CL23" s="2051"/>
      <c r="CM23" s="2051"/>
      <c r="CN23" s="2051"/>
      <c r="CO23" s="2051"/>
      <c r="CP23" s="2051"/>
      <c r="CQ23" s="2051"/>
      <c r="CR23" s="2051"/>
      <c r="CS23" s="2051"/>
      <c r="CT23" s="2051"/>
      <c r="CU23" s="2051"/>
      <c r="CV23" s="2051"/>
      <c r="CW23" s="2051"/>
      <c r="CX23" s="2051"/>
      <c r="CY23" s="2051"/>
      <c r="CZ23" s="1947"/>
      <c r="DA23" s="1947"/>
      <c r="DB23" s="1947"/>
      <c r="DC23" s="1947"/>
      <c r="DD23" s="1947"/>
      <c r="DE23" s="1948"/>
      <c r="DF23" s="141"/>
      <c r="DG23" s="141"/>
      <c r="DH23" s="672"/>
      <c r="DI23" s="673"/>
      <c r="DJ23" s="692"/>
      <c r="DK23" s="1331"/>
      <c r="DL23" s="674"/>
      <c r="DM23" s="693"/>
      <c r="DN23" s="1334"/>
      <c r="DO23" s="675"/>
      <c r="DP23" s="676"/>
      <c r="DQ23" s="1419"/>
      <c r="DR23" s="677"/>
      <c r="DS23" s="1611"/>
      <c r="DT23" s="1606"/>
      <c r="DU23" s="1607"/>
      <c r="DV23" s="678"/>
      <c r="DW23" s="1336"/>
      <c r="DX23" s="679"/>
      <c r="DY23" s="674"/>
      <c r="DZ23" s="678"/>
      <c r="EA23" s="1336"/>
      <c r="EB23" s="679"/>
      <c r="EC23" s="674"/>
      <c r="ED23" s="678"/>
      <c r="EE23" s="1336"/>
      <c r="EF23" s="679"/>
      <c r="EG23" s="674"/>
      <c r="EH23" s="678"/>
      <c r="EI23" s="1336"/>
      <c r="EJ23" s="679"/>
      <c r="EK23" s="680"/>
      <c r="EL23" s="141"/>
      <c r="EM23" s="1004"/>
      <c r="EN23" s="930"/>
      <c r="EO23" s="931"/>
      <c r="EP23" s="141"/>
      <c r="EQ23" s="141"/>
      <c r="ER23" s="141"/>
      <c r="ES23" s="141"/>
      <c r="ET23" s="141"/>
      <c r="EU23" s="141"/>
      <c r="EX23" s="503" t="str">
        <f t="shared" ca="1" si="35"/>
        <v/>
      </c>
      <c r="EY23" s="940" t="str">
        <f t="shared" si="12"/>
        <v/>
      </c>
      <c r="EZ23" s="940" t="str">
        <f t="shared" si="36"/>
        <v/>
      </c>
      <c r="FA23" s="958" t="str">
        <f t="shared" ca="1" si="42"/>
        <v/>
      </c>
      <c r="FB23" s="134" t="str">
        <f t="shared" ca="1" si="37"/>
        <v/>
      </c>
      <c r="FC23" s="134">
        <f t="shared" ca="1" si="13"/>
        <v>0</v>
      </c>
      <c r="FD23" s="134">
        <f t="shared" ca="1" si="14"/>
        <v>0</v>
      </c>
      <c r="FE23" s="134">
        <f t="shared" ca="1" si="15"/>
        <v>0</v>
      </c>
      <c r="FF23" s="134">
        <f t="shared" ca="1" si="38"/>
        <v>0</v>
      </c>
      <c r="FN23" s="754"/>
      <c r="FO23" s="754"/>
      <c r="FP23" s="754" t="b">
        <v>0</v>
      </c>
      <c r="FQ23" s="754" t="b">
        <f t="shared" si="39"/>
        <v>1</v>
      </c>
      <c r="FX23" s="197"/>
      <c r="FZ23" s="2"/>
      <c r="GA23" s="141"/>
      <c r="GB23" s="141"/>
      <c r="GC23" s="141"/>
      <c r="GD23" s="141"/>
      <c r="GE23" s="141"/>
      <c r="GF23" s="141"/>
      <c r="GG23" s="141"/>
      <c r="GH23" s="141"/>
      <c r="GI23" s="141"/>
      <c r="GJ23" s="141"/>
      <c r="GK23" s="2"/>
      <c r="ID23" s="781"/>
      <c r="IE23" s="1241"/>
      <c r="IF23" s="1242"/>
      <c r="IG23" s="1243"/>
      <c r="IH23" s="1244"/>
      <c r="II23" s="1242"/>
      <c r="IJ23" s="1243"/>
      <c r="IK23" s="1244"/>
      <c r="IL23" s="1242"/>
      <c r="IM23" s="1242"/>
      <c r="IN23" s="1242"/>
      <c r="IO23" s="1242"/>
      <c r="IP23" s="1242"/>
      <c r="IQ23" s="1242"/>
      <c r="IR23" s="1242"/>
      <c r="IS23" s="1243"/>
      <c r="IT23" s="1244"/>
      <c r="IU23" s="1242"/>
      <c r="IV23" s="1242"/>
      <c r="IW23" s="1243"/>
      <c r="IX23" s="1244"/>
      <c r="IY23" s="1242"/>
      <c r="IZ23" s="1242"/>
      <c r="JA23" s="1243"/>
      <c r="JB23" s="1244"/>
      <c r="JC23" s="1242"/>
      <c r="JD23" s="1242"/>
      <c r="JE23" s="1243"/>
      <c r="JF23" s="1244"/>
      <c r="JG23" s="1242"/>
      <c r="JH23" s="1242"/>
      <c r="JI23" s="1242"/>
      <c r="JJ23" s="1245"/>
      <c r="JK23" s="1242"/>
      <c r="JL23" s="1171">
        <f t="shared" ca="1" si="43"/>
        <v>0</v>
      </c>
    </row>
    <row r="24" spans="1:274" ht="12.6" customHeight="1" thickTop="1" thickBot="1" x14ac:dyDescent="0.25">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093"/>
      <c r="W24" s="1094" t="s">
        <v>61</v>
      </c>
      <c r="X24" s="2103">
        <f>B48+B49</f>
        <v>0</v>
      </c>
      <c r="Y24" s="2103"/>
      <c r="Z24" s="1093"/>
      <c r="AA24" s="1093"/>
      <c r="AB24" s="1448" t="str">
        <f t="shared" ref="AB24:AB45" si="61">IF(ISBLANK(DH24),"",DH24)</f>
        <v/>
      </c>
      <c r="AC24" s="1710" t="str">
        <f t="shared" si="4"/>
        <v/>
      </c>
      <c r="AD24" s="1705" t="str">
        <f t="shared" ca="1" si="44"/>
        <v/>
      </c>
      <c r="AE24" s="1709" t="str">
        <f t="shared" ca="1" si="45"/>
        <v/>
      </c>
      <c r="AF24" s="1710" t="str">
        <f t="shared" ca="1" si="46"/>
        <v/>
      </c>
      <c r="AG24" s="1705" t="str">
        <f t="shared" ca="1" si="47"/>
        <v/>
      </c>
      <c r="AH24" s="1709" t="str">
        <f t="shared" ca="1" si="48"/>
        <v/>
      </c>
      <c r="AI24" s="1705" t="str">
        <f t="shared" ca="1" si="49"/>
        <v/>
      </c>
      <c r="AJ24" s="1709" t="str">
        <f t="shared" ca="1" si="50"/>
        <v/>
      </c>
      <c r="AK24" s="1747" t="str">
        <f t="shared" si="53"/>
        <v/>
      </c>
      <c r="AL24" s="1748" t="str">
        <f t="shared" si="5"/>
        <v/>
      </c>
      <c r="AM24" s="1749" t="str">
        <f t="shared" si="54"/>
        <v/>
      </c>
      <c r="AN24" s="1710" t="str">
        <f t="shared" si="55"/>
        <v/>
      </c>
      <c r="AO24" s="1750" t="str">
        <f t="shared" si="56"/>
        <v/>
      </c>
      <c r="AP24" s="1712" t="str">
        <f t="shared" si="6"/>
        <v/>
      </c>
      <c r="AQ24" s="1751" t="str">
        <f t="shared" si="7"/>
        <v/>
      </c>
      <c r="AR24" s="1708" t="str">
        <f t="shared" si="21"/>
        <v/>
      </c>
      <c r="AS24" s="1709" t="str">
        <f t="shared" si="22"/>
        <v/>
      </c>
      <c r="AT24" s="1752" t="str">
        <f t="shared" si="23"/>
        <v/>
      </c>
      <c r="AU24" s="1753" t="str">
        <f t="shared" si="8"/>
        <v/>
      </c>
      <c r="AV24" s="1714" t="str">
        <f t="shared" si="24"/>
        <v/>
      </c>
      <c r="AW24" s="1709" t="str">
        <f t="shared" si="25"/>
        <v/>
      </c>
      <c r="AX24" s="1752" t="str">
        <f t="shared" si="26"/>
        <v/>
      </c>
      <c r="AY24" s="1753" t="str">
        <f t="shared" si="9"/>
        <v/>
      </c>
      <c r="AZ24" s="1714" t="str">
        <f t="shared" si="27"/>
        <v/>
      </c>
      <c r="BA24" s="1709" t="str">
        <f t="shared" si="28"/>
        <v/>
      </c>
      <c r="BB24" s="1752" t="str">
        <f t="shared" si="29"/>
        <v/>
      </c>
      <c r="BC24" s="1753" t="str">
        <f t="shared" si="10"/>
        <v/>
      </c>
      <c r="BD24" s="1714" t="str">
        <f t="shared" si="30"/>
        <v/>
      </c>
      <c r="BE24" s="1709" t="str">
        <f t="shared" si="31"/>
        <v/>
      </c>
      <c r="BF24" s="1752" t="str">
        <f t="shared" si="57"/>
        <v/>
      </c>
      <c r="BG24" s="1753" t="str">
        <f t="shared" si="11"/>
        <v/>
      </c>
      <c r="BH24" s="261"/>
      <c r="BJ24" s="143"/>
      <c r="BW24" s="991">
        <f t="shared" ca="1" si="33"/>
        <v>0</v>
      </c>
      <c r="BX24" s="991" t="str">
        <f t="shared" ca="1" si="40"/>
        <v/>
      </c>
      <c r="BY24" s="991" t="b">
        <f t="shared" ca="1" si="34"/>
        <v>0</v>
      </c>
      <c r="BZ24" s="1303" t="b">
        <f t="shared" si="41"/>
        <v>0</v>
      </c>
      <c r="CB24" s="1949"/>
      <c r="CC24" s="1947"/>
      <c r="CD24" s="1947"/>
      <c r="CE24" s="1947"/>
      <c r="CF24" s="1948"/>
      <c r="CG24" s="1941" t="s">
        <v>469</v>
      </c>
      <c r="CH24" s="1942"/>
      <c r="CI24" s="1942"/>
      <c r="CJ24" s="1942"/>
      <c r="CK24" s="1942"/>
      <c r="CL24" s="1942"/>
      <c r="CM24" s="1942"/>
      <c r="CN24" s="1943"/>
      <c r="CO24" s="1943"/>
      <c r="CP24" s="1944"/>
      <c r="CQ24" s="1941" t="s">
        <v>470</v>
      </c>
      <c r="CR24" s="1942"/>
      <c r="CS24" s="1942"/>
      <c r="CT24" s="1942"/>
      <c r="CU24" s="1942"/>
      <c r="CV24" s="1942"/>
      <c r="CW24" s="1942"/>
      <c r="CX24" s="1943"/>
      <c r="CY24" s="1943"/>
      <c r="CZ24" s="1944"/>
      <c r="DA24" s="1576"/>
      <c r="DB24" s="1967"/>
      <c r="DC24" s="1968"/>
      <c r="DD24" s="1968"/>
      <c r="DE24" s="1969"/>
      <c r="DF24" s="141"/>
      <c r="DG24" s="141"/>
      <c r="DH24" s="672"/>
      <c r="DI24" s="673"/>
      <c r="DJ24" s="692"/>
      <c r="DK24" s="1331"/>
      <c r="DL24" s="674"/>
      <c r="DM24" s="693"/>
      <c r="DN24" s="1334"/>
      <c r="DO24" s="675"/>
      <c r="DP24" s="676"/>
      <c r="DQ24" s="1419"/>
      <c r="DR24" s="677"/>
      <c r="DS24" s="1611"/>
      <c r="DT24" s="1606"/>
      <c r="DU24" s="1607"/>
      <c r="DV24" s="678"/>
      <c r="DW24" s="1336"/>
      <c r="DX24" s="679"/>
      <c r="DY24" s="674"/>
      <c r="DZ24" s="678"/>
      <c r="EA24" s="1336"/>
      <c r="EB24" s="679"/>
      <c r="EC24" s="674"/>
      <c r="ED24" s="678"/>
      <c r="EE24" s="1336"/>
      <c r="EF24" s="679"/>
      <c r="EG24" s="674"/>
      <c r="EH24" s="678"/>
      <c r="EI24" s="1336"/>
      <c r="EJ24" s="679"/>
      <c r="EK24" s="680"/>
      <c r="EL24" s="141"/>
      <c r="EM24" s="1004"/>
      <c r="EN24" s="930"/>
      <c r="EO24" s="931"/>
      <c r="EP24" s="141"/>
      <c r="EQ24" s="141"/>
      <c r="ER24" s="141"/>
      <c r="ES24" s="141"/>
      <c r="ET24" s="2120" t="s">
        <v>615</v>
      </c>
      <c r="EU24" s="2121"/>
      <c r="EX24" s="503" t="str">
        <f t="shared" ca="1" si="35"/>
        <v/>
      </c>
      <c r="EY24" s="940" t="str">
        <f t="shared" si="12"/>
        <v/>
      </c>
      <c r="EZ24" s="940" t="str">
        <f t="shared" si="36"/>
        <v/>
      </c>
      <c r="FA24" s="958" t="str">
        <f t="shared" ca="1" si="42"/>
        <v/>
      </c>
      <c r="FB24" s="134" t="str">
        <f t="shared" ca="1" si="37"/>
        <v/>
      </c>
      <c r="FC24" s="134">
        <f t="shared" ca="1" si="13"/>
        <v>0</v>
      </c>
      <c r="FD24" s="134">
        <f t="shared" ca="1" si="14"/>
        <v>0</v>
      </c>
      <c r="FE24" s="134">
        <f t="shared" ca="1" si="15"/>
        <v>0</v>
      </c>
      <c r="FF24" s="134">
        <f t="shared" ca="1" si="38"/>
        <v>0</v>
      </c>
      <c r="FN24" s="754"/>
      <c r="FO24" s="754"/>
      <c r="FP24" s="754" t="b">
        <v>0</v>
      </c>
      <c r="FQ24" s="754" t="b">
        <f t="shared" si="39"/>
        <v>1</v>
      </c>
      <c r="FX24" s="197"/>
      <c r="FZ24" s="2"/>
      <c r="GA24" s="141"/>
      <c r="GB24" s="141"/>
      <c r="GC24" s="141"/>
      <c r="GD24" s="141"/>
      <c r="GE24" s="141"/>
      <c r="GF24" s="141"/>
      <c r="GG24" s="141"/>
      <c r="GH24" s="141"/>
      <c r="GI24" s="141"/>
      <c r="GJ24" s="141"/>
      <c r="GK24" s="2"/>
      <c r="ID24" s="781"/>
      <c r="IE24" s="1241"/>
      <c r="IF24" s="1242"/>
      <c r="IG24" s="1243"/>
      <c r="IH24" s="1244"/>
      <c r="II24" s="1242"/>
      <c r="IJ24" s="1243"/>
      <c r="IK24" s="1244"/>
      <c r="IL24" s="1242"/>
      <c r="IM24" s="1242"/>
      <c r="IN24" s="1242"/>
      <c r="IO24" s="1242"/>
      <c r="IP24" s="1242"/>
      <c r="IQ24" s="1242"/>
      <c r="IR24" s="1242"/>
      <c r="IS24" s="1243"/>
      <c r="IT24" s="1244"/>
      <c r="IU24" s="1242"/>
      <c r="IV24" s="1242"/>
      <c r="IW24" s="1243"/>
      <c r="IX24" s="1244"/>
      <c r="IY24" s="1242"/>
      <c r="IZ24" s="1242"/>
      <c r="JA24" s="1243"/>
      <c r="JB24" s="1244"/>
      <c r="JC24" s="1242"/>
      <c r="JD24" s="1242"/>
      <c r="JE24" s="1243"/>
      <c r="JF24" s="1244"/>
      <c r="JG24" s="1242"/>
      <c r="JH24" s="1242"/>
      <c r="JI24" s="1242"/>
      <c r="JJ24" s="1245"/>
      <c r="JK24" s="1242"/>
      <c r="JL24" s="1171">
        <f t="shared" ca="1" si="43"/>
        <v>0</v>
      </c>
    </row>
    <row r="25" spans="1:274" ht="12.6" customHeight="1" thickTop="1" thickBot="1" x14ac:dyDescent="0.25">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093"/>
      <c r="W25" s="1093"/>
      <c r="X25" s="1093"/>
      <c r="Y25" s="1093"/>
      <c r="Z25" s="1093"/>
      <c r="AA25" s="1417"/>
      <c r="AB25" s="1448" t="str">
        <f t="shared" si="61"/>
        <v/>
      </c>
      <c r="AC25" s="1710" t="str">
        <f t="shared" si="4"/>
        <v/>
      </c>
      <c r="AD25" s="1705" t="str">
        <f t="shared" ca="1" si="44"/>
        <v/>
      </c>
      <c r="AE25" s="1709" t="str">
        <f t="shared" ca="1" si="45"/>
        <v/>
      </c>
      <c r="AF25" s="1710" t="str">
        <f t="shared" ca="1" si="46"/>
        <v/>
      </c>
      <c r="AG25" s="1705" t="str">
        <f t="shared" ca="1" si="47"/>
        <v/>
      </c>
      <c r="AH25" s="1709" t="str">
        <f t="shared" ca="1" si="48"/>
        <v/>
      </c>
      <c r="AI25" s="1705" t="str">
        <f t="shared" ca="1" si="49"/>
        <v/>
      </c>
      <c r="AJ25" s="1709" t="str">
        <f t="shared" ca="1" si="50"/>
        <v/>
      </c>
      <c r="AK25" s="1747" t="str">
        <f t="shared" si="53"/>
        <v/>
      </c>
      <c r="AL25" s="1748" t="str">
        <f t="shared" si="5"/>
        <v/>
      </c>
      <c r="AM25" s="1749" t="str">
        <f t="shared" si="54"/>
        <v/>
      </c>
      <c r="AN25" s="1710" t="str">
        <f t="shared" si="55"/>
        <v/>
      </c>
      <c r="AO25" s="1750" t="str">
        <f t="shared" si="56"/>
        <v/>
      </c>
      <c r="AP25" s="1712" t="str">
        <f t="shared" si="6"/>
        <v/>
      </c>
      <c r="AQ25" s="1751" t="str">
        <f t="shared" si="7"/>
        <v/>
      </c>
      <c r="AR25" s="1708" t="str">
        <f t="shared" si="21"/>
        <v/>
      </c>
      <c r="AS25" s="1709" t="str">
        <f t="shared" si="22"/>
        <v/>
      </c>
      <c r="AT25" s="1752" t="str">
        <f t="shared" si="23"/>
        <v/>
      </c>
      <c r="AU25" s="1753" t="str">
        <f t="shared" si="8"/>
        <v/>
      </c>
      <c r="AV25" s="1714" t="str">
        <f t="shared" si="24"/>
        <v/>
      </c>
      <c r="AW25" s="1709" t="str">
        <f t="shared" si="25"/>
        <v/>
      </c>
      <c r="AX25" s="1752" t="str">
        <f t="shared" si="26"/>
        <v/>
      </c>
      <c r="AY25" s="1753" t="str">
        <f t="shared" si="9"/>
        <v/>
      </c>
      <c r="AZ25" s="1714" t="str">
        <f t="shared" si="27"/>
        <v/>
      </c>
      <c r="BA25" s="1709" t="str">
        <f t="shared" si="28"/>
        <v/>
      </c>
      <c r="BB25" s="1752" t="str">
        <f t="shared" si="29"/>
        <v/>
      </c>
      <c r="BC25" s="1753" t="str">
        <f t="shared" si="10"/>
        <v/>
      </c>
      <c r="BD25" s="1714" t="str">
        <f t="shared" si="30"/>
        <v/>
      </c>
      <c r="BE25" s="1709" t="str">
        <f t="shared" si="31"/>
        <v/>
      </c>
      <c r="BF25" s="1752" t="str">
        <f t="shared" si="57"/>
        <v/>
      </c>
      <c r="BG25" s="1753" t="str">
        <f t="shared" si="11"/>
        <v/>
      </c>
      <c r="BH25" s="261"/>
      <c r="BJ25" s="143"/>
      <c r="BW25" s="991">
        <f t="shared" ca="1" si="33"/>
        <v>0</v>
      </c>
      <c r="BX25" s="991" t="str">
        <f t="shared" ca="1" si="40"/>
        <v/>
      </c>
      <c r="BY25" s="991" t="b">
        <f t="shared" ca="1" si="34"/>
        <v>0</v>
      </c>
      <c r="BZ25" s="1303" t="b">
        <f t="shared" si="41"/>
        <v>0</v>
      </c>
      <c r="CB25" s="1950"/>
      <c r="CC25" s="1951"/>
      <c r="CD25" s="1951"/>
      <c r="CE25" s="1951"/>
      <c r="CF25" s="1952"/>
      <c r="CG25" s="1945"/>
      <c r="CH25" s="1946"/>
      <c r="CI25" s="1946"/>
      <c r="CJ25" s="1946"/>
      <c r="CK25" s="1946"/>
      <c r="CL25" s="1946"/>
      <c r="CM25" s="1946"/>
      <c r="CN25" s="1947"/>
      <c r="CO25" s="1947"/>
      <c r="CP25" s="1948"/>
      <c r="CQ25" s="1959"/>
      <c r="CR25" s="1960"/>
      <c r="CS25" s="1960"/>
      <c r="CT25" s="1960"/>
      <c r="CU25" s="1960"/>
      <c r="CV25" s="1960"/>
      <c r="CW25" s="1960"/>
      <c r="CX25" s="1961"/>
      <c r="CY25" s="1961"/>
      <c r="CZ25" s="1962"/>
      <c r="DA25" s="1576"/>
      <c r="DB25" s="1963"/>
      <c r="DC25" s="1944"/>
      <c r="DD25" s="1965"/>
      <c r="DE25" s="1966"/>
      <c r="DF25" s="141"/>
      <c r="DG25" s="141"/>
      <c r="DH25" s="672"/>
      <c r="DI25" s="673"/>
      <c r="DJ25" s="692"/>
      <c r="DK25" s="1331"/>
      <c r="DL25" s="674"/>
      <c r="DM25" s="693"/>
      <c r="DN25" s="1334"/>
      <c r="DO25" s="675"/>
      <c r="DP25" s="676"/>
      <c r="DQ25" s="1419"/>
      <c r="DR25" s="677"/>
      <c r="DS25" s="1611"/>
      <c r="DT25" s="1606"/>
      <c r="DU25" s="1607"/>
      <c r="DV25" s="678"/>
      <c r="DW25" s="1336"/>
      <c r="DX25" s="679"/>
      <c r="DY25" s="674"/>
      <c r="DZ25" s="678"/>
      <c r="EA25" s="1336"/>
      <c r="EB25" s="679"/>
      <c r="EC25" s="674"/>
      <c r="ED25" s="678"/>
      <c r="EE25" s="1336"/>
      <c r="EF25" s="679"/>
      <c r="EG25" s="674"/>
      <c r="EH25" s="678"/>
      <c r="EI25" s="1336"/>
      <c r="EJ25" s="679"/>
      <c r="EK25" s="680"/>
      <c r="EL25" s="141"/>
      <c r="EM25" s="1004"/>
      <c r="EN25" s="930"/>
      <c r="EO25" s="931"/>
      <c r="EP25" s="141"/>
      <c r="EQ25" s="141"/>
      <c r="ER25" s="141"/>
      <c r="ES25" s="141"/>
      <c r="ET25" s="2122"/>
      <c r="EU25" s="2123"/>
      <c r="EX25" s="503" t="str">
        <f t="shared" ca="1" si="35"/>
        <v/>
      </c>
      <c r="EY25" s="940" t="str">
        <f t="shared" si="12"/>
        <v/>
      </c>
      <c r="EZ25" s="940" t="str">
        <f t="shared" si="36"/>
        <v/>
      </c>
      <c r="FA25" s="958" t="str">
        <f t="shared" ca="1" si="42"/>
        <v/>
      </c>
      <c r="FB25" s="134" t="str">
        <f t="shared" ca="1" si="37"/>
        <v/>
      </c>
      <c r="FC25" s="134">
        <f t="shared" ca="1" si="13"/>
        <v>0</v>
      </c>
      <c r="FD25" s="134">
        <f t="shared" ca="1" si="14"/>
        <v>0</v>
      </c>
      <c r="FE25" s="134">
        <f t="shared" ca="1" si="15"/>
        <v>0</v>
      </c>
      <c r="FF25" s="134">
        <f t="shared" ca="1" si="38"/>
        <v>0</v>
      </c>
      <c r="FN25" s="754"/>
      <c r="FO25" s="754"/>
      <c r="FP25" s="754" t="b">
        <v>0</v>
      </c>
      <c r="FQ25" s="754" t="b">
        <f t="shared" si="39"/>
        <v>1</v>
      </c>
      <c r="FX25" s="197"/>
      <c r="FZ25" s="2"/>
      <c r="GA25" s="2261" t="s">
        <v>1140</v>
      </c>
      <c r="GB25" s="2261"/>
      <c r="GC25" s="2261"/>
      <c r="GD25" s="2261"/>
      <c r="GE25" s="2261"/>
      <c r="GF25" s="2261"/>
      <c r="GG25" s="1947"/>
      <c r="GH25" s="1947"/>
      <c r="GI25" s="1947"/>
      <c r="GJ25" s="1947"/>
      <c r="GK25" s="2"/>
      <c r="ID25" s="781"/>
      <c r="IE25" s="1241"/>
      <c r="IF25" s="1242"/>
      <c r="IG25" s="1243"/>
      <c r="IH25" s="1244"/>
      <c r="II25" s="1242"/>
      <c r="IJ25" s="1243"/>
      <c r="IK25" s="1244"/>
      <c r="IL25" s="1242"/>
      <c r="IM25" s="1242"/>
      <c r="IN25" s="1242"/>
      <c r="IO25" s="1242"/>
      <c r="IP25" s="1242"/>
      <c r="IQ25" s="1242"/>
      <c r="IR25" s="1242"/>
      <c r="IS25" s="1243"/>
      <c r="IT25" s="1244"/>
      <c r="IU25" s="1242"/>
      <c r="IV25" s="1242"/>
      <c r="IW25" s="1243"/>
      <c r="IX25" s="1244"/>
      <c r="IY25" s="1242"/>
      <c r="IZ25" s="1242"/>
      <c r="JA25" s="1243"/>
      <c r="JB25" s="1244"/>
      <c r="JC25" s="1242"/>
      <c r="JD25" s="1242"/>
      <c r="JE25" s="1243"/>
      <c r="JF25" s="1244"/>
      <c r="JG25" s="1242"/>
      <c r="JH25" s="1242"/>
      <c r="JI25" s="1242"/>
      <c r="JJ25" s="1245"/>
      <c r="JK25" s="1242"/>
      <c r="JL25" s="1171">
        <f t="shared" ca="1" si="43"/>
        <v>0</v>
      </c>
    </row>
    <row r="26" spans="1:274" ht="12.6" customHeight="1" thickTop="1" thickBot="1" x14ac:dyDescent="0.25">
      <c r="A26" s="2084" t="s">
        <v>40</v>
      </c>
      <c r="B26" s="2085" t="s">
        <v>130</v>
      </c>
      <c r="C26" s="2085" t="s">
        <v>31</v>
      </c>
      <c r="D26" s="2085" t="s">
        <v>25</v>
      </c>
      <c r="E26" s="2089"/>
      <c r="F26" s="2095" t="s">
        <v>88</v>
      </c>
      <c r="G26" s="1985" t="s">
        <v>9</v>
      </c>
      <c r="H26" s="2093"/>
      <c r="I26" s="2093"/>
      <c r="J26" s="2093" t="s">
        <v>10</v>
      </c>
      <c r="K26" s="2093"/>
      <c r="L26" s="1983"/>
      <c r="M26" s="2087" t="s">
        <v>11</v>
      </c>
      <c r="N26" s="2088"/>
      <c r="O26" s="2090" t="s">
        <v>12</v>
      </c>
      <c r="P26" s="2091"/>
      <c r="Q26" s="2091" t="s">
        <v>13</v>
      </c>
      <c r="R26" s="2102"/>
      <c r="S26" s="2092" t="s">
        <v>14</v>
      </c>
      <c r="T26" s="2093"/>
      <c r="U26" s="2093"/>
      <c r="V26" s="2093"/>
      <c r="W26" s="2094"/>
      <c r="X26" s="1985" t="s">
        <v>111</v>
      </c>
      <c r="Y26" s="1983"/>
      <c r="Z26" s="1116" t="s">
        <v>15</v>
      </c>
      <c r="AA26" s="2132" t="s">
        <v>939</v>
      </c>
      <c r="AB26" s="1448" t="str">
        <f t="shared" si="61"/>
        <v/>
      </c>
      <c r="AC26" s="1710" t="str">
        <f t="shared" si="4"/>
        <v/>
      </c>
      <c r="AD26" s="1705" t="str">
        <f t="shared" ca="1" si="44"/>
        <v/>
      </c>
      <c r="AE26" s="1709" t="str">
        <f t="shared" ca="1" si="45"/>
        <v/>
      </c>
      <c r="AF26" s="1710" t="str">
        <f t="shared" ca="1" si="46"/>
        <v/>
      </c>
      <c r="AG26" s="1705" t="str">
        <f t="shared" ca="1" si="47"/>
        <v/>
      </c>
      <c r="AH26" s="1709" t="str">
        <f t="shared" ca="1" si="48"/>
        <v/>
      </c>
      <c r="AI26" s="1705" t="str">
        <f t="shared" ca="1" si="49"/>
        <v/>
      </c>
      <c r="AJ26" s="1709" t="str">
        <f t="shared" ca="1" si="50"/>
        <v/>
      </c>
      <c r="AK26" s="1747" t="str">
        <f t="shared" si="53"/>
        <v/>
      </c>
      <c r="AL26" s="1748" t="str">
        <f t="shared" si="5"/>
        <v/>
      </c>
      <c r="AM26" s="1749" t="str">
        <f t="shared" si="54"/>
        <v/>
      </c>
      <c r="AN26" s="1710" t="str">
        <f t="shared" si="55"/>
        <v/>
      </c>
      <c r="AO26" s="1750" t="str">
        <f t="shared" si="56"/>
        <v/>
      </c>
      <c r="AP26" s="1712" t="str">
        <f t="shared" si="6"/>
        <v/>
      </c>
      <c r="AQ26" s="1751" t="str">
        <f t="shared" si="7"/>
        <v/>
      </c>
      <c r="AR26" s="1708" t="str">
        <f t="shared" si="21"/>
        <v/>
      </c>
      <c r="AS26" s="1709" t="str">
        <f t="shared" si="22"/>
        <v/>
      </c>
      <c r="AT26" s="1752" t="str">
        <f t="shared" si="23"/>
        <v/>
      </c>
      <c r="AU26" s="1753" t="str">
        <f t="shared" si="8"/>
        <v/>
      </c>
      <c r="AV26" s="1714" t="str">
        <f t="shared" si="24"/>
        <v/>
      </c>
      <c r="AW26" s="1709" t="str">
        <f t="shared" si="25"/>
        <v/>
      </c>
      <c r="AX26" s="1752" t="str">
        <f t="shared" si="26"/>
        <v/>
      </c>
      <c r="AY26" s="1753" t="str">
        <f t="shared" si="9"/>
        <v/>
      </c>
      <c r="AZ26" s="1714" t="str">
        <f t="shared" si="27"/>
        <v/>
      </c>
      <c r="BA26" s="1709" t="str">
        <f t="shared" si="28"/>
        <v/>
      </c>
      <c r="BB26" s="1752" t="str">
        <f t="shared" si="29"/>
        <v/>
      </c>
      <c r="BC26" s="1753" t="str">
        <f t="shared" si="10"/>
        <v/>
      </c>
      <c r="BD26" s="1714" t="str">
        <f t="shared" si="30"/>
        <v/>
      </c>
      <c r="BE26" s="1709" t="str">
        <f t="shared" si="31"/>
        <v/>
      </c>
      <c r="BF26" s="1752" t="str">
        <f t="shared" si="57"/>
        <v/>
      </c>
      <c r="BG26" s="1753" t="str">
        <f t="shared" si="11"/>
        <v/>
      </c>
      <c r="BH26" s="261"/>
      <c r="BJ26" s="143"/>
      <c r="BW26" s="991">
        <f t="shared" ca="1" si="33"/>
        <v>0</v>
      </c>
      <c r="BX26" s="991" t="str">
        <f t="shared" ca="1" si="40"/>
        <v/>
      </c>
      <c r="BY26" s="991" t="b">
        <f t="shared" ca="1" si="34"/>
        <v>0</v>
      </c>
      <c r="BZ26" s="1303" t="b">
        <f t="shared" si="41"/>
        <v>0</v>
      </c>
      <c r="CB26" s="2143" t="s">
        <v>613</v>
      </c>
      <c r="CC26" s="2074" t="s">
        <v>130</v>
      </c>
      <c r="CD26" s="2145" t="s">
        <v>478</v>
      </c>
      <c r="CE26" s="2068" t="s">
        <v>1291</v>
      </c>
      <c r="CF26" s="2069"/>
      <c r="CG26" s="2236" t="s">
        <v>1282</v>
      </c>
      <c r="CH26" s="2238" t="s">
        <v>595</v>
      </c>
      <c r="CI26" s="2239"/>
      <c r="CJ26" s="2238" t="s">
        <v>596</v>
      </c>
      <c r="CK26" s="2239"/>
      <c r="CL26" s="2254" t="s">
        <v>488</v>
      </c>
      <c r="CM26" s="2256" t="s">
        <v>790</v>
      </c>
      <c r="CN26" s="1953" t="s">
        <v>1276</v>
      </c>
      <c r="CO26" s="1954"/>
      <c r="CP26" s="1955"/>
      <c r="CQ26" s="2242" t="s">
        <v>1282</v>
      </c>
      <c r="CR26" s="2244" t="s">
        <v>595</v>
      </c>
      <c r="CS26" s="2245"/>
      <c r="CT26" s="2244" t="s">
        <v>596</v>
      </c>
      <c r="CU26" s="2245"/>
      <c r="CV26" s="2072" t="s">
        <v>488</v>
      </c>
      <c r="CW26" s="2252" t="s">
        <v>790</v>
      </c>
      <c r="CX26" s="1956" t="s">
        <v>1276</v>
      </c>
      <c r="CY26" s="1957"/>
      <c r="CZ26" s="1958"/>
      <c r="DA26" s="2234" t="s">
        <v>806</v>
      </c>
      <c r="DB26" s="1964"/>
      <c r="DC26" s="1948"/>
      <c r="DD26" s="2249" t="s">
        <v>1284</v>
      </c>
      <c r="DE26" s="2251" t="s">
        <v>1285</v>
      </c>
      <c r="DF26" s="141"/>
      <c r="DG26" s="141"/>
      <c r="DH26" s="672"/>
      <c r="DI26" s="673"/>
      <c r="DJ26" s="692"/>
      <c r="DK26" s="1331"/>
      <c r="DL26" s="674"/>
      <c r="DM26" s="693"/>
      <c r="DN26" s="1334"/>
      <c r="DO26" s="675"/>
      <c r="DP26" s="676"/>
      <c r="DQ26" s="1419"/>
      <c r="DR26" s="677"/>
      <c r="DS26" s="1611"/>
      <c r="DT26" s="1606"/>
      <c r="DU26" s="1607"/>
      <c r="DV26" s="678"/>
      <c r="DW26" s="1336"/>
      <c r="DX26" s="679"/>
      <c r="DY26" s="674"/>
      <c r="DZ26" s="678"/>
      <c r="EA26" s="1336"/>
      <c r="EB26" s="679"/>
      <c r="EC26" s="674"/>
      <c r="ED26" s="678"/>
      <c r="EE26" s="1336"/>
      <c r="EF26" s="679"/>
      <c r="EG26" s="674"/>
      <c r="EH26" s="678"/>
      <c r="EI26" s="1336"/>
      <c r="EJ26" s="679"/>
      <c r="EK26" s="680"/>
      <c r="EL26" s="141"/>
      <c r="EM26" s="2212" t="s">
        <v>613</v>
      </c>
      <c r="EN26" s="2259" t="s">
        <v>588</v>
      </c>
      <c r="EO26" s="2260"/>
      <c r="EP26" s="2260"/>
      <c r="EQ26" s="2212" t="s">
        <v>589</v>
      </c>
      <c r="ER26" s="2247" t="s">
        <v>1286</v>
      </c>
      <c r="ES26" s="2248"/>
      <c r="ET26" s="2124"/>
      <c r="EU26" s="2125"/>
      <c r="EX26" s="503" t="str">
        <f t="shared" ca="1" si="35"/>
        <v/>
      </c>
      <c r="EY26" s="940" t="str">
        <f t="shared" si="12"/>
        <v/>
      </c>
      <c r="EZ26" s="940" t="str">
        <f t="shared" si="36"/>
        <v/>
      </c>
      <c r="FA26" s="958" t="str">
        <f t="shared" ca="1" si="42"/>
        <v/>
      </c>
      <c r="FB26" s="134" t="str">
        <f t="shared" ca="1" si="37"/>
        <v/>
      </c>
      <c r="FC26" s="134">
        <f t="shared" ca="1" si="13"/>
        <v>0</v>
      </c>
      <c r="FD26" s="134">
        <f t="shared" ca="1" si="14"/>
        <v>0</v>
      </c>
      <c r="FE26" s="134">
        <f t="shared" ca="1" si="15"/>
        <v>0</v>
      </c>
      <c r="FF26" s="134">
        <f t="shared" ca="1" si="38"/>
        <v>0</v>
      </c>
      <c r="FN26" s="754"/>
      <c r="FO26" s="754"/>
      <c r="FP26" s="754" t="b">
        <v>0</v>
      </c>
      <c r="FQ26" s="754" t="b">
        <f t="shared" si="39"/>
        <v>1</v>
      </c>
      <c r="FX26" s="197"/>
      <c r="FZ26" s="2"/>
      <c r="GA26" s="2134" t="s">
        <v>708</v>
      </c>
      <c r="GB26" s="2135"/>
      <c r="GC26" s="2134" t="s">
        <v>558</v>
      </c>
      <c r="GD26" s="2135"/>
      <c r="GE26" s="2136" t="s">
        <v>711</v>
      </c>
      <c r="GF26" s="2138" t="s">
        <v>632</v>
      </c>
      <c r="GG26" s="2134" t="s">
        <v>1142</v>
      </c>
      <c r="GH26" s="2135"/>
      <c r="GI26" s="2134" t="s">
        <v>1141</v>
      </c>
      <c r="GJ26" s="2135"/>
      <c r="GK26" s="2139" t="s">
        <v>712</v>
      </c>
      <c r="GL26" s="2139" t="s">
        <v>713</v>
      </c>
      <c r="GM26" s="2139" t="s">
        <v>714</v>
      </c>
      <c r="GZ26" s="145"/>
      <c r="HA26" s="2191" t="s">
        <v>632</v>
      </c>
      <c r="HB26" s="2193" t="s">
        <v>1134</v>
      </c>
      <c r="HC26" s="2193" t="s">
        <v>1159</v>
      </c>
      <c r="HD26" s="2193" t="str">
        <f>IF($HA$1,"Bay Length","Overall Length")</f>
        <v>Overall Length</v>
      </c>
      <c r="HE26" s="2208"/>
      <c r="HF26" s="2193" t="str">
        <f>IF($HA$1,"L Sect #","TC Width")</f>
        <v>TC Width</v>
      </c>
      <c r="HG26" s="2201" t="str">
        <f>IF($HA$1,"L Min Sup Wid","TCXL Feet")</f>
        <v>TCXL Feet</v>
      </c>
      <c r="HH26" s="2201" t="str">
        <f>IF($HA$1,"L Max Sup Wid","TCXL Inch")</f>
        <v>TCXL Inch</v>
      </c>
      <c r="HI26" s="2201" t="str">
        <f>IF($HA$1,"L Min Flg Ga","TCXL Type")</f>
        <v>TCXL Type</v>
      </c>
      <c r="HJ26" s="2201" t="str">
        <f>IF($HA$1,"L Max Flg Ga","TCXR Feet")</f>
        <v>TCXR Feet</v>
      </c>
      <c r="HK26" s="2201" t="str">
        <f>IF($HA$1,"L Skew","TCXR Inch")</f>
        <v>TCXR Inch</v>
      </c>
      <c r="HL26" s="2201" t="str">
        <f>IF($HA$1,"L Brg Slp","TCXR Type")</f>
        <v>TCXR Type</v>
      </c>
      <c r="HM26" s="2193" t="str">
        <f>IF($HA$1,"R Sect #","BDL")</f>
        <v>BDL</v>
      </c>
      <c r="HN26" s="2201" t="str">
        <f>IF($HA$1,"R Min Sup Wid","BDR")</f>
        <v>BDR</v>
      </c>
      <c r="HO26" s="2201" t="str">
        <f>IF($HA$1,"R Max Sup Wid","BCXL Feet")</f>
        <v>BCXL Feet</v>
      </c>
      <c r="HP26" s="2201" t="str">
        <f>IF($HA$1,"R Min Flg Ga","BCXL Inch")</f>
        <v>BCXL Inch</v>
      </c>
      <c r="HQ26" s="2201" t="str">
        <f>IF($HA$1,"R Max Flg Ga","BCXR Feet")</f>
        <v>BCXR Feet</v>
      </c>
      <c r="HR26" s="2201" t="str">
        <f>IF($HA$1,"R Skew","BCXR Inch")</f>
        <v>BCXR Inch</v>
      </c>
      <c r="HS26" s="2201" t="str">
        <f>IF($HA$1,"R Brg Slp","HL Feet")</f>
        <v>HL Feet</v>
      </c>
      <c r="HT26" s="2201" t="str">
        <f>IF($HA$1,"TC Slope","HL Inch")</f>
        <v>HL Inch</v>
      </c>
      <c r="HU26" s="2201" t="str">
        <f>IF($HA$1,"Load Notes","HR Feet")</f>
        <v>HR Feet</v>
      </c>
      <c r="HV26" s="2201" t="str">
        <f>IF($HA$1,"Spcl Notes","HR Inch")</f>
        <v>HR Inch</v>
      </c>
      <c r="HW26" s="2201" t="str">
        <f>IF($HA$1,"# KB","Slot Ga")</f>
        <v>Slot Ga</v>
      </c>
      <c r="HX26" s="2201" t="str">
        <f>IF($HA$1,"TC Width","L Seat Slp")</f>
        <v>L Seat Slp</v>
      </c>
      <c r="HY26" s="2201" t="str">
        <f>IF($HA$1,"TCL Override","R Seat Slp")</f>
        <v>R Seat Slp</v>
      </c>
      <c r="HZ26" s="2201" t="str">
        <f>IF($HA$1,"TCR Override","Load Notes")</f>
        <v>Load Notes</v>
      </c>
      <c r="IA26" s="2201" t="str">
        <f>IF($HA$1,"L-BL Override","Spcl Notes")</f>
        <v>Spcl Notes</v>
      </c>
      <c r="IB26" s="2262" t="str">
        <f>IF($HA$1,"R-BL Override","# KB")</f>
        <v># KB</v>
      </c>
      <c r="IC26" s="2201" t="str">
        <f>IF($HA$1,"BDL Override","-")</f>
        <v>-</v>
      </c>
      <c r="ID26" s="2232" t="str">
        <f>IF($HA$1,"BDR Override","-")</f>
        <v>-</v>
      </c>
      <c r="IE26" s="1241"/>
      <c r="IF26" s="1242"/>
      <c r="IG26" s="1243"/>
      <c r="IH26" s="1244"/>
      <c r="II26" s="1242"/>
      <c r="IJ26" s="1243"/>
      <c r="IK26" s="1244"/>
      <c r="IL26" s="1242"/>
      <c r="IM26" s="1242"/>
      <c r="IN26" s="1242"/>
      <c r="IO26" s="1242"/>
      <c r="IP26" s="1242"/>
      <c r="IQ26" s="1242"/>
      <c r="IR26" s="1242"/>
      <c r="IS26" s="1243"/>
      <c r="IT26" s="1244"/>
      <c r="IU26" s="1242"/>
      <c r="IV26" s="1242"/>
      <c r="IW26" s="1243"/>
      <c r="IX26" s="1244"/>
      <c r="IY26" s="1242"/>
      <c r="IZ26" s="1242"/>
      <c r="JA26" s="1243"/>
      <c r="JB26" s="1244"/>
      <c r="JC26" s="1242"/>
      <c r="JD26" s="1242"/>
      <c r="JE26" s="1243"/>
      <c r="JF26" s="1244"/>
      <c r="JG26" s="1242"/>
      <c r="JH26" s="1242"/>
      <c r="JI26" s="1242"/>
      <c r="JJ26" s="1245"/>
      <c r="JK26" s="1242"/>
      <c r="JL26" s="1171">
        <f t="shared" ca="1" si="43"/>
        <v>0</v>
      </c>
    </row>
    <row r="27" spans="1:274" ht="12.6" customHeight="1" thickTop="1" thickBot="1" x14ac:dyDescent="0.25">
      <c r="A27" s="2084"/>
      <c r="B27" s="2085"/>
      <c r="C27" s="2085"/>
      <c r="D27" s="2085"/>
      <c r="E27" s="2089"/>
      <c r="F27" s="2095"/>
      <c r="G27" s="1993" t="s">
        <v>16</v>
      </c>
      <c r="H27" s="2086"/>
      <c r="I27" s="1102" t="s">
        <v>732</v>
      </c>
      <c r="J27" s="2086" t="s">
        <v>16</v>
      </c>
      <c r="K27" s="2086"/>
      <c r="L27" s="1065" t="s">
        <v>732</v>
      </c>
      <c r="M27" s="1106" t="s">
        <v>18</v>
      </c>
      <c r="N27" s="461" t="s">
        <v>19</v>
      </c>
      <c r="O27" s="2090"/>
      <c r="P27" s="2091"/>
      <c r="Q27" s="2091"/>
      <c r="R27" s="2102"/>
      <c r="S27" s="1996" t="s">
        <v>80</v>
      </c>
      <c r="T27" s="2086"/>
      <c r="U27" s="2086" t="s">
        <v>81</v>
      </c>
      <c r="V27" s="2086"/>
      <c r="W27" s="461" t="s">
        <v>27</v>
      </c>
      <c r="X27" s="1101" t="s">
        <v>112</v>
      </c>
      <c r="Y27" s="1065" t="s">
        <v>113</v>
      </c>
      <c r="Z27" s="1117" t="s">
        <v>57</v>
      </c>
      <c r="AA27" s="2133"/>
      <c r="AB27" s="1448" t="str">
        <f t="shared" si="61"/>
        <v/>
      </c>
      <c r="AC27" s="1710" t="str">
        <f t="shared" si="4"/>
        <v/>
      </c>
      <c r="AD27" s="1705" t="str">
        <f t="shared" ca="1" si="44"/>
        <v/>
      </c>
      <c r="AE27" s="1709" t="str">
        <f t="shared" ca="1" si="45"/>
        <v/>
      </c>
      <c r="AF27" s="1710" t="str">
        <f t="shared" ca="1" si="46"/>
        <v/>
      </c>
      <c r="AG27" s="1705" t="str">
        <f t="shared" ca="1" si="47"/>
        <v/>
      </c>
      <c r="AH27" s="1709" t="str">
        <f t="shared" ca="1" si="48"/>
        <v/>
      </c>
      <c r="AI27" s="1705" t="str">
        <f t="shared" ca="1" si="49"/>
        <v/>
      </c>
      <c r="AJ27" s="1709" t="str">
        <f t="shared" ca="1" si="50"/>
        <v/>
      </c>
      <c r="AK27" s="1747" t="str">
        <f t="shared" si="53"/>
        <v/>
      </c>
      <c r="AL27" s="1748" t="str">
        <f t="shared" si="5"/>
        <v/>
      </c>
      <c r="AM27" s="1749" t="str">
        <f t="shared" si="54"/>
        <v/>
      </c>
      <c r="AN27" s="1710" t="str">
        <f t="shared" si="55"/>
        <v/>
      </c>
      <c r="AO27" s="1750" t="str">
        <f t="shared" si="56"/>
        <v/>
      </c>
      <c r="AP27" s="1712" t="str">
        <f t="shared" si="6"/>
        <v/>
      </c>
      <c r="AQ27" s="1751" t="str">
        <f t="shared" si="7"/>
        <v/>
      </c>
      <c r="AR27" s="1708" t="str">
        <f t="shared" si="21"/>
        <v/>
      </c>
      <c r="AS27" s="1709" t="str">
        <f t="shared" si="22"/>
        <v/>
      </c>
      <c r="AT27" s="1752" t="str">
        <f t="shared" si="23"/>
        <v/>
      </c>
      <c r="AU27" s="1753" t="str">
        <f t="shared" si="8"/>
        <v/>
      </c>
      <c r="AV27" s="1714" t="str">
        <f t="shared" si="24"/>
        <v/>
      </c>
      <c r="AW27" s="1709" t="str">
        <f t="shared" si="25"/>
        <v/>
      </c>
      <c r="AX27" s="1752" t="str">
        <f t="shared" si="26"/>
        <v/>
      </c>
      <c r="AY27" s="1753" t="str">
        <f t="shared" si="9"/>
        <v/>
      </c>
      <c r="AZ27" s="1714" t="str">
        <f t="shared" si="27"/>
        <v/>
      </c>
      <c r="BA27" s="1709" t="str">
        <f t="shared" si="28"/>
        <v/>
      </c>
      <c r="BB27" s="1752" t="str">
        <f t="shared" si="29"/>
        <v/>
      </c>
      <c r="BC27" s="1753" t="str">
        <f t="shared" si="10"/>
        <v/>
      </c>
      <c r="BD27" s="1714" t="str">
        <f t="shared" si="30"/>
        <v/>
      </c>
      <c r="BE27" s="1709" t="str">
        <f t="shared" si="31"/>
        <v/>
      </c>
      <c r="BF27" s="1752" t="str">
        <f t="shared" si="57"/>
        <v/>
      </c>
      <c r="BG27" s="1753" t="str">
        <f t="shared" si="11"/>
        <v/>
      </c>
      <c r="BH27" s="261"/>
      <c r="BJ27" s="517" t="s">
        <v>632</v>
      </c>
      <c r="BK27" s="518" t="s">
        <v>788</v>
      </c>
      <c r="BL27" s="370" t="s">
        <v>170</v>
      </c>
      <c r="BM27" s="370" t="s">
        <v>171</v>
      </c>
      <c r="BN27" s="370" t="s">
        <v>172</v>
      </c>
      <c r="BO27" s="370" t="s">
        <v>417</v>
      </c>
      <c r="BP27" s="370" t="s">
        <v>418</v>
      </c>
      <c r="BQ27" s="370" t="s">
        <v>419</v>
      </c>
      <c r="BR27" s="370" t="s">
        <v>179</v>
      </c>
      <c r="BS27" s="370" t="s">
        <v>176</v>
      </c>
      <c r="BT27" s="370" t="s">
        <v>174</v>
      </c>
      <c r="BU27" s="370" t="s">
        <v>177</v>
      </c>
      <c r="BV27" s="370" t="s">
        <v>178</v>
      </c>
      <c r="BW27" s="991">
        <f t="shared" ca="1" si="33"/>
        <v>0</v>
      </c>
      <c r="BX27" s="991" t="str">
        <f t="shared" ca="1" si="40"/>
        <v/>
      </c>
      <c r="BY27" s="991" t="b">
        <f t="shared" ca="1" si="34"/>
        <v>0</v>
      </c>
      <c r="BZ27" s="1303" t="b">
        <f t="shared" si="41"/>
        <v>0</v>
      </c>
      <c r="CB27" s="2144"/>
      <c r="CC27" s="2073"/>
      <c r="CD27" s="2146"/>
      <c r="CE27" s="2070"/>
      <c r="CF27" s="2071"/>
      <c r="CG27" s="2237"/>
      <c r="CH27" s="2240"/>
      <c r="CI27" s="2241"/>
      <c r="CJ27" s="2240"/>
      <c r="CK27" s="2241"/>
      <c r="CL27" s="2255"/>
      <c r="CM27" s="2257"/>
      <c r="CN27" s="1546" t="s">
        <v>1283</v>
      </c>
      <c r="CO27" s="1547" t="s">
        <v>1278</v>
      </c>
      <c r="CP27" s="1548" t="s">
        <v>501</v>
      </c>
      <c r="CQ27" s="2243"/>
      <c r="CR27" s="2146"/>
      <c r="CS27" s="2246"/>
      <c r="CT27" s="2146"/>
      <c r="CU27" s="2246"/>
      <c r="CV27" s="2073"/>
      <c r="CW27" s="2253"/>
      <c r="CX27" s="1546" t="s">
        <v>1283</v>
      </c>
      <c r="CY27" s="1547" t="s">
        <v>1278</v>
      </c>
      <c r="CZ27" s="1548" t="s">
        <v>501</v>
      </c>
      <c r="DA27" s="2235"/>
      <c r="DB27" s="431" t="s">
        <v>418</v>
      </c>
      <c r="DC27" s="432" t="s">
        <v>553</v>
      </c>
      <c r="DD27" s="2250"/>
      <c r="DE27" s="2250"/>
      <c r="DF27" s="141"/>
      <c r="DG27" s="141"/>
      <c r="DH27" s="672"/>
      <c r="DI27" s="673"/>
      <c r="DJ27" s="692"/>
      <c r="DK27" s="1331"/>
      <c r="DL27" s="674"/>
      <c r="DM27" s="693"/>
      <c r="DN27" s="1334"/>
      <c r="DO27" s="675"/>
      <c r="DP27" s="676"/>
      <c r="DQ27" s="1419"/>
      <c r="DR27" s="677"/>
      <c r="DS27" s="1611"/>
      <c r="DT27" s="1606"/>
      <c r="DU27" s="1607"/>
      <c r="DV27" s="678"/>
      <c r="DW27" s="1336"/>
      <c r="DX27" s="679"/>
      <c r="DY27" s="674"/>
      <c r="DZ27" s="678"/>
      <c r="EA27" s="1336"/>
      <c r="EB27" s="679"/>
      <c r="EC27" s="674"/>
      <c r="ED27" s="678"/>
      <c r="EE27" s="1336"/>
      <c r="EF27" s="679"/>
      <c r="EG27" s="674"/>
      <c r="EH27" s="678"/>
      <c r="EI27" s="1336"/>
      <c r="EJ27" s="679"/>
      <c r="EK27" s="680"/>
      <c r="EL27" s="141"/>
      <c r="EM27" s="2213"/>
      <c r="EN27" s="522" t="s">
        <v>585</v>
      </c>
      <c r="EO27" s="433" t="s">
        <v>586</v>
      </c>
      <c r="EP27" s="434" t="s">
        <v>587</v>
      </c>
      <c r="EQ27" s="2258"/>
      <c r="ER27" s="536" t="s">
        <v>606</v>
      </c>
      <c r="ES27" s="537" t="s">
        <v>607</v>
      </c>
      <c r="ET27" s="538" t="s">
        <v>520</v>
      </c>
      <c r="EU27" s="539" t="s">
        <v>169</v>
      </c>
      <c r="EX27" s="503" t="str">
        <f t="shared" ca="1" si="35"/>
        <v/>
      </c>
      <c r="EY27" s="940" t="str">
        <f t="shared" si="12"/>
        <v/>
      </c>
      <c r="EZ27" s="940" t="str">
        <f t="shared" si="36"/>
        <v/>
      </c>
      <c r="FA27" s="958" t="str">
        <f t="shared" ca="1" si="42"/>
        <v/>
      </c>
      <c r="FB27" s="134" t="str">
        <f t="shared" ca="1" si="37"/>
        <v/>
      </c>
      <c r="FC27" s="134">
        <f t="shared" ca="1" si="13"/>
        <v>0</v>
      </c>
      <c r="FD27" s="134">
        <f t="shared" ca="1" si="14"/>
        <v>0</v>
      </c>
      <c r="FE27" s="134">
        <f t="shared" ca="1" si="15"/>
        <v>0</v>
      </c>
      <c r="FF27" s="134">
        <f t="shared" ca="1" si="38"/>
        <v>0</v>
      </c>
      <c r="FN27" s="754"/>
      <c r="FO27" s="754"/>
      <c r="FP27" s="754" t="b">
        <v>0</v>
      </c>
      <c r="FQ27" s="754" t="b">
        <f t="shared" si="39"/>
        <v>1</v>
      </c>
      <c r="FX27" s="197"/>
      <c r="FZ27" s="2"/>
      <c r="GA27" s="542" t="s">
        <v>709</v>
      </c>
      <c r="GB27" s="543" t="s">
        <v>710</v>
      </c>
      <c r="GC27" s="542" t="s">
        <v>606</v>
      </c>
      <c r="GD27" s="543" t="s">
        <v>607</v>
      </c>
      <c r="GE27" s="2137"/>
      <c r="GF27" s="2137"/>
      <c r="GG27" s="542" t="s">
        <v>709</v>
      </c>
      <c r="GH27" s="543" t="s">
        <v>710</v>
      </c>
      <c r="GI27" s="542" t="s">
        <v>709</v>
      </c>
      <c r="GJ27" s="543" t="s">
        <v>710</v>
      </c>
      <c r="GK27" s="2140"/>
      <c r="GL27" s="2140"/>
      <c r="GM27" s="2140"/>
      <c r="GZ27" s="145"/>
      <c r="HA27" s="2192"/>
      <c r="HB27" s="2194"/>
      <c r="HC27" s="2194"/>
      <c r="HD27" s="2194"/>
      <c r="HE27" s="2194"/>
      <c r="HF27" s="2194"/>
      <c r="HG27" s="2194"/>
      <c r="HH27" s="2194"/>
      <c r="HI27" s="2194"/>
      <c r="HJ27" s="2194"/>
      <c r="HK27" s="2194"/>
      <c r="HL27" s="2194"/>
      <c r="HM27" s="2194"/>
      <c r="HN27" s="2194"/>
      <c r="HO27" s="2194"/>
      <c r="HP27" s="2194"/>
      <c r="HQ27" s="2194"/>
      <c r="HR27" s="2194"/>
      <c r="HS27" s="2194"/>
      <c r="HT27" s="2194"/>
      <c r="HU27" s="2194"/>
      <c r="HV27" s="2194"/>
      <c r="HW27" s="2194"/>
      <c r="HX27" s="2194"/>
      <c r="HY27" s="2194"/>
      <c r="HZ27" s="2194"/>
      <c r="IA27" s="2194"/>
      <c r="IB27" s="2263"/>
      <c r="IC27" s="2194"/>
      <c r="ID27" s="2233"/>
      <c r="IE27" s="1241"/>
      <c r="IF27" s="1242"/>
      <c r="IG27" s="1243"/>
      <c r="IH27" s="1244"/>
      <c r="II27" s="1242"/>
      <c r="IJ27" s="1243"/>
      <c r="IK27" s="1244"/>
      <c r="IL27" s="1242"/>
      <c r="IM27" s="1242"/>
      <c r="IN27" s="1242"/>
      <c r="IO27" s="1242"/>
      <c r="IP27" s="1242"/>
      <c r="IQ27" s="1242"/>
      <c r="IR27" s="1242"/>
      <c r="IS27" s="1243"/>
      <c r="IT27" s="1244"/>
      <c r="IU27" s="1242"/>
      <c r="IV27" s="1242"/>
      <c r="IW27" s="1243"/>
      <c r="IX27" s="1244"/>
      <c r="IY27" s="1242"/>
      <c r="IZ27" s="1242"/>
      <c r="JA27" s="1243"/>
      <c r="JB27" s="1244"/>
      <c r="JC27" s="1242"/>
      <c r="JD27" s="1242"/>
      <c r="JE27" s="1243"/>
      <c r="JF27" s="1244"/>
      <c r="JG27" s="1242"/>
      <c r="JH27" s="1242"/>
      <c r="JI27" s="1242"/>
      <c r="JJ27" s="1245"/>
      <c r="JK27" s="1242"/>
      <c r="JL27" s="1171">
        <f t="shared" ca="1" si="43"/>
        <v>0</v>
      </c>
    </row>
    <row r="28" spans="1:274" ht="12.6" customHeight="1" thickTop="1" x14ac:dyDescent="0.3">
      <c r="A28" s="1473" t="str">
        <f t="shared" ref="A28:A45" si="62">IF(ISBLANK(CB28),"",CB28)</f>
        <v/>
      </c>
      <c r="B28" s="1680" t="str">
        <f t="shared" ref="B28:B45" si="63">IF(ISBLANK(CC28),"",CC28)</f>
        <v/>
      </c>
      <c r="C28" s="1474" t="str">
        <f t="shared" ref="C28:C45" si="64">IF(ISBLANK(CD28),"",CD28)</f>
        <v/>
      </c>
      <c r="D28" s="1691" t="str">
        <f t="shared" ref="D28:D44" si="65">IF(CV68="","",TRUNC(CV68/12))</f>
        <v/>
      </c>
      <c r="E28" s="1692" t="str">
        <f t="shared" ref="E28:E44" si="66">IF(CV68="","",CV68-(D28*12))</f>
        <v/>
      </c>
      <c r="F28" s="1693" t="str">
        <f t="shared" ref="F28:F45" si="67">IF(ISBLANK(DE28),"",DE28)</f>
        <v/>
      </c>
      <c r="G28" s="1694" t="str">
        <f t="shared" ref="G28:G44" si="68">IF(DD68=0,"",TRUNC(DD68/12))</f>
        <v/>
      </c>
      <c r="H28" s="1695" t="str">
        <f t="shared" ref="H28:H44" si="69">IF(DD68=0,"",DD68-(G28*12))</f>
        <v/>
      </c>
      <c r="I28" s="1696" t="str">
        <f t="shared" ref="I28:I44" si="70">IF(DD68=0,"",CE68)</f>
        <v/>
      </c>
      <c r="J28" s="1691" t="str">
        <f t="shared" ref="J28:J44" si="71">IF(DJ68=0,"",TRUNC(DJ68/12))</f>
        <v/>
      </c>
      <c r="K28" s="1695" t="str">
        <f t="shared" ref="K28:K44" si="72">IF(DJ68=0,"",DJ68-(J28*12))</f>
        <v/>
      </c>
      <c r="L28" s="1697" t="str">
        <f t="shared" ref="L28:L44" si="73">IF(DJ68=0,"",CN68)</f>
        <v/>
      </c>
      <c r="M28" s="1698" t="str">
        <f t="shared" ref="M28:M45" si="74">IF(CW68="","",CW68)</f>
        <v/>
      </c>
      <c r="N28" s="1699" t="str">
        <f t="shared" ref="N28:N45" si="75">IF(CX68="","",CX68)</f>
        <v/>
      </c>
      <c r="O28" s="1694" t="str">
        <f t="shared" ref="O28:O44" si="76">IF(DZ68="","",IF(AND(DZ68&gt;-12,DZ68&lt;0),-0.000001,TRUNC(DZ68/12)))</f>
        <v/>
      </c>
      <c r="P28" s="1695" t="str">
        <f t="shared" ref="P28:P44" si="77">IF(DZ68="","",IF(AND(DZ68&lt;0,DZ68-(O28*12)=0),-0.00001,DZ68-(O28*12)))</f>
        <v/>
      </c>
      <c r="Q28" s="1691" t="str">
        <f t="shared" ref="Q28:Q44" si="78">IF(EA68="","",IF(AND(EA68&gt;-12,EA68&lt;0),-0.000001,TRUNC(EA68/12)))</f>
        <v/>
      </c>
      <c r="R28" s="1692" t="str">
        <f t="shared" ref="R28:R44" si="79">IF(EA68="","",IF(AND(EA68&lt;0,EA68-(Q28*12)=0),-0.00001,EA68-(Q28*12)))</f>
        <v/>
      </c>
      <c r="S28" s="1700" t="str">
        <f t="shared" ref="S28:S44" si="80">IF(DR68="","",IF(DR68="ERR",TRUNC(DQ68/12),TRUNC(DR68/12)))</f>
        <v/>
      </c>
      <c r="T28" s="1695" t="str">
        <f t="shared" ref="T28:T44" si="81">IF(DR68="","",IF(DR68="ERR",DQ68-(S28*12),DR68-(S28*12)))</f>
        <v/>
      </c>
      <c r="U28" s="1691" t="str">
        <f t="shared" ref="U28:U44" si="82">IF(DY68="","",IF(DY68="ERR",TRUNC(DX68/12),TRUNC(DY68/12)))</f>
        <v/>
      </c>
      <c r="V28" s="1695" t="str">
        <f t="shared" ref="V28:V44" si="83">IF(DY68="","",IF(DY68="ERR",DX68-(U28*12),DY68-(U28*12)))</f>
        <v/>
      </c>
      <c r="W28" s="1699">
        <f t="shared" ref="W28:W44" si="84">IF(EC68="",0,EC68)</f>
        <v>0</v>
      </c>
      <c r="X28" s="1701" t="str">
        <f t="shared" ref="X28:X44" si="85">IF(EN68="","",EN68)</f>
        <v/>
      </c>
      <c r="Y28" s="1702" t="str">
        <f t="shared" ref="Y28:Y44" si="86">IF(ES68="","",ES68)</f>
        <v/>
      </c>
      <c r="Z28" s="1703" t="str">
        <f t="shared" ref="Z28:Z45" si="87">CONCATENATE(IF(DC28="","",CONCATENATE("[",SUBSTITUTE(DC28," ",""),"] ")),IF(DB28="","",CONCATENATE("(",SUBSTITUTE(DB28," ",""),")")))</f>
        <v/>
      </c>
      <c r="AA28" s="1704" t="str">
        <f t="shared" ref="AA28:AA45" si="88">IF(ISBLANK(DD28),"",DD28)</f>
        <v/>
      </c>
      <c r="AB28" s="1448" t="str">
        <f t="shared" si="61"/>
        <v/>
      </c>
      <c r="AC28" s="1710" t="str">
        <f t="shared" si="4"/>
        <v/>
      </c>
      <c r="AD28" s="1705" t="str">
        <f t="shared" ca="1" si="44"/>
        <v/>
      </c>
      <c r="AE28" s="1709" t="str">
        <f t="shared" ca="1" si="45"/>
        <v/>
      </c>
      <c r="AF28" s="1710" t="str">
        <f t="shared" ca="1" si="46"/>
        <v/>
      </c>
      <c r="AG28" s="1705" t="str">
        <f t="shared" ca="1" si="47"/>
        <v/>
      </c>
      <c r="AH28" s="1709" t="str">
        <f t="shared" ca="1" si="48"/>
        <v/>
      </c>
      <c r="AI28" s="1705" t="str">
        <f t="shared" ca="1" si="49"/>
        <v/>
      </c>
      <c r="AJ28" s="1709" t="str">
        <f t="shared" ca="1" si="50"/>
        <v/>
      </c>
      <c r="AK28" s="1747" t="str">
        <f t="shared" si="53"/>
        <v/>
      </c>
      <c r="AL28" s="1748" t="str">
        <f t="shared" si="5"/>
        <v/>
      </c>
      <c r="AM28" s="1749" t="str">
        <f t="shared" si="54"/>
        <v/>
      </c>
      <c r="AN28" s="1710" t="str">
        <f t="shared" si="55"/>
        <v/>
      </c>
      <c r="AO28" s="1750" t="str">
        <f t="shared" si="56"/>
        <v/>
      </c>
      <c r="AP28" s="1712" t="str">
        <f t="shared" si="6"/>
        <v/>
      </c>
      <c r="AQ28" s="1751" t="str">
        <f t="shared" si="7"/>
        <v/>
      </c>
      <c r="AR28" s="1708" t="str">
        <f t="shared" si="21"/>
        <v/>
      </c>
      <c r="AS28" s="1709" t="str">
        <f t="shared" si="22"/>
        <v/>
      </c>
      <c r="AT28" s="1752" t="str">
        <f t="shared" si="23"/>
        <v/>
      </c>
      <c r="AU28" s="1753" t="str">
        <f t="shared" si="8"/>
        <v/>
      </c>
      <c r="AV28" s="1714" t="str">
        <f t="shared" si="24"/>
        <v/>
      </c>
      <c r="AW28" s="1709" t="str">
        <f t="shared" si="25"/>
        <v/>
      </c>
      <c r="AX28" s="1752" t="str">
        <f t="shared" si="26"/>
        <v/>
      </c>
      <c r="AY28" s="1753" t="str">
        <f t="shared" si="9"/>
        <v/>
      </c>
      <c r="AZ28" s="1714" t="str">
        <f t="shared" si="27"/>
        <v/>
      </c>
      <c r="BA28" s="1709" t="str">
        <f t="shared" si="28"/>
        <v/>
      </c>
      <c r="BB28" s="1752" t="str">
        <f t="shared" si="29"/>
        <v/>
      </c>
      <c r="BC28" s="1753" t="str">
        <f t="shared" si="10"/>
        <v/>
      </c>
      <c r="BD28" s="1714" t="str">
        <f t="shared" si="30"/>
        <v/>
      </c>
      <c r="BE28" s="1709" t="str">
        <f t="shared" si="31"/>
        <v/>
      </c>
      <c r="BF28" s="1752" t="str">
        <f t="shared" si="57"/>
        <v/>
      </c>
      <c r="BG28" s="1753" t="str">
        <f t="shared" si="11"/>
        <v/>
      </c>
      <c r="BH28" s="261"/>
      <c r="BJ28" s="1301" t="str">
        <f>IF(OR(ISBLANK(A28),A28=""),"",A28)</f>
        <v/>
      </c>
      <c r="BK28" s="988" t="b">
        <f>IF($BK$1,IF(AND(BJ28&lt;&gt;"",OR(B28=0,B28="")),TRUE,FALSE),FALSE)</f>
        <v>0</v>
      </c>
      <c r="BL28" s="989" t="b">
        <v>0</v>
      </c>
      <c r="BM28" s="989">
        <f>IF(C28="",0,VALUE(IF(BN28="","",LEFT(C28,SEARCH(BN28,C28)-1))))</f>
        <v>0</v>
      </c>
      <c r="BN28" s="989">
        <f>IF(C28="",0,IF(NOT(ISERROR(SEARCH("VG",C28))),"VG",IF(NOT(ISERROR(SEARCH("BG",C28))),"BG",IF(NOT(ISERROR(SEARCH("G",C28))),"G"))))</f>
        <v>0</v>
      </c>
      <c r="BO28" s="989">
        <f>IF(C28="",0,VALUE(MID(C28,SEARCH(BN28,C28)+LEN(BN28),SEARCH("N",C28)-SEARCH(BN28,C28)-LEN(BN28))))</f>
        <v>0</v>
      </c>
      <c r="BP28" s="989">
        <f t="shared" ref="BP28:BP45" si="89">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0</v>
      </c>
      <c r="BQ28" s="989">
        <f>IF(ISERROR(SEARCH("F",C28)),IF(C28="",0,IF(SEARCH("K",C28)=LEN(C28),0,VALUE(MID(C28,SEARCH("K",C28)+1,LEN(C28))))),IF(C28="",0,IF(SEARCH("F",C28)=LEN(C28),0,VALUE(MID(C28,SEARCH("F",C28)+1,LEN(C28))))))</f>
        <v>0</v>
      </c>
      <c r="BR28" s="989" t="b">
        <f>IF(OR(ISERROR(BM28),ISERROR(BN28),ISERROR(BO28),ISERROR(BP28),ISERROR(BQ28)),FALSE,TRUE)</f>
        <v>1</v>
      </c>
      <c r="BS28" s="1302">
        <f>6+IF(LEFT(I28,1)="R",IF(ISNUMBER(G28),G28*12,0)+IF(ISNUMBER(H28),H28,0),0)</f>
        <v>6</v>
      </c>
      <c r="BT28" s="990" t="str">
        <f>IF(IF(ISNUMBER(S28),S28*12,0)+IF(ISNUMBER(T28),T28,0)&gt;0,IF(AND(IF(ISNUMBER(S28),S28*12,0)+IF(ISNUMBER(T28),T28,0)&gt;=$FE$4/2+$EX$6,IF(ISNUMBER(S28),S28*12,0)+IF(ISNUMBER(T28),T28,0)&lt;=(BS28-($FE$4/2+$EX$6))+IF(I28="X",2,0)),"Yes","No"),"No")</f>
        <v>No</v>
      </c>
      <c r="BU28" s="1302">
        <f>6+IF(LEFT(L28,1)="R",IF(ISNUMBER(J28),J28*12,0)+IF(ISNUMBER(K28),K28,0),0)</f>
        <v>6</v>
      </c>
      <c r="BV28" s="990" t="str">
        <f>IF(IF(ISNUMBER(U28),U28*12,0)+IF(ISNUMBER(V28),V28,0)&gt;0,IF(AND(IF(ISNUMBER(U28),U28*12,0)+IF(ISNUMBER(V28),V28,0)&gt;=$FE$4/2+$EX$6,IF(ISNUMBER(U28),U28*12,0)+IF(ISNUMBER(V28),V28,0)&lt;=(BU28-($FE$4/2+$EX$6))+IF(L28="X",2,0)),"Yes","No"),"No")</f>
        <v>No</v>
      </c>
      <c r="BW28" s="991">
        <f t="shared" ca="1" si="33"/>
        <v>0</v>
      </c>
      <c r="BX28" s="991" t="str">
        <f t="shared" ca="1" si="40"/>
        <v/>
      </c>
      <c r="BY28" s="991" t="b">
        <f t="shared" ca="1" si="34"/>
        <v>0</v>
      </c>
      <c r="BZ28" s="1303" t="b">
        <f t="shared" si="41"/>
        <v>0</v>
      </c>
      <c r="CB28" s="664"/>
      <c r="CC28" s="1683"/>
      <c r="CD28" s="696"/>
      <c r="CE28" s="697"/>
      <c r="CF28" s="1327"/>
      <c r="CG28" s="664"/>
      <c r="CH28" s="709"/>
      <c r="CI28" s="710"/>
      <c r="CJ28" s="709"/>
      <c r="CK28" s="710"/>
      <c r="CL28" s="711"/>
      <c r="CM28" s="742"/>
      <c r="CN28" s="1577"/>
      <c r="CO28" s="1578"/>
      <c r="CP28" s="1579"/>
      <c r="CQ28" s="664"/>
      <c r="CR28" s="709"/>
      <c r="CS28" s="710"/>
      <c r="CT28" s="709"/>
      <c r="CU28" s="710"/>
      <c r="CV28" s="711"/>
      <c r="CW28" s="742"/>
      <c r="CX28" s="1577"/>
      <c r="CY28" s="1578"/>
      <c r="CZ28" s="1579"/>
      <c r="DA28" s="712"/>
      <c r="DB28" s="954"/>
      <c r="DC28" s="955"/>
      <c r="DD28" s="1596"/>
      <c r="DE28" s="1597"/>
      <c r="DF28" s="141"/>
      <c r="DG28" s="141"/>
      <c r="DH28" s="672"/>
      <c r="DI28" s="673"/>
      <c r="DJ28" s="692"/>
      <c r="DK28" s="1331"/>
      <c r="DL28" s="674"/>
      <c r="DM28" s="693"/>
      <c r="DN28" s="1334"/>
      <c r="DO28" s="675"/>
      <c r="DP28" s="676"/>
      <c r="DQ28" s="1419"/>
      <c r="DR28" s="677"/>
      <c r="DS28" s="1611"/>
      <c r="DT28" s="1606"/>
      <c r="DU28" s="1607"/>
      <c r="DV28" s="678"/>
      <c r="DW28" s="1336"/>
      <c r="DX28" s="679"/>
      <c r="DY28" s="674"/>
      <c r="DZ28" s="678"/>
      <c r="EA28" s="1336"/>
      <c r="EB28" s="679"/>
      <c r="EC28" s="674"/>
      <c r="ED28" s="678"/>
      <c r="EE28" s="1336"/>
      <c r="EF28" s="679"/>
      <c r="EG28" s="674"/>
      <c r="EH28" s="678"/>
      <c r="EI28" s="1336"/>
      <c r="EJ28" s="679"/>
      <c r="EK28" s="680"/>
      <c r="EL28" s="141"/>
      <c r="EM28" s="1629" t="str">
        <f>IF(ISBLANK(CB28),"",CB28)</f>
        <v/>
      </c>
      <c r="EN28" s="1630" t="str">
        <f t="shared" ref="EN28:EN45" si="90">IF(DQ68=DR68,"",CONCATENATE(IF(CL28&lt;0,"NS ","FS "),IF(DR68="ERR","Slot Only",CONCATENATE("Slot @ ",DQ68))))</f>
        <v/>
      </c>
      <c r="EO28" s="646" t="str">
        <f t="shared" ref="EO28:EO45" si="91">IF(DX68=DY68,"",CONCATENATE(IF(CV28&lt;0,"FS ","NS "),IF(DY68="ERR","Slot Only",CONCATENATE("Slot @ ",DX68))))</f>
        <v/>
      </c>
      <c r="EP28" s="647" t="str">
        <f t="shared" ref="EP28:EP45" si="92">IF(EC68="","",IF(CI68&lt;&gt;EC68,CONCATENATE("LE slots @ ",CI68," Ga."),IF(CR68&lt;&gt;EC68,CONCATENATE("RE slots @ ",CR68," Ga."),"")))</f>
        <v/>
      </c>
      <c r="EQ28" s="812" t="str">
        <f t="shared" ref="EQ28:EQ45" si="93">IF(AND(ET28&lt;&gt;"",CL28&lt;&gt;"",EU28&lt;&gt;"",CV28&lt;&gt;""),"BE",IF(AND(ET28&lt;&gt;"",CL28&lt;&gt;""),"LE",IF(AND(EU28&lt;&gt;"",CV28&lt;&gt;""),"RE","")))</f>
        <v/>
      </c>
      <c r="ER28" s="1582" t="str">
        <f t="shared" ref="ER28:ER45" si="94">IF(ISBLANK(CO28),"",IF(CEILING(DB68,0.125)&lt;=DC68+$FA$4,"",CEILING(DB68,0.125)))</f>
        <v/>
      </c>
      <c r="ES28" s="1583" t="str">
        <f t="shared" ref="ES28:ES45" si="95">IF(ISBLANK(CY28),"",IF(CEILING(DH68,0.125)&lt;=DI68+$FA$4,"",CEILING(DH68,0.125)))</f>
        <v/>
      </c>
      <c r="ET28" s="1584" t="str">
        <f t="shared" ref="ET28:ET45" si="96">IF(CG28="","",IF($FB$4&gt;EV68,EV68,""))</f>
        <v/>
      </c>
      <c r="EU28" s="1585" t="str">
        <f t="shared" ref="EU28:EU45" si="97">IF(CQ28="","",IF($FB$4&gt;EW68,EW68,""))</f>
        <v/>
      </c>
      <c r="EX28" s="503" t="str">
        <f t="shared" ca="1" si="35"/>
        <v/>
      </c>
      <c r="EY28" s="940" t="str">
        <f t="shared" si="12"/>
        <v/>
      </c>
      <c r="EZ28" s="940" t="str">
        <f t="shared" si="36"/>
        <v/>
      </c>
      <c r="FA28" s="958" t="str">
        <f t="shared" ca="1" si="42"/>
        <v/>
      </c>
      <c r="FB28" s="134" t="str">
        <f t="shared" ca="1" si="37"/>
        <v/>
      </c>
      <c r="FC28" s="134">
        <f t="shared" ca="1" si="13"/>
        <v>0</v>
      </c>
      <c r="FD28" s="134">
        <f t="shared" ca="1" si="14"/>
        <v>0</v>
      </c>
      <c r="FE28" s="134">
        <f t="shared" ca="1" si="15"/>
        <v>0</v>
      </c>
      <c r="FF28" s="134">
        <f t="shared" ca="1" si="38"/>
        <v>0</v>
      </c>
      <c r="FN28" s="993" t="b">
        <v>0</v>
      </c>
      <c r="FO28" s="754" t="b">
        <f>NOT(ISERROR(VLOOKUP(A28,$AB$14:$AB$45,1,FALSE)))</f>
        <v>1</v>
      </c>
      <c r="FP28" s="754" t="b">
        <v>0</v>
      </c>
      <c r="FQ28" s="754" t="b">
        <f t="shared" si="39"/>
        <v>1</v>
      </c>
      <c r="FX28" s="197"/>
      <c r="FZ28" s="2"/>
      <c r="GA28" s="1761" t="str">
        <f t="shared" ref="GA28:GA45" si="98">IF(GF28="","",CE28)</f>
        <v/>
      </c>
      <c r="GB28" s="1762" t="str">
        <f t="shared" ref="GB28:GB45" si="99">IF(GF28="","",CF28)</f>
        <v/>
      </c>
      <c r="GC28" s="1763" t="str">
        <f t="shared" ref="GC28:GC45" si="100">IF(GF28="","",IF(CD68="",0,CD68))</f>
        <v/>
      </c>
      <c r="GD28" s="1764" t="str">
        <f t="shared" ref="GD28:GD45" si="101">IF(GF28="","",IF(CM68="",0,CM68))</f>
        <v/>
      </c>
      <c r="GE28" s="1765" t="str">
        <f t="shared" ref="GE28:GE45" si="102">IF(GF28="","",IF(ISBLANK(DA28),IF(X28=Y28,0,MAX(ABS(X28),ABS(Y28))*IF(X28&lt;0,-1,1)),DA28))</f>
        <v/>
      </c>
      <c r="GF28" s="582" t="str">
        <f t="shared" ref="GF28:GF45" si="103">IF(A28=0,"",A28)</f>
        <v/>
      </c>
      <c r="GG28" s="692"/>
      <c r="GH28" s="1134"/>
      <c r="GI28" s="692"/>
      <c r="GJ28" s="1134"/>
      <c r="GK28" s="1640">
        <f t="shared" ref="GK28:GK45" si="104">IF(D28="",0,D28*12+E28)</f>
        <v>0</v>
      </c>
      <c r="GL28" s="1640" t="e">
        <f t="shared" ref="GL28:GL45" si="105">(GA28*12+GB28+GC28+GD28)/COS(ATAN(ABS(GE28/12)))</f>
        <v>#VALUE!</v>
      </c>
      <c r="GM28" s="1641" t="e">
        <f>IF(ABS(GK28-GL28)&gt;='Job Info.'!$L$22,ABS(GK28-GL28),0)</f>
        <v>#VALUE!</v>
      </c>
      <c r="GZ28" s="144"/>
      <c r="HA28" s="1235"/>
      <c r="HB28" s="1236"/>
      <c r="HC28" s="1236"/>
      <c r="HD28" s="1237"/>
      <c r="HE28" s="1238"/>
      <c r="HF28" s="1236"/>
      <c r="HG28" s="1236"/>
      <c r="HH28" s="1236"/>
      <c r="HI28" s="1236"/>
      <c r="HJ28" s="1236"/>
      <c r="HK28" s="1236"/>
      <c r="HL28" s="1236"/>
      <c r="HM28" s="1236"/>
      <c r="HN28" s="1236"/>
      <c r="HO28" s="1236"/>
      <c r="HP28" s="1236"/>
      <c r="HQ28" s="1236"/>
      <c r="HR28" s="1236"/>
      <c r="HS28" s="1236"/>
      <c r="HT28" s="1236"/>
      <c r="HU28" s="1236"/>
      <c r="HV28" s="1236"/>
      <c r="HW28" s="1236"/>
      <c r="HX28" s="1236"/>
      <c r="HY28" s="1239"/>
      <c r="HZ28" s="1239"/>
      <c r="IA28" s="1239"/>
      <c r="IB28" s="1239"/>
      <c r="IC28" s="1239"/>
      <c r="ID28" s="1240"/>
      <c r="IE28" s="1241"/>
      <c r="IF28" s="1242"/>
      <c r="IG28" s="1243"/>
      <c r="IH28" s="1244"/>
      <c r="II28" s="1242"/>
      <c r="IJ28" s="1243"/>
      <c r="IK28" s="1244"/>
      <c r="IL28" s="1242"/>
      <c r="IM28" s="1242"/>
      <c r="IN28" s="1242"/>
      <c r="IO28" s="1242"/>
      <c r="IP28" s="1242"/>
      <c r="IQ28" s="1242"/>
      <c r="IR28" s="1242"/>
      <c r="IS28" s="1243"/>
      <c r="IT28" s="1244"/>
      <c r="IU28" s="1242"/>
      <c r="IV28" s="1242"/>
      <c r="IW28" s="1243"/>
      <c r="IX28" s="1244"/>
      <c r="IY28" s="1242"/>
      <c r="IZ28" s="1242"/>
      <c r="JA28" s="1243"/>
      <c r="JB28" s="1244"/>
      <c r="JC28" s="1242"/>
      <c r="JD28" s="1242"/>
      <c r="JE28" s="1243"/>
      <c r="JF28" s="1244"/>
      <c r="JG28" s="1242"/>
      <c r="JH28" s="1242"/>
      <c r="JI28" s="1242"/>
      <c r="JJ28" s="1245"/>
      <c r="JK28" s="1242"/>
      <c r="JL28" s="1171">
        <f t="shared" ca="1" si="43"/>
        <v>0</v>
      </c>
    </row>
    <row r="29" spans="1:274" ht="12.6" customHeight="1" x14ac:dyDescent="0.25">
      <c r="A29" s="1448" t="str">
        <f t="shared" si="62"/>
        <v/>
      </c>
      <c r="B29" s="1681" t="str">
        <f t="shared" si="63"/>
        <v/>
      </c>
      <c r="C29" s="1449" t="str">
        <f t="shared" si="64"/>
        <v/>
      </c>
      <c r="D29" s="1705" t="str">
        <f t="shared" si="65"/>
        <v/>
      </c>
      <c r="E29" s="1706" t="str">
        <f t="shared" si="66"/>
        <v/>
      </c>
      <c r="F29" s="1707" t="str">
        <f t="shared" si="67"/>
        <v/>
      </c>
      <c r="G29" s="1708" t="str">
        <f t="shared" si="68"/>
        <v/>
      </c>
      <c r="H29" s="1709" t="str">
        <f t="shared" si="69"/>
        <v/>
      </c>
      <c r="I29" s="1710" t="str">
        <f t="shared" si="70"/>
        <v/>
      </c>
      <c r="J29" s="1705" t="str">
        <f t="shared" si="71"/>
        <v/>
      </c>
      <c r="K29" s="1709" t="str">
        <f t="shared" si="72"/>
        <v/>
      </c>
      <c r="L29" s="1711" t="str">
        <f t="shared" si="73"/>
        <v/>
      </c>
      <c r="M29" s="1712" t="str">
        <f t="shared" si="74"/>
        <v/>
      </c>
      <c r="N29" s="1713" t="str">
        <f t="shared" si="75"/>
        <v/>
      </c>
      <c r="O29" s="1708" t="str">
        <f t="shared" si="76"/>
        <v/>
      </c>
      <c r="P29" s="1709" t="str">
        <f t="shared" si="77"/>
        <v/>
      </c>
      <c r="Q29" s="1705" t="str">
        <f t="shared" si="78"/>
        <v/>
      </c>
      <c r="R29" s="1706" t="str">
        <f t="shared" si="79"/>
        <v/>
      </c>
      <c r="S29" s="1714" t="str">
        <f t="shared" si="80"/>
        <v/>
      </c>
      <c r="T29" s="1709" t="str">
        <f t="shared" si="81"/>
        <v/>
      </c>
      <c r="U29" s="1705" t="str">
        <f t="shared" si="82"/>
        <v/>
      </c>
      <c r="V29" s="1709" t="str">
        <f t="shared" si="83"/>
        <v/>
      </c>
      <c r="W29" s="1713">
        <f t="shared" si="84"/>
        <v>0</v>
      </c>
      <c r="X29" s="1715" t="str">
        <f t="shared" si="85"/>
        <v/>
      </c>
      <c r="Y29" s="1716" t="str">
        <f t="shared" si="86"/>
        <v/>
      </c>
      <c r="Z29" s="1717" t="str">
        <f t="shared" si="87"/>
        <v/>
      </c>
      <c r="AA29" s="1718" t="str">
        <f t="shared" si="88"/>
        <v/>
      </c>
      <c r="AB29" s="1448" t="str">
        <f t="shared" si="61"/>
        <v/>
      </c>
      <c r="AC29" s="1710" t="str">
        <f t="shared" si="4"/>
        <v/>
      </c>
      <c r="AD29" s="1705" t="str">
        <f t="shared" ca="1" si="44"/>
        <v/>
      </c>
      <c r="AE29" s="1709" t="str">
        <f t="shared" ca="1" si="45"/>
        <v/>
      </c>
      <c r="AF29" s="1710" t="str">
        <f t="shared" ca="1" si="46"/>
        <v/>
      </c>
      <c r="AG29" s="1705" t="str">
        <f t="shared" ca="1" si="47"/>
        <v/>
      </c>
      <c r="AH29" s="1709" t="str">
        <f t="shared" ca="1" si="48"/>
        <v/>
      </c>
      <c r="AI29" s="1705" t="str">
        <f t="shared" ca="1" si="49"/>
        <v/>
      </c>
      <c r="AJ29" s="1709" t="str">
        <f t="shared" ca="1" si="50"/>
        <v/>
      </c>
      <c r="AK29" s="1747" t="str">
        <f t="shared" si="53"/>
        <v/>
      </c>
      <c r="AL29" s="1748" t="str">
        <f t="shared" si="5"/>
        <v/>
      </c>
      <c r="AM29" s="1749" t="str">
        <f t="shared" si="54"/>
        <v/>
      </c>
      <c r="AN29" s="1710" t="str">
        <f t="shared" si="55"/>
        <v/>
      </c>
      <c r="AO29" s="1750" t="str">
        <f t="shared" si="56"/>
        <v/>
      </c>
      <c r="AP29" s="1712" t="str">
        <f t="shared" si="6"/>
        <v/>
      </c>
      <c r="AQ29" s="1751" t="str">
        <f t="shared" si="7"/>
        <v/>
      </c>
      <c r="AR29" s="1708" t="str">
        <f t="shared" si="21"/>
        <v/>
      </c>
      <c r="AS29" s="1709" t="str">
        <f t="shared" si="22"/>
        <v/>
      </c>
      <c r="AT29" s="1752" t="str">
        <f t="shared" si="23"/>
        <v/>
      </c>
      <c r="AU29" s="1753" t="str">
        <f t="shared" si="8"/>
        <v/>
      </c>
      <c r="AV29" s="1714" t="str">
        <f t="shared" si="24"/>
        <v/>
      </c>
      <c r="AW29" s="1709" t="str">
        <f t="shared" si="25"/>
        <v/>
      </c>
      <c r="AX29" s="1752" t="str">
        <f t="shared" si="26"/>
        <v/>
      </c>
      <c r="AY29" s="1753" t="str">
        <f t="shared" si="9"/>
        <v/>
      </c>
      <c r="AZ29" s="1714" t="str">
        <f t="shared" si="27"/>
        <v/>
      </c>
      <c r="BA29" s="1709" t="str">
        <f t="shared" si="28"/>
        <v/>
      </c>
      <c r="BB29" s="1752" t="str">
        <f t="shared" si="29"/>
        <v/>
      </c>
      <c r="BC29" s="1753" t="str">
        <f t="shared" si="10"/>
        <v/>
      </c>
      <c r="BD29" s="1714" t="str">
        <f t="shared" si="30"/>
        <v/>
      </c>
      <c r="BE29" s="1709" t="str">
        <f t="shared" si="31"/>
        <v/>
      </c>
      <c r="BF29" s="1752" t="str">
        <f t="shared" si="57"/>
        <v/>
      </c>
      <c r="BG29" s="1753" t="str">
        <f t="shared" si="11"/>
        <v/>
      </c>
      <c r="BH29" s="261"/>
      <c r="BJ29" s="1301" t="str">
        <f>IF(AND(OR(ISBLANK(A29),A29=""),Z29&lt;&gt;""),BJ28,IF(OR(ISBLANK(A29),A29=""),"",A29))</f>
        <v/>
      </c>
      <c r="BK29" s="993" t="b">
        <f>IF($BK$1,IF(BJ29=BJ28,BK28,IF(AND(BJ29&lt;&gt;"",OR(B29=0,B29="")),TRUE,FALSE)),FALSE)</f>
        <v>0</v>
      </c>
      <c r="BL29" s="989" t="b">
        <v>0</v>
      </c>
      <c r="BM29" s="989">
        <f t="shared" ref="BM29:BM45" si="106">IF(C29="",0,VALUE(IF(BN29="","",LEFT(C29,SEARCH(BN29,C29)-1))))</f>
        <v>0</v>
      </c>
      <c r="BN29" s="989">
        <f t="shared" ref="BN29:BN45" si="107">IF(C29="",0,IF(NOT(ISERROR(SEARCH("VG",C29))),"VG",IF(NOT(ISERROR(SEARCH("BG",C29))),"BG",IF(NOT(ISERROR(SEARCH("G",C29))),"G"))))</f>
        <v>0</v>
      </c>
      <c r="BO29" s="989">
        <f t="shared" ref="BO29:BO45" si="108">IF(C29="",0,VALUE(MID(C29,SEARCH(BN29,C29)+LEN(BN29),SEARCH("N",C29)-SEARCH(BN29,C29)-LEN(BN29))))</f>
        <v>0</v>
      </c>
      <c r="BP29" s="989">
        <f t="shared" si="89"/>
        <v>0</v>
      </c>
      <c r="BQ29" s="989">
        <f t="shared" ref="BQ29:BQ45" si="109">IF(ISERROR(SEARCH("F",C29)),IF(C29="",0,IF(SEARCH("K",C29)=LEN(C29),0,VALUE(MID(C29,SEARCH("K",C29)+1,LEN(C29))))),IF(C29="",0,IF(SEARCH("F",C29)=LEN(C29),0,VALUE(MID(C29,SEARCH("F",C29)+1,LEN(C29))))))</f>
        <v>0</v>
      </c>
      <c r="BR29" s="989" t="b">
        <f t="shared" ref="BR29:BR45" si="110">IF(OR(ISERROR(BM29),ISERROR(BN29),ISERROR(BO29),ISERROR(BP29),ISERROR(BQ29)),FALSE,TRUE)</f>
        <v>1</v>
      </c>
      <c r="BS29" s="1302">
        <f t="shared" ref="BS29:BS45" si="111">6+IF(LEFT(I29,1)="R",IF(ISNUMBER(G29),G29*12,0)+IF(ISNUMBER(H29),H29,0),0)</f>
        <v>6</v>
      </c>
      <c r="BT29" s="990" t="str">
        <f t="shared" ref="BT29:BT45" si="112">IF(IF(ISNUMBER(S29),S29*12,0)+IF(ISNUMBER(T29),T29,0)&gt;0,IF(AND(IF(ISNUMBER(S29),S29*12,0)+IF(ISNUMBER(T29),T29,0)&gt;=$FE$4/2+$EX$6,IF(ISNUMBER(S29),S29*12,0)+IF(ISNUMBER(T29),T29,0)&lt;=(BS29-($FE$4/2+$EX$6))+IF(I29="X",2,0)),"Yes","No"),"No")</f>
        <v>No</v>
      </c>
      <c r="BU29" s="1302">
        <f t="shared" ref="BU29:BU45" si="113">6+IF(LEFT(L29,1)="R",IF(ISNUMBER(J29),J29*12,0)+IF(ISNUMBER(K29),K29,0),0)</f>
        <v>6</v>
      </c>
      <c r="BV29" s="990" t="str">
        <f t="shared" ref="BV29:BV45" si="114">IF(IF(ISNUMBER(U29),U29*12,0)+IF(ISNUMBER(V29),V29,0)&gt;0,IF(AND(IF(ISNUMBER(U29),U29*12,0)+IF(ISNUMBER(V29),V29,0)&gt;=$FE$4/2+$EX$6,IF(ISNUMBER(U29),U29*12,0)+IF(ISNUMBER(V29),V29,0)&lt;=(BU29-($FE$4/2+$EX$6))+IF(L29="X",2,0)),"Yes","No"),"No")</f>
        <v>No</v>
      </c>
      <c r="BW29" s="991">
        <f t="shared" ca="1" si="33"/>
        <v>0</v>
      </c>
      <c r="BX29" s="991" t="str">
        <f t="shared" ca="1" si="40"/>
        <v/>
      </c>
      <c r="BY29" s="991" t="b">
        <f t="shared" ca="1" si="34"/>
        <v>0</v>
      </c>
      <c r="BZ29" s="1303" t="b">
        <f t="shared" si="41"/>
        <v>0</v>
      </c>
      <c r="CB29" s="672"/>
      <c r="CC29" s="1684"/>
      <c r="CD29" s="699"/>
      <c r="CE29" s="700"/>
      <c r="CF29" s="1328"/>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1598"/>
      <c r="DE29" s="1599"/>
      <c r="DF29" s="141"/>
      <c r="DG29" s="141"/>
      <c r="DH29" s="672"/>
      <c r="DI29" s="673"/>
      <c r="DJ29" s="692"/>
      <c r="DK29" s="1331"/>
      <c r="DL29" s="674"/>
      <c r="DM29" s="693"/>
      <c r="DN29" s="1334"/>
      <c r="DO29" s="675"/>
      <c r="DP29" s="676"/>
      <c r="DQ29" s="1419"/>
      <c r="DR29" s="677"/>
      <c r="DS29" s="1611"/>
      <c r="DT29" s="1606"/>
      <c r="DU29" s="1607"/>
      <c r="DV29" s="678"/>
      <c r="DW29" s="1336"/>
      <c r="DX29" s="679"/>
      <c r="DY29" s="674"/>
      <c r="DZ29" s="678"/>
      <c r="EA29" s="1336"/>
      <c r="EB29" s="679"/>
      <c r="EC29" s="674"/>
      <c r="ED29" s="678"/>
      <c r="EE29" s="1336"/>
      <c r="EF29" s="679"/>
      <c r="EG29" s="674"/>
      <c r="EH29" s="678"/>
      <c r="EI29" s="1336"/>
      <c r="EJ29" s="679"/>
      <c r="EK29" s="680"/>
      <c r="EL29" s="141"/>
      <c r="EM29" s="1631" t="str">
        <f t="shared" ref="EM29:EM45" si="115">IF(ISBLANK(CB29),"",CB29)</f>
        <v/>
      </c>
      <c r="EN29" s="1632" t="str">
        <f t="shared" si="90"/>
        <v/>
      </c>
      <c r="EO29" s="648" t="str">
        <f t="shared" si="91"/>
        <v/>
      </c>
      <c r="EP29" s="649" t="str">
        <f t="shared" si="92"/>
        <v/>
      </c>
      <c r="EQ29" s="813" t="str">
        <f t="shared" si="93"/>
        <v/>
      </c>
      <c r="ER29" s="1586" t="str">
        <f t="shared" si="94"/>
        <v/>
      </c>
      <c r="ES29" s="1587" t="str">
        <f t="shared" si="95"/>
        <v/>
      </c>
      <c r="ET29" s="1588" t="str">
        <f t="shared" si="96"/>
        <v/>
      </c>
      <c r="EU29" s="1589" t="str">
        <f t="shared" si="97"/>
        <v/>
      </c>
      <c r="EX29" s="503" t="str">
        <f t="shared" ca="1" si="35"/>
        <v/>
      </c>
      <c r="EY29" s="940" t="str">
        <f t="shared" si="12"/>
        <v/>
      </c>
      <c r="EZ29" s="940" t="str">
        <f t="shared" si="36"/>
        <v/>
      </c>
      <c r="FA29" s="958" t="str">
        <f t="shared" ca="1" si="42"/>
        <v/>
      </c>
      <c r="FB29" s="134" t="str">
        <f t="shared" ca="1" si="37"/>
        <v/>
      </c>
      <c r="FC29" s="134">
        <f t="shared" ca="1" si="13"/>
        <v>0</v>
      </c>
      <c r="FD29" s="134">
        <f t="shared" ca="1" si="14"/>
        <v>0</v>
      </c>
      <c r="FE29" s="134">
        <f t="shared" ca="1" si="15"/>
        <v>0</v>
      </c>
      <c r="FF29" s="134">
        <f t="shared" ca="1" si="38"/>
        <v>0</v>
      </c>
      <c r="FN29" s="993" t="b">
        <v>0</v>
      </c>
      <c r="FO29" s="754" t="b">
        <f t="shared" ref="FO29:FO45" si="116">NOT(ISERROR(VLOOKUP(A29,$AB$14:$AB$45,1,FALSE)))</f>
        <v>1</v>
      </c>
      <c r="FP29" s="754" t="b">
        <v>0</v>
      </c>
      <c r="FQ29" s="754" t="b">
        <f t="shared" si="39"/>
        <v>1</v>
      </c>
      <c r="FX29" s="197"/>
      <c r="FZ29" s="2"/>
      <c r="GA29" s="1761" t="str">
        <f t="shared" si="98"/>
        <v/>
      </c>
      <c r="GB29" s="1762" t="str">
        <f t="shared" si="99"/>
        <v/>
      </c>
      <c r="GC29" s="1763" t="str">
        <f t="shared" si="100"/>
        <v/>
      </c>
      <c r="GD29" s="1764" t="str">
        <f t="shared" si="101"/>
        <v/>
      </c>
      <c r="GE29" s="1765" t="str">
        <f t="shared" si="102"/>
        <v/>
      </c>
      <c r="GF29" s="582" t="str">
        <f t="shared" si="103"/>
        <v/>
      </c>
      <c r="GG29" s="692"/>
      <c r="GH29" s="1135"/>
      <c r="GI29" s="692"/>
      <c r="GJ29" s="1135"/>
      <c r="GK29" s="1640">
        <f t="shared" si="104"/>
        <v>0</v>
      </c>
      <c r="GL29" s="1640" t="e">
        <f t="shared" si="105"/>
        <v>#VALUE!</v>
      </c>
      <c r="GM29" s="1641" t="e">
        <f>IF(ABS(GK29-GL29)&gt;='Job Info.'!$L$22,ABS(GK29-GL29),0)</f>
        <v>#VALUE!</v>
      </c>
      <c r="HA29" s="1241"/>
      <c r="HB29" s="1242"/>
      <c r="HC29" s="1242"/>
      <c r="HD29" s="1243"/>
      <c r="HE29" s="1244"/>
      <c r="HF29" s="1242"/>
      <c r="HG29" s="1242"/>
      <c r="HH29" s="1242"/>
      <c r="HI29" s="1242"/>
      <c r="HJ29" s="1242"/>
      <c r="HK29" s="1242"/>
      <c r="HL29" s="1242"/>
      <c r="HM29" s="1242"/>
      <c r="HN29" s="1242"/>
      <c r="HO29" s="1242"/>
      <c r="HP29" s="1242"/>
      <c r="HQ29" s="1242"/>
      <c r="HR29" s="1242"/>
      <c r="HS29" s="1242"/>
      <c r="HT29" s="1242"/>
      <c r="HU29" s="1242"/>
      <c r="HV29" s="1242"/>
      <c r="HW29" s="1242"/>
      <c r="HX29" s="1242"/>
      <c r="HY29" s="1246"/>
      <c r="HZ29" s="1246"/>
      <c r="IA29" s="1246"/>
      <c r="IB29" s="1246"/>
      <c r="IC29" s="1246"/>
      <c r="ID29" s="1247"/>
      <c r="IE29" s="1241"/>
      <c r="IF29" s="1242"/>
      <c r="IG29" s="1243"/>
      <c r="IH29" s="1244"/>
      <c r="II29" s="1242"/>
      <c r="IJ29" s="1243"/>
      <c r="IK29" s="1244"/>
      <c r="IL29" s="1242"/>
      <c r="IM29" s="1242"/>
      <c r="IN29" s="1242"/>
      <c r="IO29" s="1242"/>
      <c r="IP29" s="1242"/>
      <c r="IQ29" s="1242"/>
      <c r="IR29" s="1242"/>
      <c r="IS29" s="1243"/>
      <c r="IT29" s="1244"/>
      <c r="IU29" s="1242"/>
      <c r="IV29" s="1242"/>
      <c r="IW29" s="1243"/>
      <c r="IX29" s="1244"/>
      <c r="IY29" s="1242"/>
      <c r="IZ29" s="1242"/>
      <c r="JA29" s="1243"/>
      <c r="JB29" s="1244"/>
      <c r="JC29" s="1242"/>
      <c r="JD29" s="1242"/>
      <c r="JE29" s="1243"/>
      <c r="JF29" s="1244"/>
      <c r="JG29" s="1242"/>
      <c r="JH29" s="1242"/>
      <c r="JI29" s="1242"/>
      <c r="JJ29" s="1245"/>
      <c r="JK29" s="1242"/>
      <c r="JL29" s="1171">
        <f t="shared" ca="1" si="43"/>
        <v>0</v>
      </c>
    </row>
    <row r="30" spans="1:274" s="145" customFormat="1" ht="12.6" customHeight="1" x14ac:dyDescent="0.25">
      <c r="A30" s="1448" t="str">
        <f t="shared" si="62"/>
        <v/>
      </c>
      <c r="B30" s="1681" t="str">
        <f t="shared" si="63"/>
        <v/>
      </c>
      <c r="C30" s="1449" t="str">
        <f t="shared" si="64"/>
        <v/>
      </c>
      <c r="D30" s="1705" t="str">
        <f t="shared" si="65"/>
        <v/>
      </c>
      <c r="E30" s="1706" t="str">
        <f t="shared" si="66"/>
        <v/>
      </c>
      <c r="F30" s="1707" t="str">
        <f t="shared" si="67"/>
        <v/>
      </c>
      <c r="G30" s="1708" t="str">
        <f t="shared" si="68"/>
        <v/>
      </c>
      <c r="H30" s="1709" t="str">
        <f t="shared" si="69"/>
        <v/>
      </c>
      <c r="I30" s="1710" t="str">
        <f t="shared" si="70"/>
        <v/>
      </c>
      <c r="J30" s="1705" t="str">
        <f t="shared" si="71"/>
        <v/>
      </c>
      <c r="K30" s="1709" t="str">
        <f t="shared" si="72"/>
        <v/>
      </c>
      <c r="L30" s="1711" t="str">
        <f t="shared" si="73"/>
        <v/>
      </c>
      <c r="M30" s="1712" t="str">
        <f t="shared" si="74"/>
        <v/>
      </c>
      <c r="N30" s="1713" t="str">
        <f t="shared" si="75"/>
        <v/>
      </c>
      <c r="O30" s="1708" t="str">
        <f t="shared" si="76"/>
        <v/>
      </c>
      <c r="P30" s="1709" t="str">
        <f t="shared" si="77"/>
        <v/>
      </c>
      <c r="Q30" s="1705" t="str">
        <f t="shared" si="78"/>
        <v/>
      </c>
      <c r="R30" s="1706" t="str">
        <f t="shared" si="79"/>
        <v/>
      </c>
      <c r="S30" s="1714" t="str">
        <f t="shared" si="80"/>
        <v/>
      </c>
      <c r="T30" s="1709" t="str">
        <f t="shared" si="81"/>
        <v/>
      </c>
      <c r="U30" s="1705" t="str">
        <f t="shared" si="82"/>
        <v/>
      </c>
      <c r="V30" s="1709" t="str">
        <f t="shared" si="83"/>
        <v/>
      </c>
      <c r="W30" s="1713">
        <f t="shared" si="84"/>
        <v>0</v>
      </c>
      <c r="X30" s="1715" t="str">
        <f t="shared" si="85"/>
        <v/>
      </c>
      <c r="Y30" s="1716" t="str">
        <f t="shared" si="86"/>
        <v/>
      </c>
      <c r="Z30" s="1717" t="str">
        <f t="shared" si="87"/>
        <v/>
      </c>
      <c r="AA30" s="1718" t="str">
        <f t="shared" si="88"/>
        <v/>
      </c>
      <c r="AB30" s="1448" t="str">
        <f t="shared" si="61"/>
        <v/>
      </c>
      <c r="AC30" s="1710" t="str">
        <f t="shared" si="4"/>
        <v/>
      </c>
      <c r="AD30" s="1705" t="str">
        <f t="shared" ca="1" si="44"/>
        <v/>
      </c>
      <c r="AE30" s="1709" t="str">
        <f t="shared" ca="1" si="45"/>
        <v/>
      </c>
      <c r="AF30" s="1710" t="str">
        <f t="shared" ca="1" si="46"/>
        <v/>
      </c>
      <c r="AG30" s="1705" t="str">
        <f t="shared" ca="1" si="47"/>
        <v/>
      </c>
      <c r="AH30" s="1709" t="str">
        <f t="shared" ca="1" si="48"/>
        <v/>
      </c>
      <c r="AI30" s="1705" t="str">
        <f t="shared" ca="1" si="49"/>
        <v/>
      </c>
      <c r="AJ30" s="1709" t="str">
        <f t="shared" ca="1" si="50"/>
        <v/>
      </c>
      <c r="AK30" s="1747" t="str">
        <f t="shared" si="53"/>
        <v/>
      </c>
      <c r="AL30" s="1748" t="str">
        <f t="shared" si="5"/>
        <v/>
      </c>
      <c r="AM30" s="1749" t="str">
        <f t="shared" si="54"/>
        <v/>
      </c>
      <c r="AN30" s="1710" t="str">
        <f t="shared" si="55"/>
        <v/>
      </c>
      <c r="AO30" s="1750" t="str">
        <f t="shared" si="56"/>
        <v/>
      </c>
      <c r="AP30" s="1712" t="str">
        <f t="shared" si="6"/>
        <v/>
      </c>
      <c r="AQ30" s="1751" t="str">
        <f t="shared" si="7"/>
        <v/>
      </c>
      <c r="AR30" s="1708" t="str">
        <f t="shared" si="21"/>
        <v/>
      </c>
      <c r="AS30" s="1709" t="str">
        <f t="shared" si="22"/>
        <v/>
      </c>
      <c r="AT30" s="1752" t="str">
        <f t="shared" si="23"/>
        <v/>
      </c>
      <c r="AU30" s="1753" t="str">
        <f t="shared" si="8"/>
        <v/>
      </c>
      <c r="AV30" s="1714" t="str">
        <f t="shared" si="24"/>
        <v/>
      </c>
      <c r="AW30" s="1709" t="str">
        <f t="shared" si="25"/>
        <v/>
      </c>
      <c r="AX30" s="1752" t="str">
        <f t="shared" si="26"/>
        <v/>
      </c>
      <c r="AY30" s="1753" t="str">
        <f t="shared" si="9"/>
        <v/>
      </c>
      <c r="AZ30" s="1714" t="str">
        <f t="shared" si="27"/>
        <v/>
      </c>
      <c r="BA30" s="1709" t="str">
        <f t="shared" si="28"/>
        <v/>
      </c>
      <c r="BB30" s="1752" t="str">
        <f t="shared" si="29"/>
        <v/>
      </c>
      <c r="BC30" s="1753" t="str">
        <f t="shared" si="10"/>
        <v/>
      </c>
      <c r="BD30" s="1714" t="str">
        <f t="shared" si="30"/>
        <v/>
      </c>
      <c r="BE30" s="1709" t="str">
        <f t="shared" si="31"/>
        <v/>
      </c>
      <c r="BF30" s="1752" t="str">
        <f t="shared" si="57"/>
        <v/>
      </c>
      <c r="BG30" s="1753" t="str">
        <f t="shared" si="11"/>
        <v/>
      </c>
      <c r="BH30" s="262"/>
      <c r="BJ30" s="1301" t="str">
        <f t="shared" ref="BJ30:BJ45" si="117">IF(AND(OR(ISBLANK(A30),A30=""),Z30&lt;&gt;""),BJ29,IF(OR(ISBLANK(A30),A30=""),"",A30))</f>
        <v/>
      </c>
      <c r="BK30" s="993" t="b">
        <f>IF($BK$1,IF(BJ30=BJ29,BK29,IF(AND(BJ30&lt;&gt;"",OR(B30=0,B30="")),TRUE,FALSE)),FALSE)</f>
        <v>0</v>
      </c>
      <c r="BL30" s="989" t="b">
        <v>0</v>
      </c>
      <c r="BM30" s="989">
        <f t="shared" si="106"/>
        <v>0</v>
      </c>
      <c r="BN30" s="989">
        <f t="shared" si="107"/>
        <v>0</v>
      </c>
      <c r="BO30" s="989">
        <f t="shared" si="108"/>
        <v>0</v>
      </c>
      <c r="BP30" s="989">
        <f t="shared" si="89"/>
        <v>0</v>
      </c>
      <c r="BQ30" s="989">
        <f t="shared" si="109"/>
        <v>0</v>
      </c>
      <c r="BR30" s="989" t="b">
        <f t="shared" si="110"/>
        <v>1</v>
      </c>
      <c r="BS30" s="1302">
        <f t="shared" si="111"/>
        <v>6</v>
      </c>
      <c r="BT30" s="990" t="str">
        <f t="shared" si="112"/>
        <v>No</v>
      </c>
      <c r="BU30" s="1302">
        <f t="shared" si="113"/>
        <v>6</v>
      </c>
      <c r="BV30" s="990" t="str">
        <f t="shared" si="114"/>
        <v>No</v>
      </c>
      <c r="BW30" s="991">
        <f t="shared" ca="1" si="33"/>
        <v>0</v>
      </c>
      <c r="BX30" s="991" t="str">
        <f t="shared" ca="1" si="40"/>
        <v/>
      </c>
      <c r="BY30" s="991" t="b">
        <f t="shared" ca="1" si="34"/>
        <v>0</v>
      </c>
      <c r="BZ30" s="1303" t="b">
        <f t="shared" si="41"/>
        <v>0</v>
      </c>
      <c r="CB30" s="672"/>
      <c r="CC30" s="1684"/>
      <c r="CD30" s="699"/>
      <c r="CE30" s="700"/>
      <c r="CF30" s="1328"/>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1598"/>
      <c r="DE30" s="1599"/>
      <c r="DF30" s="141"/>
      <c r="DG30" s="141"/>
      <c r="DH30" s="672"/>
      <c r="DI30" s="673"/>
      <c r="DJ30" s="692"/>
      <c r="DK30" s="1331"/>
      <c r="DL30" s="674"/>
      <c r="DM30" s="693"/>
      <c r="DN30" s="1334"/>
      <c r="DO30" s="675"/>
      <c r="DP30" s="676"/>
      <c r="DQ30" s="1419"/>
      <c r="DR30" s="677"/>
      <c r="DS30" s="1611"/>
      <c r="DT30" s="1606"/>
      <c r="DU30" s="1607"/>
      <c r="DV30" s="678"/>
      <c r="DW30" s="1336"/>
      <c r="DX30" s="679"/>
      <c r="DY30" s="674"/>
      <c r="DZ30" s="678"/>
      <c r="EA30" s="1336"/>
      <c r="EB30" s="679"/>
      <c r="EC30" s="674"/>
      <c r="ED30" s="678"/>
      <c r="EE30" s="1336"/>
      <c r="EF30" s="679"/>
      <c r="EG30" s="674"/>
      <c r="EH30" s="678"/>
      <c r="EI30" s="1336"/>
      <c r="EJ30" s="679"/>
      <c r="EK30" s="680"/>
      <c r="EL30" s="141"/>
      <c r="EM30" s="1631" t="str">
        <f t="shared" si="115"/>
        <v/>
      </c>
      <c r="EN30" s="1632" t="str">
        <f t="shared" si="90"/>
        <v/>
      </c>
      <c r="EO30" s="648" t="str">
        <f t="shared" si="91"/>
        <v/>
      </c>
      <c r="EP30" s="649" t="str">
        <f t="shared" si="92"/>
        <v/>
      </c>
      <c r="EQ30" s="813" t="str">
        <f t="shared" si="93"/>
        <v/>
      </c>
      <c r="ER30" s="1590" t="str">
        <f t="shared" si="94"/>
        <v/>
      </c>
      <c r="ES30" s="1591" t="str">
        <f t="shared" si="95"/>
        <v/>
      </c>
      <c r="ET30" s="1588" t="str">
        <f t="shared" si="96"/>
        <v/>
      </c>
      <c r="EU30" s="1589" t="str">
        <f t="shared" si="97"/>
        <v/>
      </c>
      <c r="EV30" s="130"/>
      <c r="EW30" s="130"/>
      <c r="EX30" s="503" t="str">
        <f t="shared" ca="1" si="35"/>
        <v/>
      </c>
      <c r="EY30" s="940" t="str">
        <f t="shared" si="12"/>
        <v/>
      </c>
      <c r="EZ30" s="940" t="str">
        <f t="shared" si="36"/>
        <v/>
      </c>
      <c r="FA30" s="958" t="str">
        <f t="shared" ca="1" si="42"/>
        <v/>
      </c>
      <c r="FB30" s="134" t="str">
        <f t="shared" ca="1" si="37"/>
        <v/>
      </c>
      <c r="FC30" s="134">
        <f t="shared" ca="1" si="13"/>
        <v>0</v>
      </c>
      <c r="FD30" s="134">
        <f t="shared" ca="1" si="14"/>
        <v>0</v>
      </c>
      <c r="FE30" s="134">
        <f t="shared" ca="1" si="15"/>
        <v>0</v>
      </c>
      <c r="FF30" s="134">
        <f t="shared" ca="1" si="38"/>
        <v>0</v>
      </c>
      <c r="FN30" s="993" t="b">
        <v>0</v>
      </c>
      <c r="FO30" s="755" t="b">
        <f t="shared" si="116"/>
        <v>1</v>
      </c>
      <c r="FP30" s="754" t="b">
        <v>0</v>
      </c>
      <c r="FQ30" s="755" t="b">
        <f t="shared" si="39"/>
        <v>1</v>
      </c>
      <c r="FX30" s="197"/>
      <c r="FZ30" s="2"/>
      <c r="GA30" s="1761" t="str">
        <f t="shared" si="98"/>
        <v/>
      </c>
      <c r="GB30" s="1762" t="str">
        <f t="shared" si="99"/>
        <v/>
      </c>
      <c r="GC30" s="1763" t="str">
        <f t="shared" si="100"/>
        <v/>
      </c>
      <c r="GD30" s="1764" t="str">
        <f t="shared" si="101"/>
        <v/>
      </c>
      <c r="GE30" s="1765" t="str">
        <f t="shared" si="102"/>
        <v/>
      </c>
      <c r="GF30" s="582" t="str">
        <f t="shared" si="103"/>
        <v/>
      </c>
      <c r="GG30" s="692"/>
      <c r="GH30" s="1135"/>
      <c r="GI30" s="692"/>
      <c r="GJ30" s="1135"/>
      <c r="GK30" s="1640">
        <f t="shared" si="104"/>
        <v>0</v>
      </c>
      <c r="GL30" s="1640" t="e">
        <f t="shared" si="105"/>
        <v>#VALUE!</v>
      </c>
      <c r="GM30" s="1641" t="e">
        <f>IF(ABS(GK30-GL30)&gt;='Job Info.'!$L$22,ABS(GK30-GL30),0)</f>
        <v>#VALUE!</v>
      </c>
      <c r="GZ30" s="130"/>
      <c r="HA30" s="1241"/>
      <c r="HB30" s="1242"/>
      <c r="HC30" s="1242"/>
      <c r="HD30" s="1243"/>
      <c r="HE30" s="1244"/>
      <c r="HF30" s="1242"/>
      <c r="HG30" s="1242"/>
      <c r="HH30" s="1242"/>
      <c r="HI30" s="1242"/>
      <c r="HJ30" s="1242"/>
      <c r="HK30" s="1242"/>
      <c r="HL30" s="1242"/>
      <c r="HM30" s="1242"/>
      <c r="HN30" s="1242"/>
      <c r="HO30" s="1242"/>
      <c r="HP30" s="1242"/>
      <c r="HQ30" s="1242"/>
      <c r="HR30" s="1242"/>
      <c r="HS30" s="1242"/>
      <c r="HT30" s="1242"/>
      <c r="HU30" s="1242"/>
      <c r="HV30" s="1242"/>
      <c r="HW30" s="1242"/>
      <c r="HX30" s="1242"/>
      <c r="HY30" s="1248"/>
      <c r="HZ30" s="1248"/>
      <c r="IA30" s="1248"/>
      <c r="IB30" s="1248"/>
      <c r="IC30" s="1248"/>
      <c r="ID30" s="1247"/>
      <c r="IE30" s="1241"/>
      <c r="IF30" s="1242"/>
      <c r="IG30" s="1243"/>
      <c r="IH30" s="1244"/>
      <c r="II30" s="1242"/>
      <c r="IJ30" s="1243"/>
      <c r="IK30" s="1244"/>
      <c r="IL30" s="1242"/>
      <c r="IM30" s="1242"/>
      <c r="IN30" s="1242"/>
      <c r="IO30" s="1242"/>
      <c r="IP30" s="1242"/>
      <c r="IQ30" s="1242"/>
      <c r="IR30" s="1242"/>
      <c r="IS30" s="1243"/>
      <c r="IT30" s="1244"/>
      <c r="IU30" s="1242"/>
      <c r="IV30" s="1242"/>
      <c r="IW30" s="1243"/>
      <c r="IX30" s="1244"/>
      <c r="IY30" s="1242"/>
      <c r="IZ30" s="1242"/>
      <c r="JA30" s="1243"/>
      <c r="JB30" s="1244"/>
      <c r="JC30" s="1242"/>
      <c r="JD30" s="1242"/>
      <c r="JE30" s="1243"/>
      <c r="JF30" s="1244"/>
      <c r="JG30" s="1242"/>
      <c r="JH30" s="1242"/>
      <c r="JI30" s="1242"/>
      <c r="JJ30" s="1248"/>
      <c r="JK30" s="1242"/>
      <c r="JL30" s="1171">
        <f t="shared" ca="1" si="43"/>
        <v>0</v>
      </c>
    </row>
    <row r="31" spans="1:274" s="145" customFormat="1" ht="12.6" customHeight="1" x14ac:dyDescent="0.25">
      <c r="A31" s="1448" t="str">
        <f t="shared" si="62"/>
        <v/>
      </c>
      <c r="B31" s="1681" t="str">
        <f t="shared" si="63"/>
        <v/>
      </c>
      <c r="C31" s="1449" t="str">
        <f t="shared" si="64"/>
        <v/>
      </c>
      <c r="D31" s="1705" t="str">
        <f t="shared" si="65"/>
        <v/>
      </c>
      <c r="E31" s="1706" t="str">
        <f t="shared" si="66"/>
        <v/>
      </c>
      <c r="F31" s="1707" t="str">
        <f t="shared" si="67"/>
        <v/>
      </c>
      <c r="G31" s="1708" t="str">
        <f t="shared" si="68"/>
        <v/>
      </c>
      <c r="H31" s="1709" t="str">
        <f t="shared" si="69"/>
        <v/>
      </c>
      <c r="I31" s="1710" t="str">
        <f t="shared" si="70"/>
        <v/>
      </c>
      <c r="J31" s="1705" t="str">
        <f t="shared" si="71"/>
        <v/>
      </c>
      <c r="K31" s="1709" t="str">
        <f t="shared" si="72"/>
        <v/>
      </c>
      <c r="L31" s="1711" t="str">
        <f t="shared" si="73"/>
        <v/>
      </c>
      <c r="M31" s="1712" t="str">
        <f t="shared" si="74"/>
        <v/>
      </c>
      <c r="N31" s="1713" t="str">
        <f t="shared" si="75"/>
        <v/>
      </c>
      <c r="O31" s="1708" t="str">
        <f t="shared" si="76"/>
        <v/>
      </c>
      <c r="P31" s="1709" t="str">
        <f t="shared" si="77"/>
        <v/>
      </c>
      <c r="Q31" s="1705" t="str">
        <f t="shared" si="78"/>
        <v/>
      </c>
      <c r="R31" s="1706" t="str">
        <f t="shared" si="79"/>
        <v/>
      </c>
      <c r="S31" s="1714" t="str">
        <f t="shared" si="80"/>
        <v/>
      </c>
      <c r="T31" s="1709" t="str">
        <f t="shared" si="81"/>
        <v/>
      </c>
      <c r="U31" s="1705" t="str">
        <f t="shared" si="82"/>
        <v/>
      </c>
      <c r="V31" s="1709" t="str">
        <f t="shared" si="83"/>
        <v/>
      </c>
      <c r="W31" s="1713">
        <f t="shared" si="84"/>
        <v>0</v>
      </c>
      <c r="X31" s="1715" t="str">
        <f t="shared" si="85"/>
        <v/>
      </c>
      <c r="Y31" s="1716" t="str">
        <f t="shared" si="86"/>
        <v/>
      </c>
      <c r="Z31" s="1717" t="str">
        <f t="shared" si="87"/>
        <v/>
      </c>
      <c r="AA31" s="1718" t="str">
        <f t="shared" si="88"/>
        <v/>
      </c>
      <c r="AB31" s="1448" t="str">
        <f t="shared" si="61"/>
        <v/>
      </c>
      <c r="AC31" s="1710" t="str">
        <f t="shared" si="4"/>
        <v/>
      </c>
      <c r="AD31" s="1705" t="str">
        <f t="shared" ca="1" si="44"/>
        <v/>
      </c>
      <c r="AE31" s="1709" t="str">
        <f t="shared" ca="1" si="45"/>
        <v/>
      </c>
      <c r="AF31" s="1710" t="str">
        <f t="shared" ca="1" si="46"/>
        <v/>
      </c>
      <c r="AG31" s="1705" t="str">
        <f t="shared" ca="1" si="47"/>
        <v/>
      </c>
      <c r="AH31" s="1709" t="str">
        <f t="shared" ca="1" si="48"/>
        <v/>
      </c>
      <c r="AI31" s="1705" t="str">
        <f t="shared" ca="1" si="49"/>
        <v/>
      </c>
      <c r="AJ31" s="1709" t="str">
        <f t="shared" ca="1" si="50"/>
        <v/>
      </c>
      <c r="AK31" s="1747" t="str">
        <f t="shared" si="53"/>
        <v/>
      </c>
      <c r="AL31" s="1748" t="str">
        <f t="shared" si="5"/>
        <v/>
      </c>
      <c r="AM31" s="1749" t="str">
        <f t="shared" si="54"/>
        <v/>
      </c>
      <c r="AN31" s="1710" t="str">
        <f t="shared" si="55"/>
        <v/>
      </c>
      <c r="AO31" s="1750" t="str">
        <f t="shared" si="56"/>
        <v/>
      </c>
      <c r="AP31" s="1712" t="str">
        <f t="shared" si="6"/>
        <v/>
      </c>
      <c r="AQ31" s="1751" t="str">
        <f t="shared" si="7"/>
        <v/>
      </c>
      <c r="AR31" s="1708" t="str">
        <f t="shared" si="21"/>
        <v/>
      </c>
      <c r="AS31" s="1709" t="str">
        <f t="shared" si="22"/>
        <v/>
      </c>
      <c r="AT31" s="1752" t="str">
        <f t="shared" si="23"/>
        <v/>
      </c>
      <c r="AU31" s="1753" t="str">
        <f t="shared" si="8"/>
        <v/>
      </c>
      <c r="AV31" s="1714" t="str">
        <f t="shared" si="24"/>
        <v/>
      </c>
      <c r="AW31" s="1709" t="str">
        <f t="shared" si="25"/>
        <v/>
      </c>
      <c r="AX31" s="1752" t="str">
        <f t="shared" si="26"/>
        <v/>
      </c>
      <c r="AY31" s="1753" t="str">
        <f t="shared" si="9"/>
        <v/>
      </c>
      <c r="AZ31" s="1714" t="str">
        <f t="shared" si="27"/>
        <v/>
      </c>
      <c r="BA31" s="1709" t="str">
        <f t="shared" si="28"/>
        <v/>
      </c>
      <c r="BB31" s="1752" t="str">
        <f t="shared" si="29"/>
        <v/>
      </c>
      <c r="BC31" s="1753" t="str">
        <f t="shared" si="10"/>
        <v/>
      </c>
      <c r="BD31" s="1714" t="str">
        <f t="shared" si="30"/>
        <v/>
      </c>
      <c r="BE31" s="1709" t="str">
        <f t="shared" si="31"/>
        <v/>
      </c>
      <c r="BF31" s="1752" t="str">
        <f t="shared" si="57"/>
        <v/>
      </c>
      <c r="BG31" s="1753" t="str">
        <f t="shared" si="11"/>
        <v/>
      </c>
      <c r="BH31" s="262"/>
      <c r="BJ31" s="1301" t="str">
        <f t="shared" si="117"/>
        <v/>
      </c>
      <c r="BK31" s="993" t="b">
        <f t="shared" ref="BK31:BK45" si="118">IF($BK$1,IF(BJ31=BJ30,BK30,IF(AND(BJ31&lt;&gt;"",OR(B31=0,B31="")),TRUE,FALSE)),FALSE)</f>
        <v>0</v>
      </c>
      <c r="BL31" s="989" t="b">
        <v>0</v>
      </c>
      <c r="BM31" s="989">
        <f t="shared" si="106"/>
        <v>0</v>
      </c>
      <c r="BN31" s="989">
        <f t="shared" si="107"/>
        <v>0</v>
      </c>
      <c r="BO31" s="989">
        <f t="shared" si="108"/>
        <v>0</v>
      </c>
      <c r="BP31" s="989">
        <f t="shared" si="89"/>
        <v>0</v>
      </c>
      <c r="BQ31" s="989">
        <f t="shared" si="109"/>
        <v>0</v>
      </c>
      <c r="BR31" s="989" t="b">
        <f t="shared" si="110"/>
        <v>1</v>
      </c>
      <c r="BS31" s="1302">
        <f t="shared" si="111"/>
        <v>6</v>
      </c>
      <c r="BT31" s="990" t="str">
        <f t="shared" si="112"/>
        <v>No</v>
      </c>
      <c r="BU31" s="1302">
        <f t="shared" si="113"/>
        <v>6</v>
      </c>
      <c r="BV31" s="990" t="str">
        <f t="shared" si="114"/>
        <v>No</v>
      </c>
      <c r="BW31" s="991">
        <f t="shared" ca="1" si="33"/>
        <v>0</v>
      </c>
      <c r="BX31" s="991" t="str">
        <f t="shared" ca="1" si="40"/>
        <v/>
      </c>
      <c r="BY31" s="991" t="b">
        <f t="shared" ca="1" si="34"/>
        <v>0</v>
      </c>
      <c r="BZ31" s="1303" t="b">
        <f t="shared" si="41"/>
        <v>0</v>
      </c>
      <c r="CB31" s="672"/>
      <c r="CC31" s="1684"/>
      <c r="CD31" s="699"/>
      <c r="CE31" s="700"/>
      <c r="CF31" s="1328"/>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1598"/>
      <c r="DE31" s="1599"/>
      <c r="DF31" s="141"/>
      <c r="DG31" s="141"/>
      <c r="DH31" s="672"/>
      <c r="DI31" s="673"/>
      <c r="DJ31" s="692"/>
      <c r="DK31" s="1331"/>
      <c r="DL31" s="674"/>
      <c r="DM31" s="693"/>
      <c r="DN31" s="1334"/>
      <c r="DO31" s="675"/>
      <c r="DP31" s="676"/>
      <c r="DQ31" s="1419"/>
      <c r="DR31" s="677"/>
      <c r="DS31" s="1611"/>
      <c r="DT31" s="1606"/>
      <c r="DU31" s="1607"/>
      <c r="DV31" s="678"/>
      <c r="DW31" s="1336"/>
      <c r="DX31" s="679"/>
      <c r="DY31" s="674"/>
      <c r="DZ31" s="678"/>
      <c r="EA31" s="1336"/>
      <c r="EB31" s="679"/>
      <c r="EC31" s="674"/>
      <c r="ED31" s="678"/>
      <c r="EE31" s="1336"/>
      <c r="EF31" s="679"/>
      <c r="EG31" s="674"/>
      <c r="EH31" s="678"/>
      <c r="EI31" s="1336"/>
      <c r="EJ31" s="679"/>
      <c r="EK31" s="680"/>
      <c r="EL31" s="141"/>
      <c r="EM31" s="1631" t="str">
        <f t="shared" si="115"/>
        <v/>
      </c>
      <c r="EN31" s="1632" t="str">
        <f t="shared" si="90"/>
        <v/>
      </c>
      <c r="EO31" s="648" t="str">
        <f t="shared" si="91"/>
        <v/>
      </c>
      <c r="EP31" s="649" t="str">
        <f t="shared" si="92"/>
        <v/>
      </c>
      <c r="EQ31" s="813" t="str">
        <f t="shared" si="93"/>
        <v/>
      </c>
      <c r="ER31" s="1590" t="str">
        <f t="shared" si="94"/>
        <v/>
      </c>
      <c r="ES31" s="1591" t="str">
        <f t="shared" si="95"/>
        <v/>
      </c>
      <c r="ET31" s="1588" t="str">
        <f t="shared" si="96"/>
        <v/>
      </c>
      <c r="EU31" s="1589" t="str">
        <f t="shared" si="97"/>
        <v/>
      </c>
      <c r="EV31" s="130"/>
      <c r="EW31" s="130"/>
      <c r="EX31" s="503" t="str">
        <f t="shared" ca="1" si="35"/>
        <v/>
      </c>
      <c r="EY31" s="940" t="str">
        <f t="shared" si="12"/>
        <v/>
      </c>
      <c r="EZ31" s="940" t="str">
        <f t="shared" si="36"/>
        <v/>
      </c>
      <c r="FA31" s="958" t="str">
        <f t="shared" ca="1" si="42"/>
        <v/>
      </c>
      <c r="FB31" s="134" t="str">
        <f t="shared" ca="1" si="37"/>
        <v/>
      </c>
      <c r="FC31" s="134">
        <f t="shared" ca="1" si="13"/>
        <v>0</v>
      </c>
      <c r="FD31" s="134">
        <f t="shared" ca="1" si="14"/>
        <v>0</v>
      </c>
      <c r="FE31" s="134">
        <f t="shared" ca="1" si="15"/>
        <v>0</v>
      </c>
      <c r="FF31" s="134">
        <f t="shared" ca="1" si="38"/>
        <v>0</v>
      </c>
      <c r="FN31" s="993" t="b">
        <v>0</v>
      </c>
      <c r="FO31" s="755" t="b">
        <f t="shared" si="116"/>
        <v>1</v>
      </c>
      <c r="FP31" s="754" t="b">
        <v>0</v>
      </c>
      <c r="FQ31" s="755" t="b">
        <f t="shared" si="39"/>
        <v>1</v>
      </c>
      <c r="FX31" s="197"/>
      <c r="FZ31" s="2"/>
      <c r="GA31" s="1761" t="str">
        <f t="shared" si="98"/>
        <v/>
      </c>
      <c r="GB31" s="1762" t="str">
        <f t="shared" si="99"/>
        <v/>
      </c>
      <c r="GC31" s="1763" t="str">
        <f t="shared" si="100"/>
        <v/>
      </c>
      <c r="GD31" s="1764" t="str">
        <f t="shared" si="101"/>
        <v/>
      </c>
      <c r="GE31" s="1765" t="str">
        <f t="shared" si="102"/>
        <v/>
      </c>
      <c r="GF31" s="582" t="str">
        <f t="shared" si="103"/>
        <v/>
      </c>
      <c r="GG31" s="692"/>
      <c r="GH31" s="1135"/>
      <c r="GI31" s="692"/>
      <c r="GJ31" s="1135"/>
      <c r="GK31" s="1640">
        <f t="shared" si="104"/>
        <v>0</v>
      </c>
      <c r="GL31" s="1640" t="e">
        <f t="shared" si="105"/>
        <v>#VALUE!</v>
      </c>
      <c r="GM31" s="1641" t="e">
        <f>IF(ABS(GK31-GL31)&gt;='Job Info.'!$L$22,ABS(GK31-GL31),0)</f>
        <v>#VALUE!</v>
      </c>
      <c r="GZ31" s="130"/>
      <c r="HA31" s="1241"/>
      <c r="HB31" s="1242"/>
      <c r="HC31" s="1242"/>
      <c r="HD31" s="1243"/>
      <c r="HE31" s="1244"/>
      <c r="HF31" s="1242"/>
      <c r="HG31" s="1242"/>
      <c r="HH31" s="1242"/>
      <c r="HI31" s="1242"/>
      <c r="HJ31" s="1242"/>
      <c r="HK31" s="1242"/>
      <c r="HL31" s="1242"/>
      <c r="HM31" s="1242"/>
      <c r="HN31" s="1242"/>
      <c r="HO31" s="1242"/>
      <c r="HP31" s="1242"/>
      <c r="HQ31" s="1242"/>
      <c r="HR31" s="1242"/>
      <c r="HS31" s="1242"/>
      <c r="HT31" s="1242"/>
      <c r="HU31" s="1242"/>
      <c r="HV31" s="1242"/>
      <c r="HW31" s="1242"/>
      <c r="HX31" s="1242"/>
      <c r="HY31" s="1248"/>
      <c r="HZ31" s="1248"/>
      <c r="IA31" s="1248"/>
      <c r="IB31" s="1248"/>
      <c r="IC31" s="1248"/>
      <c r="ID31" s="1247"/>
      <c r="IE31" s="1241"/>
      <c r="IF31" s="1242"/>
      <c r="IG31" s="1243"/>
      <c r="IH31" s="1244"/>
      <c r="II31" s="1242"/>
      <c r="IJ31" s="1243"/>
      <c r="IK31" s="1244"/>
      <c r="IL31" s="1242"/>
      <c r="IM31" s="1242"/>
      <c r="IN31" s="1242"/>
      <c r="IO31" s="1242"/>
      <c r="IP31" s="1242"/>
      <c r="IQ31" s="1242"/>
      <c r="IR31" s="1242"/>
      <c r="IS31" s="1243"/>
      <c r="IT31" s="1244"/>
      <c r="IU31" s="1242"/>
      <c r="IV31" s="1242"/>
      <c r="IW31" s="1243"/>
      <c r="IX31" s="1244"/>
      <c r="IY31" s="1242"/>
      <c r="IZ31" s="1242"/>
      <c r="JA31" s="1243"/>
      <c r="JB31" s="1244"/>
      <c r="JC31" s="1242"/>
      <c r="JD31" s="1242"/>
      <c r="JE31" s="1243"/>
      <c r="JF31" s="1244"/>
      <c r="JG31" s="1242"/>
      <c r="JH31" s="1242"/>
      <c r="JI31" s="1242"/>
      <c r="JJ31" s="1248"/>
      <c r="JK31" s="1242"/>
      <c r="JL31" s="1171">
        <f t="shared" ca="1" si="43"/>
        <v>0</v>
      </c>
    </row>
    <row r="32" spans="1:274" ht="12.6" customHeight="1" x14ac:dyDescent="0.25">
      <c r="A32" s="1448" t="str">
        <f t="shared" si="62"/>
        <v/>
      </c>
      <c r="B32" s="1681" t="str">
        <f t="shared" si="63"/>
        <v/>
      </c>
      <c r="C32" s="1449" t="str">
        <f t="shared" si="64"/>
        <v/>
      </c>
      <c r="D32" s="1705" t="str">
        <f t="shared" si="65"/>
        <v/>
      </c>
      <c r="E32" s="1706" t="str">
        <f t="shared" si="66"/>
        <v/>
      </c>
      <c r="F32" s="1707" t="str">
        <f t="shared" si="67"/>
        <v/>
      </c>
      <c r="G32" s="1708" t="str">
        <f t="shared" si="68"/>
        <v/>
      </c>
      <c r="H32" s="1709" t="str">
        <f t="shared" si="69"/>
        <v/>
      </c>
      <c r="I32" s="1710" t="str">
        <f t="shared" si="70"/>
        <v/>
      </c>
      <c r="J32" s="1705" t="str">
        <f t="shared" si="71"/>
        <v/>
      </c>
      <c r="K32" s="1709" t="str">
        <f t="shared" si="72"/>
        <v/>
      </c>
      <c r="L32" s="1711" t="str">
        <f t="shared" si="73"/>
        <v/>
      </c>
      <c r="M32" s="1712" t="str">
        <f t="shared" si="74"/>
        <v/>
      </c>
      <c r="N32" s="1713" t="str">
        <f t="shared" si="75"/>
        <v/>
      </c>
      <c r="O32" s="1708" t="str">
        <f t="shared" si="76"/>
        <v/>
      </c>
      <c r="P32" s="1709" t="str">
        <f t="shared" si="77"/>
        <v/>
      </c>
      <c r="Q32" s="1705" t="str">
        <f t="shared" si="78"/>
        <v/>
      </c>
      <c r="R32" s="1706" t="str">
        <f t="shared" si="79"/>
        <v/>
      </c>
      <c r="S32" s="1714" t="str">
        <f t="shared" si="80"/>
        <v/>
      </c>
      <c r="T32" s="1709" t="str">
        <f t="shared" si="81"/>
        <v/>
      </c>
      <c r="U32" s="1705" t="str">
        <f t="shared" si="82"/>
        <v/>
      </c>
      <c r="V32" s="1709" t="str">
        <f t="shared" si="83"/>
        <v/>
      </c>
      <c r="W32" s="1713">
        <f t="shared" si="84"/>
        <v>0</v>
      </c>
      <c r="X32" s="1715" t="str">
        <f t="shared" si="85"/>
        <v/>
      </c>
      <c r="Y32" s="1716" t="str">
        <f t="shared" si="86"/>
        <v/>
      </c>
      <c r="Z32" s="1717" t="str">
        <f t="shared" si="87"/>
        <v/>
      </c>
      <c r="AA32" s="1718" t="str">
        <f t="shared" si="88"/>
        <v/>
      </c>
      <c r="AB32" s="1448" t="str">
        <f t="shared" si="61"/>
        <v/>
      </c>
      <c r="AC32" s="1710" t="str">
        <f t="shared" si="4"/>
        <v/>
      </c>
      <c r="AD32" s="1705" t="str">
        <f t="shared" ca="1" si="44"/>
        <v/>
      </c>
      <c r="AE32" s="1709" t="str">
        <f t="shared" ca="1" si="45"/>
        <v/>
      </c>
      <c r="AF32" s="1710" t="str">
        <f t="shared" ca="1" si="46"/>
        <v/>
      </c>
      <c r="AG32" s="1705" t="str">
        <f t="shared" ca="1" si="47"/>
        <v/>
      </c>
      <c r="AH32" s="1709" t="str">
        <f t="shared" ca="1" si="48"/>
        <v/>
      </c>
      <c r="AI32" s="1705" t="str">
        <f t="shared" ca="1" si="49"/>
        <v/>
      </c>
      <c r="AJ32" s="1709" t="str">
        <f t="shared" ca="1" si="50"/>
        <v/>
      </c>
      <c r="AK32" s="1747" t="str">
        <f t="shared" si="53"/>
        <v/>
      </c>
      <c r="AL32" s="1748" t="str">
        <f t="shared" si="5"/>
        <v/>
      </c>
      <c r="AM32" s="1749" t="str">
        <f t="shared" si="54"/>
        <v/>
      </c>
      <c r="AN32" s="1710" t="str">
        <f t="shared" si="55"/>
        <v/>
      </c>
      <c r="AO32" s="1750" t="str">
        <f t="shared" si="56"/>
        <v/>
      </c>
      <c r="AP32" s="1712" t="str">
        <f t="shared" si="6"/>
        <v/>
      </c>
      <c r="AQ32" s="1751" t="str">
        <f t="shared" si="7"/>
        <v/>
      </c>
      <c r="AR32" s="1708" t="str">
        <f t="shared" si="21"/>
        <v/>
      </c>
      <c r="AS32" s="1709" t="str">
        <f t="shared" si="22"/>
        <v/>
      </c>
      <c r="AT32" s="1752" t="str">
        <f t="shared" si="23"/>
        <v/>
      </c>
      <c r="AU32" s="1753" t="str">
        <f t="shared" si="8"/>
        <v/>
      </c>
      <c r="AV32" s="1714" t="str">
        <f t="shared" si="24"/>
        <v/>
      </c>
      <c r="AW32" s="1709" t="str">
        <f t="shared" si="25"/>
        <v/>
      </c>
      <c r="AX32" s="1752" t="str">
        <f t="shared" si="26"/>
        <v/>
      </c>
      <c r="AY32" s="1753" t="str">
        <f t="shared" si="9"/>
        <v/>
      </c>
      <c r="AZ32" s="1714" t="str">
        <f t="shared" si="27"/>
        <v/>
      </c>
      <c r="BA32" s="1709" t="str">
        <f t="shared" si="28"/>
        <v/>
      </c>
      <c r="BB32" s="1752" t="str">
        <f t="shared" si="29"/>
        <v/>
      </c>
      <c r="BC32" s="1753" t="str">
        <f t="shared" si="10"/>
        <v/>
      </c>
      <c r="BD32" s="1714" t="str">
        <f t="shared" si="30"/>
        <v/>
      </c>
      <c r="BE32" s="1709" t="str">
        <f t="shared" si="31"/>
        <v/>
      </c>
      <c r="BF32" s="1752" t="str">
        <f t="shared" si="57"/>
        <v/>
      </c>
      <c r="BG32" s="1753" t="str">
        <f t="shared" si="11"/>
        <v/>
      </c>
      <c r="BH32" s="261"/>
      <c r="BJ32" s="1301" t="str">
        <f t="shared" si="117"/>
        <v/>
      </c>
      <c r="BK32" s="993" t="b">
        <f t="shared" si="118"/>
        <v>0</v>
      </c>
      <c r="BL32" s="989" t="b">
        <v>0</v>
      </c>
      <c r="BM32" s="989">
        <f t="shared" si="106"/>
        <v>0</v>
      </c>
      <c r="BN32" s="989">
        <f t="shared" si="107"/>
        <v>0</v>
      </c>
      <c r="BO32" s="989">
        <f t="shared" si="108"/>
        <v>0</v>
      </c>
      <c r="BP32" s="989">
        <f t="shared" si="89"/>
        <v>0</v>
      </c>
      <c r="BQ32" s="989">
        <f t="shared" si="109"/>
        <v>0</v>
      </c>
      <c r="BR32" s="989" t="b">
        <f t="shared" si="110"/>
        <v>1</v>
      </c>
      <c r="BS32" s="1302">
        <f t="shared" si="111"/>
        <v>6</v>
      </c>
      <c r="BT32" s="990" t="str">
        <f t="shared" si="112"/>
        <v>No</v>
      </c>
      <c r="BU32" s="1302">
        <f t="shared" si="113"/>
        <v>6</v>
      </c>
      <c r="BV32" s="990" t="str">
        <f t="shared" si="114"/>
        <v>No</v>
      </c>
      <c r="BW32" s="991">
        <f t="shared" ca="1" si="33"/>
        <v>0</v>
      </c>
      <c r="BX32" s="991" t="str">
        <f t="shared" ca="1" si="40"/>
        <v/>
      </c>
      <c r="BY32" s="991" t="b">
        <f t="shared" ca="1" si="34"/>
        <v>0</v>
      </c>
      <c r="BZ32" s="1303" t="b">
        <f t="shared" si="41"/>
        <v>0</v>
      </c>
      <c r="CB32" s="672"/>
      <c r="CC32" s="1684"/>
      <c r="CD32" s="699"/>
      <c r="CE32" s="700"/>
      <c r="CF32" s="1328"/>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1598"/>
      <c r="DE32" s="1599"/>
      <c r="DF32" s="141"/>
      <c r="DG32" s="141"/>
      <c r="DH32" s="746"/>
      <c r="DI32" s="673"/>
      <c r="DJ32" s="692"/>
      <c r="DK32" s="1331"/>
      <c r="DL32" s="674"/>
      <c r="DM32" s="693"/>
      <c r="DN32" s="1334"/>
      <c r="DO32" s="675"/>
      <c r="DP32" s="676"/>
      <c r="DQ32" s="1419"/>
      <c r="DR32" s="677"/>
      <c r="DS32" s="1611"/>
      <c r="DT32" s="1606"/>
      <c r="DU32" s="1607"/>
      <c r="DV32" s="678"/>
      <c r="DW32" s="1336"/>
      <c r="DX32" s="679"/>
      <c r="DY32" s="674"/>
      <c r="DZ32" s="678"/>
      <c r="EA32" s="1336"/>
      <c r="EB32" s="679"/>
      <c r="EC32" s="674"/>
      <c r="ED32" s="678"/>
      <c r="EE32" s="1336"/>
      <c r="EF32" s="679"/>
      <c r="EG32" s="674"/>
      <c r="EH32" s="678"/>
      <c r="EI32" s="1336"/>
      <c r="EJ32" s="679"/>
      <c r="EK32" s="680"/>
      <c r="EL32" s="141"/>
      <c r="EM32" s="1631" t="str">
        <f t="shared" si="115"/>
        <v/>
      </c>
      <c r="EN32" s="1632" t="str">
        <f t="shared" si="90"/>
        <v/>
      </c>
      <c r="EO32" s="648" t="str">
        <f t="shared" si="91"/>
        <v/>
      </c>
      <c r="EP32" s="649" t="str">
        <f t="shared" si="92"/>
        <v/>
      </c>
      <c r="EQ32" s="813" t="str">
        <f t="shared" si="93"/>
        <v/>
      </c>
      <c r="ER32" s="1586" t="str">
        <f t="shared" si="94"/>
        <v/>
      </c>
      <c r="ES32" s="1587" t="str">
        <f t="shared" si="95"/>
        <v/>
      </c>
      <c r="ET32" s="1588" t="str">
        <f t="shared" si="96"/>
        <v/>
      </c>
      <c r="EU32" s="1589" t="str">
        <f t="shared" si="97"/>
        <v/>
      </c>
      <c r="EX32" s="503" t="str">
        <f t="shared" ca="1" si="35"/>
        <v/>
      </c>
      <c r="EY32" s="940" t="str">
        <f t="shared" si="12"/>
        <v/>
      </c>
      <c r="EZ32" s="940" t="str">
        <f t="shared" si="36"/>
        <v/>
      </c>
      <c r="FA32" s="958" t="str">
        <f t="shared" ca="1" si="42"/>
        <v/>
      </c>
      <c r="FB32" s="134" t="str">
        <f t="shared" ca="1" si="37"/>
        <v/>
      </c>
      <c r="FC32" s="134">
        <f t="shared" ca="1" si="13"/>
        <v>0</v>
      </c>
      <c r="FD32" s="134">
        <f t="shared" ca="1" si="14"/>
        <v>0</v>
      </c>
      <c r="FE32" s="134">
        <f t="shared" ca="1" si="15"/>
        <v>0</v>
      </c>
      <c r="FF32" s="134">
        <f t="shared" ca="1" si="38"/>
        <v>0</v>
      </c>
      <c r="FN32" s="993" t="b">
        <v>1</v>
      </c>
      <c r="FO32" s="754" t="b">
        <f t="shared" si="116"/>
        <v>1</v>
      </c>
      <c r="FP32" s="754" t="b">
        <v>0</v>
      </c>
      <c r="FQ32" s="754" t="b">
        <f t="shared" si="39"/>
        <v>1</v>
      </c>
      <c r="FX32" s="197"/>
      <c r="FZ32" s="2"/>
      <c r="GA32" s="1761" t="str">
        <f t="shared" si="98"/>
        <v/>
      </c>
      <c r="GB32" s="1762" t="str">
        <f t="shared" si="99"/>
        <v/>
      </c>
      <c r="GC32" s="1763" t="str">
        <f t="shared" si="100"/>
        <v/>
      </c>
      <c r="GD32" s="1764" t="str">
        <f t="shared" si="101"/>
        <v/>
      </c>
      <c r="GE32" s="1765" t="str">
        <f t="shared" si="102"/>
        <v/>
      </c>
      <c r="GF32" s="582" t="str">
        <f t="shared" si="103"/>
        <v/>
      </c>
      <c r="GG32" s="692"/>
      <c r="GH32" s="1135"/>
      <c r="GI32" s="692"/>
      <c r="GJ32" s="1135"/>
      <c r="GK32" s="1640">
        <f t="shared" si="104"/>
        <v>0</v>
      </c>
      <c r="GL32" s="1640" t="e">
        <f t="shared" si="105"/>
        <v>#VALUE!</v>
      </c>
      <c r="GM32" s="1641" t="e">
        <f>IF(ABS(GK32-GL32)&gt;='Job Info.'!$L$22,ABS(GK32-GL32),0)</f>
        <v>#VALUE!</v>
      </c>
      <c r="HA32" s="1241"/>
      <c r="HB32" s="1242"/>
      <c r="HC32" s="1242"/>
      <c r="HD32" s="1243"/>
      <c r="HE32" s="1244"/>
      <c r="HF32" s="1242"/>
      <c r="HG32" s="1242"/>
      <c r="HH32" s="1242"/>
      <c r="HI32" s="1242"/>
      <c r="HJ32" s="1242"/>
      <c r="HK32" s="1242"/>
      <c r="HL32" s="1242"/>
      <c r="HM32" s="1242"/>
      <c r="HN32" s="1242"/>
      <c r="HO32" s="1242"/>
      <c r="HP32" s="1242"/>
      <c r="HQ32" s="1242"/>
      <c r="HR32" s="1242"/>
      <c r="HS32" s="1242"/>
      <c r="HT32" s="1242"/>
      <c r="HU32" s="1242"/>
      <c r="HV32" s="1242"/>
      <c r="HW32" s="1242"/>
      <c r="HX32" s="1242"/>
      <c r="HY32" s="1246"/>
      <c r="HZ32" s="1246"/>
      <c r="IA32" s="1246"/>
      <c r="IB32" s="1246"/>
      <c r="IC32" s="1246"/>
      <c r="ID32" s="1247"/>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43"/>
        <v>0</v>
      </c>
    </row>
    <row r="33" spans="1:272" ht="12.6" customHeight="1" x14ac:dyDescent="0.25">
      <c r="A33" s="1448" t="str">
        <f t="shared" si="62"/>
        <v/>
      </c>
      <c r="B33" s="1681" t="str">
        <f t="shared" si="63"/>
        <v/>
      </c>
      <c r="C33" s="1449" t="str">
        <f t="shared" si="64"/>
        <v/>
      </c>
      <c r="D33" s="1705" t="str">
        <f t="shared" si="65"/>
        <v/>
      </c>
      <c r="E33" s="1706" t="str">
        <f t="shared" si="66"/>
        <v/>
      </c>
      <c r="F33" s="1707" t="str">
        <f t="shared" si="67"/>
        <v/>
      </c>
      <c r="G33" s="1708" t="str">
        <f t="shared" si="68"/>
        <v/>
      </c>
      <c r="H33" s="1709" t="str">
        <f t="shared" si="69"/>
        <v/>
      </c>
      <c r="I33" s="1710" t="str">
        <f t="shared" si="70"/>
        <v/>
      </c>
      <c r="J33" s="1705" t="str">
        <f t="shared" si="71"/>
        <v/>
      </c>
      <c r="K33" s="1709" t="str">
        <f t="shared" si="72"/>
        <v/>
      </c>
      <c r="L33" s="1711" t="str">
        <f t="shared" si="73"/>
        <v/>
      </c>
      <c r="M33" s="1712" t="str">
        <f t="shared" si="74"/>
        <v/>
      </c>
      <c r="N33" s="1713" t="str">
        <f t="shared" si="75"/>
        <v/>
      </c>
      <c r="O33" s="1708" t="str">
        <f t="shared" si="76"/>
        <v/>
      </c>
      <c r="P33" s="1709" t="str">
        <f t="shared" si="77"/>
        <v/>
      </c>
      <c r="Q33" s="1705" t="str">
        <f t="shared" si="78"/>
        <v/>
      </c>
      <c r="R33" s="1706" t="str">
        <f t="shared" si="79"/>
        <v/>
      </c>
      <c r="S33" s="1714" t="str">
        <f t="shared" si="80"/>
        <v/>
      </c>
      <c r="T33" s="1709" t="str">
        <f t="shared" si="81"/>
        <v/>
      </c>
      <c r="U33" s="1705" t="str">
        <f t="shared" si="82"/>
        <v/>
      </c>
      <c r="V33" s="1709" t="str">
        <f t="shared" si="83"/>
        <v/>
      </c>
      <c r="W33" s="1713">
        <f t="shared" si="84"/>
        <v>0</v>
      </c>
      <c r="X33" s="1715" t="str">
        <f t="shared" si="85"/>
        <v/>
      </c>
      <c r="Y33" s="1716" t="str">
        <f t="shared" si="86"/>
        <v/>
      </c>
      <c r="Z33" s="1717" t="str">
        <f t="shared" si="87"/>
        <v/>
      </c>
      <c r="AA33" s="1718" t="str">
        <f t="shared" si="88"/>
        <v/>
      </c>
      <c r="AB33" s="1448" t="str">
        <f t="shared" si="61"/>
        <v/>
      </c>
      <c r="AC33" s="1710" t="str">
        <f t="shared" si="4"/>
        <v/>
      </c>
      <c r="AD33" s="1705" t="str">
        <f t="shared" ca="1" si="44"/>
        <v/>
      </c>
      <c r="AE33" s="1709" t="str">
        <f t="shared" ca="1" si="45"/>
        <v/>
      </c>
      <c r="AF33" s="1710" t="str">
        <f t="shared" ca="1" si="46"/>
        <v/>
      </c>
      <c r="AG33" s="1705" t="str">
        <f t="shared" ca="1" si="47"/>
        <v/>
      </c>
      <c r="AH33" s="1709" t="str">
        <f t="shared" ca="1" si="48"/>
        <v/>
      </c>
      <c r="AI33" s="1705" t="str">
        <f t="shared" ca="1" si="49"/>
        <v/>
      </c>
      <c r="AJ33" s="1709" t="str">
        <f t="shared" ca="1" si="50"/>
        <v/>
      </c>
      <c r="AK33" s="1747" t="str">
        <f t="shared" si="53"/>
        <v/>
      </c>
      <c r="AL33" s="1748" t="str">
        <f t="shared" si="5"/>
        <v/>
      </c>
      <c r="AM33" s="1749" t="str">
        <f t="shared" si="54"/>
        <v/>
      </c>
      <c r="AN33" s="1710" t="str">
        <f t="shared" si="55"/>
        <v/>
      </c>
      <c r="AO33" s="1750" t="str">
        <f t="shared" si="56"/>
        <v/>
      </c>
      <c r="AP33" s="1712" t="str">
        <f t="shared" si="6"/>
        <v/>
      </c>
      <c r="AQ33" s="1751" t="str">
        <f t="shared" si="7"/>
        <v/>
      </c>
      <c r="AR33" s="1708" t="str">
        <f t="shared" si="21"/>
        <v/>
      </c>
      <c r="AS33" s="1709" t="str">
        <f t="shared" si="22"/>
        <v/>
      </c>
      <c r="AT33" s="1752" t="str">
        <f t="shared" si="23"/>
        <v/>
      </c>
      <c r="AU33" s="1753" t="str">
        <f t="shared" si="8"/>
        <v/>
      </c>
      <c r="AV33" s="1714" t="str">
        <f t="shared" si="24"/>
        <v/>
      </c>
      <c r="AW33" s="1709" t="str">
        <f t="shared" si="25"/>
        <v/>
      </c>
      <c r="AX33" s="1752" t="str">
        <f t="shared" si="26"/>
        <v/>
      </c>
      <c r="AY33" s="1753" t="str">
        <f t="shared" si="9"/>
        <v/>
      </c>
      <c r="AZ33" s="1714" t="str">
        <f t="shared" si="27"/>
        <v/>
      </c>
      <c r="BA33" s="1709" t="str">
        <f t="shared" si="28"/>
        <v/>
      </c>
      <c r="BB33" s="1752" t="str">
        <f t="shared" si="29"/>
        <v/>
      </c>
      <c r="BC33" s="1753" t="str">
        <f t="shared" si="10"/>
        <v/>
      </c>
      <c r="BD33" s="1714" t="str">
        <f t="shared" si="30"/>
        <v/>
      </c>
      <c r="BE33" s="1709" t="str">
        <f t="shared" si="31"/>
        <v/>
      </c>
      <c r="BF33" s="1752" t="str">
        <f t="shared" si="57"/>
        <v/>
      </c>
      <c r="BG33" s="1753" t="str">
        <f t="shared" si="11"/>
        <v/>
      </c>
      <c r="BH33" s="261"/>
      <c r="BJ33" s="1301" t="str">
        <f t="shared" si="117"/>
        <v/>
      </c>
      <c r="BK33" s="993" t="b">
        <f t="shared" si="118"/>
        <v>0</v>
      </c>
      <c r="BL33" s="989" t="b">
        <v>0</v>
      </c>
      <c r="BM33" s="989">
        <f t="shared" si="106"/>
        <v>0</v>
      </c>
      <c r="BN33" s="989">
        <f t="shared" si="107"/>
        <v>0</v>
      </c>
      <c r="BO33" s="989">
        <f t="shared" si="108"/>
        <v>0</v>
      </c>
      <c r="BP33" s="989">
        <f t="shared" si="89"/>
        <v>0</v>
      </c>
      <c r="BQ33" s="989">
        <f t="shared" si="109"/>
        <v>0</v>
      </c>
      <c r="BR33" s="989" t="b">
        <f t="shared" si="110"/>
        <v>1</v>
      </c>
      <c r="BS33" s="1302">
        <f t="shared" si="111"/>
        <v>6</v>
      </c>
      <c r="BT33" s="990" t="str">
        <f t="shared" si="112"/>
        <v>No</v>
      </c>
      <c r="BU33" s="1302">
        <f t="shared" si="113"/>
        <v>6</v>
      </c>
      <c r="BV33" s="990" t="str">
        <f t="shared" si="114"/>
        <v>No</v>
      </c>
      <c r="BW33" s="991">
        <f t="shared" ca="1" si="33"/>
        <v>0</v>
      </c>
      <c r="BX33" s="991" t="str">
        <f t="shared" ca="1" si="40"/>
        <v/>
      </c>
      <c r="BY33" s="991" t="b">
        <f t="shared" ca="1" si="34"/>
        <v>0</v>
      </c>
      <c r="BZ33" s="1303" t="b">
        <f t="shared" si="41"/>
        <v>0</v>
      </c>
      <c r="CB33" s="672"/>
      <c r="CC33" s="1684"/>
      <c r="CD33" s="699"/>
      <c r="CE33" s="700"/>
      <c r="CF33" s="1328"/>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1598"/>
      <c r="DE33" s="1599"/>
      <c r="DF33" s="141"/>
      <c r="DG33" s="141"/>
      <c r="DH33" s="672"/>
      <c r="DI33" s="673"/>
      <c r="DJ33" s="692"/>
      <c r="DK33" s="1331"/>
      <c r="DL33" s="674"/>
      <c r="DM33" s="693"/>
      <c r="DN33" s="1334"/>
      <c r="DO33" s="675"/>
      <c r="DP33" s="676"/>
      <c r="DQ33" s="1419"/>
      <c r="DR33" s="677"/>
      <c r="DS33" s="1611"/>
      <c r="DT33" s="1606"/>
      <c r="DU33" s="1607"/>
      <c r="DV33" s="678"/>
      <c r="DW33" s="1336"/>
      <c r="DX33" s="679"/>
      <c r="DY33" s="674"/>
      <c r="DZ33" s="678"/>
      <c r="EA33" s="1336"/>
      <c r="EB33" s="679"/>
      <c r="EC33" s="674"/>
      <c r="ED33" s="678"/>
      <c r="EE33" s="1336"/>
      <c r="EF33" s="679"/>
      <c r="EG33" s="674"/>
      <c r="EH33" s="678"/>
      <c r="EI33" s="1336"/>
      <c r="EJ33" s="679"/>
      <c r="EK33" s="680"/>
      <c r="EL33" s="141"/>
      <c r="EM33" s="1631" t="str">
        <f t="shared" si="115"/>
        <v/>
      </c>
      <c r="EN33" s="1632" t="str">
        <f t="shared" si="90"/>
        <v/>
      </c>
      <c r="EO33" s="648" t="str">
        <f t="shared" si="91"/>
        <v/>
      </c>
      <c r="EP33" s="649" t="str">
        <f t="shared" si="92"/>
        <v/>
      </c>
      <c r="EQ33" s="813" t="str">
        <f t="shared" si="93"/>
        <v/>
      </c>
      <c r="ER33" s="1586" t="str">
        <f t="shared" si="94"/>
        <v/>
      </c>
      <c r="ES33" s="1587" t="str">
        <f t="shared" si="95"/>
        <v/>
      </c>
      <c r="ET33" s="1588" t="str">
        <f t="shared" si="96"/>
        <v/>
      </c>
      <c r="EU33" s="1589" t="str">
        <f t="shared" si="97"/>
        <v/>
      </c>
      <c r="EX33" s="503" t="str">
        <f t="shared" ca="1" si="35"/>
        <v/>
      </c>
      <c r="EY33" s="940" t="str">
        <f t="shared" si="12"/>
        <v/>
      </c>
      <c r="EZ33" s="940" t="str">
        <f t="shared" si="36"/>
        <v/>
      </c>
      <c r="FA33" s="958" t="str">
        <f t="shared" ca="1" si="42"/>
        <v/>
      </c>
      <c r="FB33" s="134" t="str">
        <f t="shared" ca="1" si="37"/>
        <v/>
      </c>
      <c r="FC33" s="134">
        <f t="shared" ca="1" si="13"/>
        <v>0</v>
      </c>
      <c r="FD33" s="134">
        <f t="shared" ca="1" si="14"/>
        <v>0</v>
      </c>
      <c r="FE33" s="134">
        <f t="shared" ca="1" si="15"/>
        <v>0</v>
      </c>
      <c r="FF33" s="134">
        <f t="shared" ca="1" si="38"/>
        <v>0</v>
      </c>
      <c r="FN33" s="993" t="b">
        <v>0</v>
      </c>
      <c r="FO33" s="754" t="b">
        <f t="shared" si="116"/>
        <v>1</v>
      </c>
      <c r="FP33" s="754" t="b">
        <v>0</v>
      </c>
      <c r="FQ33" s="754" t="b">
        <f t="shared" si="39"/>
        <v>1</v>
      </c>
      <c r="FX33" s="197"/>
      <c r="FZ33" s="2"/>
      <c r="GA33" s="1761" t="str">
        <f t="shared" si="98"/>
        <v/>
      </c>
      <c r="GB33" s="1762" t="str">
        <f t="shared" si="99"/>
        <v/>
      </c>
      <c r="GC33" s="1763" t="str">
        <f t="shared" si="100"/>
        <v/>
      </c>
      <c r="GD33" s="1764" t="str">
        <f t="shared" si="101"/>
        <v/>
      </c>
      <c r="GE33" s="1765" t="str">
        <f t="shared" si="102"/>
        <v/>
      </c>
      <c r="GF33" s="582" t="str">
        <f t="shared" si="103"/>
        <v/>
      </c>
      <c r="GG33" s="692"/>
      <c r="GH33" s="1135"/>
      <c r="GI33" s="692"/>
      <c r="GJ33" s="1135"/>
      <c r="GK33" s="1640">
        <f t="shared" si="104"/>
        <v>0</v>
      </c>
      <c r="GL33" s="1640" t="e">
        <f t="shared" si="105"/>
        <v>#VALUE!</v>
      </c>
      <c r="GM33" s="1641" t="e">
        <f>IF(ABS(GK33-GL33)&gt;='Job Info.'!$L$22,ABS(GK33-GL33),0)</f>
        <v>#VALUE!</v>
      </c>
      <c r="HA33" s="1241"/>
      <c r="HB33" s="1242"/>
      <c r="HC33" s="1242"/>
      <c r="HD33" s="1243"/>
      <c r="HE33" s="1244"/>
      <c r="HF33" s="1242"/>
      <c r="HG33" s="1242"/>
      <c r="HH33" s="1242"/>
      <c r="HI33" s="1242"/>
      <c r="HJ33" s="1242"/>
      <c r="HK33" s="1242"/>
      <c r="HL33" s="1242"/>
      <c r="HM33" s="1242"/>
      <c r="HN33" s="1242"/>
      <c r="HO33" s="1242"/>
      <c r="HP33" s="1242"/>
      <c r="HQ33" s="1242"/>
      <c r="HR33" s="1242"/>
      <c r="HS33" s="1242"/>
      <c r="HT33" s="1242"/>
      <c r="HU33" s="1242"/>
      <c r="HV33" s="1242"/>
      <c r="HW33" s="1242"/>
      <c r="HX33" s="1242"/>
      <c r="HY33" s="1246"/>
      <c r="HZ33" s="1246"/>
      <c r="IA33" s="1246"/>
      <c r="IB33" s="1246"/>
      <c r="IC33" s="1246"/>
      <c r="ID33" s="1247"/>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43"/>
        <v>0</v>
      </c>
    </row>
    <row r="34" spans="1:272" ht="12.6" customHeight="1" x14ac:dyDescent="0.25">
      <c r="A34" s="1448" t="str">
        <f t="shared" si="62"/>
        <v/>
      </c>
      <c r="B34" s="1681" t="str">
        <f t="shared" si="63"/>
        <v/>
      </c>
      <c r="C34" s="1449" t="str">
        <f t="shared" si="64"/>
        <v/>
      </c>
      <c r="D34" s="1705" t="str">
        <f t="shared" si="65"/>
        <v/>
      </c>
      <c r="E34" s="1706" t="str">
        <f t="shared" si="66"/>
        <v/>
      </c>
      <c r="F34" s="1707" t="str">
        <f t="shared" si="67"/>
        <v/>
      </c>
      <c r="G34" s="1708" t="str">
        <f t="shared" si="68"/>
        <v/>
      </c>
      <c r="H34" s="1709" t="str">
        <f t="shared" si="69"/>
        <v/>
      </c>
      <c r="I34" s="1710" t="str">
        <f t="shared" si="70"/>
        <v/>
      </c>
      <c r="J34" s="1705" t="str">
        <f t="shared" si="71"/>
        <v/>
      </c>
      <c r="K34" s="1709" t="str">
        <f t="shared" si="72"/>
        <v/>
      </c>
      <c r="L34" s="1711" t="str">
        <f t="shared" si="73"/>
        <v/>
      </c>
      <c r="M34" s="1712" t="str">
        <f t="shared" si="74"/>
        <v/>
      </c>
      <c r="N34" s="1713" t="str">
        <f t="shared" si="75"/>
        <v/>
      </c>
      <c r="O34" s="1708" t="str">
        <f t="shared" si="76"/>
        <v/>
      </c>
      <c r="P34" s="1709" t="str">
        <f t="shared" si="77"/>
        <v/>
      </c>
      <c r="Q34" s="1705" t="str">
        <f t="shared" si="78"/>
        <v/>
      </c>
      <c r="R34" s="1706" t="str">
        <f t="shared" si="79"/>
        <v/>
      </c>
      <c r="S34" s="1714" t="str">
        <f t="shared" si="80"/>
        <v/>
      </c>
      <c r="T34" s="1709" t="str">
        <f t="shared" si="81"/>
        <v/>
      </c>
      <c r="U34" s="1705" t="str">
        <f t="shared" si="82"/>
        <v/>
      </c>
      <c r="V34" s="1709" t="str">
        <f t="shared" si="83"/>
        <v/>
      </c>
      <c r="W34" s="1713">
        <f t="shared" si="84"/>
        <v>0</v>
      </c>
      <c r="X34" s="1715" t="str">
        <f t="shared" si="85"/>
        <v/>
      </c>
      <c r="Y34" s="1716" t="str">
        <f t="shared" si="86"/>
        <v/>
      </c>
      <c r="Z34" s="1717" t="str">
        <f t="shared" si="87"/>
        <v/>
      </c>
      <c r="AA34" s="1718" t="str">
        <f t="shared" si="88"/>
        <v/>
      </c>
      <c r="AB34" s="1448" t="str">
        <f t="shared" si="61"/>
        <v/>
      </c>
      <c r="AC34" s="1710" t="str">
        <f t="shared" si="4"/>
        <v/>
      </c>
      <c r="AD34" s="1705" t="str">
        <f t="shared" ca="1" si="44"/>
        <v/>
      </c>
      <c r="AE34" s="1709" t="str">
        <f t="shared" ca="1" si="45"/>
        <v/>
      </c>
      <c r="AF34" s="1710" t="str">
        <f t="shared" ca="1" si="46"/>
        <v/>
      </c>
      <c r="AG34" s="1705" t="str">
        <f t="shared" ca="1" si="47"/>
        <v/>
      </c>
      <c r="AH34" s="1709" t="str">
        <f t="shared" ca="1" si="48"/>
        <v/>
      </c>
      <c r="AI34" s="1705" t="str">
        <f t="shared" ca="1" si="49"/>
        <v/>
      </c>
      <c r="AJ34" s="1709" t="str">
        <f t="shared" ca="1" si="50"/>
        <v/>
      </c>
      <c r="AK34" s="1747" t="str">
        <f t="shared" si="53"/>
        <v/>
      </c>
      <c r="AL34" s="1748" t="str">
        <f t="shared" si="5"/>
        <v/>
      </c>
      <c r="AM34" s="1749" t="str">
        <f t="shared" si="54"/>
        <v/>
      </c>
      <c r="AN34" s="1710" t="str">
        <f t="shared" si="55"/>
        <v/>
      </c>
      <c r="AO34" s="1750" t="str">
        <f t="shared" si="56"/>
        <v/>
      </c>
      <c r="AP34" s="1712" t="str">
        <f t="shared" si="6"/>
        <v/>
      </c>
      <c r="AQ34" s="1751" t="str">
        <f t="shared" si="7"/>
        <v/>
      </c>
      <c r="AR34" s="1708" t="str">
        <f t="shared" si="21"/>
        <v/>
      </c>
      <c r="AS34" s="1709" t="str">
        <f t="shared" si="22"/>
        <v/>
      </c>
      <c r="AT34" s="1752" t="str">
        <f t="shared" si="23"/>
        <v/>
      </c>
      <c r="AU34" s="1753" t="str">
        <f t="shared" si="8"/>
        <v/>
      </c>
      <c r="AV34" s="1714" t="str">
        <f t="shared" si="24"/>
        <v/>
      </c>
      <c r="AW34" s="1709" t="str">
        <f t="shared" si="25"/>
        <v/>
      </c>
      <c r="AX34" s="1752" t="str">
        <f t="shared" si="26"/>
        <v/>
      </c>
      <c r="AY34" s="1753" t="str">
        <f t="shared" si="9"/>
        <v/>
      </c>
      <c r="AZ34" s="1714" t="str">
        <f t="shared" si="27"/>
        <v/>
      </c>
      <c r="BA34" s="1709" t="str">
        <f t="shared" si="28"/>
        <v/>
      </c>
      <c r="BB34" s="1752" t="str">
        <f t="shared" si="29"/>
        <v/>
      </c>
      <c r="BC34" s="1753" t="str">
        <f t="shared" si="10"/>
        <v/>
      </c>
      <c r="BD34" s="1714" t="str">
        <f t="shared" si="30"/>
        <v/>
      </c>
      <c r="BE34" s="1709" t="str">
        <f t="shared" si="31"/>
        <v/>
      </c>
      <c r="BF34" s="1752" t="str">
        <f t="shared" si="57"/>
        <v/>
      </c>
      <c r="BG34" s="1753" t="str">
        <f t="shared" si="11"/>
        <v/>
      </c>
      <c r="BH34" s="261"/>
      <c r="BJ34" s="1301" t="str">
        <f t="shared" si="117"/>
        <v/>
      </c>
      <c r="BK34" s="993" t="b">
        <f t="shared" si="118"/>
        <v>0</v>
      </c>
      <c r="BL34" s="989" t="b">
        <v>0</v>
      </c>
      <c r="BM34" s="989">
        <f t="shared" si="106"/>
        <v>0</v>
      </c>
      <c r="BN34" s="989">
        <f t="shared" si="107"/>
        <v>0</v>
      </c>
      <c r="BO34" s="989">
        <f t="shared" si="108"/>
        <v>0</v>
      </c>
      <c r="BP34" s="989">
        <f t="shared" si="89"/>
        <v>0</v>
      </c>
      <c r="BQ34" s="989">
        <f t="shared" si="109"/>
        <v>0</v>
      </c>
      <c r="BR34" s="989" t="b">
        <f t="shared" si="110"/>
        <v>1</v>
      </c>
      <c r="BS34" s="1302">
        <f t="shared" si="111"/>
        <v>6</v>
      </c>
      <c r="BT34" s="990" t="str">
        <f t="shared" si="112"/>
        <v>No</v>
      </c>
      <c r="BU34" s="1302">
        <f t="shared" si="113"/>
        <v>6</v>
      </c>
      <c r="BV34" s="990" t="str">
        <f t="shared" si="114"/>
        <v>No</v>
      </c>
      <c r="BW34" s="991">
        <f t="shared" ca="1" si="33"/>
        <v>0</v>
      </c>
      <c r="BX34" s="991" t="str">
        <f t="shared" ca="1" si="40"/>
        <v/>
      </c>
      <c r="BY34" s="991" t="b">
        <f t="shared" ca="1" si="34"/>
        <v>0</v>
      </c>
      <c r="BZ34" s="1303" t="b">
        <f t="shared" si="41"/>
        <v>0</v>
      </c>
      <c r="CB34" s="672"/>
      <c r="CC34" s="1684"/>
      <c r="CD34" s="699"/>
      <c r="CE34" s="700"/>
      <c r="CF34" s="1328"/>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1598"/>
      <c r="DE34" s="1599"/>
      <c r="DF34" s="141"/>
      <c r="DG34" s="141"/>
      <c r="DH34" s="672"/>
      <c r="DI34" s="673"/>
      <c r="DJ34" s="692"/>
      <c r="DK34" s="1331"/>
      <c r="DL34" s="674"/>
      <c r="DM34" s="693"/>
      <c r="DN34" s="1334"/>
      <c r="DO34" s="675"/>
      <c r="DP34" s="676"/>
      <c r="DQ34" s="1419"/>
      <c r="DR34" s="677"/>
      <c r="DS34" s="1611"/>
      <c r="DT34" s="1606"/>
      <c r="DU34" s="1607"/>
      <c r="DV34" s="678"/>
      <c r="DW34" s="1336"/>
      <c r="DX34" s="679"/>
      <c r="DY34" s="674"/>
      <c r="DZ34" s="678"/>
      <c r="EA34" s="1336"/>
      <c r="EB34" s="679"/>
      <c r="EC34" s="674"/>
      <c r="ED34" s="678"/>
      <c r="EE34" s="1336"/>
      <c r="EF34" s="679"/>
      <c r="EG34" s="674"/>
      <c r="EH34" s="678"/>
      <c r="EI34" s="1336"/>
      <c r="EJ34" s="679"/>
      <c r="EK34" s="680"/>
      <c r="EL34" s="141"/>
      <c r="EM34" s="1631" t="str">
        <f t="shared" si="115"/>
        <v/>
      </c>
      <c r="EN34" s="1632" t="str">
        <f t="shared" si="90"/>
        <v/>
      </c>
      <c r="EO34" s="648" t="str">
        <f t="shared" si="91"/>
        <v/>
      </c>
      <c r="EP34" s="649" t="str">
        <f t="shared" si="92"/>
        <v/>
      </c>
      <c r="EQ34" s="813" t="str">
        <f t="shared" si="93"/>
        <v/>
      </c>
      <c r="ER34" s="1586" t="str">
        <f t="shared" si="94"/>
        <v/>
      </c>
      <c r="ES34" s="1587" t="str">
        <f t="shared" si="95"/>
        <v/>
      </c>
      <c r="ET34" s="1588" t="str">
        <f t="shared" si="96"/>
        <v/>
      </c>
      <c r="EU34" s="1589" t="str">
        <f t="shared" si="97"/>
        <v/>
      </c>
      <c r="EX34" s="503" t="str">
        <f t="shared" ca="1" si="35"/>
        <v/>
      </c>
      <c r="EY34" s="940" t="str">
        <f t="shared" si="12"/>
        <v/>
      </c>
      <c r="EZ34" s="940" t="str">
        <f t="shared" si="36"/>
        <v/>
      </c>
      <c r="FA34" s="958" t="str">
        <f t="shared" ca="1" si="42"/>
        <v/>
      </c>
      <c r="FB34" s="134" t="str">
        <f t="shared" ca="1" si="37"/>
        <v/>
      </c>
      <c r="FC34" s="134">
        <f t="shared" ca="1" si="13"/>
        <v>0</v>
      </c>
      <c r="FD34" s="134">
        <f t="shared" ca="1" si="14"/>
        <v>0</v>
      </c>
      <c r="FE34" s="134">
        <f t="shared" ca="1" si="15"/>
        <v>0</v>
      </c>
      <c r="FF34" s="134">
        <f t="shared" ca="1" si="38"/>
        <v>0</v>
      </c>
      <c r="FN34" s="993" t="b">
        <v>0</v>
      </c>
      <c r="FO34" s="754" t="b">
        <f t="shared" si="116"/>
        <v>1</v>
      </c>
      <c r="FP34" s="754" t="b">
        <v>0</v>
      </c>
      <c r="FQ34" s="754" t="b">
        <f t="shared" si="39"/>
        <v>1</v>
      </c>
      <c r="FX34" s="197"/>
      <c r="FZ34" s="2"/>
      <c r="GA34" s="1761" t="str">
        <f t="shared" si="98"/>
        <v/>
      </c>
      <c r="GB34" s="1762" t="str">
        <f t="shared" si="99"/>
        <v/>
      </c>
      <c r="GC34" s="1763" t="str">
        <f t="shared" si="100"/>
        <v/>
      </c>
      <c r="GD34" s="1764" t="str">
        <f t="shared" si="101"/>
        <v/>
      </c>
      <c r="GE34" s="1765" t="str">
        <f t="shared" si="102"/>
        <v/>
      </c>
      <c r="GF34" s="582" t="str">
        <f t="shared" si="103"/>
        <v/>
      </c>
      <c r="GG34" s="692"/>
      <c r="GH34" s="1135"/>
      <c r="GI34" s="692"/>
      <c r="GJ34" s="1135"/>
      <c r="GK34" s="1640">
        <f t="shared" si="104"/>
        <v>0</v>
      </c>
      <c r="GL34" s="1640" t="e">
        <f t="shared" si="105"/>
        <v>#VALUE!</v>
      </c>
      <c r="GM34" s="1641" t="e">
        <f>IF(ABS(GK34-GL34)&gt;='Job Info.'!$L$22,ABS(GK34-GL34),0)</f>
        <v>#VALUE!</v>
      </c>
      <c r="HA34" s="1241"/>
      <c r="HB34" s="1242"/>
      <c r="HC34" s="1242"/>
      <c r="HD34" s="1243"/>
      <c r="HE34" s="1244"/>
      <c r="HF34" s="1242"/>
      <c r="HG34" s="1242"/>
      <c r="HH34" s="1242"/>
      <c r="HI34" s="1242"/>
      <c r="HJ34" s="1242"/>
      <c r="HK34" s="1242"/>
      <c r="HL34" s="1242"/>
      <c r="HM34" s="1242"/>
      <c r="HN34" s="1242"/>
      <c r="HO34" s="1242"/>
      <c r="HP34" s="1242"/>
      <c r="HQ34" s="1242"/>
      <c r="HR34" s="1242"/>
      <c r="HS34" s="1242"/>
      <c r="HT34" s="1242"/>
      <c r="HU34" s="1242"/>
      <c r="HV34" s="1242"/>
      <c r="HW34" s="1242"/>
      <c r="HX34" s="1242"/>
      <c r="HY34" s="1246"/>
      <c r="HZ34" s="1246"/>
      <c r="IA34" s="1246"/>
      <c r="IB34" s="1246"/>
      <c r="IC34" s="1246"/>
      <c r="ID34" s="1247"/>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43"/>
        <v>0</v>
      </c>
    </row>
    <row r="35" spans="1:272" ht="12.6" customHeight="1" x14ac:dyDescent="0.25">
      <c r="A35" s="1448" t="str">
        <f t="shared" si="62"/>
        <v/>
      </c>
      <c r="B35" s="1681" t="str">
        <f t="shared" si="63"/>
        <v/>
      </c>
      <c r="C35" s="1449" t="str">
        <f t="shared" si="64"/>
        <v/>
      </c>
      <c r="D35" s="1705" t="str">
        <f t="shared" si="65"/>
        <v/>
      </c>
      <c r="E35" s="1706" t="str">
        <f t="shared" si="66"/>
        <v/>
      </c>
      <c r="F35" s="1707" t="str">
        <f t="shared" si="67"/>
        <v/>
      </c>
      <c r="G35" s="1708" t="str">
        <f t="shared" si="68"/>
        <v/>
      </c>
      <c r="H35" s="1709" t="str">
        <f t="shared" si="69"/>
        <v/>
      </c>
      <c r="I35" s="1710" t="str">
        <f t="shared" si="70"/>
        <v/>
      </c>
      <c r="J35" s="1705" t="str">
        <f t="shared" si="71"/>
        <v/>
      </c>
      <c r="K35" s="1709" t="str">
        <f t="shared" si="72"/>
        <v/>
      </c>
      <c r="L35" s="1711" t="str">
        <f t="shared" si="73"/>
        <v/>
      </c>
      <c r="M35" s="1712" t="str">
        <f t="shared" si="74"/>
        <v/>
      </c>
      <c r="N35" s="1713" t="str">
        <f t="shared" si="75"/>
        <v/>
      </c>
      <c r="O35" s="1708" t="str">
        <f t="shared" si="76"/>
        <v/>
      </c>
      <c r="P35" s="1709" t="str">
        <f t="shared" si="77"/>
        <v/>
      </c>
      <c r="Q35" s="1705" t="str">
        <f t="shared" si="78"/>
        <v/>
      </c>
      <c r="R35" s="1706" t="str">
        <f t="shared" si="79"/>
        <v/>
      </c>
      <c r="S35" s="1714" t="str">
        <f t="shared" si="80"/>
        <v/>
      </c>
      <c r="T35" s="1709" t="str">
        <f t="shared" si="81"/>
        <v/>
      </c>
      <c r="U35" s="1705" t="str">
        <f t="shared" si="82"/>
        <v/>
      </c>
      <c r="V35" s="1709" t="str">
        <f t="shared" si="83"/>
        <v/>
      </c>
      <c r="W35" s="1713">
        <f t="shared" si="84"/>
        <v>0</v>
      </c>
      <c r="X35" s="1715" t="str">
        <f t="shared" si="85"/>
        <v/>
      </c>
      <c r="Y35" s="1716" t="str">
        <f t="shared" si="86"/>
        <v/>
      </c>
      <c r="Z35" s="1717" t="str">
        <f t="shared" si="87"/>
        <v/>
      </c>
      <c r="AA35" s="1718" t="str">
        <f t="shared" si="88"/>
        <v/>
      </c>
      <c r="AB35" s="1448" t="str">
        <f t="shared" si="61"/>
        <v/>
      </c>
      <c r="AC35" s="1710" t="str">
        <f t="shared" si="4"/>
        <v/>
      </c>
      <c r="AD35" s="1705" t="str">
        <f t="shared" ca="1" si="44"/>
        <v/>
      </c>
      <c r="AE35" s="1709" t="str">
        <f t="shared" ca="1" si="45"/>
        <v/>
      </c>
      <c r="AF35" s="1710" t="str">
        <f t="shared" ca="1" si="46"/>
        <v/>
      </c>
      <c r="AG35" s="1705" t="str">
        <f t="shared" ca="1" si="47"/>
        <v/>
      </c>
      <c r="AH35" s="1709" t="str">
        <f t="shared" ca="1" si="48"/>
        <v/>
      </c>
      <c r="AI35" s="1705" t="str">
        <f t="shared" ca="1" si="49"/>
        <v/>
      </c>
      <c r="AJ35" s="1709" t="str">
        <f t="shared" ca="1" si="50"/>
        <v/>
      </c>
      <c r="AK35" s="1747" t="str">
        <f t="shared" si="53"/>
        <v/>
      </c>
      <c r="AL35" s="1748" t="str">
        <f t="shared" si="5"/>
        <v/>
      </c>
      <c r="AM35" s="1749" t="str">
        <f t="shared" si="54"/>
        <v/>
      </c>
      <c r="AN35" s="1710" t="str">
        <f t="shared" si="55"/>
        <v/>
      </c>
      <c r="AO35" s="1750" t="str">
        <f t="shared" si="56"/>
        <v/>
      </c>
      <c r="AP35" s="1712" t="str">
        <f t="shared" si="6"/>
        <v/>
      </c>
      <c r="AQ35" s="1751" t="str">
        <f t="shared" si="7"/>
        <v/>
      </c>
      <c r="AR35" s="1708" t="str">
        <f t="shared" si="21"/>
        <v/>
      </c>
      <c r="AS35" s="1709" t="str">
        <f t="shared" si="22"/>
        <v/>
      </c>
      <c r="AT35" s="1752" t="str">
        <f t="shared" si="23"/>
        <v/>
      </c>
      <c r="AU35" s="1753" t="str">
        <f t="shared" si="8"/>
        <v/>
      </c>
      <c r="AV35" s="1714" t="str">
        <f t="shared" si="24"/>
        <v/>
      </c>
      <c r="AW35" s="1709" t="str">
        <f t="shared" si="25"/>
        <v/>
      </c>
      <c r="AX35" s="1752" t="str">
        <f t="shared" si="26"/>
        <v/>
      </c>
      <c r="AY35" s="1753" t="str">
        <f t="shared" si="9"/>
        <v/>
      </c>
      <c r="AZ35" s="1714" t="str">
        <f t="shared" si="27"/>
        <v/>
      </c>
      <c r="BA35" s="1709" t="str">
        <f t="shared" si="28"/>
        <v/>
      </c>
      <c r="BB35" s="1752" t="str">
        <f t="shared" si="29"/>
        <v/>
      </c>
      <c r="BC35" s="1753" t="str">
        <f t="shared" si="10"/>
        <v/>
      </c>
      <c r="BD35" s="1714" t="str">
        <f t="shared" si="30"/>
        <v/>
      </c>
      <c r="BE35" s="1709" t="str">
        <f t="shared" si="31"/>
        <v/>
      </c>
      <c r="BF35" s="1752" t="str">
        <f t="shared" si="57"/>
        <v/>
      </c>
      <c r="BG35" s="1753" t="str">
        <f t="shared" si="11"/>
        <v/>
      </c>
      <c r="BH35" s="261"/>
      <c r="BJ35" s="1301" t="str">
        <f t="shared" si="117"/>
        <v/>
      </c>
      <c r="BK35" s="993" t="b">
        <f t="shared" si="118"/>
        <v>0</v>
      </c>
      <c r="BL35" s="989" t="b">
        <v>0</v>
      </c>
      <c r="BM35" s="989">
        <f t="shared" si="106"/>
        <v>0</v>
      </c>
      <c r="BN35" s="989">
        <f t="shared" si="107"/>
        <v>0</v>
      </c>
      <c r="BO35" s="989">
        <f t="shared" si="108"/>
        <v>0</v>
      </c>
      <c r="BP35" s="989">
        <f t="shared" si="89"/>
        <v>0</v>
      </c>
      <c r="BQ35" s="989">
        <f t="shared" si="109"/>
        <v>0</v>
      </c>
      <c r="BR35" s="989" t="b">
        <f t="shared" si="110"/>
        <v>1</v>
      </c>
      <c r="BS35" s="1302">
        <f t="shared" si="111"/>
        <v>6</v>
      </c>
      <c r="BT35" s="990" t="str">
        <f t="shared" si="112"/>
        <v>No</v>
      </c>
      <c r="BU35" s="1302">
        <f t="shared" si="113"/>
        <v>6</v>
      </c>
      <c r="BV35" s="990" t="str">
        <f t="shared" si="114"/>
        <v>No</v>
      </c>
      <c r="BW35" s="991">
        <f t="shared" ca="1" si="33"/>
        <v>0</v>
      </c>
      <c r="BX35" s="991" t="str">
        <f t="shared" ca="1" si="40"/>
        <v/>
      </c>
      <c r="BY35" s="991" t="b">
        <f t="shared" ca="1" si="34"/>
        <v>0</v>
      </c>
      <c r="BZ35" s="1303" t="b">
        <f t="shared" si="41"/>
        <v>0</v>
      </c>
      <c r="CB35" s="672"/>
      <c r="CC35" s="1684"/>
      <c r="CD35" s="699"/>
      <c r="CE35" s="700"/>
      <c r="CF35" s="1328"/>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1598"/>
      <c r="DE35" s="1599"/>
      <c r="DF35" s="141"/>
      <c r="DG35" s="141"/>
      <c r="DH35" s="672"/>
      <c r="DI35" s="673"/>
      <c r="DJ35" s="692"/>
      <c r="DK35" s="1331"/>
      <c r="DL35" s="674"/>
      <c r="DM35" s="693"/>
      <c r="DN35" s="1334"/>
      <c r="DO35" s="675"/>
      <c r="DP35" s="676"/>
      <c r="DQ35" s="1419"/>
      <c r="DR35" s="677"/>
      <c r="DS35" s="1611"/>
      <c r="DT35" s="1606"/>
      <c r="DU35" s="1607"/>
      <c r="DV35" s="678"/>
      <c r="DW35" s="1336"/>
      <c r="DX35" s="679"/>
      <c r="DY35" s="674"/>
      <c r="DZ35" s="678"/>
      <c r="EA35" s="1336"/>
      <c r="EB35" s="679"/>
      <c r="EC35" s="674"/>
      <c r="ED35" s="678"/>
      <c r="EE35" s="1336"/>
      <c r="EF35" s="679"/>
      <c r="EG35" s="674"/>
      <c r="EH35" s="678"/>
      <c r="EI35" s="1336"/>
      <c r="EJ35" s="679"/>
      <c r="EK35" s="680"/>
      <c r="EL35" s="141"/>
      <c r="EM35" s="1631" t="str">
        <f t="shared" si="115"/>
        <v/>
      </c>
      <c r="EN35" s="1632" t="str">
        <f t="shared" si="90"/>
        <v/>
      </c>
      <c r="EO35" s="648" t="str">
        <f t="shared" si="91"/>
        <v/>
      </c>
      <c r="EP35" s="649" t="str">
        <f t="shared" si="92"/>
        <v/>
      </c>
      <c r="EQ35" s="813" t="str">
        <f t="shared" si="93"/>
        <v/>
      </c>
      <c r="ER35" s="1586" t="str">
        <f t="shared" si="94"/>
        <v/>
      </c>
      <c r="ES35" s="1587" t="str">
        <f t="shared" si="95"/>
        <v/>
      </c>
      <c r="ET35" s="1588" t="str">
        <f t="shared" si="96"/>
        <v/>
      </c>
      <c r="EU35" s="1589" t="str">
        <f t="shared" si="97"/>
        <v/>
      </c>
      <c r="EX35" s="503" t="str">
        <f t="shared" ca="1" si="35"/>
        <v/>
      </c>
      <c r="EY35" s="940" t="str">
        <f t="shared" si="12"/>
        <v/>
      </c>
      <c r="EZ35" s="940" t="str">
        <f t="shared" si="36"/>
        <v/>
      </c>
      <c r="FA35" s="958" t="str">
        <f t="shared" ca="1" si="42"/>
        <v/>
      </c>
      <c r="FB35" s="134" t="str">
        <f t="shared" ca="1" si="37"/>
        <v/>
      </c>
      <c r="FC35" s="134">
        <f t="shared" ca="1" si="13"/>
        <v>0</v>
      </c>
      <c r="FD35" s="134">
        <f t="shared" ca="1" si="14"/>
        <v>0</v>
      </c>
      <c r="FE35" s="134">
        <f t="shared" ca="1" si="15"/>
        <v>0</v>
      </c>
      <c r="FF35" s="134">
        <f t="shared" ca="1" si="38"/>
        <v>0</v>
      </c>
      <c r="FN35" s="993" t="b">
        <v>0</v>
      </c>
      <c r="FO35" s="754" t="b">
        <f t="shared" si="116"/>
        <v>1</v>
      </c>
      <c r="FP35" s="754" t="b">
        <v>0</v>
      </c>
      <c r="FQ35" s="754" t="b">
        <f t="shared" si="39"/>
        <v>1</v>
      </c>
      <c r="FX35" s="197"/>
      <c r="FZ35" s="2"/>
      <c r="GA35" s="1761" t="str">
        <f t="shared" si="98"/>
        <v/>
      </c>
      <c r="GB35" s="1762" t="str">
        <f t="shared" si="99"/>
        <v/>
      </c>
      <c r="GC35" s="1763" t="str">
        <f t="shared" si="100"/>
        <v/>
      </c>
      <c r="GD35" s="1764" t="str">
        <f t="shared" si="101"/>
        <v/>
      </c>
      <c r="GE35" s="1765" t="str">
        <f t="shared" si="102"/>
        <v/>
      </c>
      <c r="GF35" s="582" t="str">
        <f t="shared" si="103"/>
        <v/>
      </c>
      <c r="GG35" s="692"/>
      <c r="GH35" s="1135"/>
      <c r="GI35" s="692"/>
      <c r="GJ35" s="1135"/>
      <c r="GK35" s="1640">
        <f t="shared" si="104"/>
        <v>0</v>
      </c>
      <c r="GL35" s="1640" t="e">
        <f t="shared" si="105"/>
        <v>#VALUE!</v>
      </c>
      <c r="GM35" s="1641" t="e">
        <f>IF(ABS(GK35-GL35)&gt;='Job Info.'!$L$22,ABS(GK35-GL35),0)</f>
        <v>#VALUE!</v>
      </c>
      <c r="HA35" s="1241"/>
      <c r="HB35" s="1242"/>
      <c r="HC35" s="1242"/>
      <c r="HD35" s="1243"/>
      <c r="HE35" s="1244"/>
      <c r="HF35" s="1242"/>
      <c r="HG35" s="1242"/>
      <c r="HH35" s="1242"/>
      <c r="HI35" s="1242"/>
      <c r="HJ35" s="1242"/>
      <c r="HK35" s="1242"/>
      <c r="HL35" s="1242"/>
      <c r="HM35" s="1242"/>
      <c r="HN35" s="1242"/>
      <c r="HO35" s="1242"/>
      <c r="HP35" s="1242"/>
      <c r="HQ35" s="1242"/>
      <c r="HR35" s="1242"/>
      <c r="HS35" s="1242"/>
      <c r="HT35" s="1242"/>
      <c r="HU35" s="1242"/>
      <c r="HV35" s="1242"/>
      <c r="HW35" s="1242"/>
      <c r="HX35" s="1242"/>
      <c r="HY35" s="1246"/>
      <c r="HZ35" s="1246"/>
      <c r="IA35" s="1246"/>
      <c r="IB35" s="1246"/>
      <c r="IC35" s="1246"/>
      <c r="ID35" s="1247"/>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43"/>
        <v>0</v>
      </c>
    </row>
    <row r="36" spans="1:272" ht="12.6" customHeight="1" x14ac:dyDescent="0.25">
      <c r="A36" s="1448" t="str">
        <f t="shared" si="62"/>
        <v/>
      </c>
      <c r="B36" s="1681" t="str">
        <f t="shared" si="63"/>
        <v/>
      </c>
      <c r="C36" s="1449" t="str">
        <f t="shared" si="64"/>
        <v/>
      </c>
      <c r="D36" s="1705" t="str">
        <f t="shared" si="65"/>
        <v/>
      </c>
      <c r="E36" s="1706" t="str">
        <f t="shared" si="66"/>
        <v/>
      </c>
      <c r="F36" s="1707" t="str">
        <f t="shared" si="67"/>
        <v/>
      </c>
      <c r="G36" s="1708" t="str">
        <f t="shared" si="68"/>
        <v/>
      </c>
      <c r="H36" s="1709" t="str">
        <f t="shared" si="69"/>
        <v/>
      </c>
      <c r="I36" s="1710" t="str">
        <f t="shared" si="70"/>
        <v/>
      </c>
      <c r="J36" s="1705" t="str">
        <f t="shared" si="71"/>
        <v/>
      </c>
      <c r="K36" s="1709" t="str">
        <f t="shared" si="72"/>
        <v/>
      </c>
      <c r="L36" s="1711" t="str">
        <f t="shared" si="73"/>
        <v/>
      </c>
      <c r="M36" s="1712" t="str">
        <f t="shared" si="74"/>
        <v/>
      </c>
      <c r="N36" s="1713" t="str">
        <f t="shared" si="75"/>
        <v/>
      </c>
      <c r="O36" s="1708" t="str">
        <f t="shared" si="76"/>
        <v/>
      </c>
      <c r="P36" s="1709" t="str">
        <f t="shared" si="77"/>
        <v/>
      </c>
      <c r="Q36" s="1705" t="str">
        <f t="shared" si="78"/>
        <v/>
      </c>
      <c r="R36" s="1706" t="str">
        <f t="shared" si="79"/>
        <v/>
      </c>
      <c r="S36" s="1714" t="str">
        <f t="shared" si="80"/>
        <v/>
      </c>
      <c r="T36" s="1709" t="str">
        <f t="shared" si="81"/>
        <v/>
      </c>
      <c r="U36" s="1705" t="str">
        <f t="shared" si="82"/>
        <v/>
      </c>
      <c r="V36" s="1709" t="str">
        <f t="shared" si="83"/>
        <v/>
      </c>
      <c r="W36" s="1713">
        <f t="shared" si="84"/>
        <v>0</v>
      </c>
      <c r="X36" s="1715" t="str">
        <f t="shared" si="85"/>
        <v/>
      </c>
      <c r="Y36" s="1716" t="str">
        <f t="shared" si="86"/>
        <v/>
      </c>
      <c r="Z36" s="1717" t="str">
        <f t="shared" si="87"/>
        <v/>
      </c>
      <c r="AA36" s="1718" t="str">
        <f t="shared" si="88"/>
        <v/>
      </c>
      <c r="AB36" s="1448" t="str">
        <f t="shared" si="61"/>
        <v/>
      </c>
      <c r="AC36" s="1710" t="str">
        <f t="shared" si="4"/>
        <v/>
      </c>
      <c r="AD36" s="1705" t="str">
        <f t="shared" ca="1" si="44"/>
        <v/>
      </c>
      <c r="AE36" s="1709" t="str">
        <f t="shared" ca="1" si="45"/>
        <v/>
      </c>
      <c r="AF36" s="1710" t="str">
        <f t="shared" ca="1" si="46"/>
        <v/>
      </c>
      <c r="AG36" s="1705" t="str">
        <f t="shared" ca="1" si="47"/>
        <v/>
      </c>
      <c r="AH36" s="1709" t="str">
        <f t="shared" ca="1" si="48"/>
        <v/>
      </c>
      <c r="AI36" s="1705" t="str">
        <f t="shared" ca="1" si="49"/>
        <v/>
      </c>
      <c r="AJ36" s="1709" t="str">
        <f t="shared" ca="1" si="50"/>
        <v/>
      </c>
      <c r="AK36" s="1747" t="str">
        <f t="shared" si="53"/>
        <v/>
      </c>
      <c r="AL36" s="1748" t="str">
        <f t="shared" si="5"/>
        <v/>
      </c>
      <c r="AM36" s="1749" t="str">
        <f t="shared" si="54"/>
        <v/>
      </c>
      <c r="AN36" s="1710" t="str">
        <f t="shared" si="55"/>
        <v/>
      </c>
      <c r="AO36" s="1750" t="str">
        <f t="shared" si="56"/>
        <v/>
      </c>
      <c r="AP36" s="1712" t="str">
        <f t="shared" si="6"/>
        <v/>
      </c>
      <c r="AQ36" s="1751" t="str">
        <f t="shared" si="7"/>
        <v/>
      </c>
      <c r="AR36" s="1708" t="str">
        <f t="shared" si="21"/>
        <v/>
      </c>
      <c r="AS36" s="1709" t="str">
        <f t="shared" si="22"/>
        <v/>
      </c>
      <c r="AT36" s="1752" t="str">
        <f t="shared" si="23"/>
        <v/>
      </c>
      <c r="AU36" s="1753" t="str">
        <f t="shared" si="8"/>
        <v/>
      </c>
      <c r="AV36" s="1714" t="str">
        <f t="shared" si="24"/>
        <v/>
      </c>
      <c r="AW36" s="1709" t="str">
        <f t="shared" si="25"/>
        <v/>
      </c>
      <c r="AX36" s="1752" t="str">
        <f t="shared" si="26"/>
        <v/>
      </c>
      <c r="AY36" s="1753" t="str">
        <f t="shared" si="9"/>
        <v/>
      </c>
      <c r="AZ36" s="1714" t="str">
        <f t="shared" si="27"/>
        <v/>
      </c>
      <c r="BA36" s="1709" t="str">
        <f t="shared" si="28"/>
        <v/>
      </c>
      <c r="BB36" s="1752" t="str">
        <f t="shared" si="29"/>
        <v/>
      </c>
      <c r="BC36" s="1753" t="str">
        <f t="shared" si="10"/>
        <v/>
      </c>
      <c r="BD36" s="1714" t="str">
        <f t="shared" si="30"/>
        <v/>
      </c>
      <c r="BE36" s="1709" t="str">
        <f t="shared" si="31"/>
        <v/>
      </c>
      <c r="BF36" s="1752" t="str">
        <f t="shared" si="57"/>
        <v/>
      </c>
      <c r="BG36" s="1753" t="str">
        <f t="shared" si="11"/>
        <v/>
      </c>
      <c r="BH36" s="261"/>
      <c r="BJ36" s="1301" t="str">
        <f t="shared" si="117"/>
        <v/>
      </c>
      <c r="BK36" s="993" t="b">
        <f t="shared" si="118"/>
        <v>0</v>
      </c>
      <c r="BL36" s="989" t="b">
        <v>0</v>
      </c>
      <c r="BM36" s="989">
        <f t="shared" si="106"/>
        <v>0</v>
      </c>
      <c r="BN36" s="989">
        <f t="shared" si="107"/>
        <v>0</v>
      </c>
      <c r="BO36" s="989">
        <f t="shared" si="108"/>
        <v>0</v>
      </c>
      <c r="BP36" s="989">
        <f t="shared" si="89"/>
        <v>0</v>
      </c>
      <c r="BQ36" s="989">
        <f t="shared" si="109"/>
        <v>0</v>
      </c>
      <c r="BR36" s="989" t="b">
        <f t="shared" si="110"/>
        <v>1</v>
      </c>
      <c r="BS36" s="1302">
        <f t="shared" si="111"/>
        <v>6</v>
      </c>
      <c r="BT36" s="990" t="str">
        <f t="shared" si="112"/>
        <v>No</v>
      </c>
      <c r="BU36" s="1302">
        <f t="shared" si="113"/>
        <v>6</v>
      </c>
      <c r="BV36" s="990" t="str">
        <f t="shared" si="114"/>
        <v>No</v>
      </c>
      <c r="BW36" s="991">
        <f t="shared" ca="1" si="33"/>
        <v>0</v>
      </c>
      <c r="BX36" s="991" t="str">
        <f t="shared" ca="1" si="40"/>
        <v/>
      </c>
      <c r="BY36" s="991" t="b">
        <f t="shared" ca="1" si="34"/>
        <v>0</v>
      </c>
      <c r="BZ36" s="1303" t="b">
        <f t="shared" si="41"/>
        <v>0</v>
      </c>
      <c r="CB36" s="672"/>
      <c r="CC36" s="1684"/>
      <c r="CD36" s="699"/>
      <c r="CE36" s="700"/>
      <c r="CF36" s="1328"/>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1598"/>
      <c r="DE36" s="1599"/>
      <c r="DF36" s="141"/>
      <c r="DG36" s="141"/>
      <c r="DH36" s="672"/>
      <c r="DI36" s="673"/>
      <c r="DJ36" s="692"/>
      <c r="DK36" s="1331"/>
      <c r="DL36" s="674"/>
      <c r="DM36" s="693"/>
      <c r="DN36" s="1334"/>
      <c r="DO36" s="675"/>
      <c r="DP36" s="676"/>
      <c r="DQ36" s="1419"/>
      <c r="DR36" s="677"/>
      <c r="DS36" s="1611"/>
      <c r="DT36" s="1606"/>
      <c r="DU36" s="1607"/>
      <c r="DV36" s="678"/>
      <c r="DW36" s="1336"/>
      <c r="DX36" s="679"/>
      <c r="DY36" s="674"/>
      <c r="DZ36" s="678"/>
      <c r="EA36" s="1336"/>
      <c r="EB36" s="679"/>
      <c r="EC36" s="674"/>
      <c r="ED36" s="678"/>
      <c r="EE36" s="1336"/>
      <c r="EF36" s="679"/>
      <c r="EG36" s="674"/>
      <c r="EH36" s="678"/>
      <c r="EI36" s="1336"/>
      <c r="EJ36" s="679"/>
      <c r="EK36" s="680"/>
      <c r="EL36" s="141"/>
      <c r="EM36" s="1631" t="str">
        <f t="shared" si="115"/>
        <v/>
      </c>
      <c r="EN36" s="1632" t="str">
        <f t="shared" si="90"/>
        <v/>
      </c>
      <c r="EO36" s="648" t="str">
        <f t="shared" si="91"/>
        <v/>
      </c>
      <c r="EP36" s="649" t="str">
        <f t="shared" si="92"/>
        <v/>
      </c>
      <c r="EQ36" s="813" t="str">
        <f t="shared" si="93"/>
        <v/>
      </c>
      <c r="ER36" s="1586" t="str">
        <f t="shared" si="94"/>
        <v/>
      </c>
      <c r="ES36" s="1587" t="str">
        <f t="shared" si="95"/>
        <v/>
      </c>
      <c r="ET36" s="1588" t="str">
        <f t="shared" si="96"/>
        <v/>
      </c>
      <c r="EU36" s="1589" t="str">
        <f t="shared" si="97"/>
        <v/>
      </c>
      <c r="EX36" s="503" t="str">
        <f t="shared" ca="1" si="35"/>
        <v/>
      </c>
      <c r="EY36" s="940" t="str">
        <f t="shared" si="12"/>
        <v/>
      </c>
      <c r="EZ36" s="940" t="str">
        <f t="shared" si="36"/>
        <v/>
      </c>
      <c r="FA36" s="958" t="str">
        <f t="shared" ca="1" si="42"/>
        <v/>
      </c>
      <c r="FB36" s="134" t="str">
        <f t="shared" ca="1" si="37"/>
        <v/>
      </c>
      <c r="FC36" s="134">
        <f t="shared" ca="1" si="13"/>
        <v>0</v>
      </c>
      <c r="FD36" s="134">
        <f t="shared" ca="1" si="14"/>
        <v>0</v>
      </c>
      <c r="FE36" s="134">
        <f t="shared" ca="1" si="15"/>
        <v>0</v>
      </c>
      <c r="FF36" s="134">
        <f t="shared" ca="1" si="38"/>
        <v>0</v>
      </c>
      <c r="FN36" s="993" t="b">
        <v>0</v>
      </c>
      <c r="FO36" s="754" t="b">
        <f t="shared" si="116"/>
        <v>1</v>
      </c>
      <c r="FP36" s="754" t="b">
        <v>0</v>
      </c>
      <c r="FQ36" s="754" t="b">
        <f t="shared" si="39"/>
        <v>1</v>
      </c>
      <c r="FX36" s="197"/>
      <c r="FZ36" s="2"/>
      <c r="GA36" s="1761" t="str">
        <f t="shared" si="98"/>
        <v/>
      </c>
      <c r="GB36" s="1762" t="str">
        <f t="shared" si="99"/>
        <v/>
      </c>
      <c r="GC36" s="1763" t="str">
        <f t="shared" si="100"/>
        <v/>
      </c>
      <c r="GD36" s="1764" t="str">
        <f t="shared" si="101"/>
        <v/>
      </c>
      <c r="GE36" s="1765" t="str">
        <f t="shared" si="102"/>
        <v/>
      </c>
      <c r="GF36" s="582" t="str">
        <f t="shared" si="103"/>
        <v/>
      </c>
      <c r="GG36" s="692"/>
      <c r="GH36" s="1135"/>
      <c r="GI36" s="692"/>
      <c r="GJ36" s="1135"/>
      <c r="GK36" s="1640">
        <f t="shared" si="104"/>
        <v>0</v>
      </c>
      <c r="GL36" s="1640" t="e">
        <f t="shared" si="105"/>
        <v>#VALUE!</v>
      </c>
      <c r="GM36" s="1641" t="e">
        <f>IF(ABS(GK36-GL36)&gt;='Job Info.'!$L$22,ABS(GK36-GL36),0)</f>
        <v>#VALUE!</v>
      </c>
      <c r="HA36" s="1241"/>
      <c r="HB36" s="1242"/>
      <c r="HC36" s="1242"/>
      <c r="HD36" s="1243"/>
      <c r="HE36" s="1244"/>
      <c r="HF36" s="1242"/>
      <c r="HG36" s="1242"/>
      <c r="HH36" s="1242"/>
      <c r="HI36" s="1242"/>
      <c r="HJ36" s="1242"/>
      <c r="HK36" s="1242"/>
      <c r="HL36" s="1242"/>
      <c r="HM36" s="1242"/>
      <c r="HN36" s="1242"/>
      <c r="HO36" s="1242"/>
      <c r="HP36" s="1242"/>
      <c r="HQ36" s="1242"/>
      <c r="HR36" s="1242"/>
      <c r="HS36" s="1242"/>
      <c r="HT36" s="1242"/>
      <c r="HU36" s="1242"/>
      <c r="HV36" s="1242"/>
      <c r="HW36" s="1242"/>
      <c r="HX36" s="1242"/>
      <c r="HY36" s="1246"/>
      <c r="HZ36" s="1246"/>
      <c r="IA36" s="1246"/>
      <c r="IB36" s="1246"/>
      <c r="IC36" s="1246"/>
      <c r="ID36" s="1247"/>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43"/>
        <v>0</v>
      </c>
    </row>
    <row r="37" spans="1:272" ht="12.6" customHeight="1" x14ac:dyDescent="0.25">
      <c r="A37" s="1448" t="str">
        <f t="shared" si="62"/>
        <v/>
      </c>
      <c r="B37" s="1681" t="str">
        <f t="shared" si="63"/>
        <v/>
      </c>
      <c r="C37" s="1449" t="str">
        <f t="shared" si="64"/>
        <v/>
      </c>
      <c r="D37" s="1705" t="str">
        <f t="shared" si="65"/>
        <v/>
      </c>
      <c r="E37" s="1706" t="str">
        <f t="shared" si="66"/>
        <v/>
      </c>
      <c r="F37" s="1707" t="str">
        <f t="shared" si="67"/>
        <v/>
      </c>
      <c r="G37" s="1708" t="str">
        <f t="shared" si="68"/>
        <v/>
      </c>
      <c r="H37" s="1709" t="str">
        <f t="shared" si="69"/>
        <v/>
      </c>
      <c r="I37" s="1710" t="str">
        <f t="shared" si="70"/>
        <v/>
      </c>
      <c r="J37" s="1705" t="str">
        <f t="shared" si="71"/>
        <v/>
      </c>
      <c r="K37" s="1709" t="str">
        <f t="shared" si="72"/>
        <v/>
      </c>
      <c r="L37" s="1711" t="str">
        <f t="shared" si="73"/>
        <v/>
      </c>
      <c r="M37" s="1712" t="str">
        <f t="shared" si="74"/>
        <v/>
      </c>
      <c r="N37" s="1713" t="str">
        <f t="shared" si="75"/>
        <v/>
      </c>
      <c r="O37" s="1708" t="str">
        <f t="shared" si="76"/>
        <v/>
      </c>
      <c r="P37" s="1709" t="str">
        <f t="shared" si="77"/>
        <v/>
      </c>
      <c r="Q37" s="1705" t="str">
        <f t="shared" si="78"/>
        <v/>
      </c>
      <c r="R37" s="1706" t="str">
        <f t="shared" si="79"/>
        <v/>
      </c>
      <c r="S37" s="1714" t="str">
        <f t="shared" si="80"/>
        <v/>
      </c>
      <c r="T37" s="1709" t="str">
        <f t="shared" si="81"/>
        <v/>
      </c>
      <c r="U37" s="1705" t="str">
        <f t="shared" si="82"/>
        <v/>
      </c>
      <c r="V37" s="1709" t="str">
        <f t="shared" si="83"/>
        <v/>
      </c>
      <c r="W37" s="1713">
        <f t="shared" si="84"/>
        <v>0</v>
      </c>
      <c r="X37" s="1715" t="str">
        <f t="shared" si="85"/>
        <v/>
      </c>
      <c r="Y37" s="1716" t="str">
        <f t="shared" si="86"/>
        <v/>
      </c>
      <c r="Z37" s="1717" t="str">
        <f t="shared" si="87"/>
        <v/>
      </c>
      <c r="AA37" s="1718" t="str">
        <f t="shared" si="88"/>
        <v/>
      </c>
      <c r="AB37" s="1448" t="str">
        <f t="shared" si="61"/>
        <v/>
      </c>
      <c r="AC37" s="1710" t="str">
        <f t="shared" si="4"/>
        <v/>
      </c>
      <c r="AD37" s="1705" t="str">
        <f t="shared" ca="1" si="44"/>
        <v/>
      </c>
      <c r="AE37" s="1709" t="str">
        <f t="shared" ca="1" si="45"/>
        <v/>
      </c>
      <c r="AF37" s="1710" t="str">
        <f t="shared" ca="1" si="46"/>
        <v/>
      </c>
      <c r="AG37" s="1705" t="str">
        <f t="shared" ca="1" si="47"/>
        <v/>
      </c>
      <c r="AH37" s="1709" t="str">
        <f t="shared" ca="1" si="48"/>
        <v/>
      </c>
      <c r="AI37" s="1705" t="str">
        <f t="shared" ca="1" si="49"/>
        <v/>
      </c>
      <c r="AJ37" s="1709" t="str">
        <f t="shared" ca="1" si="50"/>
        <v/>
      </c>
      <c r="AK37" s="1747" t="str">
        <f t="shared" si="53"/>
        <v/>
      </c>
      <c r="AL37" s="1748" t="str">
        <f t="shared" si="5"/>
        <v/>
      </c>
      <c r="AM37" s="1749" t="str">
        <f t="shared" si="54"/>
        <v/>
      </c>
      <c r="AN37" s="1710" t="str">
        <f t="shared" si="55"/>
        <v/>
      </c>
      <c r="AO37" s="1750" t="str">
        <f t="shared" si="56"/>
        <v/>
      </c>
      <c r="AP37" s="1712" t="str">
        <f t="shared" si="6"/>
        <v/>
      </c>
      <c r="AQ37" s="1751" t="str">
        <f t="shared" si="7"/>
        <v/>
      </c>
      <c r="AR37" s="1708" t="str">
        <f t="shared" si="21"/>
        <v/>
      </c>
      <c r="AS37" s="1709" t="str">
        <f t="shared" si="22"/>
        <v/>
      </c>
      <c r="AT37" s="1752" t="str">
        <f t="shared" si="23"/>
        <v/>
      </c>
      <c r="AU37" s="1753" t="str">
        <f t="shared" si="8"/>
        <v/>
      </c>
      <c r="AV37" s="1714" t="str">
        <f t="shared" si="24"/>
        <v/>
      </c>
      <c r="AW37" s="1709" t="str">
        <f t="shared" si="25"/>
        <v/>
      </c>
      <c r="AX37" s="1752" t="str">
        <f t="shared" si="26"/>
        <v/>
      </c>
      <c r="AY37" s="1753" t="str">
        <f t="shared" si="9"/>
        <v/>
      </c>
      <c r="AZ37" s="1714" t="str">
        <f t="shared" si="27"/>
        <v/>
      </c>
      <c r="BA37" s="1709" t="str">
        <f t="shared" si="28"/>
        <v/>
      </c>
      <c r="BB37" s="1752" t="str">
        <f t="shared" si="29"/>
        <v/>
      </c>
      <c r="BC37" s="1753" t="str">
        <f t="shared" si="10"/>
        <v/>
      </c>
      <c r="BD37" s="1714" t="str">
        <f t="shared" si="30"/>
        <v/>
      </c>
      <c r="BE37" s="1709" t="str">
        <f t="shared" si="31"/>
        <v/>
      </c>
      <c r="BF37" s="1752" t="str">
        <f t="shared" si="57"/>
        <v/>
      </c>
      <c r="BG37" s="1753" t="str">
        <f t="shared" si="11"/>
        <v/>
      </c>
      <c r="BH37" s="261"/>
      <c r="BJ37" s="1301" t="str">
        <f t="shared" si="117"/>
        <v/>
      </c>
      <c r="BK37" s="993" t="b">
        <f t="shared" si="118"/>
        <v>0</v>
      </c>
      <c r="BL37" s="989" t="b">
        <v>0</v>
      </c>
      <c r="BM37" s="989">
        <f t="shared" si="106"/>
        <v>0</v>
      </c>
      <c r="BN37" s="989">
        <f t="shared" si="107"/>
        <v>0</v>
      </c>
      <c r="BO37" s="989">
        <f t="shared" si="108"/>
        <v>0</v>
      </c>
      <c r="BP37" s="989">
        <f t="shared" si="89"/>
        <v>0</v>
      </c>
      <c r="BQ37" s="989">
        <f t="shared" si="109"/>
        <v>0</v>
      </c>
      <c r="BR37" s="989" t="b">
        <f t="shared" si="110"/>
        <v>1</v>
      </c>
      <c r="BS37" s="1302">
        <f t="shared" si="111"/>
        <v>6</v>
      </c>
      <c r="BT37" s="990" t="str">
        <f t="shared" si="112"/>
        <v>No</v>
      </c>
      <c r="BU37" s="1302">
        <f t="shared" si="113"/>
        <v>6</v>
      </c>
      <c r="BV37" s="990" t="str">
        <f t="shared" si="114"/>
        <v>No</v>
      </c>
      <c r="BW37" s="991">
        <f t="shared" ca="1" si="33"/>
        <v>0</v>
      </c>
      <c r="BX37" s="991" t="str">
        <f t="shared" ca="1" si="40"/>
        <v/>
      </c>
      <c r="BY37" s="991" t="b">
        <f t="shared" ca="1" si="34"/>
        <v>0</v>
      </c>
      <c r="BZ37" s="1303" t="b">
        <f t="shared" si="41"/>
        <v>0</v>
      </c>
      <c r="CB37" s="672"/>
      <c r="CC37" s="1684"/>
      <c r="CD37" s="699"/>
      <c r="CE37" s="700"/>
      <c r="CF37" s="1328"/>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1598"/>
      <c r="DE37" s="1599"/>
      <c r="DF37" s="141"/>
      <c r="DG37" s="141"/>
      <c r="DH37" s="672"/>
      <c r="DI37" s="673"/>
      <c r="DJ37" s="692"/>
      <c r="DK37" s="1331"/>
      <c r="DL37" s="674"/>
      <c r="DM37" s="693"/>
      <c r="DN37" s="1334"/>
      <c r="DO37" s="675"/>
      <c r="DP37" s="676"/>
      <c r="DQ37" s="1419"/>
      <c r="DR37" s="677"/>
      <c r="DS37" s="1611"/>
      <c r="DT37" s="1606"/>
      <c r="DU37" s="1607"/>
      <c r="DV37" s="678"/>
      <c r="DW37" s="1336"/>
      <c r="DX37" s="679"/>
      <c r="DY37" s="674"/>
      <c r="DZ37" s="678"/>
      <c r="EA37" s="1336"/>
      <c r="EB37" s="679"/>
      <c r="EC37" s="674"/>
      <c r="ED37" s="678"/>
      <c r="EE37" s="1336"/>
      <c r="EF37" s="679"/>
      <c r="EG37" s="674"/>
      <c r="EH37" s="678"/>
      <c r="EI37" s="1336"/>
      <c r="EJ37" s="679"/>
      <c r="EK37" s="680"/>
      <c r="EL37" s="141"/>
      <c r="EM37" s="1631" t="str">
        <f t="shared" si="115"/>
        <v/>
      </c>
      <c r="EN37" s="1632" t="str">
        <f t="shared" si="90"/>
        <v/>
      </c>
      <c r="EO37" s="648" t="str">
        <f t="shared" si="91"/>
        <v/>
      </c>
      <c r="EP37" s="649" t="str">
        <f t="shared" si="92"/>
        <v/>
      </c>
      <c r="EQ37" s="813" t="str">
        <f t="shared" si="93"/>
        <v/>
      </c>
      <c r="ER37" s="1586" t="str">
        <f t="shared" si="94"/>
        <v/>
      </c>
      <c r="ES37" s="1587" t="str">
        <f t="shared" si="95"/>
        <v/>
      </c>
      <c r="ET37" s="1588" t="str">
        <f t="shared" si="96"/>
        <v/>
      </c>
      <c r="EU37" s="1589" t="str">
        <f t="shared" si="97"/>
        <v/>
      </c>
      <c r="EX37" s="503" t="str">
        <f t="shared" ca="1" si="35"/>
        <v/>
      </c>
      <c r="EY37" s="940" t="str">
        <f t="shared" si="12"/>
        <v/>
      </c>
      <c r="EZ37" s="940" t="str">
        <f t="shared" si="36"/>
        <v/>
      </c>
      <c r="FA37" s="958" t="str">
        <f t="shared" ca="1" si="42"/>
        <v/>
      </c>
      <c r="FB37" s="134" t="str">
        <f t="shared" ca="1" si="37"/>
        <v/>
      </c>
      <c r="FC37" s="134">
        <f t="shared" ca="1" si="13"/>
        <v>0</v>
      </c>
      <c r="FD37" s="134">
        <f t="shared" ca="1" si="14"/>
        <v>0</v>
      </c>
      <c r="FE37" s="134">
        <f t="shared" ca="1" si="15"/>
        <v>0</v>
      </c>
      <c r="FF37" s="134">
        <f t="shared" ca="1" si="38"/>
        <v>0</v>
      </c>
      <c r="FN37" s="993" t="b">
        <v>0</v>
      </c>
      <c r="FO37" s="754" t="b">
        <f t="shared" si="116"/>
        <v>1</v>
      </c>
      <c r="FP37" s="754" t="b">
        <v>0</v>
      </c>
      <c r="FQ37" s="754" t="b">
        <f t="shared" si="39"/>
        <v>1</v>
      </c>
      <c r="FX37" s="197"/>
      <c r="FZ37" s="2"/>
      <c r="GA37" s="1761" t="str">
        <f t="shared" si="98"/>
        <v/>
      </c>
      <c r="GB37" s="1762" t="str">
        <f t="shared" si="99"/>
        <v/>
      </c>
      <c r="GC37" s="1763" t="str">
        <f t="shared" si="100"/>
        <v/>
      </c>
      <c r="GD37" s="1764" t="str">
        <f t="shared" si="101"/>
        <v/>
      </c>
      <c r="GE37" s="1765" t="str">
        <f t="shared" si="102"/>
        <v/>
      </c>
      <c r="GF37" s="582" t="str">
        <f t="shared" si="103"/>
        <v/>
      </c>
      <c r="GG37" s="692"/>
      <c r="GH37" s="1135"/>
      <c r="GI37" s="692"/>
      <c r="GJ37" s="1135"/>
      <c r="GK37" s="1640">
        <f t="shared" si="104"/>
        <v>0</v>
      </c>
      <c r="GL37" s="1640" t="e">
        <f t="shared" si="105"/>
        <v>#VALUE!</v>
      </c>
      <c r="GM37" s="1641" t="e">
        <f>IF(ABS(GK37-GL37)&gt;='Job Info.'!$L$22,ABS(GK37-GL37),0)</f>
        <v>#VALUE!</v>
      </c>
      <c r="HA37" s="1241"/>
      <c r="HB37" s="1242"/>
      <c r="HC37" s="1242"/>
      <c r="HD37" s="1243"/>
      <c r="HE37" s="1244"/>
      <c r="HF37" s="1242"/>
      <c r="HG37" s="1242"/>
      <c r="HH37" s="1242"/>
      <c r="HI37" s="1242"/>
      <c r="HJ37" s="1242"/>
      <c r="HK37" s="1242"/>
      <c r="HL37" s="1242"/>
      <c r="HM37" s="1242"/>
      <c r="HN37" s="1242"/>
      <c r="HO37" s="1242"/>
      <c r="HP37" s="1242"/>
      <c r="HQ37" s="1242"/>
      <c r="HR37" s="1242"/>
      <c r="HS37" s="1242"/>
      <c r="HT37" s="1242"/>
      <c r="HU37" s="1242"/>
      <c r="HV37" s="1242"/>
      <c r="HW37" s="1242"/>
      <c r="HX37" s="1242"/>
      <c r="HY37" s="1246"/>
      <c r="HZ37" s="1246"/>
      <c r="IA37" s="1246"/>
      <c r="IB37" s="1246"/>
      <c r="IC37" s="1246"/>
      <c r="ID37" s="1247"/>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43"/>
        <v>0</v>
      </c>
    </row>
    <row r="38" spans="1:272" ht="12.6" customHeight="1" x14ac:dyDescent="0.25">
      <c r="A38" s="1448" t="str">
        <f t="shared" si="62"/>
        <v/>
      </c>
      <c r="B38" s="1681" t="str">
        <f t="shared" si="63"/>
        <v/>
      </c>
      <c r="C38" s="1449" t="str">
        <f t="shared" si="64"/>
        <v/>
      </c>
      <c r="D38" s="1705" t="str">
        <f t="shared" si="65"/>
        <v/>
      </c>
      <c r="E38" s="1706" t="str">
        <f t="shared" si="66"/>
        <v/>
      </c>
      <c r="F38" s="1707" t="str">
        <f t="shared" si="67"/>
        <v/>
      </c>
      <c r="G38" s="1708" t="str">
        <f t="shared" si="68"/>
        <v/>
      </c>
      <c r="H38" s="1709" t="str">
        <f t="shared" si="69"/>
        <v/>
      </c>
      <c r="I38" s="1710" t="str">
        <f t="shared" si="70"/>
        <v/>
      </c>
      <c r="J38" s="1705" t="str">
        <f t="shared" si="71"/>
        <v/>
      </c>
      <c r="K38" s="1709" t="str">
        <f t="shared" si="72"/>
        <v/>
      </c>
      <c r="L38" s="1711" t="str">
        <f t="shared" si="73"/>
        <v/>
      </c>
      <c r="M38" s="1712" t="str">
        <f t="shared" si="74"/>
        <v/>
      </c>
      <c r="N38" s="1713" t="str">
        <f t="shared" si="75"/>
        <v/>
      </c>
      <c r="O38" s="1708" t="str">
        <f t="shared" si="76"/>
        <v/>
      </c>
      <c r="P38" s="1709" t="str">
        <f t="shared" si="77"/>
        <v/>
      </c>
      <c r="Q38" s="1705" t="str">
        <f t="shared" si="78"/>
        <v/>
      </c>
      <c r="R38" s="1706" t="str">
        <f t="shared" si="79"/>
        <v/>
      </c>
      <c r="S38" s="1714" t="str">
        <f t="shared" si="80"/>
        <v/>
      </c>
      <c r="T38" s="1709" t="str">
        <f t="shared" si="81"/>
        <v/>
      </c>
      <c r="U38" s="1705" t="str">
        <f t="shared" si="82"/>
        <v/>
      </c>
      <c r="V38" s="1709" t="str">
        <f t="shared" si="83"/>
        <v/>
      </c>
      <c r="W38" s="1713">
        <f t="shared" si="84"/>
        <v>0</v>
      </c>
      <c r="X38" s="1715" t="str">
        <f t="shared" si="85"/>
        <v/>
      </c>
      <c r="Y38" s="1716" t="str">
        <f t="shared" si="86"/>
        <v/>
      </c>
      <c r="Z38" s="1717" t="str">
        <f t="shared" si="87"/>
        <v/>
      </c>
      <c r="AA38" s="1718" t="str">
        <f t="shared" si="88"/>
        <v/>
      </c>
      <c r="AB38" s="1448" t="str">
        <f t="shared" si="61"/>
        <v/>
      </c>
      <c r="AC38" s="1710" t="str">
        <f t="shared" si="4"/>
        <v/>
      </c>
      <c r="AD38" s="1705" t="str">
        <f t="shared" ca="1" si="44"/>
        <v/>
      </c>
      <c r="AE38" s="1709" t="str">
        <f t="shared" ca="1" si="45"/>
        <v/>
      </c>
      <c r="AF38" s="1710" t="str">
        <f t="shared" ca="1" si="46"/>
        <v/>
      </c>
      <c r="AG38" s="1705" t="str">
        <f t="shared" ca="1" si="47"/>
        <v/>
      </c>
      <c r="AH38" s="1709" t="str">
        <f t="shared" ca="1" si="48"/>
        <v/>
      </c>
      <c r="AI38" s="1705" t="str">
        <f t="shared" ca="1" si="49"/>
        <v/>
      </c>
      <c r="AJ38" s="1709" t="str">
        <f t="shared" ca="1" si="50"/>
        <v/>
      </c>
      <c r="AK38" s="1747" t="str">
        <f t="shared" si="53"/>
        <v/>
      </c>
      <c r="AL38" s="1748" t="str">
        <f t="shared" si="5"/>
        <v/>
      </c>
      <c r="AM38" s="1749" t="str">
        <f t="shared" si="54"/>
        <v/>
      </c>
      <c r="AN38" s="1710" t="str">
        <f t="shared" si="55"/>
        <v/>
      </c>
      <c r="AO38" s="1750" t="str">
        <f t="shared" si="56"/>
        <v/>
      </c>
      <c r="AP38" s="1712" t="str">
        <f t="shared" si="6"/>
        <v/>
      </c>
      <c r="AQ38" s="1751" t="str">
        <f t="shared" si="7"/>
        <v/>
      </c>
      <c r="AR38" s="1708" t="str">
        <f t="shared" si="21"/>
        <v/>
      </c>
      <c r="AS38" s="1709" t="str">
        <f t="shared" si="22"/>
        <v/>
      </c>
      <c r="AT38" s="1752" t="str">
        <f t="shared" si="23"/>
        <v/>
      </c>
      <c r="AU38" s="1753" t="str">
        <f t="shared" si="8"/>
        <v/>
      </c>
      <c r="AV38" s="1714" t="str">
        <f t="shared" si="24"/>
        <v/>
      </c>
      <c r="AW38" s="1709" t="str">
        <f t="shared" si="25"/>
        <v/>
      </c>
      <c r="AX38" s="1752" t="str">
        <f t="shared" si="26"/>
        <v/>
      </c>
      <c r="AY38" s="1753" t="str">
        <f t="shared" si="9"/>
        <v/>
      </c>
      <c r="AZ38" s="1714" t="str">
        <f t="shared" si="27"/>
        <v/>
      </c>
      <c r="BA38" s="1709" t="str">
        <f t="shared" si="28"/>
        <v/>
      </c>
      <c r="BB38" s="1752" t="str">
        <f t="shared" si="29"/>
        <v/>
      </c>
      <c r="BC38" s="1753" t="str">
        <f t="shared" si="10"/>
        <v/>
      </c>
      <c r="BD38" s="1714" t="str">
        <f t="shared" si="30"/>
        <v/>
      </c>
      <c r="BE38" s="1709" t="str">
        <f t="shared" si="31"/>
        <v/>
      </c>
      <c r="BF38" s="1752" t="str">
        <f t="shared" si="57"/>
        <v/>
      </c>
      <c r="BG38" s="1753" t="str">
        <f t="shared" si="11"/>
        <v/>
      </c>
      <c r="BH38" s="261"/>
      <c r="BJ38" s="1301" t="str">
        <f t="shared" si="117"/>
        <v/>
      </c>
      <c r="BK38" s="993" t="b">
        <f t="shared" si="118"/>
        <v>0</v>
      </c>
      <c r="BL38" s="989" t="b">
        <v>0</v>
      </c>
      <c r="BM38" s="989">
        <f t="shared" si="106"/>
        <v>0</v>
      </c>
      <c r="BN38" s="989">
        <f t="shared" si="107"/>
        <v>0</v>
      </c>
      <c r="BO38" s="989">
        <f t="shared" si="108"/>
        <v>0</v>
      </c>
      <c r="BP38" s="989">
        <f t="shared" si="89"/>
        <v>0</v>
      </c>
      <c r="BQ38" s="989">
        <f t="shared" si="109"/>
        <v>0</v>
      </c>
      <c r="BR38" s="989" t="b">
        <f t="shared" si="110"/>
        <v>1</v>
      </c>
      <c r="BS38" s="1302">
        <f t="shared" si="111"/>
        <v>6</v>
      </c>
      <c r="BT38" s="990" t="str">
        <f t="shared" si="112"/>
        <v>No</v>
      </c>
      <c r="BU38" s="1302">
        <f t="shared" si="113"/>
        <v>6</v>
      </c>
      <c r="BV38" s="990" t="str">
        <f t="shared" si="114"/>
        <v>No</v>
      </c>
      <c r="BW38" s="991">
        <f t="shared" ca="1" si="33"/>
        <v>0</v>
      </c>
      <c r="BX38" s="991" t="str">
        <f t="shared" ca="1" si="40"/>
        <v/>
      </c>
      <c r="BY38" s="991" t="b">
        <f t="shared" ca="1" si="34"/>
        <v>0</v>
      </c>
      <c r="BZ38" s="1303" t="b">
        <f t="shared" si="41"/>
        <v>0</v>
      </c>
      <c r="CB38" s="672"/>
      <c r="CC38" s="1684"/>
      <c r="CD38" s="699"/>
      <c r="CE38" s="700"/>
      <c r="CF38" s="1328"/>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1598"/>
      <c r="DE38" s="1599"/>
      <c r="DF38" s="141"/>
      <c r="DG38" s="141"/>
      <c r="DH38" s="672"/>
      <c r="DI38" s="673"/>
      <c r="DJ38" s="692"/>
      <c r="DK38" s="1331"/>
      <c r="DL38" s="674"/>
      <c r="DM38" s="693"/>
      <c r="DN38" s="1334"/>
      <c r="DO38" s="675"/>
      <c r="DP38" s="676"/>
      <c r="DQ38" s="1419"/>
      <c r="DR38" s="677"/>
      <c r="DS38" s="1611"/>
      <c r="DT38" s="1606"/>
      <c r="DU38" s="1607"/>
      <c r="DV38" s="678"/>
      <c r="DW38" s="1336"/>
      <c r="DX38" s="679"/>
      <c r="DY38" s="674"/>
      <c r="DZ38" s="678"/>
      <c r="EA38" s="1336"/>
      <c r="EB38" s="679"/>
      <c r="EC38" s="674"/>
      <c r="ED38" s="678"/>
      <c r="EE38" s="1336"/>
      <c r="EF38" s="679"/>
      <c r="EG38" s="674"/>
      <c r="EH38" s="678"/>
      <c r="EI38" s="1336"/>
      <c r="EJ38" s="679"/>
      <c r="EK38" s="680"/>
      <c r="EL38" s="141"/>
      <c r="EM38" s="1631" t="str">
        <f t="shared" si="115"/>
        <v/>
      </c>
      <c r="EN38" s="1632" t="str">
        <f t="shared" si="90"/>
        <v/>
      </c>
      <c r="EO38" s="648" t="str">
        <f t="shared" si="91"/>
        <v/>
      </c>
      <c r="EP38" s="649" t="str">
        <f t="shared" si="92"/>
        <v/>
      </c>
      <c r="EQ38" s="813" t="str">
        <f t="shared" si="93"/>
        <v/>
      </c>
      <c r="ER38" s="1586" t="str">
        <f t="shared" si="94"/>
        <v/>
      </c>
      <c r="ES38" s="1587" t="str">
        <f t="shared" si="95"/>
        <v/>
      </c>
      <c r="ET38" s="1588" t="str">
        <f t="shared" si="96"/>
        <v/>
      </c>
      <c r="EU38" s="1589" t="str">
        <f t="shared" si="97"/>
        <v/>
      </c>
      <c r="EX38" s="503" t="str">
        <f t="shared" ca="1" si="35"/>
        <v/>
      </c>
      <c r="EY38" s="940" t="str">
        <f t="shared" si="12"/>
        <v/>
      </c>
      <c r="EZ38" s="940" t="str">
        <f t="shared" si="36"/>
        <v/>
      </c>
      <c r="FA38" s="958" t="str">
        <f t="shared" ca="1" si="42"/>
        <v/>
      </c>
      <c r="FB38" s="134" t="str">
        <f t="shared" ca="1" si="37"/>
        <v/>
      </c>
      <c r="FC38" s="134">
        <f t="shared" ca="1" si="13"/>
        <v>0</v>
      </c>
      <c r="FD38" s="134">
        <f t="shared" ca="1" si="14"/>
        <v>0</v>
      </c>
      <c r="FE38" s="134">
        <f t="shared" ca="1" si="15"/>
        <v>0</v>
      </c>
      <c r="FF38" s="134">
        <f t="shared" ca="1" si="38"/>
        <v>0</v>
      </c>
      <c r="FN38" s="993" t="b">
        <v>0</v>
      </c>
      <c r="FO38" s="754" t="b">
        <f t="shared" si="116"/>
        <v>1</v>
      </c>
      <c r="FP38" s="754" t="b">
        <v>0</v>
      </c>
      <c r="FQ38" s="754" t="b">
        <f t="shared" si="39"/>
        <v>1</v>
      </c>
      <c r="FX38" s="197"/>
      <c r="FZ38" s="2"/>
      <c r="GA38" s="1761" t="str">
        <f t="shared" si="98"/>
        <v/>
      </c>
      <c r="GB38" s="1762" t="str">
        <f t="shared" si="99"/>
        <v/>
      </c>
      <c r="GC38" s="1763" t="str">
        <f t="shared" si="100"/>
        <v/>
      </c>
      <c r="GD38" s="1764" t="str">
        <f t="shared" si="101"/>
        <v/>
      </c>
      <c r="GE38" s="1765" t="str">
        <f t="shared" si="102"/>
        <v/>
      </c>
      <c r="GF38" s="582" t="str">
        <f t="shared" si="103"/>
        <v/>
      </c>
      <c r="GG38" s="692"/>
      <c r="GH38" s="1135"/>
      <c r="GI38" s="692"/>
      <c r="GJ38" s="1135"/>
      <c r="GK38" s="1640">
        <f t="shared" si="104"/>
        <v>0</v>
      </c>
      <c r="GL38" s="1640" t="e">
        <f t="shared" si="105"/>
        <v>#VALUE!</v>
      </c>
      <c r="GM38" s="1641" t="e">
        <f>IF(ABS(GK38-GL38)&gt;='Job Info.'!$L$22,ABS(GK38-GL38),0)</f>
        <v>#VALUE!</v>
      </c>
      <c r="HA38" s="1241"/>
      <c r="HB38" s="1242"/>
      <c r="HC38" s="1242"/>
      <c r="HD38" s="1243"/>
      <c r="HE38" s="1244"/>
      <c r="HF38" s="1242"/>
      <c r="HG38" s="1242"/>
      <c r="HH38" s="1242"/>
      <c r="HI38" s="1242"/>
      <c r="HJ38" s="1242"/>
      <c r="HK38" s="1242"/>
      <c r="HL38" s="1242"/>
      <c r="HM38" s="1242"/>
      <c r="HN38" s="1242"/>
      <c r="HO38" s="1242"/>
      <c r="HP38" s="1242"/>
      <c r="HQ38" s="1242"/>
      <c r="HR38" s="1242"/>
      <c r="HS38" s="1242"/>
      <c r="HT38" s="1242"/>
      <c r="HU38" s="1242"/>
      <c r="HV38" s="1242"/>
      <c r="HW38" s="1242"/>
      <c r="HX38" s="1242"/>
      <c r="HY38" s="1246"/>
      <c r="HZ38" s="1246"/>
      <c r="IA38" s="1246"/>
      <c r="IB38" s="1246"/>
      <c r="IC38" s="1246"/>
      <c r="ID38" s="1247"/>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43"/>
        <v>0</v>
      </c>
    </row>
    <row r="39" spans="1:272" ht="12.6" customHeight="1" x14ac:dyDescent="0.25">
      <c r="A39" s="1448" t="str">
        <f t="shared" si="62"/>
        <v/>
      </c>
      <c r="B39" s="1681" t="str">
        <f t="shared" si="63"/>
        <v/>
      </c>
      <c r="C39" s="1449" t="str">
        <f t="shared" si="64"/>
        <v/>
      </c>
      <c r="D39" s="1705" t="str">
        <f t="shared" si="65"/>
        <v/>
      </c>
      <c r="E39" s="1706" t="str">
        <f t="shared" si="66"/>
        <v/>
      </c>
      <c r="F39" s="1707" t="str">
        <f t="shared" si="67"/>
        <v/>
      </c>
      <c r="G39" s="1708" t="str">
        <f t="shared" si="68"/>
        <v/>
      </c>
      <c r="H39" s="1709" t="str">
        <f t="shared" si="69"/>
        <v/>
      </c>
      <c r="I39" s="1710" t="str">
        <f t="shared" si="70"/>
        <v/>
      </c>
      <c r="J39" s="1705" t="str">
        <f t="shared" si="71"/>
        <v/>
      </c>
      <c r="K39" s="1709" t="str">
        <f t="shared" si="72"/>
        <v/>
      </c>
      <c r="L39" s="1711" t="str">
        <f t="shared" si="73"/>
        <v/>
      </c>
      <c r="M39" s="1712" t="str">
        <f t="shared" si="74"/>
        <v/>
      </c>
      <c r="N39" s="1713" t="str">
        <f t="shared" si="75"/>
        <v/>
      </c>
      <c r="O39" s="1708" t="str">
        <f t="shared" si="76"/>
        <v/>
      </c>
      <c r="P39" s="1709" t="str">
        <f t="shared" si="77"/>
        <v/>
      </c>
      <c r="Q39" s="1705" t="str">
        <f t="shared" si="78"/>
        <v/>
      </c>
      <c r="R39" s="1706" t="str">
        <f t="shared" si="79"/>
        <v/>
      </c>
      <c r="S39" s="1714" t="str">
        <f t="shared" si="80"/>
        <v/>
      </c>
      <c r="T39" s="1709" t="str">
        <f t="shared" si="81"/>
        <v/>
      </c>
      <c r="U39" s="1705" t="str">
        <f t="shared" si="82"/>
        <v/>
      </c>
      <c r="V39" s="1709" t="str">
        <f t="shared" si="83"/>
        <v/>
      </c>
      <c r="W39" s="1713">
        <f t="shared" si="84"/>
        <v>0</v>
      </c>
      <c r="X39" s="1715" t="str">
        <f t="shared" si="85"/>
        <v/>
      </c>
      <c r="Y39" s="1716" t="str">
        <f t="shared" si="86"/>
        <v/>
      </c>
      <c r="Z39" s="1717" t="str">
        <f t="shared" si="87"/>
        <v/>
      </c>
      <c r="AA39" s="1718" t="str">
        <f t="shared" si="88"/>
        <v/>
      </c>
      <c r="AB39" s="1448" t="str">
        <f t="shared" si="61"/>
        <v/>
      </c>
      <c r="AC39" s="1710" t="str">
        <f t="shared" si="4"/>
        <v/>
      </c>
      <c r="AD39" s="1705" t="str">
        <f t="shared" ca="1" si="44"/>
        <v/>
      </c>
      <c r="AE39" s="1709" t="str">
        <f t="shared" ca="1" si="45"/>
        <v/>
      </c>
      <c r="AF39" s="1710" t="str">
        <f t="shared" ca="1" si="46"/>
        <v/>
      </c>
      <c r="AG39" s="1705" t="str">
        <f t="shared" ca="1" si="47"/>
        <v/>
      </c>
      <c r="AH39" s="1709" t="str">
        <f t="shared" ca="1" si="48"/>
        <v/>
      </c>
      <c r="AI39" s="1705" t="str">
        <f t="shared" ca="1" si="49"/>
        <v/>
      </c>
      <c r="AJ39" s="1709" t="str">
        <f t="shared" ca="1" si="50"/>
        <v/>
      </c>
      <c r="AK39" s="1747" t="str">
        <f t="shared" si="53"/>
        <v/>
      </c>
      <c r="AL39" s="1748" t="str">
        <f t="shared" si="5"/>
        <v/>
      </c>
      <c r="AM39" s="1749" t="str">
        <f t="shared" si="54"/>
        <v/>
      </c>
      <c r="AN39" s="1710" t="str">
        <f t="shared" si="55"/>
        <v/>
      </c>
      <c r="AO39" s="1750" t="str">
        <f t="shared" si="56"/>
        <v/>
      </c>
      <c r="AP39" s="1712" t="str">
        <f t="shared" si="6"/>
        <v/>
      </c>
      <c r="AQ39" s="1751" t="str">
        <f t="shared" si="7"/>
        <v/>
      </c>
      <c r="AR39" s="1708" t="str">
        <f t="shared" si="21"/>
        <v/>
      </c>
      <c r="AS39" s="1709" t="str">
        <f t="shared" si="22"/>
        <v/>
      </c>
      <c r="AT39" s="1752" t="str">
        <f t="shared" si="23"/>
        <v/>
      </c>
      <c r="AU39" s="1753" t="str">
        <f t="shared" si="8"/>
        <v/>
      </c>
      <c r="AV39" s="1714" t="str">
        <f t="shared" si="24"/>
        <v/>
      </c>
      <c r="AW39" s="1709" t="str">
        <f t="shared" si="25"/>
        <v/>
      </c>
      <c r="AX39" s="1752" t="str">
        <f t="shared" si="26"/>
        <v/>
      </c>
      <c r="AY39" s="1753" t="str">
        <f t="shared" si="9"/>
        <v/>
      </c>
      <c r="AZ39" s="1714" t="str">
        <f t="shared" si="27"/>
        <v/>
      </c>
      <c r="BA39" s="1709" t="str">
        <f t="shared" si="28"/>
        <v/>
      </c>
      <c r="BB39" s="1752" t="str">
        <f t="shared" si="29"/>
        <v/>
      </c>
      <c r="BC39" s="1753" t="str">
        <f t="shared" si="10"/>
        <v/>
      </c>
      <c r="BD39" s="1714" t="str">
        <f t="shared" si="30"/>
        <v/>
      </c>
      <c r="BE39" s="1709" t="str">
        <f t="shared" si="31"/>
        <v/>
      </c>
      <c r="BF39" s="1752" t="str">
        <f t="shared" si="57"/>
        <v/>
      </c>
      <c r="BG39" s="1753" t="str">
        <f t="shared" si="11"/>
        <v/>
      </c>
      <c r="BH39" s="261"/>
      <c r="BJ39" s="1301" t="str">
        <f t="shared" si="117"/>
        <v/>
      </c>
      <c r="BK39" s="993" t="b">
        <f t="shared" si="118"/>
        <v>0</v>
      </c>
      <c r="BL39" s="989" t="b">
        <v>0</v>
      </c>
      <c r="BM39" s="989">
        <f t="shared" si="106"/>
        <v>0</v>
      </c>
      <c r="BN39" s="989">
        <f t="shared" si="107"/>
        <v>0</v>
      </c>
      <c r="BO39" s="989">
        <f t="shared" si="108"/>
        <v>0</v>
      </c>
      <c r="BP39" s="989">
        <f t="shared" si="89"/>
        <v>0</v>
      </c>
      <c r="BQ39" s="989">
        <f t="shared" si="109"/>
        <v>0</v>
      </c>
      <c r="BR39" s="989" t="b">
        <f t="shared" si="110"/>
        <v>1</v>
      </c>
      <c r="BS39" s="1302">
        <f t="shared" si="111"/>
        <v>6</v>
      </c>
      <c r="BT39" s="990" t="str">
        <f t="shared" si="112"/>
        <v>No</v>
      </c>
      <c r="BU39" s="1302">
        <f t="shared" si="113"/>
        <v>6</v>
      </c>
      <c r="BV39" s="990" t="str">
        <f t="shared" si="114"/>
        <v>No</v>
      </c>
      <c r="BW39" s="991">
        <f t="shared" ca="1" si="33"/>
        <v>0</v>
      </c>
      <c r="BX39" s="991" t="str">
        <f t="shared" ca="1" si="40"/>
        <v/>
      </c>
      <c r="BY39" s="991" t="b">
        <f t="shared" ca="1" si="34"/>
        <v>0</v>
      </c>
      <c r="BZ39" s="1303" t="b">
        <f t="shared" si="41"/>
        <v>0</v>
      </c>
      <c r="CB39" s="672"/>
      <c r="CC39" s="1684"/>
      <c r="CD39" s="699"/>
      <c r="CE39" s="700"/>
      <c r="CF39" s="1328"/>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1598"/>
      <c r="DE39" s="1599"/>
      <c r="DF39" s="141"/>
      <c r="DG39" s="141"/>
      <c r="DH39" s="672"/>
      <c r="DI39" s="673"/>
      <c r="DJ39" s="692"/>
      <c r="DK39" s="1331"/>
      <c r="DL39" s="674"/>
      <c r="DM39" s="693"/>
      <c r="DN39" s="1334"/>
      <c r="DO39" s="675"/>
      <c r="DP39" s="676"/>
      <c r="DQ39" s="1419"/>
      <c r="DR39" s="677"/>
      <c r="DS39" s="1611"/>
      <c r="DT39" s="1606"/>
      <c r="DU39" s="1607"/>
      <c r="DV39" s="678"/>
      <c r="DW39" s="1336"/>
      <c r="DX39" s="679"/>
      <c r="DY39" s="674"/>
      <c r="DZ39" s="678"/>
      <c r="EA39" s="1336"/>
      <c r="EB39" s="679"/>
      <c r="EC39" s="674"/>
      <c r="ED39" s="678"/>
      <c r="EE39" s="1336"/>
      <c r="EF39" s="679"/>
      <c r="EG39" s="674"/>
      <c r="EH39" s="678"/>
      <c r="EI39" s="1336"/>
      <c r="EJ39" s="679"/>
      <c r="EK39" s="680"/>
      <c r="EL39" s="141"/>
      <c r="EM39" s="1631" t="str">
        <f t="shared" si="115"/>
        <v/>
      </c>
      <c r="EN39" s="1632" t="str">
        <f t="shared" si="90"/>
        <v/>
      </c>
      <c r="EO39" s="648" t="str">
        <f t="shared" si="91"/>
        <v/>
      </c>
      <c r="EP39" s="649" t="str">
        <f t="shared" si="92"/>
        <v/>
      </c>
      <c r="EQ39" s="813" t="str">
        <f t="shared" si="93"/>
        <v/>
      </c>
      <c r="ER39" s="1586" t="str">
        <f t="shared" si="94"/>
        <v/>
      </c>
      <c r="ES39" s="1587" t="str">
        <f t="shared" si="95"/>
        <v/>
      </c>
      <c r="ET39" s="1588" t="str">
        <f t="shared" si="96"/>
        <v/>
      </c>
      <c r="EU39" s="1589" t="str">
        <f t="shared" si="97"/>
        <v/>
      </c>
      <c r="EX39" s="503" t="str">
        <f t="shared" ca="1" si="35"/>
        <v/>
      </c>
      <c r="EY39" s="940" t="str">
        <f t="shared" si="12"/>
        <v/>
      </c>
      <c r="EZ39" s="940" t="str">
        <f t="shared" si="36"/>
        <v/>
      </c>
      <c r="FA39" s="958" t="str">
        <f t="shared" ca="1" si="42"/>
        <v/>
      </c>
      <c r="FB39" s="134" t="str">
        <f t="shared" ca="1" si="37"/>
        <v/>
      </c>
      <c r="FC39" s="134">
        <f t="shared" ca="1" si="13"/>
        <v>0</v>
      </c>
      <c r="FD39" s="134">
        <f t="shared" ca="1" si="14"/>
        <v>0</v>
      </c>
      <c r="FE39" s="134">
        <f t="shared" ca="1" si="15"/>
        <v>0</v>
      </c>
      <c r="FF39" s="134">
        <f t="shared" ca="1" si="38"/>
        <v>0</v>
      </c>
      <c r="FN39" s="993" t="b">
        <v>0</v>
      </c>
      <c r="FO39" s="754" t="b">
        <f t="shared" si="116"/>
        <v>1</v>
      </c>
      <c r="FP39" s="754" t="b">
        <v>0</v>
      </c>
      <c r="FQ39" s="754" t="b">
        <f t="shared" si="39"/>
        <v>1</v>
      </c>
      <c r="FX39" s="197"/>
      <c r="FZ39" s="2"/>
      <c r="GA39" s="1761" t="str">
        <f t="shared" si="98"/>
        <v/>
      </c>
      <c r="GB39" s="1762" t="str">
        <f t="shared" si="99"/>
        <v/>
      </c>
      <c r="GC39" s="1763" t="str">
        <f t="shared" si="100"/>
        <v/>
      </c>
      <c r="GD39" s="1764" t="str">
        <f t="shared" si="101"/>
        <v/>
      </c>
      <c r="GE39" s="1765" t="str">
        <f t="shared" si="102"/>
        <v/>
      </c>
      <c r="GF39" s="582" t="str">
        <f t="shared" si="103"/>
        <v/>
      </c>
      <c r="GG39" s="692"/>
      <c r="GH39" s="1135"/>
      <c r="GI39" s="692"/>
      <c r="GJ39" s="1135"/>
      <c r="GK39" s="1640">
        <f t="shared" si="104"/>
        <v>0</v>
      </c>
      <c r="GL39" s="1640" t="e">
        <f t="shared" si="105"/>
        <v>#VALUE!</v>
      </c>
      <c r="GM39" s="1641" t="e">
        <f>IF(ABS(GK39-GL39)&gt;='Job Info.'!$L$22,ABS(GK39-GL39),0)</f>
        <v>#VALUE!</v>
      </c>
      <c r="HA39" s="1241"/>
      <c r="HB39" s="1242"/>
      <c r="HC39" s="1242"/>
      <c r="HD39" s="1243"/>
      <c r="HE39" s="1244"/>
      <c r="HF39" s="1242"/>
      <c r="HG39" s="1242"/>
      <c r="HH39" s="1242"/>
      <c r="HI39" s="1242"/>
      <c r="HJ39" s="1242"/>
      <c r="HK39" s="1242"/>
      <c r="HL39" s="1242"/>
      <c r="HM39" s="1242"/>
      <c r="HN39" s="1242"/>
      <c r="HO39" s="1242"/>
      <c r="HP39" s="1242"/>
      <c r="HQ39" s="1242"/>
      <c r="HR39" s="1242"/>
      <c r="HS39" s="1242"/>
      <c r="HT39" s="1242"/>
      <c r="HU39" s="1242"/>
      <c r="HV39" s="1242"/>
      <c r="HW39" s="1242"/>
      <c r="HX39" s="1242"/>
      <c r="HY39" s="1246"/>
      <c r="HZ39" s="1246"/>
      <c r="IA39" s="1246"/>
      <c r="IB39" s="1246"/>
      <c r="IC39" s="1246"/>
      <c r="ID39" s="1247"/>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43"/>
        <v>0</v>
      </c>
    </row>
    <row r="40" spans="1:272" ht="12.6" customHeight="1" x14ac:dyDescent="0.25">
      <c r="A40" s="1448" t="str">
        <f t="shared" si="62"/>
        <v/>
      </c>
      <c r="B40" s="1681" t="str">
        <f t="shared" si="63"/>
        <v/>
      </c>
      <c r="C40" s="1449" t="str">
        <f t="shared" si="64"/>
        <v/>
      </c>
      <c r="D40" s="1705" t="str">
        <f t="shared" si="65"/>
        <v/>
      </c>
      <c r="E40" s="1706" t="str">
        <f t="shared" si="66"/>
        <v/>
      </c>
      <c r="F40" s="1707" t="str">
        <f t="shared" si="67"/>
        <v/>
      </c>
      <c r="G40" s="1708" t="str">
        <f t="shared" si="68"/>
        <v/>
      </c>
      <c r="H40" s="1709" t="str">
        <f t="shared" si="69"/>
        <v/>
      </c>
      <c r="I40" s="1710" t="str">
        <f t="shared" si="70"/>
        <v/>
      </c>
      <c r="J40" s="1705" t="str">
        <f t="shared" si="71"/>
        <v/>
      </c>
      <c r="K40" s="1709" t="str">
        <f t="shared" si="72"/>
        <v/>
      </c>
      <c r="L40" s="1711" t="str">
        <f t="shared" si="73"/>
        <v/>
      </c>
      <c r="M40" s="1712" t="str">
        <f t="shared" si="74"/>
        <v/>
      </c>
      <c r="N40" s="1713" t="str">
        <f t="shared" si="75"/>
        <v/>
      </c>
      <c r="O40" s="1708" t="str">
        <f t="shared" si="76"/>
        <v/>
      </c>
      <c r="P40" s="1709" t="str">
        <f t="shared" si="77"/>
        <v/>
      </c>
      <c r="Q40" s="1705" t="str">
        <f t="shared" si="78"/>
        <v/>
      </c>
      <c r="R40" s="1706" t="str">
        <f t="shared" si="79"/>
        <v/>
      </c>
      <c r="S40" s="1714" t="str">
        <f t="shared" si="80"/>
        <v/>
      </c>
      <c r="T40" s="1709" t="str">
        <f t="shared" si="81"/>
        <v/>
      </c>
      <c r="U40" s="1705" t="str">
        <f t="shared" si="82"/>
        <v/>
      </c>
      <c r="V40" s="1709" t="str">
        <f t="shared" si="83"/>
        <v/>
      </c>
      <c r="W40" s="1713">
        <f t="shared" si="84"/>
        <v>0</v>
      </c>
      <c r="X40" s="1715" t="str">
        <f t="shared" si="85"/>
        <v/>
      </c>
      <c r="Y40" s="1716" t="str">
        <f t="shared" si="86"/>
        <v/>
      </c>
      <c r="Z40" s="1717" t="str">
        <f t="shared" si="87"/>
        <v/>
      </c>
      <c r="AA40" s="1718" t="str">
        <f t="shared" si="88"/>
        <v/>
      </c>
      <c r="AB40" s="1448" t="str">
        <f t="shared" si="61"/>
        <v/>
      </c>
      <c r="AC40" s="1710" t="str">
        <f t="shared" si="4"/>
        <v/>
      </c>
      <c r="AD40" s="1705" t="str">
        <f t="shared" ca="1" si="44"/>
        <v/>
      </c>
      <c r="AE40" s="1709" t="str">
        <f t="shared" ca="1" si="45"/>
        <v/>
      </c>
      <c r="AF40" s="1710" t="str">
        <f t="shared" ca="1" si="46"/>
        <v/>
      </c>
      <c r="AG40" s="1705" t="str">
        <f t="shared" ca="1" si="47"/>
        <v/>
      </c>
      <c r="AH40" s="1709" t="str">
        <f t="shared" ca="1" si="48"/>
        <v/>
      </c>
      <c r="AI40" s="1705" t="str">
        <f t="shared" ca="1" si="49"/>
        <v/>
      </c>
      <c r="AJ40" s="1709" t="str">
        <f t="shared" ca="1" si="50"/>
        <v/>
      </c>
      <c r="AK40" s="1747" t="str">
        <f t="shared" si="53"/>
        <v/>
      </c>
      <c r="AL40" s="1748" t="str">
        <f t="shared" si="5"/>
        <v/>
      </c>
      <c r="AM40" s="1749" t="str">
        <f t="shared" si="54"/>
        <v/>
      </c>
      <c r="AN40" s="1710" t="str">
        <f t="shared" si="55"/>
        <v/>
      </c>
      <c r="AO40" s="1750" t="str">
        <f t="shared" si="56"/>
        <v/>
      </c>
      <c r="AP40" s="1712" t="str">
        <f t="shared" si="6"/>
        <v/>
      </c>
      <c r="AQ40" s="1751" t="str">
        <f t="shared" si="7"/>
        <v/>
      </c>
      <c r="AR40" s="1708" t="str">
        <f t="shared" si="21"/>
        <v/>
      </c>
      <c r="AS40" s="1709" t="str">
        <f t="shared" si="22"/>
        <v/>
      </c>
      <c r="AT40" s="1752" t="str">
        <f t="shared" si="23"/>
        <v/>
      </c>
      <c r="AU40" s="1753" t="str">
        <f t="shared" si="8"/>
        <v/>
      </c>
      <c r="AV40" s="1714" t="str">
        <f t="shared" si="24"/>
        <v/>
      </c>
      <c r="AW40" s="1709" t="str">
        <f t="shared" si="25"/>
        <v/>
      </c>
      <c r="AX40" s="1752" t="str">
        <f t="shared" si="26"/>
        <v/>
      </c>
      <c r="AY40" s="1753" t="str">
        <f t="shared" si="9"/>
        <v/>
      </c>
      <c r="AZ40" s="1714" t="str">
        <f t="shared" si="27"/>
        <v/>
      </c>
      <c r="BA40" s="1709" t="str">
        <f t="shared" si="28"/>
        <v/>
      </c>
      <c r="BB40" s="1752" t="str">
        <f t="shared" si="29"/>
        <v/>
      </c>
      <c r="BC40" s="1753" t="str">
        <f t="shared" si="10"/>
        <v/>
      </c>
      <c r="BD40" s="1714" t="str">
        <f t="shared" si="30"/>
        <v/>
      </c>
      <c r="BE40" s="1709" t="str">
        <f t="shared" si="31"/>
        <v/>
      </c>
      <c r="BF40" s="1752" t="str">
        <f t="shared" si="57"/>
        <v/>
      </c>
      <c r="BG40" s="1753" t="str">
        <f t="shared" si="11"/>
        <v/>
      </c>
      <c r="BH40" s="261"/>
      <c r="BJ40" s="1301" t="str">
        <f t="shared" si="117"/>
        <v/>
      </c>
      <c r="BK40" s="993" t="b">
        <f t="shared" si="118"/>
        <v>0</v>
      </c>
      <c r="BL40" s="989" t="b">
        <v>0</v>
      </c>
      <c r="BM40" s="989">
        <f t="shared" si="106"/>
        <v>0</v>
      </c>
      <c r="BN40" s="989">
        <f t="shared" si="107"/>
        <v>0</v>
      </c>
      <c r="BO40" s="989">
        <f t="shared" si="108"/>
        <v>0</v>
      </c>
      <c r="BP40" s="989">
        <f t="shared" si="89"/>
        <v>0</v>
      </c>
      <c r="BQ40" s="989">
        <f t="shared" si="109"/>
        <v>0</v>
      </c>
      <c r="BR40" s="989" t="b">
        <f t="shared" si="110"/>
        <v>1</v>
      </c>
      <c r="BS40" s="1302">
        <f t="shared" si="111"/>
        <v>6</v>
      </c>
      <c r="BT40" s="990" t="str">
        <f t="shared" si="112"/>
        <v>No</v>
      </c>
      <c r="BU40" s="1302">
        <f t="shared" si="113"/>
        <v>6</v>
      </c>
      <c r="BV40" s="990" t="str">
        <f t="shared" si="114"/>
        <v>No</v>
      </c>
      <c r="BW40" s="991">
        <f t="shared" ca="1" si="33"/>
        <v>0</v>
      </c>
      <c r="BX40" s="991" t="str">
        <f t="shared" ca="1" si="40"/>
        <v/>
      </c>
      <c r="BY40" s="991" t="b">
        <f t="shared" ca="1" si="34"/>
        <v>0</v>
      </c>
      <c r="BZ40" s="1303" t="b">
        <f t="shared" si="41"/>
        <v>0</v>
      </c>
      <c r="CB40" s="672"/>
      <c r="CC40" s="1684"/>
      <c r="CD40" s="699"/>
      <c r="CE40" s="700"/>
      <c r="CF40" s="1328"/>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1598"/>
      <c r="DE40" s="1599"/>
      <c r="DF40" s="141"/>
      <c r="DG40" s="141"/>
      <c r="DH40" s="672"/>
      <c r="DI40" s="673"/>
      <c r="DJ40" s="692"/>
      <c r="DK40" s="1331"/>
      <c r="DL40" s="674"/>
      <c r="DM40" s="693"/>
      <c r="DN40" s="1334"/>
      <c r="DO40" s="675"/>
      <c r="DP40" s="676"/>
      <c r="DQ40" s="1419"/>
      <c r="DR40" s="677"/>
      <c r="DS40" s="1611"/>
      <c r="DT40" s="1606"/>
      <c r="DU40" s="1607"/>
      <c r="DV40" s="678"/>
      <c r="DW40" s="1336"/>
      <c r="DX40" s="679"/>
      <c r="DY40" s="674"/>
      <c r="DZ40" s="678"/>
      <c r="EA40" s="1336"/>
      <c r="EB40" s="679"/>
      <c r="EC40" s="674"/>
      <c r="ED40" s="678"/>
      <c r="EE40" s="1336"/>
      <c r="EF40" s="679"/>
      <c r="EG40" s="674"/>
      <c r="EH40" s="678"/>
      <c r="EI40" s="1336"/>
      <c r="EJ40" s="679"/>
      <c r="EK40" s="680"/>
      <c r="EL40" s="141"/>
      <c r="EM40" s="1631" t="str">
        <f t="shared" si="115"/>
        <v/>
      </c>
      <c r="EN40" s="1632" t="str">
        <f t="shared" si="90"/>
        <v/>
      </c>
      <c r="EO40" s="648" t="str">
        <f t="shared" si="91"/>
        <v/>
      </c>
      <c r="EP40" s="649" t="str">
        <f t="shared" si="92"/>
        <v/>
      </c>
      <c r="EQ40" s="813" t="str">
        <f t="shared" si="93"/>
        <v/>
      </c>
      <c r="ER40" s="1586" t="str">
        <f t="shared" si="94"/>
        <v/>
      </c>
      <c r="ES40" s="1587" t="str">
        <f t="shared" si="95"/>
        <v/>
      </c>
      <c r="ET40" s="1588" t="str">
        <f t="shared" si="96"/>
        <v/>
      </c>
      <c r="EU40" s="1589" t="str">
        <f t="shared" si="97"/>
        <v/>
      </c>
      <c r="EX40" s="503" t="str">
        <f t="shared" ca="1" si="35"/>
        <v/>
      </c>
      <c r="EY40" s="940" t="str">
        <f t="shared" si="12"/>
        <v/>
      </c>
      <c r="EZ40" s="940" t="str">
        <f t="shared" si="36"/>
        <v/>
      </c>
      <c r="FA40" s="958" t="str">
        <f t="shared" ca="1" si="42"/>
        <v/>
      </c>
      <c r="FB40" s="134" t="str">
        <f t="shared" ca="1" si="37"/>
        <v/>
      </c>
      <c r="FC40" s="134">
        <f t="shared" ca="1" si="13"/>
        <v>0</v>
      </c>
      <c r="FD40" s="134">
        <f t="shared" ca="1" si="14"/>
        <v>0</v>
      </c>
      <c r="FE40" s="134">
        <f t="shared" ca="1" si="15"/>
        <v>0</v>
      </c>
      <c r="FF40" s="134">
        <f t="shared" ca="1" si="38"/>
        <v>0</v>
      </c>
      <c r="FN40" s="993" t="b">
        <v>0</v>
      </c>
      <c r="FO40" s="754" t="b">
        <f t="shared" si="116"/>
        <v>1</v>
      </c>
      <c r="FP40" s="754" t="b">
        <v>0</v>
      </c>
      <c r="FQ40" s="754" t="b">
        <f t="shared" si="39"/>
        <v>1</v>
      </c>
      <c r="FX40" s="197"/>
      <c r="FZ40" s="2"/>
      <c r="GA40" s="1761" t="str">
        <f t="shared" si="98"/>
        <v/>
      </c>
      <c r="GB40" s="1762" t="str">
        <f t="shared" si="99"/>
        <v/>
      </c>
      <c r="GC40" s="1763" t="str">
        <f t="shared" si="100"/>
        <v/>
      </c>
      <c r="GD40" s="1764" t="str">
        <f t="shared" si="101"/>
        <v/>
      </c>
      <c r="GE40" s="1765" t="str">
        <f t="shared" si="102"/>
        <v/>
      </c>
      <c r="GF40" s="582" t="str">
        <f t="shared" si="103"/>
        <v/>
      </c>
      <c r="GG40" s="692"/>
      <c r="GH40" s="1135"/>
      <c r="GI40" s="692"/>
      <c r="GJ40" s="1135"/>
      <c r="GK40" s="1640">
        <f t="shared" si="104"/>
        <v>0</v>
      </c>
      <c r="GL40" s="1640" t="e">
        <f t="shared" si="105"/>
        <v>#VALUE!</v>
      </c>
      <c r="GM40" s="1641" t="e">
        <f>IF(ABS(GK40-GL40)&gt;='Job Info.'!$L$22,ABS(GK40-GL40),0)</f>
        <v>#VALUE!</v>
      </c>
      <c r="HA40" s="1241"/>
      <c r="HB40" s="1242"/>
      <c r="HC40" s="1242"/>
      <c r="HD40" s="1243"/>
      <c r="HE40" s="1244"/>
      <c r="HF40" s="1242"/>
      <c r="HG40" s="1242"/>
      <c r="HH40" s="1242"/>
      <c r="HI40" s="1242"/>
      <c r="HJ40" s="1242"/>
      <c r="HK40" s="1242"/>
      <c r="HL40" s="1242"/>
      <c r="HM40" s="1242"/>
      <c r="HN40" s="1242"/>
      <c r="HO40" s="1242"/>
      <c r="HP40" s="1242"/>
      <c r="HQ40" s="1242"/>
      <c r="HR40" s="1242"/>
      <c r="HS40" s="1242"/>
      <c r="HT40" s="1242"/>
      <c r="HU40" s="1242"/>
      <c r="HV40" s="1242"/>
      <c r="HW40" s="1242"/>
      <c r="HX40" s="1242"/>
      <c r="HY40" s="1246"/>
      <c r="HZ40" s="1246"/>
      <c r="IA40" s="1246"/>
      <c r="IB40" s="1246"/>
      <c r="IC40" s="1246"/>
      <c r="ID40" s="1247"/>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43"/>
        <v>0</v>
      </c>
    </row>
    <row r="41" spans="1:272" ht="12.6" customHeight="1" x14ac:dyDescent="0.25">
      <c r="A41" s="1448" t="str">
        <f t="shared" si="62"/>
        <v/>
      </c>
      <c r="B41" s="1681" t="str">
        <f t="shared" si="63"/>
        <v/>
      </c>
      <c r="C41" s="1449" t="str">
        <f t="shared" si="64"/>
        <v/>
      </c>
      <c r="D41" s="1705" t="str">
        <f t="shared" si="65"/>
        <v/>
      </c>
      <c r="E41" s="1706" t="str">
        <f t="shared" si="66"/>
        <v/>
      </c>
      <c r="F41" s="1707" t="str">
        <f t="shared" si="67"/>
        <v/>
      </c>
      <c r="G41" s="1708" t="str">
        <f t="shared" si="68"/>
        <v/>
      </c>
      <c r="H41" s="1709" t="str">
        <f t="shared" si="69"/>
        <v/>
      </c>
      <c r="I41" s="1710" t="str">
        <f t="shared" si="70"/>
        <v/>
      </c>
      <c r="J41" s="1705" t="str">
        <f t="shared" si="71"/>
        <v/>
      </c>
      <c r="K41" s="1709" t="str">
        <f t="shared" si="72"/>
        <v/>
      </c>
      <c r="L41" s="1711" t="str">
        <f t="shared" si="73"/>
        <v/>
      </c>
      <c r="M41" s="1712" t="str">
        <f t="shared" si="74"/>
        <v/>
      </c>
      <c r="N41" s="1713" t="str">
        <f t="shared" si="75"/>
        <v/>
      </c>
      <c r="O41" s="1708" t="str">
        <f t="shared" si="76"/>
        <v/>
      </c>
      <c r="P41" s="1709" t="str">
        <f t="shared" si="77"/>
        <v/>
      </c>
      <c r="Q41" s="1705" t="str">
        <f t="shared" si="78"/>
        <v/>
      </c>
      <c r="R41" s="1706" t="str">
        <f t="shared" si="79"/>
        <v/>
      </c>
      <c r="S41" s="1714" t="str">
        <f t="shared" si="80"/>
        <v/>
      </c>
      <c r="T41" s="1709" t="str">
        <f t="shared" si="81"/>
        <v/>
      </c>
      <c r="U41" s="1705" t="str">
        <f t="shared" si="82"/>
        <v/>
      </c>
      <c r="V41" s="1709" t="str">
        <f t="shared" si="83"/>
        <v/>
      </c>
      <c r="W41" s="1713">
        <f t="shared" si="84"/>
        <v>0</v>
      </c>
      <c r="X41" s="1715" t="str">
        <f t="shared" si="85"/>
        <v/>
      </c>
      <c r="Y41" s="1716" t="str">
        <f t="shared" si="86"/>
        <v/>
      </c>
      <c r="Z41" s="1717" t="str">
        <f t="shared" si="87"/>
        <v/>
      </c>
      <c r="AA41" s="1718" t="str">
        <f t="shared" si="88"/>
        <v/>
      </c>
      <c r="AB41" s="1448" t="str">
        <f t="shared" si="61"/>
        <v/>
      </c>
      <c r="AC41" s="1710" t="str">
        <f t="shared" si="4"/>
        <v/>
      </c>
      <c r="AD41" s="1705" t="str">
        <f t="shared" ca="1" si="44"/>
        <v/>
      </c>
      <c r="AE41" s="1709" t="str">
        <f t="shared" ca="1" si="45"/>
        <v/>
      </c>
      <c r="AF41" s="1710" t="str">
        <f t="shared" ca="1" si="46"/>
        <v/>
      </c>
      <c r="AG41" s="1705" t="str">
        <f t="shared" ca="1" si="47"/>
        <v/>
      </c>
      <c r="AH41" s="1709" t="str">
        <f t="shared" ca="1" si="48"/>
        <v/>
      </c>
      <c r="AI41" s="1705" t="str">
        <f t="shared" ca="1" si="49"/>
        <v/>
      </c>
      <c r="AJ41" s="1709" t="str">
        <f t="shared" ca="1" si="50"/>
        <v/>
      </c>
      <c r="AK41" s="1747" t="str">
        <f t="shared" si="53"/>
        <v/>
      </c>
      <c r="AL41" s="1748" t="str">
        <f t="shared" si="5"/>
        <v/>
      </c>
      <c r="AM41" s="1749" t="str">
        <f t="shared" si="54"/>
        <v/>
      </c>
      <c r="AN41" s="1710" t="str">
        <f t="shared" si="55"/>
        <v/>
      </c>
      <c r="AO41" s="1750" t="str">
        <f t="shared" si="56"/>
        <v/>
      </c>
      <c r="AP41" s="1712" t="str">
        <f t="shared" si="6"/>
        <v/>
      </c>
      <c r="AQ41" s="1751" t="str">
        <f t="shared" si="7"/>
        <v/>
      </c>
      <c r="AR41" s="1708" t="str">
        <f t="shared" si="21"/>
        <v/>
      </c>
      <c r="AS41" s="1709" t="str">
        <f t="shared" si="22"/>
        <v/>
      </c>
      <c r="AT41" s="1752" t="str">
        <f t="shared" si="23"/>
        <v/>
      </c>
      <c r="AU41" s="1753" t="str">
        <f t="shared" si="8"/>
        <v/>
      </c>
      <c r="AV41" s="1714" t="str">
        <f t="shared" si="24"/>
        <v/>
      </c>
      <c r="AW41" s="1709" t="str">
        <f t="shared" si="25"/>
        <v/>
      </c>
      <c r="AX41" s="1752" t="str">
        <f t="shared" si="26"/>
        <v/>
      </c>
      <c r="AY41" s="1753" t="str">
        <f t="shared" si="9"/>
        <v/>
      </c>
      <c r="AZ41" s="1714" t="str">
        <f t="shared" si="27"/>
        <v/>
      </c>
      <c r="BA41" s="1709" t="str">
        <f t="shared" si="28"/>
        <v/>
      </c>
      <c r="BB41" s="1752" t="str">
        <f t="shared" si="29"/>
        <v/>
      </c>
      <c r="BC41" s="1753" t="str">
        <f t="shared" si="10"/>
        <v/>
      </c>
      <c r="BD41" s="1714" t="str">
        <f t="shared" si="30"/>
        <v/>
      </c>
      <c r="BE41" s="1709" t="str">
        <f t="shared" si="31"/>
        <v/>
      </c>
      <c r="BF41" s="1752" t="str">
        <f t="shared" si="57"/>
        <v/>
      </c>
      <c r="BG41" s="1753" t="str">
        <f t="shared" si="11"/>
        <v/>
      </c>
      <c r="BH41" s="261"/>
      <c r="BJ41" s="1301" t="str">
        <f t="shared" si="117"/>
        <v/>
      </c>
      <c r="BK41" s="993" t="b">
        <f t="shared" si="118"/>
        <v>0</v>
      </c>
      <c r="BL41" s="989" t="b">
        <v>0</v>
      </c>
      <c r="BM41" s="989">
        <f t="shared" si="106"/>
        <v>0</v>
      </c>
      <c r="BN41" s="989">
        <f t="shared" si="107"/>
        <v>0</v>
      </c>
      <c r="BO41" s="989">
        <f t="shared" si="108"/>
        <v>0</v>
      </c>
      <c r="BP41" s="989">
        <f t="shared" si="89"/>
        <v>0</v>
      </c>
      <c r="BQ41" s="989">
        <f t="shared" si="109"/>
        <v>0</v>
      </c>
      <c r="BR41" s="989" t="b">
        <f t="shared" si="110"/>
        <v>1</v>
      </c>
      <c r="BS41" s="1302">
        <f t="shared" si="111"/>
        <v>6</v>
      </c>
      <c r="BT41" s="990" t="str">
        <f t="shared" si="112"/>
        <v>No</v>
      </c>
      <c r="BU41" s="1302">
        <f t="shared" si="113"/>
        <v>6</v>
      </c>
      <c r="BV41" s="990" t="str">
        <f t="shared" si="114"/>
        <v>No</v>
      </c>
      <c r="BW41" s="991">
        <f t="shared" ca="1" si="33"/>
        <v>0</v>
      </c>
      <c r="BX41" s="991" t="str">
        <f t="shared" ca="1" si="40"/>
        <v/>
      </c>
      <c r="BY41" s="991" t="b">
        <f t="shared" ca="1" si="34"/>
        <v>0</v>
      </c>
      <c r="BZ41" s="1303" t="b">
        <f t="shared" si="41"/>
        <v>0</v>
      </c>
      <c r="CB41" s="672"/>
      <c r="CC41" s="1684"/>
      <c r="CD41" s="699"/>
      <c r="CE41" s="700"/>
      <c r="CF41" s="1328"/>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1598"/>
      <c r="DE41" s="1599"/>
      <c r="DF41" s="141"/>
      <c r="DG41" s="141"/>
      <c r="DH41" s="672"/>
      <c r="DI41" s="673"/>
      <c r="DJ41" s="692"/>
      <c r="DK41" s="1331"/>
      <c r="DL41" s="674"/>
      <c r="DM41" s="693"/>
      <c r="DN41" s="1334"/>
      <c r="DO41" s="675"/>
      <c r="DP41" s="676"/>
      <c r="DQ41" s="1419"/>
      <c r="DR41" s="677"/>
      <c r="DS41" s="1611"/>
      <c r="DT41" s="1606"/>
      <c r="DU41" s="1607"/>
      <c r="DV41" s="678"/>
      <c r="DW41" s="1336"/>
      <c r="DX41" s="679"/>
      <c r="DY41" s="674"/>
      <c r="DZ41" s="678"/>
      <c r="EA41" s="1336"/>
      <c r="EB41" s="679"/>
      <c r="EC41" s="674"/>
      <c r="ED41" s="678"/>
      <c r="EE41" s="1336"/>
      <c r="EF41" s="679"/>
      <c r="EG41" s="674"/>
      <c r="EH41" s="678"/>
      <c r="EI41" s="1336"/>
      <c r="EJ41" s="679"/>
      <c r="EK41" s="680"/>
      <c r="EL41" s="141"/>
      <c r="EM41" s="1631" t="str">
        <f t="shared" si="115"/>
        <v/>
      </c>
      <c r="EN41" s="1632" t="str">
        <f t="shared" si="90"/>
        <v/>
      </c>
      <c r="EO41" s="648" t="str">
        <f t="shared" si="91"/>
        <v/>
      </c>
      <c r="EP41" s="649" t="str">
        <f t="shared" si="92"/>
        <v/>
      </c>
      <c r="EQ41" s="813" t="str">
        <f t="shared" si="93"/>
        <v/>
      </c>
      <c r="ER41" s="1586" t="str">
        <f t="shared" si="94"/>
        <v/>
      </c>
      <c r="ES41" s="1587" t="str">
        <f t="shared" si="95"/>
        <v/>
      </c>
      <c r="ET41" s="1588" t="str">
        <f t="shared" si="96"/>
        <v/>
      </c>
      <c r="EU41" s="1589" t="str">
        <f t="shared" si="97"/>
        <v/>
      </c>
      <c r="EX41" s="503" t="str">
        <f t="shared" ca="1" si="35"/>
        <v/>
      </c>
      <c r="EY41" s="940" t="str">
        <f t="shared" si="12"/>
        <v/>
      </c>
      <c r="EZ41" s="940" t="str">
        <f t="shared" si="36"/>
        <v/>
      </c>
      <c r="FA41" s="958" t="str">
        <f t="shared" ca="1" si="42"/>
        <v/>
      </c>
      <c r="FB41" s="134" t="str">
        <f t="shared" ca="1" si="37"/>
        <v/>
      </c>
      <c r="FC41" s="134">
        <f t="shared" ca="1" si="13"/>
        <v>0</v>
      </c>
      <c r="FD41" s="134">
        <f t="shared" ca="1" si="14"/>
        <v>0</v>
      </c>
      <c r="FE41" s="134">
        <f t="shared" ca="1" si="15"/>
        <v>0</v>
      </c>
      <c r="FF41" s="134">
        <f t="shared" ca="1" si="38"/>
        <v>0</v>
      </c>
      <c r="FN41" s="993" t="b">
        <v>0</v>
      </c>
      <c r="FO41" s="754" t="b">
        <f t="shared" si="116"/>
        <v>1</v>
      </c>
      <c r="FP41" s="754" t="b">
        <v>0</v>
      </c>
      <c r="FQ41" s="754" t="b">
        <f t="shared" si="39"/>
        <v>1</v>
      </c>
      <c r="FX41" s="197"/>
      <c r="FZ41" s="2"/>
      <c r="GA41" s="1761" t="str">
        <f t="shared" si="98"/>
        <v/>
      </c>
      <c r="GB41" s="1762" t="str">
        <f t="shared" si="99"/>
        <v/>
      </c>
      <c r="GC41" s="1763" t="str">
        <f t="shared" si="100"/>
        <v/>
      </c>
      <c r="GD41" s="1764" t="str">
        <f t="shared" si="101"/>
        <v/>
      </c>
      <c r="GE41" s="1765" t="str">
        <f t="shared" si="102"/>
        <v/>
      </c>
      <c r="GF41" s="582" t="str">
        <f t="shared" si="103"/>
        <v/>
      </c>
      <c r="GG41" s="692"/>
      <c r="GH41" s="1135"/>
      <c r="GI41" s="692"/>
      <c r="GJ41" s="1135"/>
      <c r="GK41" s="1640">
        <f t="shared" si="104"/>
        <v>0</v>
      </c>
      <c r="GL41" s="1640" t="e">
        <f t="shared" si="105"/>
        <v>#VALUE!</v>
      </c>
      <c r="GM41" s="1641" t="e">
        <f>IF(ABS(GK41-GL41)&gt;='Job Info.'!$L$22,ABS(GK41-GL41),0)</f>
        <v>#VALUE!</v>
      </c>
      <c r="HA41" s="1241"/>
      <c r="HB41" s="1242"/>
      <c r="HC41" s="1242"/>
      <c r="HD41" s="1243"/>
      <c r="HE41" s="1244"/>
      <c r="HF41" s="1242"/>
      <c r="HG41" s="1242"/>
      <c r="HH41" s="1242"/>
      <c r="HI41" s="1242"/>
      <c r="HJ41" s="1242"/>
      <c r="HK41" s="1242"/>
      <c r="HL41" s="1242"/>
      <c r="HM41" s="1242"/>
      <c r="HN41" s="1242"/>
      <c r="HO41" s="1242"/>
      <c r="HP41" s="1242"/>
      <c r="HQ41" s="1242"/>
      <c r="HR41" s="1242"/>
      <c r="HS41" s="1242"/>
      <c r="HT41" s="1242"/>
      <c r="HU41" s="1242"/>
      <c r="HV41" s="1242"/>
      <c r="HW41" s="1242"/>
      <c r="HX41" s="1242"/>
      <c r="HY41" s="1246"/>
      <c r="HZ41" s="1246"/>
      <c r="IA41" s="1246"/>
      <c r="IB41" s="1246"/>
      <c r="IC41" s="1246"/>
      <c r="ID41" s="1247"/>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43"/>
        <v>0</v>
      </c>
    </row>
    <row r="42" spans="1:272" ht="12.6" customHeight="1" x14ac:dyDescent="0.25">
      <c r="A42" s="1448" t="str">
        <f t="shared" si="62"/>
        <v/>
      </c>
      <c r="B42" s="1681" t="str">
        <f t="shared" si="63"/>
        <v/>
      </c>
      <c r="C42" s="1449" t="str">
        <f t="shared" si="64"/>
        <v/>
      </c>
      <c r="D42" s="1705" t="str">
        <f t="shared" si="65"/>
        <v/>
      </c>
      <c r="E42" s="1706" t="str">
        <f t="shared" si="66"/>
        <v/>
      </c>
      <c r="F42" s="1707" t="str">
        <f t="shared" si="67"/>
        <v/>
      </c>
      <c r="G42" s="1708" t="str">
        <f t="shared" si="68"/>
        <v/>
      </c>
      <c r="H42" s="1709" t="str">
        <f t="shared" si="69"/>
        <v/>
      </c>
      <c r="I42" s="1710" t="str">
        <f t="shared" si="70"/>
        <v/>
      </c>
      <c r="J42" s="1705" t="str">
        <f t="shared" si="71"/>
        <v/>
      </c>
      <c r="K42" s="1709" t="str">
        <f t="shared" si="72"/>
        <v/>
      </c>
      <c r="L42" s="1711" t="str">
        <f t="shared" si="73"/>
        <v/>
      </c>
      <c r="M42" s="1712" t="str">
        <f t="shared" si="74"/>
        <v/>
      </c>
      <c r="N42" s="1713" t="str">
        <f t="shared" si="75"/>
        <v/>
      </c>
      <c r="O42" s="1708" t="str">
        <f t="shared" si="76"/>
        <v/>
      </c>
      <c r="P42" s="1709" t="str">
        <f t="shared" si="77"/>
        <v/>
      </c>
      <c r="Q42" s="1705" t="str">
        <f t="shared" si="78"/>
        <v/>
      </c>
      <c r="R42" s="1706" t="str">
        <f t="shared" si="79"/>
        <v/>
      </c>
      <c r="S42" s="1714" t="str">
        <f t="shared" si="80"/>
        <v/>
      </c>
      <c r="T42" s="1709" t="str">
        <f t="shared" si="81"/>
        <v/>
      </c>
      <c r="U42" s="1705" t="str">
        <f t="shared" si="82"/>
        <v/>
      </c>
      <c r="V42" s="1709" t="str">
        <f t="shared" si="83"/>
        <v/>
      </c>
      <c r="W42" s="1713">
        <f t="shared" si="84"/>
        <v>0</v>
      </c>
      <c r="X42" s="1715" t="str">
        <f t="shared" si="85"/>
        <v/>
      </c>
      <c r="Y42" s="1716" t="str">
        <f t="shared" si="86"/>
        <v/>
      </c>
      <c r="Z42" s="1717" t="str">
        <f t="shared" si="87"/>
        <v/>
      </c>
      <c r="AA42" s="1718" t="str">
        <f t="shared" si="88"/>
        <v/>
      </c>
      <c r="AB42" s="1448" t="str">
        <f t="shared" si="61"/>
        <v/>
      </c>
      <c r="AC42" s="1710" t="str">
        <f t="shared" si="4"/>
        <v/>
      </c>
      <c r="AD42" s="1705" t="str">
        <f t="shared" ca="1" si="44"/>
        <v/>
      </c>
      <c r="AE42" s="1709" t="str">
        <f t="shared" ca="1" si="45"/>
        <v/>
      </c>
      <c r="AF42" s="1710" t="str">
        <f t="shared" ca="1" si="46"/>
        <v/>
      </c>
      <c r="AG42" s="1705" t="str">
        <f t="shared" ca="1" si="47"/>
        <v/>
      </c>
      <c r="AH42" s="1709" t="str">
        <f t="shared" ca="1" si="48"/>
        <v/>
      </c>
      <c r="AI42" s="1705" t="str">
        <f t="shared" ca="1" si="49"/>
        <v/>
      </c>
      <c r="AJ42" s="1709" t="str">
        <f t="shared" ca="1" si="50"/>
        <v/>
      </c>
      <c r="AK42" s="1747" t="str">
        <f t="shared" si="53"/>
        <v/>
      </c>
      <c r="AL42" s="1748" t="str">
        <f t="shared" si="5"/>
        <v/>
      </c>
      <c r="AM42" s="1749" t="str">
        <f t="shared" si="54"/>
        <v/>
      </c>
      <c r="AN42" s="1710" t="str">
        <f t="shared" si="55"/>
        <v/>
      </c>
      <c r="AO42" s="1750" t="str">
        <f t="shared" si="56"/>
        <v/>
      </c>
      <c r="AP42" s="1712" t="str">
        <f t="shared" si="6"/>
        <v/>
      </c>
      <c r="AQ42" s="1751" t="str">
        <f t="shared" si="7"/>
        <v/>
      </c>
      <c r="AR42" s="1708" t="str">
        <f t="shared" si="21"/>
        <v/>
      </c>
      <c r="AS42" s="1709" t="str">
        <f t="shared" si="22"/>
        <v/>
      </c>
      <c r="AT42" s="1752" t="str">
        <f t="shared" si="23"/>
        <v/>
      </c>
      <c r="AU42" s="1753" t="str">
        <f t="shared" si="8"/>
        <v/>
      </c>
      <c r="AV42" s="1714" t="str">
        <f t="shared" si="24"/>
        <v/>
      </c>
      <c r="AW42" s="1709" t="str">
        <f t="shared" si="25"/>
        <v/>
      </c>
      <c r="AX42" s="1752" t="str">
        <f t="shared" si="26"/>
        <v/>
      </c>
      <c r="AY42" s="1753" t="str">
        <f t="shared" si="9"/>
        <v/>
      </c>
      <c r="AZ42" s="1714" t="str">
        <f t="shared" si="27"/>
        <v/>
      </c>
      <c r="BA42" s="1709" t="str">
        <f t="shared" si="28"/>
        <v/>
      </c>
      <c r="BB42" s="1752" t="str">
        <f t="shared" si="29"/>
        <v/>
      </c>
      <c r="BC42" s="1753" t="str">
        <f t="shared" si="10"/>
        <v/>
      </c>
      <c r="BD42" s="1714" t="str">
        <f t="shared" si="30"/>
        <v/>
      </c>
      <c r="BE42" s="1709" t="str">
        <f t="shared" si="31"/>
        <v/>
      </c>
      <c r="BF42" s="1752" t="str">
        <f t="shared" si="57"/>
        <v/>
      </c>
      <c r="BG42" s="1753" t="str">
        <f t="shared" si="11"/>
        <v/>
      </c>
      <c r="BH42" s="261"/>
      <c r="BJ42" s="1301" t="str">
        <f t="shared" si="117"/>
        <v/>
      </c>
      <c r="BK42" s="993" t="b">
        <f t="shared" si="118"/>
        <v>0</v>
      </c>
      <c r="BL42" s="989" t="b">
        <v>0</v>
      </c>
      <c r="BM42" s="989">
        <f t="shared" si="106"/>
        <v>0</v>
      </c>
      <c r="BN42" s="989">
        <f t="shared" si="107"/>
        <v>0</v>
      </c>
      <c r="BO42" s="989">
        <f t="shared" si="108"/>
        <v>0</v>
      </c>
      <c r="BP42" s="989">
        <f t="shared" si="89"/>
        <v>0</v>
      </c>
      <c r="BQ42" s="989">
        <f t="shared" si="109"/>
        <v>0</v>
      </c>
      <c r="BR42" s="989" t="b">
        <f t="shared" si="110"/>
        <v>1</v>
      </c>
      <c r="BS42" s="1302">
        <f t="shared" si="111"/>
        <v>6</v>
      </c>
      <c r="BT42" s="990" t="str">
        <f t="shared" si="112"/>
        <v>No</v>
      </c>
      <c r="BU42" s="1302">
        <f t="shared" si="113"/>
        <v>6</v>
      </c>
      <c r="BV42" s="990" t="str">
        <f t="shared" si="114"/>
        <v>No</v>
      </c>
      <c r="BW42" s="991">
        <f t="shared" ca="1" si="33"/>
        <v>0</v>
      </c>
      <c r="BX42" s="991" t="str">
        <f t="shared" ca="1" si="40"/>
        <v/>
      </c>
      <c r="BY42" s="991" t="b">
        <f t="shared" ca="1" si="34"/>
        <v>0</v>
      </c>
      <c r="BZ42" s="1303" t="b">
        <f t="shared" si="41"/>
        <v>0</v>
      </c>
      <c r="CB42" s="672"/>
      <c r="CC42" s="1684"/>
      <c r="CD42" s="699"/>
      <c r="CE42" s="700"/>
      <c r="CF42" s="1328"/>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1598"/>
      <c r="DE42" s="1599"/>
      <c r="DF42" s="141"/>
      <c r="DG42" s="141"/>
      <c r="DH42" s="672"/>
      <c r="DI42" s="673"/>
      <c r="DJ42" s="692"/>
      <c r="DK42" s="1331"/>
      <c r="DL42" s="674"/>
      <c r="DM42" s="693"/>
      <c r="DN42" s="1334"/>
      <c r="DO42" s="675"/>
      <c r="DP42" s="676"/>
      <c r="DQ42" s="1419"/>
      <c r="DR42" s="677"/>
      <c r="DS42" s="1611"/>
      <c r="DT42" s="1606"/>
      <c r="DU42" s="1607"/>
      <c r="DV42" s="678"/>
      <c r="DW42" s="1336"/>
      <c r="DX42" s="679"/>
      <c r="DY42" s="674"/>
      <c r="DZ42" s="678"/>
      <c r="EA42" s="1336"/>
      <c r="EB42" s="679"/>
      <c r="EC42" s="674"/>
      <c r="ED42" s="678"/>
      <c r="EE42" s="1336"/>
      <c r="EF42" s="679"/>
      <c r="EG42" s="674"/>
      <c r="EH42" s="678"/>
      <c r="EI42" s="1336"/>
      <c r="EJ42" s="679"/>
      <c r="EK42" s="680"/>
      <c r="EL42" s="141"/>
      <c r="EM42" s="1631" t="str">
        <f t="shared" si="115"/>
        <v/>
      </c>
      <c r="EN42" s="1632" t="str">
        <f t="shared" si="90"/>
        <v/>
      </c>
      <c r="EO42" s="648" t="str">
        <f t="shared" si="91"/>
        <v/>
      </c>
      <c r="EP42" s="649" t="str">
        <f t="shared" si="92"/>
        <v/>
      </c>
      <c r="EQ42" s="813" t="str">
        <f t="shared" si="93"/>
        <v/>
      </c>
      <c r="ER42" s="1586" t="str">
        <f t="shared" si="94"/>
        <v/>
      </c>
      <c r="ES42" s="1587" t="str">
        <f t="shared" si="95"/>
        <v/>
      </c>
      <c r="ET42" s="1588" t="str">
        <f t="shared" si="96"/>
        <v/>
      </c>
      <c r="EU42" s="1589" t="str">
        <f t="shared" si="97"/>
        <v/>
      </c>
      <c r="EX42" s="503" t="str">
        <f t="shared" ca="1" si="35"/>
        <v/>
      </c>
      <c r="EY42" s="940" t="str">
        <f t="shared" si="12"/>
        <v/>
      </c>
      <c r="EZ42" s="940" t="str">
        <f t="shared" si="36"/>
        <v/>
      </c>
      <c r="FA42" s="958" t="str">
        <f t="shared" ca="1" si="42"/>
        <v/>
      </c>
      <c r="FB42" s="134" t="str">
        <f t="shared" ca="1" si="37"/>
        <v/>
      </c>
      <c r="FC42" s="134">
        <f t="shared" ca="1" si="13"/>
        <v>0</v>
      </c>
      <c r="FD42" s="134">
        <f t="shared" ca="1" si="14"/>
        <v>0</v>
      </c>
      <c r="FE42" s="134">
        <f t="shared" ca="1" si="15"/>
        <v>0</v>
      </c>
      <c r="FF42" s="134">
        <f t="shared" ca="1" si="38"/>
        <v>0</v>
      </c>
      <c r="FN42" s="993" t="b">
        <v>0</v>
      </c>
      <c r="FO42" s="754" t="b">
        <f t="shared" si="116"/>
        <v>1</v>
      </c>
      <c r="FP42" s="754" t="b">
        <v>0</v>
      </c>
      <c r="FQ42" s="754" t="b">
        <f t="shared" si="39"/>
        <v>1</v>
      </c>
      <c r="FX42" s="251"/>
      <c r="GA42" s="1761" t="str">
        <f t="shared" si="98"/>
        <v/>
      </c>
      <c r="GB42" s="1762" t="str">
        <f t="shared" si="99"/>
        <v/>
      </c>
      <c r="GC42" s="1763" t="str">
        <f t="shared" si="100"/>
        <v/>
      </c>
      <c r="GD42" s="1764" t="str">
        <f t="shared" si="101"/>
        <v/>
      </c>
      <c r="GE42" s="1765" t="str">
        <f t="shared" si="102"/>
        <v/>
      </c>
      <c r="GF42" s="582" t="str">
        <f t="shared" si="103"/>
        <v/>
      </c>
      <c r="GG42" s="692"/>
      <c r="GH42" s="1135"/>
      <c r="GI42" s="692"/>
      <c r="GJ42" s="1135"/>
      <c r="GK42" s="1640">
        <f t="shared" si="104"/>
        <v>0</v>
      </c>
      <c r="GL42" s="1640" t="e">
        <f t="shared" si="105"/>
        <v>#VALUE!</v>
      </c>
      <c r="GM42" s="1641" t="e">
        <f>IF(ABS(GK42-GL42)&gt;='Job Info.'!$L$22,ABS(GK42-GL42),0)</f>
        <v>#VALUE!</v>
      </c>
      <c r="HA42" s="1241"/>
      <c r="HB42" s="1242"/>
      <c r="HC42" s="1242"/>
      <c r="HD42" s="1243"/>
      <c r="HE42" s="1244"/>
      <c r="HF42" s="1242"/>
      <c r="HG42" s="1242"/>
      <c r="HH42" s="1242"/>
      <c r="HI42" s="1242"/>
      <c r="HJ42" s="1242"/>
      <c r="HK42" s="1242"/>
      <c r="HL42" s="1242"/>
      <c r="HM42" s="1242"/>
      <c r="HN42" s="1242"/>
      <c r="HO42" s="1242"/>
      <c r="HP42" s="1242"/>
      <c r="HQ42" s="1242"/>
      <c r="HR42" s="1242"/>
      <c r="HS42" s="1242"/>
      <c r="HT42" s="1242"/>
      <c r="HU42" s="1242"/>
      <c r="HV42" s="1242"/>
      <c r="HW42" s="1242"/>
      <c r="HX42" s="1242"/>
      <c r="HY42" s="1246"/>
      <c r="HZ42" s="1246"/>
      <c r="IA42" s="1246"/>
      <c r="IB42" s="1246"/>
      <c r="IC42" s="1246"/>
      <c r="ID42" s="1247"/>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43"/>
        <v>0</v>
      </c>
    </row>
    <row r="43" spans="1:272" ht="12.6" customHeight="1" x14ac:dyDescent="0.25">
      <c r="A43" s="1448" t="str">
        <f t="shared" si="62"/>
        <v/>
      </c>
      <c r="B43" s="1681" t="str">
        <f t="shared" si="63"/>
        <v/>
      </c>
      <c r="C43" s="1449" t="str">
        <f t="shared" si="64"/>
        <v/>
      </c>
      <c r="D43" s="1705" t="str">
        <f t="shared" si="65"/>
        <v/>
      </c>
      <c r="E43" s="1706" t="str">
        <f t="shared" si="66"/>
        <v/>
      </c>
      <c r="F43" s="1707" t="str">
        <f t="shared" si="67"/>
        <v/>
      </c>
      <c r="G43" s="1708" t="str">
        <f t="shared" si="68"/>
        <v/>
      </c>
      <c r="H43" s="1709" t="str">
        <f t="shared" si="69"/>
        <v/>
      </c>
      <c r="I43" s="1710" t="str">
        <f t="shared" si="70"/>
        <v/>
      </c>
      <c r="J43" s="1705" t="str">
        <f t="shared" si="71"/>
        <v/>
      </c>
      <c r="K43" s="1709" t="str">
        <f t="shared" si="72"/>
        <v/>
      </c>
      <c r="L43" s="1711" t="str">
        <f t="shared" si="73"/>
        <v/>
      </c>
      <c r="M43" s="1712" t="str">
        <f t="shared" si="74"/>
        <v/>
      </c>
      <c r="N43" s="1713" t="str">
        <f t="shared" si="75"/>
        <v/>
      </c>
      <c r="O43" s="1708" t="str">
        <f t="shared" si="76"/>
        <v/>
      </c>
      <c r="P43" s="1709" t="str">
        <f t="shared" si="77"/>
        <v/>
      </c>
      <c r="Q43" s="1705" t="str">
        <f t="shared" si="78"/>
        <v/>
      </c>
      <c r="R43" s="1706" t="str">
        <f t="shared" si="79"/>
        <v/>
      </c>
      <c r="S43" s="1714" t="str">
        <f t="shared" si="80"/>
        <v/>
      </c>
      <c r="T43" s="1709" t="str">
        <f t="shared" si="81"/>
        <v/>
      </c>
      <c r="U43" s="1705" t="str">
        <f t="shared" si="82"/>
        <v/>
      </c>
      <c r="V43" s="1709" t="str">
        <f t="shared" si="83"/>
        <v/>
      </c>
      <c r="W43" s="1713">
        <f t="shared" si="84"/>
        <v>0</v>
      </c>
      <c r="X43" s="1715" t="str">
        <f t="shared" si="85"/>
        <v/>
      </c>
      <c r="Y43" s="1716" t="str">
        <f t="shared" si="86"/>
        <v/>
      </c>
      <c r="Z43" s="1717" t="str">
        <f t="shared" si="87"/>
        <v/>
      </c>
      <c r="AA43" s="1718" t="str">
        <f t="shared" si="88"/>
        <v/>
      </c>
      <c r="AB43" s="1448" t="str">
        <f t="shared" si="61"/>
        <v/>
      </c>
      <c r="AC43" s="1710" t="str">
        <f t="shared" si="4"/>
        <v/>
      </c>
      <c r="AD43" s="1705" t="str">
        <f t="shared" ca="1" si="44"/>
        <v/>
      </c>
      <c r="AE43" s="1709" t="str">
        <f t="shared" ca="1" si="45"/>
        <v/>
      </c>
      <c r="AF43" s="1710" t="str">
        <f t="shared" ca="1" si="46"/>
        <v/>
      </c>
      <c r="AG43" s="1705" t="str">
        <f t="shared" ca="1" si="47"/>
        <v/>
      </c>
      <c r="AH43" s="1709" t="str">
        <f t="shared" ca="1" si="48"/>
        <v/>
      </c>
      <c r="AI43" s="1705" t="str">
        <f t="shared" ca="1" si="49"/>
        <v/>
      </c>
      <c r="AJ43" s="1709" t="str">
        <f t="shared" ca="1" si="50"/>
        <v/>
      </c>
      <c r="AK43" s="1747" t="str">
        <f t="shared" si="53"/>
        <v/>
      </c>
      <c r="AL43" s="1748" t="str">
        <f t="shared" si="5"/>
        <v/>
      </c>
      <c r="AM43" s="1749" t="str">
        <f t="shared" si="54"/>
        <v/>
      </c>
      <c r="AN43" s="1710" t="str">
        <f t="shared" si="55"/>
        <v/>
      </c>
      <c r="AO43" s="1750" t="str">
        <f t="shared" si="56"/>
        <v/>
      </c>
      <c r="AP43" s="1712" t="str">
        <f t="shared" si="6"/>
        <v/>
      </c>
      <c r="AQ43" s="1751" t="str">
        <f t="shared" si="7"/>
        <v/>
      </c>
      <c r="AR43" s="1708" t="str">
        <f t="shared" si="21"/>
        <v/>
      </c>
      <c r="AS43" s="1709" t="str">
        <f t="shared" si="22"/>
        <v/>
      </c>
      <c r="AT43" s="1752" t="str">
        <f t="shared" si="23"/>
        <v/>
      </c>
      <c r="AU43" s="1753" t="str">
        <f t="shared" si="8"/>
        <v/>
      </c>
      <c r="AV43" s="1714" t="str">
        <f t="shared" si="24"/>
        <v/>
      </c>
      <c r="AW43" s="1709" t="str">
        <f t="shared" si="25"/>
        <v/>
      </c>
      <c r="AX43" s="1752" t="str">
        <f t="shared" si="26"/>
        <v/>
      </c>
      <c r="AY43" s="1753" t="str">
        <f t="shared" si="9"/>
        <v/>
      </c>
      <c r="AZ43" s="1714" t="str">
        <f t="shared" si="27"/>
        <v/>
      </c>
      <c r="BA43" s="1709" t="str">
        <f t="shared" si="28"/>
        <v/>
      </c>
      <c r="BB43" s="1752" t="str">
        <f t="shared" si="29"/>
        <v/>
      </c>
      <c r="BC43" s="1753" t="str">
        <f t="shared" si="10"/>
        <v/>
      </c>
      <c r="BD43" s="1714" t="str">
        <f t="shared" si="30"/>
        <v/>
      </c>
      <c r="BE43" s="1709" t="str">
        <f t="shared" si="31"/>
        <v/>
      </c>
      <c r="BF43" s="1752" t="str">
        <f t="shared" si="57"/>
        <v/>
      </c>
      <c r="BG43" s="1753" t="str">
        <f t="shared" si="11"/>
        <v/>
      </c>
      <c r="BH43" s="261"/>
      <c r="BJ43" s="1301" t="str">
        <f t="shared" si="117"/>
        <v/>
      </c>
      <c r="BK43" s="993" t="b">
        <f t="shared" si="118"/>
        <v>0</v>
      </c>
      <c r="BL43" s="989" t="b">
        <v>0</v>
      </c>
      <c r="BM43" s="989">
        <f t="shared" si="106"/>
        <v>0</v>
      </c>
      <c r="BN43" s="989">
        <f t="shared" si="107"/>
        <v>0</v>
      </c>
      <c r="BO43" s="989">
        <f t="shared" si="108"/>
        <v>0</v>
      </c>
      <c r="BP43" s="989">
        <f t="shared" si="89"/>
        <v>0</v>
      </c>
      <c r="BQ43" s="989">
        <f t="shared" si="109"/>
        <v>0</v>
      </c>
      <c r="BR43" s="989" t="b">
        <f t="shared" si="110"/>
        <v>1</v>
      </c>
      <c r="BS43" s="1302">
        <f t="shared" si="111"/>
        <v>6</v>
      </c>
      <c r="BT43" s="990" t="str">
        <f t="shared" si="112"/>
        <v>No</v>
      </c>
      <c r="BU43" s="1302">
        <f t="shared" si="113"/>
        <v>6</v>
      </c>
      <c r="BV43" s="990" t="str">
        <f t="shared" si="114"/>
        <v>No</v>
      </c>
      <c r="BW43" s="991">
        <f t="shared" ca="1" si="33"/>
        <v>0</v>
      </c>
      <c r="BX43" s="991" t="str">
        <f t="shared" ca="1" si="40"/>
        <v/>
      </c>
      <c r="BY43" s="991" t="b">
        <f t="shared" ca="1" si="34"/>
        <v>0</v>
      </c>
      <c r="BZ43" s="1303" t="b">
        <f t="shared" si="41"/>
        <v>0</v>
      </c>
      <c r="CB43" s="672"/>
      <c r="CC43" s="1684"/>
      <c r="CD43" s="699"/>
      <c r="CE43" s="700"/>
      <c r="CF43" s="1328"/>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1598"/>
      <c r="DE43" s="1599"/>
      <c r="DF43" s="141"/>
      <c r="DG43" s="141"/>
      <c r="DH43" s="672"/>
      <c r="DI43" s="673"/>
      <c r="DJ43" s="692"/>
      <c r="DK43" s="1331"/>
      <c r="DL43" s="674"/>
      <c r="DM43" s="693"/>
      <c r="DN43" s="1334"/>
      <c r="DO43" s="675"/>
      <c r="DP43" s="676"/>
      <c r="DQ43" s="1419"/>
      <c r="DR43" s="677"/>
      <c r="DS43" s="1611"/>
      <c r="DT43" s="1606"/>
      <c r="DU43" s="1607"/>
      <c r="DV43" s="678"/>
      <c r="DW43" s="1336"/>
      <c r="DX43" s="679"/>
      <c r="DY43" s="674"/>
      <c r="DZ43" s="678"/>
      <c r="EA43" s="1336"/>
      <c r="EB43" s="679"/>
      <c r="EC43" s="674"/>
      <c r="ED43" s="678"/>
      <c r="EE43" s="1336"/>
      <c r="EF43" s="679"/>
      <c r="EG43" s="674"/>
      <c r="EH43" s="678"/>
      <c r="EI43" s="1336"/>
      <c r="EJ43" s="679"/>
      <c r="EK43" s="680"/>
      <c r="EL43" s="141"/>
      <c r="EM43" s="1631" t="str">
        <f t="shared" si="115"/>
        <v/>
      </c>
      <c r="EN43" s="1632" t="str">
        <f t="shared" si="90"/>
        <v/>
      </c>
      <c r="EO43" s="648" t="str">
        <f t="shared" si="91"/>
        <v/>
      </c>
      <c r="EP43" s="649" t="str">
        <f t="shared" si="92"/>
        <v/>
      </c>
      <c r="EQ43" s="813" t="str">
        <f t="shared" si="93"/>
        <v/>
      </c>
      <c r="ER43" s="1586" t="str">
        <f t="shared" si="94"/>
        <v/>
      </c>
      <c r="ES43" s="1587" t="str">
        <f t="shared" si="95"/>
        <v/>
      </c>
      <c r="ET43" s="1588" t="str">
        <f t="shared" si="96"/>
        <v/>
      </c>
      <c r="EU43" s="1589" t="str">
        <f t="shared" si="97"/>
        <v/>
      </c>
      <c r="EX43" s="503" t="str">
        <f t="shared" ca="1" si="35"/>
        <v/>
      </c>
      <c r="EY43" s="940" t="str">
        <f t="shared" si="12"/>
        <v/>
      </c>
      <c r="EZ43" s="940" t="str">
        <f t="shared" si="36"/>
        <v/>
      </c>
      <c r="FA43" s="958" t="str">
        <f t="shared" ca="1" si="42"/>
        <v/>
      </c>
      <c r="FB43" s="134" t="str">
        <f t="shared" ca="1" si="37"/>
        <v/>
      </c>
      <c r="FC43" s="134">
        <f t="shared" ca="1" si="13"/>
        <v>0</v>
      </c>
      <c r="FD43" s="134">
        <f t="shared" ca="1" si="14"/>
        <v>0</v>
      </c>
      <c r="FE43" s="134">
        <f t="shared" ca="1" si="15"/>
        <v>0</v>
      </c>
      <c r="FF43" s="134">
        <f t="shared" ca="1" si="38"/>
        <v>0</v>
      </c>
      <c r="FN43" s="993" t="b">
        <v>0</v>
      </c>
      <c r="FO43" s="754" t="b">
        <f t="shared" si="116"/>
        <v>1</v>
      </c>
      <c r="FP43" s="754" t="b">
        <v>0</v>
      </c>
      <c r="FQ43" s="754" t="b">
        <f t="shared" si="39"/>
        <v>1</v>
      </c>
      <c r="FX43" s="251"/>
      <c r="GA43" s="1761" t="str">
        <f t="shared" si="98"/>
        <v/>
      </c>
      <c r="GB43" s="1762" t="str">
        <f t="shared" si="99"/>
        <v/>
      </c>
      <c r="GC43" s="1763" t="str">
        <f t="shared" si="100"/>
        <v/>
      </c>
      <c r="GD43" s="1764" t="str">
        <f t="shared" si="101"/>
        <v/>
      </c>
      <c r="GE43" s="1765" t="str">
        <f t="shared" si="102"/>
        <v/>
      </c>
      <c r="GF43" s="582" t="str">
        <f t="shared" si="103"/>
        <v/>
      </c>
      <c r="GG43" s="692"/>
      <c r="GH43" s="1135"/>
      <c r="GI43" s="692"/>
      <c r="GJ43" s="1135"/>
      <c r="GK43" s="1640">
        <f t="shared" si="104"/>
        <v>0</v>
      </c>
      <c r="GL43" s="1640" t="e">
        <f t="shared" si="105"/>
        <v>#VALUE!</v>
      </c>
      <c r="GM43" s="1641" t="e">
        <f>IF(ABS(GK43-GL43)&gt;='Job Info.'!$L$22,ABS(GK43-GL43),0)</f>
        <v>#VALUE!</v>
      </c>
      <c r="HA43" s="1241"/>
      <c r="HB43" s="1242"/>
      <c r="HC43" s="1242"/>
      <c r="HD43" s="1243"/>
      <c r="HE43" s="1244"/>
      <c r="HF43" s="1242"/>
      <c r="HG43" s="1242"/>
      <c r="HH43" s="1242"/>
      <c r="HI43" s="1242"/>
      <c r="HJ43" s="1242"/>
      <c r="HK43" s="1242"/>
      <c r="HL43" s="1242"/>
      <c r="HM43" s="1242"/>
      <c r="HN43" s="1242"/>
      <c r="HO43" s="1242"/>
      <c r="HP43" s="1242"/>
      <c r="HQ43" s="1242"/>
      <c r="HR43" s="1242"/>
      <c r="HS43" s="1242"/>
      <c r="HT43" s="1242"/>
      <c r="HU43" s="1242"/>
      <c r="HV43" s="1242"/>
      <c r="HW43" s="1242"/>
      <c r="HX43" s="1242"/>
      <c r="HY43" s="1246"/>
      <c r="HZ43" s="1246"/>
      <c r="IA43" s="1246"/>
      <c r="IB43" s="1246"/>
      <c r="IC43" s="1246"/>
      <c r="ID43" s="1247"/>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43"/>
        <v>0</v>
      </c>
    </row>
    <row r="44" spans="1:272" ht="12.6" customHeight="1" x14ac:dyDescent="0.25">
      <c r="A44" s="1448" t="str">
        <f t="shared" si="62"/>
        <v/>
      </c>
      <c r="B44" s="1681" t="str">
        <f t="shared" si="63"/>
        <v/>
      </c>
      <c r="C44" s="1449" t="str">
        <f t="shared" si="64"/>
        <v/>
      </c>
      <c r="D44" s="1705" t="str">
        <f t="shared" si="65"/>
        <v/>
      </c>
      <c r="E44" s="1706" t="str">
        <f t="shared" si="66"/>
        <v/>
      </c>
      <c r="F44" s="1707" t="str">
        <f t="shared" si="67"/>
        <v/>
      </c>
      <c r="G44" s="1708" t="str">
        <f t="shared" si="68"/>
        <v/>
      </c>
      <c r="H44" s="1709" t="str">
        <f t="shared" si="69"/>
        <v/>
      </c>
      <c r="I44" s="1710" t="str">
        <f t="shared" si="70"/>
        <v/>
      </c>
      <c r="J44" s="1705" t="str">
        <f t="shared" si="71"/>
        <v/>
      </c>
      <c r="K44" s="1709" t="str">
        <f t="shared" si="72"/>
        <v/>
      </c>
      <c r="L44" s="1711" t="str">
        <f t="shared" si="73"/>
        <v/>
      </c>
      <c r="M44" s="1712" t="str">
        <f t="shared" si="74"/>
        <v/>
      </c>
      <c r="N44" s="1713" t="str">
        <f t="shared" si="75"/>
        <v/>
      </c>
      <c r="O44" s="1708" t="str">
        <f t="shared" si="76"/>
        <v/>
      </c>
      <c r="P44" s="1709" t="str">
        <f t="shared" si="77"/>
        <v/>
      </c>
      <c r="Q44" s="1705" t="str">
        <f t="shared" si="78"/>
        <v/>
      </c>
      <c r="R44" s="1706" t="str">
        <f t="shared" si="79"/>
        <v/>
      </c>
      <c r="S44" s="1714" t="str">
        <f t="shared" si="80"/>
        <v/>
      </c>
      <c r="T44" s="1709" t="str">
        <f t="shared" si="81"/>
        <v/>
      </c>
      <c r="U44" s="1705" t="str">
        <f t="shared" si="82"/>
        <v/>
      </c>
      <c r="V44" s="1709" t="str">
        <f t="shared" si="83"/>
        <v/>
      </c>
      <c r="W44" s="1713">
        <f t="shared" si="84"/>
        <v>0</v>
      </c>
      <c r="X44" s="1715" t="str">
        <f t="shared" si="85"/>
        <v/>
      </c>
      <c r="Y44" s="1716" t="str">
        <f t="shared" si="86"/>
        <v/>
      </c>
      <c r="Z44" s="1717" t="str">
        <f t="shared" si="87"/>
        <v/>
      </c>
      <c r="AA44" s="1718" t="str">
        <f t="shared" si="88"/>
        <v/>
      </c>
      <c r="AB44" s="1448" t="str">
        <f t="shared" si="61"/>
        <v/>
      </c>
      <c r="AC44" s="1710" t="str">
        <f t="shared" si="4"/>
        <v/>
      </c>
      <c r="AD44" s="1705" t="str">
        <f t="shared" ca="1" si="44"/>
        <v/>
      </c>
      <c r="AE44" s="1709" t="str">
        <f t="shared" ca="1" si="45"/>
        <v/>
      </c>
      <c r="AF44" s="1710" t="str">
        <f t="shared" ca="1" si="46"/>
        <v/>
      </c>
      <c r="AG44" s="1705" t="str">
        <f t="shared" ca="1" si="47"/>
        <v/>
      </c>
      <c r="AH44" s="1709" t="str">
        <f t="shared" ca="1" si="48"/>
        <v/>
      </c>
      <c r="AI44" s="1705" t="str">
        <f t="shared" ca="1" si="49"/>
        <v/>
      </c>
      <c r="AJ44" s="1709" t="str">
        <f t="shared" ca="1" si="50"/>
        <v/>
      </c>
      <c r="AK44" s="1747" t="str">
        <f t="shared" si="53"/>
        <v/>
      </c>
      <c r="AL44" s="1748" t="str">
        <f t="shared" si="5"/>
        <v/>
      </c>
      <c r="AM44" s="1749" t="str">
        <f t="shared" si="54"/>
        <v/>
      </c>
      <c r="AN44" s="1710" t="str">
        <f t="shared" si="55"/>
        <v/>
      </c>
      <c r="AO44" s="1750" t="str">
        <f t="shared" si="56"/>
        <v/>
      </c>
      <c r="AP44" s="1712" t="str">
        <f t="shared" si="6"/>
        <v/>
      </c>
      <c r="AQ44" s="1751" t="str">
        <f t="shared" si="7"/>
        <v/>
      </c>
      <c r="AR44" s="1708" t="str">
        <f t="shared" si="21"/>
        <v/>
      </c>
      <c r="AS44" s="1709" t="str">
        <f t="shared" si="22"/>
        <v/>
      </c>
      <c r="AT44" s="1752" t="str">
        <f t="shared" si="23"/>
        <v/>
      </c>
      <c r="AU44" s="1753" t="str">
        <f t="shared" si="8"/>
        <v/>
      </c>
      <c r="AV44" s="1714" t="str">
        <f t="shared" si="24"/>
        <v/>
      </c>
      <c r="AW44" s="1709" t="str">
        <f t="shared" si="25"/>
        <v/>
      </c>
      <c r="AX44" s="1752" t="str">
        <f t="shared" si="26"/>
        <v/>
      </c>
      <c r="AY44" s="1753" t="str">
        <f t="shared" si="9"/>
        <v/>
      </c>
      <c r="AZ44" s="1714" t="str">
        <f t="shared" si="27"/>
        <v/>
      </c>
      <c r="BA44" s="1709" t="str">
        <f t="shared" si="28"/>
        <v/>
      </c>
      <c r="BB44" s="1752" t="str">
        <f t="shared" si="29"/>
        <v/>
      </c>
      <c r="BC44" s="1753" t="str">
        <f t="shared" si="10"/>
        <v/>
      </c>
      <c r="BD44" s="1714" t="str">
        <f t="shared" si="30"/>
        <v/>
      </c>
      <c r="BE44" s="1709" t="str">
        <f t="shared" si="31"/>
        <v/>
      </c>
      <c r="BF44" s="1752" t="str">
        <f t="shared" si="57"/>
        <v/>
      </c>
      <c r="BG44" s="1753" t="str">
        <f t="shared" si="11"/>
        <v/>
      </c>
      <c r="BH44" s="261"/>
      <c r="BJ44" s="1301" t="str">
        <f t="shared" si="117"/>
        <v/>
      </c>
      <c r="BK44" s="993" t="b">
        <f t="shared" si="118"/>
        <v>0</v>
      </c>
      <c r="BL44" s="989" t="b">
        <v>0</v>
      </c>
      <c r="BM44" s="989">
        <f t="shared" si="106"/>
        <v>0</v>
      </c>
      <c r="BN44" s="989">
        <f t="shared" si="107"/>
        <v>0</v>
      </c>
      <c r="BO44" s="989">
        <f t="shared" si="108"/>
        <v>0</v>
      </c>
      <c r="BP44" s="989">
        <f t="shared" si="89"/>
        <v>0</v>
      </c>
      <c r="BQ44" s="989">
        <f t="shared" si="109"/>
        <v>0</v>
      </c>
      <c r="BR44" s="989" t="b">
        <f t="shared" si="110"/>
        <v>1</v>
      </c>
      <c r="BS44" s="1302">
        <f t="shared" si="111"/>
        <v>6</v>
      </c>
      <c r="BT44" s="990" t="str">
        <f t="shared" si="112"/>
        <v>No</v>
      </c>
      <c r="BU44" s="1302">
        <f t="shared" si="113"/>
        <v>6</v>
      </c>
      <c r="BV44" s="990" t="str">
        <f t="shared" si="114"/>
        <v>No</v>
      </c>
      <c r="BW44" s="991">
        <f t="shared" ca="1" si="33"/>
        <v>0</v>
      </c>
      <c r="BX44" s="991" t="str">
        <f t="shared" ca="1" si="40"/>
        <v/>
      </c>
      <c r="BY44" s="991" t="b">
        <f t="shared" ca="1" si="34"/>
        <v>0</v>
      </c>
      <c r="BZ44" s="1303" t="b">
        <f t="shared" si="41"/>
        <v>0</v>
      </c>
      <c r="CB44" s="672"/>
      <c r="CC44" s="1684"/>
      <c r="CD44" s="699"/>
      <c r="CE44" s="700"/>
      <c r="CF44" s="1328"/>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1598"/>
      <c r="DE44" s="1599"/>
      <c r="DF44" s="141"/>
      <c r="DG44" s="141"/>
      <c r="DH44" s="745"/>
      <c r="DI44" s="673"/>
      <c r="DJ44" s="692"/>
      <c r="DK44" s="1331"/>
      <c r="DL44" s="674"/>
      <c r="DM44" s="693"/>
      <c r="DN44" s="1334"/>
      <c r="DO44" s="675"/>
      <c r="DP44" s="676"/>
      <c r="DQ44" s="1419"/>
      <c r="DR44" s="677"/>
      <c r="DS44" s="1611"/>
      <c r="DT44" s="1606"/>
      <c r="DU44" s="1607"/>
      <c r="DV44" s="678"/>
      <c r="DW44" s="1336"/>
      <c r="DX44" s="679"/>
      <c r="DY44" s="674"/>
      <c r="DZ44" s="678"/>
      <c r="EA44" s="1336"/>
      <c r="EB44" s="679"/>
      <c r="EC44" s="674"/>
      <c r="ED44" s="678"/>
      <c r="EE44" s="1336"/>
      <c r="EF44" s="679"/>
      <c r="EG44" s="674"/>
      <c r="EH44" s="678"/>
      <c r="EI44" s="1336"/>
      <c r="EJ44" s="679"/>
      <c r="EK44" s="680"/>
      <c r="EL44" s="141"/>
      <c r="EM44" s="1631" t="str">
        <f t="shared" si="115"/>
        <v/>
      </c>
      <c r="EN44" s="1632" t="str">
        <f t="shared" si="90"/>
        <v/>
      </c>
      <c r="EO44" s="648" t="str">
        <f t="shared" si="91"/>
        <v/>
      </c>
      <c r="EP44" s="649" t="str">
        <f t="shared" si="92"/>
        <v/>
      </c>
      <c r="EQ44" s="813" t="str">
        <f t="shared" si="93"/>
        <v/>
      </c>
      <c r="ER44" s="1586" t="str">
        <f t="shared" si="94"/>
        <v/>
      </c>
      <c r="ES44" s="1587" t="str">
        <f t="shared" si="95"/>
        <v/>
      </c>
      <c r="ET44" s="1588" t="str">
        <f t="shared" si="96"/>
        <v/>
      </c>
      <c r="EU44" s="1589" t="str">
        <f t="shared" si="97"/>
        <v/>
      </c>
      <c r="EX44" s="503" t="str">
        <f t="shared" ca="1" si="35"/>
        <v/>
      </c>
      <c r="EY44" s="940" t="str">
        <f t="shared" si="12"/>
        <v/>
      </c>
      <c r="EZ44" s="940" t="str">
        <f t="shared" si="36"/>
        <v/>
      </c>
      <c r="FA44" s="958" t="str">
        <f t="shared" ca="1" si="42"/>
        <v/>
      </c>
      <c r="FB44" s="134" t="str">
        <f t="shared" ca="1" si="37"/>
        <v/>
      </c>
      <c r="FC44" s="134">
        <f t="shared" ca="1" si="13"/>
        <v>0</v>
      </c>
      <c r="FD44" s="134">
        <f t="shared" ca="1" si="14"/>
        <v>0</v>
      </c>
      <c r="FE44" s="134">
        <f t="shared" ca="1" si="15"/>
        <v>0</v>
      </c>
      <c r="FF44" s="134">
        <f t="shared" ca="1" si="38"/>
        <v>0</v>
      </c>
      <c r="FN44" s="993" t="b">
        <v>0</v>
      </c>
      <c r="FO44" s="754" t="b">
        <f t="shared" si="116"/>
        <v>1</v>
      </c>
      <c r="FP44" s="754" t="b">
        <v>0</v>
      </c>
      <c r="FQ44" s="754" t="b">
        <f t="shared" si="39"/>
        <v>1</v>
      </c>
      <c r="FX44" s="251"/>
      <c r="GA44" s="1761" t="str">
        <f t="shared" si="98"/>
        <v/>
      </c>
      <c r="GB44" s="1762" t="str">
        <f t="shared" si="99"/>
        <v/>
      </c>
      <c r="GC44" s="1763" t="str">
        <f t="shared" si="100"/>
        <v/>
      </c>
      <c r="GD44" s="1764" t="str">
        <f t="shared" si="101"/>
        <v/>
      </c>
      <c r="GE44" s="1765" t="str">
        <f t="shared" si="102"/>
        <v/>
      </c>
      <c r="GF44" s="582" t="str">
        <f t="shared" si="103"/>
        <v/>
      </c>
      <c r="GG44" s="692"/>
      <c r="GH44" s="1135"/>
      <c r="GI44" s="692"/>
      <c r="GJ44" s="1135"/>
      <c r="GK44" s="1640">
        <f t="shared" si="104"/>
        <v>0</v>
      </c>
      <c r="GL44" s="1640" t="e">
        <f t="shared" si="105"/>
        <v>#VALUE!</v>
      </c>
      <c r="GM44" s="1641" t="e">
        <f>IF(ABS(GK44-GL44)&gt;='Job Info.'!$L$22,ABS(GK44-GL44),0)</f>
        <v>#VALUE!</v>
      </c>
      <c r="GO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47"/>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43"/>
        <v>0</v>
      </c>
    </row>
    <row r="45" spans="1:272" ht="12.6" customHeight="1" thickBot="1" x14ac:dyDescent="0.35">
      <c r="A45" s="1460" t="str">
        <f t="shared" si="62"/>
        <v/>
      </c>
      <c r="B45" s="1682" t="str">
        <f t="shared" si="63"/>
        <v/>
      </c>
      <c r="C45" s="1461" t="str">
        <f t="shared" si="64"/>
        <v/>
      </c>
      <c r="D45" s="1719" t="str">
        <f>IF(CV85="","",TRUNC(CV85/12))</f>
        <v/>
      </c>
      <c r="E45" s="1720" t="str">
        <f>IF(CV85="","",CV85-(D45*12))</f>
        <v/>
      </c>
      <c r="F45" s="1721" t="str">
        <f t="shared" si="67"/>
        <v/>
      </c>
      <c r="G45" s="1722" t="str">
        <f>IF(DD85=0,"",TRUNC(DD85/12))</f>
        <v/>
      </c>
      <c r="H45" s="1723" t="str">
        <f>IF(DD85=0,"",DD85-(G45*12))</f>
        <v/>
      </c>
      <c r="I45" s="1724" t="str">
        <f>IF(DD85=0,"",CE85)</f>
        <v/>
      </c>
      <c r="J45" s="1719" t="str">
        <f>IF(DJ85=0,"",TRUNC(DJ85/12))</f>
        <v/>
      </c>
      <c r="K45" s="1723" t="str">
        <f>IF(DJ85=0,"",DJ85-(J45*12))</f>
        <v/>
      </c>
      <c r="L45" s="1725" t="str">
        <f>IF(DJ85=0,"",CN85)</f>
        <v/>
      </c>
      <c r="M45" s="1726" t="str">
        <f t="shared" si="74"/>
        <v/>
      </c>
      <c r="N45" s="1727" t="str">
        <f t="shared" si="75"/>
        <v/>
      </c>
      <c r="O45" s="1722" t="str">
        <f>IF(DZ85="","",IF(AND(DZ85&gt;-12,DZ85&lt;0),-0.000001,TRUNC(DZ85/12)))</f>
        <v/>
      </c>
      <c r="P45" s="1723" t="str">
        <f>IF(DZ85="","",IF(AND(DZ85&lt;0,DZ85-(O45*12)=0),-0.00001,DZ85-(O45*12)))</f>
        <v/>
      </c>
      <c r="Q45" s="1719" t="str">
        <f>IF(EA85="","",IF(AND(EA85&gt;-12,EA85&lt;0),-0.000001,TRUNC(EA85/12)))</f>
        <v/>
      </c>
      <c r="R45" s="1720" t="str">
        <f>IF(EA85="","",IF(AND(EA85&lt;0,EA85-(Q45*12)=0),-0.00001,EA85-(Q45*12)))</f>
        <v/>
      </c>
      <c r="S45" s="1728" t="str">
        <f>IF(DR85="","",IF(DR85="ERR",TRUNC(DQ85/12),TRUNC(DR85/12)))</f>
        <v/>
      </c>
      <c r="T45" s="1723" t="str">
        <f>IF(DR85="","",IF(DR85="ERR",DQ85-(S45*12),DR85-(S45*12)))</f>
        <v/>
      </c>
      <c r="U45" s="1719" t="str">
        <f>IF(DY85="","",IF(DY85="ERR",TRUNC(DX85/12),TRUNC(DY85/12)))</f>
        <v/>
      </c>
      <c r="V45" s="1723" t="str">
        <f>IF(DY85="","",IF(DY85="ERR",DX85-(U45*12),DY85-(U45*12)))</f>
        <v/>
      </c>
      <c r="W45" s="1727">
        <f>IF(EC85="",0,EC85)</f>
        <v>0</v>
      </c>
      <c r="X45" s="1729" t="str">
        <f>IF(EN85="","",EN85)</f>
        <v/>
      </c>
      <c r="Y45" s="1730" t="str">
        <f>IF(ES85="","",ES85)</f>
        <v/>
      </c>
      <c r="Z45" s="1731" t="str">
        <f t="shared" si="87"/>
        <v/>
      </c>
      <c r="AA45" s="1732" t="str">
        <f t="shared" si="88"/>
        <v/>
      </c>
      <c r="AB45" s="1460" t="str">
        <f t="shared" si="61"/>
        <v/>
      </c>
      <c r="AC45" s="1724" t="str">
        <f t="shared" si="4"/>
        <v/>
      </c>
      <c r="AD45" s="1719" t="str">
        <f t="shared" ca="1" si="44"/>
        <v/>
      </c>
      <c r="AE45" s="1723" t="str">
        <f t="shared" ca="1" si="45"/>
        <v/>
      </c>
      <c r="AF45" s="1724" t="str">
        <f t="shared" ca="1" si="46"/>
        <v/>
      </c>
      <c r="AG45" s="1719" t="str">
        <f t="shared" ca="1" si="47"/>
        <v/>
      </c>
      <c r="AH45" s="1723" t="str">
        <f t="shared" ca="1" si="48"/>
        <v/>
      </c>
      <c r="AI45" s="1719" t="str">
        <f t="shared" ca="1" si="49"/>
        <v/>
      </c>
      <c r="AJ45" s="1723" t="str">
        <f t="shared" ca="1" si="50"/>
        <v/>
      </c>
      <c r="AK45" s="1754" t="str">
        <f t="shared" si="53"/>
        <v/>
      </c>
      <c r="AL45" s="1755" t="str">
        <f t="shared" si="5"/>
        <v/>
      </c>
      <c r="AM45" s="1756" t="str">
        <f t="shared" si="54"/>
        <v/>
      </c>
      <c r="AN45" s="1724" t="str">
        <f t="shared" si="55"/>
        <v/>
      </c>
      <c r="AO45" s="1757" t="str">
        <f t="shared" si="56"/>
        <v/>
      </c>
      <c r="AP45" s="1726" t="str">
        <f t="shared" si="6"/>
        <v/>
      </c>
      <c r="AQ45" s="1758" t="str">
        <f t="shared" si="7"/>
        <v/>
      </c>
      <c r="AR45" s="1722" t="str">
        <f t="shared" si="21"/>
        <v/>
      </c>
      <c r="AS45" s="1723" t="str">
        <f t="shared" si="22"/>
        <v/>
      </c>
      <c r="AT45" s="1759" t="str">
        <f t="shared" si="23"/>
        <v/>
      </c>
      <c r="AU45" s="1760" t="str">
        <f t="shared" si="8"/>
        <v/>
      </c>
      <c r="AV45" s="1728" t="str">
        <f t="shared" si="24"/>
        <v/>
      </c>
      <c r="AW45" s="1723" t="str">
        <f t="shared" si="25"/>
        <v/>
      </c>
      <c r="AX45" s="1759" t="str">
        <f t="shared" si="26"/>
        <v/>
      </c>
      <c r="AY45" s="1760" t="str">
        <f t="shared" si="9"/>
        <v/>
      </c>
      <c r="AZ45" s="1728" t="str">
        <f t="shared" si="27"/>
        <v/>
      </c>
      <c r="BA45" s="1723" t="str">
        <f t="shared" si="28"/>
        <v/>
      </c>
      <c r="BB45" s="1759" t="str">
        <f t="shared" si="29"/>
        <v/>
      </c>
      <c r="BC45" s="1760" t="str">
        <f t="shared" si="10"/>
        <v/>
      </c>
      <c r="BD45" s="1728" t="str">
        <f t="shared" si="30"/>
        <v/>
      </c>
      <c r="BE45" s="1723" t="str">
        <f t="shared" si="31"/>
        <v/>
      </c>
      <c r="BF45" s="1759" t="str">
        <f t="shared" si="57"/>
        <v/>
      </c>
      <c r="BG45" s="1760" t="str">
        <f t="shared" si="11"/>
        <v/>
      </c>
      <c r="BH45" s="261"/>
      <c r="BJ45" s="1301" t="str">
        <f t="shared" si="117"/>
        <v/>
      </c>
      <c r="BK45" s="993" t="b">
        <f t="shared" si="118"/>
        <v>0</v>
      </c>
      <c r="BL45" s="989" t="b">
        <v>0</v>
      </c>
      <c r="BM45" s="989">
        <f t="shared" si="106"/>
        <v>0</v>
      </c>
      <c r="BN45" s="989">
        <f t="shared" si="107"/>
        <v>0</v>
      </c>
      <c r="BO45" s="989">
        <f t="shared" si="108"/>
        <v>0</v>
      </c>
      <c r="BP45" s="989">
        <f t="shared" si="89"/>
        <v>0</v>
      </c>
      <c r="BQ45" s="989">
        <f t="shared" si="109"/>
        <v>0</v>
      </c>
      <c r="BR45" s="989" t="b">
        <f t="shared" si="110"/>
        <v>1</v>
      </c>
      <c r="BS45" s="1302">
        <f t="shared" si="111"/>
        <v>6</v>
      </c>
      <c r="BT45" s="990" t="str">
        <f t="shared" si="112"/>
        <v>No</v>
      </c>
      <c r="BU45" s="1302">
        <f t="shared" si="113"/>
        <v>6</v>
      </c>
      <c r="BV45" s="990" t="str">
        <f t="shared" si="114"/>
        <v>No</v>
      </c>
      <c r="BW45" s="991">
        <f t="shared" ca="1" si="33"/>
        <v>0</v>
      </c>
      <c r="BX45" s="991" t="str">
        <f t="shared" ca="1" si="40"/>
        <v/>
      </c>
      <c r="BY45" s="991" t="b">
        <f t="shared" ca="1" si="34"/>
        <v>0</v>
      </c>
      <c r="BZ45" s="1303" t="b">
        <f t="shared" si="41"/>
        <v>0</v>
      </c>
      <c r="CB45" s="681"/>
      <c r="CC45" s="1685"/>
      <c r="CD45" s="704"/>
      <c r="CE45" s="705"/>
      <c r="CF45" s="1329"/>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1600"/>
      <c r="DE45" s="1601"/>
      <c r="DF45" s="141"/>
      <c r="DG45" s="141"/>
      <c r="DH45" s="681"/>
      <c r="DI45" s="682"/>
      <c r="DJ45" s="694"/>
      <c r="DK45" s="1332"/>
      <c r="DL45" s="683"/>
      <c r="DM45" s="695"/>
      <c r="DN45" s="1335"/>
      <c r="DO45" s="684"/>
      <c r="DP45" s="685"/>
      <c r="DQ45" s="1420"/>
      <c r="DR45" s="686"/>
      <c r="DS45" s="1612"/>
      <c r="DT45" s="1608"/>
      <c r="DU45" s="1609"/>
      <c r="DV45" s="687"/>
      <c r="DW45" s="1337"/>
      <c r="DX45" s="688"/>
      <c r="DY45" s="683"/>
      <c r="DZ45" s="687"/>
      <c r="EA45" s="1337"/>
      <c r="EB45" s="688"/>
      <c r="EC45" s="683"/>
      <c r="ED45" s="687"/>
      <c r="EE45" s="1337"/>
      <c r="EF45" s="688"/>
      <c r="EG45" s="683"/>
      <c r="EH45" s="687"/>
      <c r="EI45" s="1337"/>
      <c r="EJ45" s="688"/>
      <c r="EK45" s="689"/>
      <c r="EL45" s="141"/>
      <c r="EM45" s="1633" t="str">
        <f t="shared" si="115"/>
        <v/>
      </c>
      <c r="EN45" s="1634" t="str">
        <f t="shared" si="90"/>
        <v/>
      </c>
      <c r="EO45" s="650" t="str">
        <f t="shared" si="91"/>
        <v/>
      </c>
      <c r="EP45" s="651" t="str">
        <f t="shared" si="92"/>
        <v/>
      </c>
      <c r="EQ45" s="814" t="str">
        <f t="shared" si="93"/>
        <v/>
      </c>
      <c r="ER45" s="1592" t="str">
        <f t="shared" si="94"/>
        <v/>
      </c>
      <c r="ES45" s="1593" t="str">
        <f t="shared" si="95"/>
        <v/>
      </c>
      <c r="ET45" s="1594" t="str">
        <f t="shared" si="96"/>
        <v/>
      </c>
      <c r="EU45" s="1595" t="str">
        <f t="shared" si="97"/>
        <v/>
      </c>
      <c r="EX45" s="503" t="str">
        <f t="shared" ca="1" si="35"/>
        <v/>
      </c>
      <c r="EY45" s="940" t="str">
        <f t="shared" si="12"/>
        <v/>
      </c>
      <c r="EZ45" s="940" t="str">
        <f t="shared" si="36"/>
        <v/>
      </c>
      <c r="FA45" s="958" t="str">
        <f t="shared" ca="1" si="42"/>
        <v/>
      </c>
      <c r="FB45" s="134" t="str">
        <f t="shared" ca="1" si="37"/>
        <v/>
      </c>
      <c r="FC45" s="134">
        <f t="shared" ca="1" si="13"/>
        <v>0</v>
      </c>
      <c r="FD45" s="134">
        <f t="shared" ca="1" si="14"/>
        <v>0</v>
      </c>
      <c r="FE45" s="134">
        <f t="shared" ca="1" si="15"/>
        <v>0</v>
      </c>
      <c r="FF45" s="134">
        <f t="shared" ca="1" si="38"/>
        <v>0</v>
      </c>
      <c r="FN45" s="993" t="b">
        <v>0</v>
      </c>
      <c r="FO45" s="754" t="b">
        <f t="shared" si="116"/>
        <v>1</v>
      </c>
      <c r="FP45" s="754" t="b">
        <v>0</v>
      </c>
      <c r="FQ45" s="754" t="b">
        <f t="shared" si="39"/>
        <v>1</v>
      </c>
      <c r="FX45" s="251"/>
      <c r="FZ45" s="104"/>
      <c r="GA45" s="1761" t="str">
        <f t="shared" si="98"/>
        <v/>
      </c>
      <c r="GB45" s="1762" t="str">
        <f t="shared" si="99"/>
        <v/>
      </c>
      <c r="GC45" s="1763" t="str">
        <f t="shared" si="100"/>
        <v/>
      </c>
      <c r="GD45" s="1764" t="str">
        <f t="shared" si="101"/>
        <v/>
      </c>
      <c r="GE45" s="1765" t="str">
        <f t="shared" si="102"/>
        <v/>
      </c>
      <c r="GF45" s="582" t="str">
        <f t="shared" si="103"/>
        <v/>
      </c>
      <c r="GG45" s="1136"/>
      <c r="GH45" s="1137"/>
      <c r="GI45" s="1136"/>
      <c r="GJ45" s="1137"/>
      <c r="GK45" s="1640">
        <f t="shared" si="104"/>
        <v>0</v>
      </c>
      <c r="GL45" s="1640" t="e">
        <f t="shared" si="105"/>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54"/>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43"/>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39"/>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c r="HA46" s="130"/>
      <c r="HB46" s="130"/>
      <c r="HC46" s="130"/>
      <c r="HD46" s="130"/>
      <c r="HE46" s="130"/>
      <c r="HF46" s="130"/>
      <c r="HG46" s="130"/>
      <c r="HH46" s="130"/>
      <c r="HI46" s="130"/>
      <c r="HM46" s="131"/>
      <c r="HN46" s="132"/>
      <c r="ID46" s="140"/>
      <c r="IE46" s="140"/>
      <c r="IF46" s="140"/>
      <c r="IG46" s="140"/>
      <c r="IH46" s="140"/>
      <c r="II46" s="140"/>
      <c r="IJ46" s="140"/>
      <c r="IK46" s="140"/>
      <c r="IL46" s="140"/>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CZ47" s="105"/>
      <c r="DC47" s="293"/>
      <c r="DD47" s="293"/>
      <c r="DE47" s="293"/>
      <c r="DF47" s="293"/>
      <c r="DG47" s="293"/>
      <c r="DH47" s="293"/>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Z47" s="105"/>
      <c r="HA47" s="105"/>
      <c r="HB47" s="105"/>
      <c r="HC47" s="105"/>
      <c r="HD47" s="105"/>
      <c r="HE47" s="105"/>
      <c r="HF47" s="105"/>
      <c r="HG47" s="105"/>
      <c r="HH47" s="105"/>
      <c r="HI47" s="105"/>
      <c r="HJ47" s="105"/>
      <c r="HK47" s="105"/>
      <c r="HL47" s="105"/>
      <c r="HM47" s="105"/>
      <c r="HN47" s="105"/>
      <c r="HO47" s="105"/>
      <c r="HP47" s="139"/>
      <c r="HQ47" s="139"/>
      <c r="HR47" s="139"/>
      <c r="HS47" s="139"/>
      <c r="HT47" s="139"/>
      <c r="HU47" s="139"/>
      <c r="HV47" s="105"/>
      <c r="HW47" s="105"/>
      <c r="HX47" s="105"/>
      <c r="HY47" s="105"/>
      <c r="HZ47" s="139"/>
      <c r="IA47" s="105"/>
      <c r="IB47" s="105"/>
      <c r="IC47" s="105"/>
      <c r="ID47" s="105"/>
    </row>
    <row r="48" spans="1:272" ht="12.6" hidden="1" customHeight="1" thickTop="1" thickBot="1" x14ac:dyDescent="0.25">
      <c r="B48" s="146">
        <f>SUM(B28:B45)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CZ48" s="105"/>
      <c r="DC48" s="293"/>
      <c r="DD48" s="293"/>
      <c r="DE48" s="293"/>
      <c r="DF48" s="293"/>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19">IF(GF48="","",CE48)</f>
        <v/>
      </c>
      <c r="GB48" s="623" t="str">
        <f t="shared" ref="GB48" si="120">IF(GF48="","",CF48)</f>
        <v/>
      </c>
      <c r="GC48" s="625" t="str">
        <f t="shared" ref="GC48" si="121">IF(GF48="","",IF(CD88="",0,CD88))</f>
        <v/>
      </c>
      <c r="GD48" s="626" t="str">
        <f t="shared" ref="GD48" si="122">IF(GF48="","",IF(CM88="",0,CM88))</f>
        <v/>
      </c>
      <c r="GE48" s="624"/>
      <c r="GF48" s="582"/>
      <c r="GG48" s="1639"/>
      <c r="GH48" s="1642"/>
      <c r="GI48" s="1639"/>
      <c r="GJ48" s="1642"/>
      <c r="GR48" s="156" t="str">
        <f>IF(ISERROR(VLOOKUP($CB48,#REF!,HA$21,FALSE)),"",VLOOKUP($CB48,#REF!,HA$21,FALSE))</f>
        <v/>
      </c>
      <c r="GS48" s="157" t="str">
        <f>IF(ISERROR(VLOOKUP($CB48,#REF!,HB$21,FALSE)),"",IF(VLOOKUP($CB48,#REF!,HB$21,FALSE)="","",VLOOKUP($CB48,#REF!,HB$21,FALSE)))</f>
        <v/>
      </c>
      <c r="GT48" s="158" t="str">
        <f>IF(ISERROR(VLOOKUP($CB48,#REF!,HC$21,FALSE)),"",IF(VLOOKUP($CB48,#REF!,HC$21,FALSE)="","",VLOOKUP($CB48,#REF!,HC$21,FALSE)))</f>
        <v/>
      </c>
      <c r="GU48" s="159" t="str">
        <f>IF(ISERROR(VLOOKUP($CB48,#REF!,HD$21,FALSE)),"",IF(VLOOKUP($CB48,#REF!,HD$21,FALSE)="","",VLOOKUP($CB48,#REF!,HD$21,FALSE)))</f>
        <v/>
      </c>
      <c r="GV48" s="160" t="str">
        <f>IF(ISERROR(VLOOKUP($CB48,#REF!,HE$21,FALSE)),"",IF(VLOOKUP($CB48,#REF!,HE$21,FALSE)="","",VLOOKUP($CB48,#REF!,HE$21,FALSE)))</f>
        <v/>
      </c>
      <c r="GW48" s="156" t="str">
        <f>IF(ISERROR(VLOOKUP($CB48,#REF!,HF$21,FALSE)),"",IF(VLOOKUP($CB48,#REF!,HF$21,FALSE)="","",VLOOKUP($CB48,#REF!,HF$21,FALSE)))</f>
        <v/>
      </c>
      <c r="GX48" s="161" t="str">
        <f>IF(ISERROR(VLOOKUP($CB48,#REF!,HG$21,FALSE)),"",IF(VLOOKUP($CB48,#REF!,HG$21,FALSE)="","",VLOOKUP($CB48,#REF!,HG$21,FALSE)))</f>
        <v/>
      </c>
      <c r="GZ48" s="161" t="str">
        <f>IF(ISERROR(VLOOKUP($CB48,#REF!,HI$21,FALSE)),"",IF(VLOOKUP($CB48,#REF!,HI$21,FALSE)="","",VLOOKUP($CB48,#REF!,HI$21,FALSE)))</f>
        <v/>
      </c>
      <c r="HA48" s="162" t="str">
        <f>IF(ISERROR(VLOOKUP($CB48,#REF!,HJ$21,FALSE)),"",IF(VLOOKUP($CB48,#REF!,HJ$21,FALSE)="","",VLOOKUP($CB48,#REF!,HJ$21,FALSE)))</f>
        <v/>
      </c>
      <c r="HB48" s="163" t="str">
        <f>IF(ISERROR(VLOOKUP($CB48,#REF!,HK$21,FALSE)),"",IF(VLOOKUP($CB48,#REF!,HK$21,FALSE)="","",VLOOKUP($CB48,#REF!,HK$21,FALSE)))</f>
        <v/>
      </c>
      <c r="HC48" s="164" t="str">
        <f>IF(ISERROR(VLOOKUP($CB48,#REF!,HL$21,FALSE)),"",IF(VLOOKUP($CB48,#REF!,HL$21,FALSE)="","",VLOOKUP($CB48,#REF!,HL$21,FALSE)))</f>
        <v/>
      </c>
      <c r="HD48" s="156" t="str">
        <f>IF(ISERROR(VLOOKUP($CB48,#REF!,HM$21,FALSE)),"",IF(VLOOKUP($CB48,#REF!,HM$21,FALSE)="","",VLOOKUP($CB48,#REF!,HM$21,FALSE)))</f>
        <v/>
      </c>
      <c r="HE48" s="161" t="str">
        <f>IF(ISERROR(VLOOKUP($CB48,#REF!,HN$21,FALSE)),"",IF(VLOOKUP($CB48,#REF!,HN$21,FALSE)="","",VLOOKUP($CB48,#REF!,HN$21,FALSE)))</f>
        <v/>
      </c>
      <c r="HF48" s="162" t="str">
        <f>IF(ISERROR(VLOOKUP($CB48,#REF!,HO$21,FALSE)),"",IF(VLOOKUP($CB48,#REF!,HO$21,FALSE)="","",VLOOKUP($CB48,#REF!,HO$21,FALSE)))</f>
        <v/>
      </c>
      <c r="HG48" s="161" t="str">
        <f>IF(ISERROR(VLOOKUP($CB48,#REF!,HP$21,FALSE)),"",IF(VLOOKUP($CB48,#REF!,HP$21,FALSE)="","",VLOOKUP($CB48,#REF!,HP$21,FALSE)))</f>
        <v/>
      </c>
      <c r="HH48" s="162" t="str">
        <f>IF(ISERROR(VLOOKUP($CB48,#REF!,HQ$21,FALSE)),"",IF(VLOOKUP($CB48,#REF!,HQ$21,FALSE)="","",VLOOKUP($CB48,#REF!,HQ$21,FALSE)))</f>
        <v/>
      </c>
      <c r="HI48" s="163" t="str">
        <f>IF(ISERROR(VLOOKUP($CB48,#REF!,HR$21,FALSE)),"",IF(VLOOKUP($CB48,#REF!,HR$21,FALSE)="","",VLOOKUP($CB48,#REF!,HR$21,FALSE)))</f>
        <v/>
      </c>
      <c r="HJ48" s="164" t="str">
        <f>IF(ISERROR(VLOOKUP($CB48,#REF!,HS$21,FALSE)),"",IF(VLOOKUP($CB48,#REF!,HS$21,FALSE)="","",VLOOKUP($CB48,#REF!,HS$21,FALSE)))</f>
        <v/>
      </c>
      <c r="HK48" s="165" t="str">
        <f>IF(ISERROR(VLOOKUP($CB48,#REF!,HT$21,FALSE)),"",IF(VLOOKUP($CB48,#REF!,HT$21,FALSE)="","",VLOOKUP($CB48,#REF!,HT$21,FALSE)))</f>
        <v/>
      </c>
      <c r="HL48" s="156" t="str">
        <f>IF(ISERROR(VLOOKUP($CB48,#REF!,HU$21,FALSE)),"",IF(VLOOKUP($CB48,#REF!,HU$21,FALSE)="","",VLOOKUP($CB48,#REF!,HU$21,FALSE)))</f>
        <v/>
      </c>
      <c r="HM48" s="166" t="str">
        <f>IF(ISERROR(VLOOKUP($CB48,#REF!,HV$21,FALSE)),"",IF(VLOOKUP($CB48,#REF!,HV$21,FALSE)="","",VLOOKUP($CB48,#REF!,HV$21,FALSE)))</f>
        <v/>
      </c>
      <c r="HN48" s="167" t="str">
        <f>IF(ISERROR(VLOOKUP($CB48,#REF!,HW$21,FALSE)),"",IF(VLOOKUP($CB48,#REF!,HW$21,FALSE)="","",VLOOKUP($CB48,#REF!,HW$21,FALSE)))</f>
        <v/>
      </c>
      <c r="HO48" s="168" t="str">
        <f>IF(ISERROR(VLOOKUP($CB48,#REF!,HX$21,FALSE)),"",IF(VLOOKUP($CB48,#REF!,HX$21,FALSE)="","",VLOOKUP($CB48,#REF!,HX$21,FALSE)))</f>
        <v/>
      </c>
      <c r="HP48" s="148">
        <f>IF(IZ48="",0,1)</f>
        <v>0</v>
      </c>
      <c r="HQ48" s="148"/>
      <c r="HR48" s="148"/>
      <c r="HS48" s="148"/>
      <c r="HT48" s="148"/>
      <c r="HU48" s="148"/>
      <c r="HV48" s="156" t="str">
        <f ca="1">IF($HP48=0,"",IF(ISBLANK(OFFSET(#REF!,MATCH(OFFSET(#REF!,($HP48-1)*-1,0),#REF!,0)+($HP48-2),IE$9-1)),"",OFFSET(#REF!,MATCH(OFFSET(#REF!,($HP48-1)*-1,0),#REF!,0)+($HP48-2),IE$9-1)))</f>
        <v/>
      </c>
      <c r="HW48" s="169" t="str">
        <f ca="1">IF($HP48=0,"",IF(ISBLANK(OFFSET(#REF!,MATCH(OFFSET(#REF!,($HP48-1)*-1,0),#REF!,0)+($HP48-2),IF$9-1)),"",OFFSET(#REF!,MATCH(OFFSET(#REF!,($HP48-1)*-1,0),#REF!,0)+($HP48-2),IF$9-1)))</f>
        <v/>
      </c>
      <c r="HX48" s="170" t="str">
        <f ca="1">IF($HP48=0,"",IF(ISBLANK(OFFSET(#REF!,MATCH(OFFSET(#REF!,($HP48-1)*-1,0),#REF!,0)+($HP48-2),IG$9-1)),"",OFFSET(#REF!,MATCH(OFFSET(#REF!,($HP48-1)*-1,0),#REF!,0)+($HP48-2),IG$9-1)))</f>
        <v/>
      </c>
      <c r="HY48" s="171" t="str">
        <f ca="1">IF($HP48=0,"",IF(ISBLANK(OFFSET(#REF!,MATCH(OFFSET(#REF!,($HP48-1)*-1,0),#REF!,0)+($HP48-2),IH$9-1)),"",OFFSET(#REF!,MATCH(OFFSET(#REF!,($HP48-1)*-1,0),#REF!,0)+($HP48-2),IH$9-1)))</f>
        <v/>
      </c>
      <c r="HZ48" s="183" t="str">
        <f ca="1">IF($HP48=0,"",IF(ISBLANK(OFFSET(#REF!,MATCH(OFFSET(#REF!,($HP48-1)*-1,0),#REF!,0)+($HP48-2),II$9-1)),"",OFFSET(#REF!,MATCH(OFFSET(#REF!,($HP48-1)*-1,0),#REF!,0)+($HP48-2),II$9-1)))</f>
        <v/>
      </c>
      <c r="IA48" s="173" t="str">
        <f ca="1">IF($HP48=0,"",IF(ISBLANK(OFFSET(#REF!,MATCH(OFFSET(#REF!,($HP48-1)*-1,0),#REF!,0)+($HP48-2),IJ$9-1)),"",OFFSET(#REF!,MATCH(OFFSET(#REF!,($HP48-1)*-1,0),#REF!,0)+($HP48-2),IJ$9-1)))</f>
        <v/>
      </c>
      <c r="IB48" s="174" t="str">
        <f ca="1">IF($HP48=0,"",IF(ISBLANK(OFFSET(#REF!,MATCH(OFFSET(#REF!,($HP48-1)*-1,0),#REF!,0)+($HP48-2),IK$9-1)),"",OFFSET(#REF!,MATCH(OFFSET(#REF!,($HP48-1)*-1,0),#REF!,0)+($HP48-2),IK$9-1)))</f>
        <v/>
      </c>
      <c r="IC48" s="175" t="str">
        <f ca="1">IF($HP48=0,"",IF(ISBLANK(OFFSET(#REF!,MATCH(OFFSET(#REF!,($HP48-1)*-1,0),#REF!,0)+($HP48-2),IL$9-1)),"",OFFSET(#REF!,MATCH(OFFSET(#REF!,($HP48-1)*-1,0),#REF!,0)+($HP48-2),IL$9-1)))</f>
        <v/>
      </c>
      <c r="ID48" s="176" t="str">
        <f ca="1">IF($HP48=0,"",IF(ISBLANK(OFFSET(#REF!,MATCH(OFFSET(#REF!,($HP48-1)*-1,0),#REF!,0)+($HP48-2),IM$9-1)),"",OFFSET(#REF!,MATCH(OFFSET(#REF!,($HP48-1)*-1,0),#REF!,0)+($HP48-2),IM$9-1)))</f>
        <v/>
      </c>
    </row>
    <row r="49" spans="1:193" ht="12.6" hidden="1" customHeight="1" thickBot="1" x14ac:dyDescent="0.25">
      <c r="B49" s="237">
        <v>0</v>
      </c>
      <c r="C49" s="147"/>
      <c r="CI49" s="105"/>
      <c r="CJ49" s="105"/>
      <c r="CK49" s="105"/>
      <c r="CL49" s="105"/>
      <c r="CM49" s="105"/>
      <c r="CN49" s="105"/>
      <c r="CO49" s="105"/>
      <c r="DC49" s="293"/>
      <c r="DD49" s="293"/>
      <c r="DE49" s="293"/>
      <c r="DF49" s="293"/>
    </row>
    <row r="50" spans="1:193" ht="12.6" hidden="1" customHeight="1" thickBot="1" x14ac:dyDescent="0.25">
      <c r="A50" s="1319"/>
      <c r="B50" s="1319"/>
      <c r="C50" s="1319"/>
      <c r="D50" s="1319"/>
      <c r="E50" s="1319"/>
      <c r="F50" s="1319"/>
      <c r="G50" s="1319"/>
      <c r="H50" s="1319"/>
      <c r="I50" s="1319"/>
      <c r="J50" s="1319"/>
      <c r="K50" s="1319"/>
      <c r="L50" s="1319"/>
      <c r="M50" s="1319"/>
      <c r="N50" s="1319"/>
      <c r="O50" s="1321">
        <v>2.57</v>
      </c>
      <c r="P50" s="1321">
        <v>4.29</v>
      </c>
      <c r="Q50" s="1321">
        <v>2.57</v>
      </c>
      <c r="R50" s="1321">
        <v>4.29</v>
      </c>
      <c r="S50" s="1319"/>
      <c r="T50" s="1319"/>
      <c r="U50" s="1319"/>
      <c r="V50" s="1319"/>
      <c r="W50" s="1319"/>
      <c r="X50" s="1319"/>
      <c r="Y50" s="1319"/>
      <c r="Z50" s="1319"/>
      <c r="AA50" s="1319"/>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153" t="s">
        <v>472</v>
      </c>
      <c r="EE50" s="2153" t="s">
        <v>525</v>
      </c>
      <c r="EF50" s="2153" t="s">
        <v>526</v>
      </c>
      <c r="EG50" s="2153" t="s">
        <v>527</v>
      </c>
      <c r="EH50" s="2153" t="s">
        <v>528</v>
      </c>
      <c r="EI50" s="2153" t="s">
        <v>529</v>
      </c>
      <c r="EJ50" s="2153" t="s">
        <v>530</v>
      </c>
      <c r="EK50" s="2153" t="s">
        <v>531</v>
      </c>
      <c r="EL50" s="2153" t="s">
        <v>473</v>
      </c>
      <c r="EM50" s="2153" t="s">
        <v>532</v>
      </c>
      <c r="EN50" s="2153" t="s">
        <v>583</v>
      </c>
      <c r="EO50" s="2153" t="s">
        <v>474</v>
      </c>
      <c r="EP50" s="2153" t="s">
        <v>533</v>
      </c>
      <c r="EQ50" s="2153" t="s">
        <v>475</v>
      </c>
      <c r="ER50" s="2153" t="s">
        <v>534</v>
      </c>
      <c r="ES50" s="2153" t="s">
        <v>584</v>
      </c>
      <c r="ET50" s="2153" t="s">
        <v>476</v>
      </c>
      <c r="EU50" s="2153" t="s">
        <v>477</v>
      </c>
      <c r="EV50" s="293"/>
      <c r="EW50" s="293"/>
      <c r="EX50" s="293"/>
      <c r="EY50" s="293"/>
      <c r="EZ50" s="293"/>
      <c r="FA50" s="293"/>
      <c r="FB50" s="293"/>
      <c r="FC50" s="293"/>
      <c r="FD50" s="293"/>
      <c r="FG50" s="117"/>
      <c r="FH50" s="117"/>
      <c r="FI50" s="117"/>
      <c r="FJ50" s="117"/>
      <c r="FK50" s="117"/>
      <c r="FL50" s="117"/>
      <c r="FM50" s="117"/>
      <c r="FN50" s="2226" t="s">
        <v>616</v>
      </c>
      <c r="FO50" s="2227"/>
      <c r="FP50" s="2227"/>
      <c r="FQ50" s="2227"/>
      <c r="FR50" s="2227"/>
      <c r="FS50" s="2228"/>
      <c r="FT50" s="2195" t="s">
        <v>617</v>
      </c>
      <c r="FU50" s="2196"/>
      <c r="FV50" s="2196"/>
      <c r="FW50" s="2196"/>
      <c r="FX50" s="2196"/>
      <c r="FY50" s="2196"/>
      <c r="FZ50" s="2197"/>
      <c r="GA50" s="246"/>
      <c r="GB50" s="246"/>
      <c r="GC50" s="117"/>
      <c r="GD50" s="246"/>
      <c r="GE50" s="246"/>
      <c r="GF50" s="246"/>
      <c r="GG50" s="246"/>
      <c r="GH50" s="246"/>
      <c r="GI50" s="117"/>
      <c r="GJ50" s="243"/>
    </row>
    <row r="51" spans="1:193" ht="12.6" hidden="1" customHeight="1" thickTop="1" thickBot="1" x14ac:dyDescent="0.25">
      <c r="BZ51" s="293"/>
      <c r="CA51" s="293"/>
      <c r="CB51" s="293"/>
      <c r="CC51" s="2065" t="s">
        <v>614</v>
      </c>
      <c r="CD51" s="2066"/>
      <c r="CE51" s="2066"/>
      <c r="CF51" s="2066"/>
      <c r="CG51" s="2066"/>
      <c r="CH51" s="2066"/>
      <c r="CI51" s="2066"/>
      <c r="CJ51" s="2066"/>
      <c r="CK51" s="2067"/>
      <c r="CL51" s="2065" t="s">
        <v>470</v>
      </c>
      <c r="CM51" s="2066"/>
      <c r="CN51" s="2066"/>
      <c r="CO51" s="2066"/>
      <c r="CP51" s="2066"/>
      <c r="CQ51" s="2066"/>
      <c r="CR51" s="2066"/>
      <c r="CS51" s="2066"/>
      <c r="CT51" s="2067"/>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044"/>
      <c r="EE51" s="2154"/>
      <c r="EF51" s="2154"/>
      <c r="EG51" s="2155"/>
      <c r="EH51" s="2154"/>
      <c r="EI51" s="2154"/>
      <c r="EJ51" s="2154"/>
      <c r="EK51" s="2044"/>
      <c r="EL51" s="2044"/>
      <c r="EM51" s="2044"/>
      <c r="EN51" s="2154"/>
      <c r="EO51" s="2044"/>
      <c r="EP51" s="2064"/>
      <c r="EQ51" s="2044"/>
      <c r="ER51" s="2044"/>
      <c r="ES51" s="2044"/>
      <c r="ET51" s="2044"/>
      <c r="EU51" s="2064"/>
      <c r="EV51" s="293"/>
      <c r="EW51" s="293"/>
      <c r="EX51" s="2216" t="s">
        <v>618</v>
      </c>
      <c r="EY51" s="2214" t="s">
        <v>619</v>
      </c>
      <c r="EZ51" s="293"/>
      <c r="FA51" s="293"/>
      <c r="FB51" s="293"/>
      <c r="FC51" s="293"/>
      <c r="FD51" s="293"/>
      <c r="FF51" s="2182" t="s">
        <v>947</v>
      </c>
      <c r="FG51" s="2183"/>
      <c r="FH51" s="2183"/>
      <c r="FI51" s="2183"/>
      <c r="FN51" s="2229"/>
      <c r="FO51" s="2230"/>
      <c r="FP51" s="2230"/>
      <c r="FQ51" s="2230"/>
      <c r="FR51" s="2230"/>
      <c r="FS51" s="2231"/>
      <c r="FT51" s="2198"/>
      <c r="FU51" s="2199"/>
      <c r="FV51" s="2199"/>
      <c r="FW51" s="2199"/>
      <c r="FX51" s="2199"/>
      <c r="FY51" s="2199"/>
      <c r="FZ51" s="2200"/>
      <c r="GA51" s="102"/>
      <c r="GB51" s="102"/>
      <c r="GC51" s="102"/>
      <c r="GD51" s="102"/>
      <c r="GE51" s="102"/>
      <c r="GF51" s="102"/>
      <c r="GG51" s="104"/>
      <c r="GH51" s="104"/>
      <c r="GJ51" s="140"/>
    </row>
    <row r="52" spans="1:193" ht="24.95" hidden="1" customHeight="1" thickTop="1" thickBot="1" x14ac:dyDescent="0.25">
      <c r="BZ52" s="293"/>
      <c r="CA52" s="293"/>
      <c r="CB52" s="2141" t="s">
        <v>613</v>
      </c>
      <c r="CC52" s="2058" t="s">
        <v>498</v>
      </c>
      <c r="CD52" s="2060" t="s">
        <v>499</v>
      </c>
      <c r="CE52" s="2060" t="s">
        <v>500</v>
      </c>
      <c r="CF52" s="2060" t="s">
        <v>501</v>
      </c>
      <c r="CG52" s="2060" t="s">
        <v>560</v>
      </c>
      <c r="CH52" s="2060" t="s">
        <v>502</v>
      </c>
      <c r="CI52" s="2060" t="s">
        <v>579</v>
      </c>
      <c r="CJ52" s="2060" t="s">
        <v>503</v>
      </c>
      <c r="CK52" s="2062" t="s">
        <v>504</v>
      </c>
      <c r="CL52" s="2058" t="s">
        <v>498</v>
      </c>
      <c r="CM52" s="2060" t="s">
        <v>499</v>
      </c>
      <c r="CN52" s="2060" t="s">
        <v>505</v>
      </c>
      <c r="CO52" s="2060" t="s">
        <v>501</v>
      </c>
      <c r="CP52" s="2060" t="s">
        <v>560</v>
      </c>
      <c r="CQ52" s="2060" t="s">
        <v>502</v>
      </c>
      <c r="CR52" s="2060" t="s">
        <v>579</v>
      </c>
      <c r="CS52" s="2060" t="s">
        <v>503</v>
      </c>
      <c r="CT52" s="2062" t="s">
        <v>504</v>
      </c>
      <c r="CU52" s="2148" t="s">
        <v>491</v>
      </c>
      <c r="CV52" s="2047" t="s">
        <v>506</v>
      </c>
      <c r="CW52" s="2047" t="s">
        <v>507</v>
      </c>
      <c r="CX52" s="2053" t="s">
        <v>508</v>
      </c>
      <c r="CY52" s="2043" t="s">
        <v>543</v>
      </c>
      <c r="CZ52" s="2151" t="s">
        <v>1015</v>
      </c>
      <c r="DA52" s="2152"/>
      <c r="DB52" s="2043" t="s">
        <v>510</v>
      </c>
      <c r="DC52" s="2047" t="s">
        <v>513</v>
      </c>
      <c r="DD52" s="2047" t="s">
        <v>514</v>
      </c>
      <c r="DE52" s="2043" t="s">
        <v>544</v>
      </c>
      <c r="DF52" s="2151" t="s">
        <v>1016</v>
      </c>
      <c r="DG52" s="2152"/>
      <c r="DH52" s="2047" t="s">
        <v>512</v>
      </c>
      <c r="DI52" s="2047" t="s">
        <v>515</v>
      </c>
      <c r="DJ52" s="2047" t="s">
        <v>516</v>
      </c>
      <c r="DK52" s="2047" t="s">
        <v>517</v>
      </c>
      <c r="DL52" s="2047" t="s">
        <v>545</v>
      </c>
      <c r="DM52" s="2045" t="s">
        <v>546</v>
      </c>
      <c r="DN52" s="2046"/>
      <c r="DO52" s="2045" t="s">
        <v>547</v>
      </c>
      <c r="DP52" s="2052"/>
      <c r="DQ52" s="2053" t="s">
        <v>548</v>
      </c>
      <c r="DR52" s="2054"/>
      <c r="DS52" s="2047" t="s">
        <v>568</v>
      </c>
      <c r="DT52" s="2045" t="s">
        <v>549</v>
      </c>
      <c r="DU52" s="2046"/>
      <c r="DV52" s="2045" t="s">
        <v>550</v>
      </c>
      <c r="DW52" s="2052"/>
      <c r="DX52" s="2053" t="s">
        <v>551</v>
      </c>
      <c r="DY52" s="2054"/>
      <c r="DZ52" s="2047" t="s">
        <v>12</v>
      </c>
      <c r="EA52" s="2047" t="s">
        <v>13</v>
      </c>
      <c r="EB52" s="2047" t="s">
        <v>582</v>
      </c>
      <c r="EC52" s="2047" t="s">
        <v>581</v>
      </c>
      <c r="ED52" s="2044"/>
      <c r="EE52" s="2154"/>
      <c r="EF52" s="2154"/>
      <c r="EG52" s="2155"/>
      <c r="EH52" s="2154"/>
      <c r="EI52" s="2154"/>
      <c r="EJ52" s="2154"/>
      <c r="EK52" s="2044"/>
      <c r="EL52" s="2044"/>
      <c r="EM52" s="2044"/>
      <c r="EN52" s="2154"/>
      <c r="EO52" s="2044"/>
      <c r="EP52" s="2064"/>
      <c r="EQ52" s="2044"/>
      <c r="ER52" s="2044"/>
      <c r="ES52" s="2044"/>
      <c r="ET52" s="2044"/>
      <c r="EU52" s="2064"/>
      <c r="EV52" s="2047" t="s">
        <v>590</v>
      </c>
      <c r="EW52" s="2047" t="s">
        <v>591</v>
      </c>
      <c r="EX52" s="2217"/>
      <c r="EY52" s="2214"/>
      <c r="EZ52" s="2177" t="s">
        <v>518</v>
      </c>
      <c r="FA52" s="2179" t="s">
        <v>519</v>
      </c>
      <c r="FB52" s="2218" t="s">
        <v>682</v>
      </c>
      <c r="FC52" s="2218" t="s">
        <v>683</v>
      </c>
      <c r="FD52" s="2175" t="s">
        <v>787</v>
      </c>
      <c r="FE52" s="2176"/>
      <c r="FF52" s="246" t="s">
        <v>948</v>
      </c>
      <c r="FK52" s="2161" t="s">
        <v>789</v>
      </c>
      <c r="FL52" s="2163" t="s">
        <v>620</v>
      </c>
      <c r="FM52" s="2165" t="s">
        <v>490</v>
      </c>
      <c r="FN52" s="2173" t="s">
        <v>492</v>
      </c>
      <c r="FO52" s="2180" t="s">
        <v>493</v>
      </c>
      <c r="FP52" s="2169" t="s">
        <v>494</v>
      </c>
      <c r="FQ52" s="2169" t="s">
        <v>495</v>
      </c>
      <c r="FR52" s="2171" t="s">
        <v>496</v>
      </c>
      <c r="FS52" s="2167" t="s">
        <v>497</v>
      </c>
      <c r="FT52" s="2159" t="s">
        <v>642</v>
      </c>
      <c r="FU52" s="2157" t="s">
        <v>484</v>
      </c>
      <c r="FV52" s="2157" t="s">
        <v>645</v>
      </c>
      <c r="FW52" s="2157" t="s">
        <v>644</v>
      </c>
      <c r="FX52" s="2157" t="s">
        <v>485</v>
      </c>
      <c r="FY52" s="2157" t="s">
        <v>643</v>
      </c>
      <c r="FZ52" s="2157" t="s">
        <v>646</v>
      </c>
      <c r="GA52" s="2157" t="s">
        <v>486</v>
      </c>
      <c r="GB52" s="2224" t="s">
        <v>487</v>
      </c>
      <c r="GC52" s="2222" t="s">
        <v>625</v>
      </c>
      <c r="GD52" s="207"/>
      <c r="GE52" s="133"/>
      <c r="GF52" s="133"/>
      <c r="GG52" s="137"/>
      <c r="GH52" s="137"/>
      <c r="GI52" s="138"/>
      <c r="GJ52" s="2220" t="s">
        <v>647</v>
      </c>
    </row>
    <row r="53" spans="1:193" ht="12.6" hidden="1" customHeight="1" thickTop="1" thickBot="1" x14ac:dyDescent="0.25">
      <c r="BZ53" s="293"/>
      <c r="CA53" s="293"/>
      <c r="CB53" s="2142"/>
      <c r="CC53" s="2059"/>
      <c r="CD53" s="2064"/>
      <c r="CE53" s="2064"/>
      <c r="CF53" s="2061"/>
      <c r="CG53" s="2061"/>
      <c r="CH53" s="2061"/>
      <c r="CI53" s="2061"/>
      <c r="CJ53" s="2061"/>
      <c r="CK53" s="2063"/>
      <c r="CL53" s="2059"/>
      <c r="CM53" s="2064"/>
      <c r="CN53" s="2064"/>
      <c r="CO53" s="2061"/>
      <c r="CP53" s="2061"/>
      <c r="CQ53" s="2061"/>
      <c r="CR53" s="2061"/>
      <c r="CS53" s="2061"/>
      <c r="CT53" s="2063"/>
      <c r="CU53" s="2149"/>
      <c r="CV53" s="2048"/>
      <c r="CW53" s="2147"/>
      <c r="CX53" s="2150"/>
      <c r="CY53" s="2044"/>
      <c r="CZ53" s="343" t="s">
        <v>554</v>
      </c>
      <c r="DA53" s="343" t="s">
        <v>555</v>
      </c>
      <c r="DB53" s="2044"/>
      <c r="DC53" s="2048"/>
      <c r="DD53" s="2048"/>
      <c r="DE53" s="2044"/>
      <c r="DF53" s="343" t="s">
        <v>554</v>
      </c>
      <c r="DG53" s="343" t="s">
        <v>555</v>
      </c>
      <c r="DH53" s="2048"/>
      <c r="DI53" s="2048"/>
      <c r="DJ53" s="2048"/>
      <c r="DK53" s="2048"/>
      <c r="DL53" s="2048"/>
      <c r="DM53" s="344" t="s">
        <v>521</v>
      </c>
      <c r="DN53" s="344" t="s">
        <v>522</v>
      </c>
      <c r="DO53" s="344" t="s">
        <v>521</v>
      </c>
      <c r="DP53" s="344" t="s">
        <v>522</v>
      </c>
      <c r="DQ53" s="344" t="s">
        <v>521</v>
      </c>
      <c r="DR53" s="344" t="s">
        <v>522</v>
      </c>
      <c r="DS53" s="2048"/>
      <c r="DT53" s="344" t="s">
        <v>521</v>
      </c>
      <c r="DU53" s="344" t="s">
        <v>522</v>
      </c>
      <c r="DV53" s="344" t="s">
        <v>521</v>
      </c>
      <c r="DW53" s="344" t="s">
        <v>522</v>
      </c>
      <c r="DX53" s="344" t="s">
        <v>521</v>
      </c>
      <c r="DY53" s="344" t="s">
        <v>522</v>
      </c>
      <c r="DZ53" s="2048"/>
      <c r="EA53" s="2048"/>
      <c r="EB53" s="2156"/>
      <c r="EC53" s="2156"/>
      <c r="ED53" s="2044"/>
      <c r="EE53" s="2154"/>
      <c r="EF53" s="2154"/>
      <c r="EG53" s="2155"/>
      <c r="EH53" s="2154"/>
      <c r="EI53" s="2154"/>
      <c r="EJ53" s="2154"/>
      <c r="EK53" s="2044"/>
      <c r="EL53" s="2044"/>
      <c r="EM53" s="2044"/>
      <c r="EN53" s="2154"/>
      <c r="EO53" s="2044"/>
      <c r="EP53" s="2064"/>
      <c r="EQ53" s="2044"/>
      <c r="ER53" s="2044"/>
      <c r="ES53" s="2044"/>
      <c r="ET53" s="2044"/>
      <c r="EU53" s="2064"/>
      <c r="EV53" s="2048"/>
      <c r="EW53" s="2048"/>
      <c r="EX53" s="2217"/>
      <c r="EY53" s="2215"/>
      <c r="EZ53" s="2178"/>
      <c r="FA53" s="2063"/>
      <c r="FB53" s="2219"/>
      <c r="FC53" s="2219"/>
      <c r="FD53" s="508" t="s">
        <v>606</v>
      </c>
      <c r="FE53" s="509" t="s">
        <v>607</v>
      </c>
      <c r="FF53" s="251" t="s">
        <v>949</v>
      </c>
      <c r="FG53" s="251" t="s">
        <v>950</v>
      </c>
      <c r="FH53" s="251" t="s">
        <v>951</v>
      </c>
      <c r="FI53" s="251" t="s">
        <v>952</v>
      </c>
      <c r="FK53" s="2162"/>
      <c r="FL53" s="2164"/>
      <c r="FM53" s="2166"/>
      <c r="FN53" s="2174"/>
      <c r="FO53" s="2181"/>
      <c r="FP53" s="2170"/>
      <c r="FQ53" s="2170"/>
      <c r="FR53" s="2172"/>
      <c r="FS53" s="2168"/>
      <c r="FT53" s="2160"/>
      <c r="FU53" s="2158"/>
      <c r="FV53" s="2158"/>
      <c r="FW53" s="2158"/>
      <c r="FX53" s="2158"/>
      <c r="FY53" s="2158"/>
      <c r="FZ53" s="2158"/>
      <c r="GA53" s="2158"/>
      <c r="GB53" s="2225"/>
      <c r="GC53" s="2223"/>
      <c r="GD53" s="208" t="s">
        <v>623</v>
      </c>
      <c r="GE53" s="142" t="s">
        <v>624</v>
      </c>
      <c r="GF53" s="135" t="s">
        <v>626</v>
      </c>
      <c r="GG53" s="135" t="s">
        <v>627</v>
      </c>
      <c r="GH53" s="135" t="s">
        <v>628</v>
      </c>
      <c r="GI53" s="136" t="s">
        <v>629</v>
      </c>
      <c r="GJ53" s="2221"/>
      <c r="GK53" s="915" t="s">
        <v>953</v>
      </c>
    </row>
    <row r="54" spans="1:193" ht="12.6" hidden="1" customHeight="1" thickTop="1" x14ac:dyDescent="0.2">
      <c r="BZ54" s="293"/>
      <c r="CA54" s="293"/>
      <c r="CB54" s="345"/>
      <c r="CC54" s="346"/>
      <c r="CD54" s="347"/>
      <c r="CE54" s="347"/>
      <c r="CF54" s="347"/>
      <c r="CG54" s="347"/>
      <c r="CH54" s="347"/>
      <c r="CI54" s="347"/>
      <c r="CJ54" s="347"/>
      <c r="CK54" s="348"/>
      <c r="CL54" s="346"/>
      <c r="CM54" s="347"/>
      <c r="CN54" s="347"/>
      <c r="CO54" s="347"/>
      <c r="CP54" s="347"/>
      <c r="CQ54" s="347"/>
      <c r="CR54" s="347"/>
      <c r="CS54" s="347"/>
      <c r="CT54" s="348"/>
      <c r="CU54" s="349"/>
      <c r="CV54" s="350"/>
      <c r="CW54" s="350"/>
      <c r="CX54" s="350"/>
      <c r="CY54" s="351"/>
      <c r="CZ54" s="351"/>
      <c r="DA54" s="351"/>
      <c r="DB54" s="350"/>
      <c r="DC54" s="350"/>
      <c r="DD54" s="352"/>
      <c r="DE54" s="350"/>
      <c r="DF54" s="351"/>
      <c r="DG54" s="351"/>
      <c r="DH54" s="350"/>
      <c r="DI54" s="350"/>
      <c r="DJ54" s="352"/>
      <c r="DK54" s="350"/>
      <c r="DL54" s="350"/>
      <c r="DM54" s="350"/>
      <c r="DN54" s="350"/>
      <c r="DO54" s="350"/>
      <c r="DP54" s="350"/>
      <c r="DQ54" s="350"/>
      <c r="DR54" s="350"/>
      <c r="DS54" s="350"/>
      <c r="DT54" s="350"/>
      <c r="DU54" s="350"/>
      <c r="DV54" s="350"/>
      <c r="DW54" s="350"/>
      <c r="DX54" s="350"/>
      <c r="DY54" s="350"/>
      <c r="DZ54" s="350"/>
      <c r="EA54" s="350"/>
      <c r="EB54" s="353"/>
      <c r="EC54" s="354"/>
      <c r="ED54" s="353"/>
      <c r="EE54" s="353"/>
      <c r="EF54" s="353"/>
      <c r="EG54" s="353"/>
      <c r="EH54" s="353"/>
      <c r="EI54" s="353"/>
      <c r="EJ54" s="353"/>
      <c r="EK54" s="351"/>
      <c r="EL54" s="351"/>
      <c r="EM54" s="351"/>
      <c r="EN54" s="351"/>
      <c r="EO54" s="350"/>
      <c r="EP54" s="351"/>
      <c r="EQ54" s="351"/>
      <c r="ER54" s="351"/>
      <c r="ES54" s="351"/>
      <c r="ET54" s="350"/>
      <c r="EU54" s="350"/>
      <c r="EV54" s="353"/>
      <c r="EW54" s="355"/>
      <c r="EX54" s="356"/>
      <c r="EY54" s="357"/>
      <c r="EZ54" s="358"/>
      <c r="FA54" s="359"/>
      <c r="FB54" s="360"/>
      <c r="FC54" s="361"/>
      <c r="FD54" s="523"/>
      <c r="FE54" s="524"/>
      <c r="FF54" s="754" t="b">
        <f t="shared" ref="FF54:FF85" si="123">IF(ISERROR(AR14),TRUE,IF(OR(AR14="",ISBLANK(AR14)),FALSE,IF(ISTEXT(AR14),IF(AND(AR14="P",LEFT(AS14,1)="#"),FALSE,TRUE),IF(ISTEXT(AS14),TRUE,FALSE))))</f>
        <v>0</v>
      </c>
      <c r="FG54" s="754" t="b">
        <f t="shared" ref="FG54:FG85" si="124">IF(ISERROR(AV14),TRUE,IF(OR(AV14="",ISBLANK(AV14)),FALSE,IF(ISTEXT(AV14),IF(AND(AV14="P",LEFT(AW14,1)="#"),FALSE,TRUE),IF(ISTEXT(AW14),TRUE,FALSE))))</f>
        <v>0</v>
      </c>
      <c r="FH54" s="754" t="b">
        <f t="shared" ref="FH54:FH85" si="125">IF(ISERROR(AZ14),TRUE,IF(OR(AZ14="",ISBLANK(AZ14)),FALSE,IF(ISTEXT(AZ14),IF(AND(AZ14="P",LEFT(BA14,1)="#"),FALSE,TRUE),IF(ISTEXT(BA14),TRUE,FALSE))))</f>
        <v>0</v>
      </c>
      <c r="FI54" s="754" t="b">
        <f t="shared" ref="FI54:FI85" si="126">IF(ISERROR(BD14),TRUE,IF(OR(BD14="",ISBLANK(BD14)),FALSE,IF(ISTEXT(BD14),IF(AND(BD14="P",LEFT(BE14,1)="#"),FALSE,TRUE),IF(ISTEXT(BE14),TRUE,FALSE))))</f>
        <v>0</v>
      </c>
      <c r="FJ54" s="782"/>
      <c r="FK54" s="519" t="str">
        <f>IF(ISBLANK(DH14),"",DH14)</f>
        <v/>
      </c>
      <c r="FL54" s="311" t="e">
        <f>VLOOKUP(DH14,$CB$54:$DK$85,36,FALSE)</f>
        <v>#N/A</v>
      </c>
      <c r="FM54" s="312" t="str">
        <f t="shared" ref="FM54:FM85" si="127">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IF(SUM(DJ14:DN14)=0,"",VLOOKUP(DH14,CB28:CF45,4,FALSE)*12+VLOOKUP(DH14,CB28:CF45,5,FALSE))</f>
        <v/>
      </c>
      <c r="FT54" s="263" t="str">
        <f>IF(SUM(DJ14:DN14)=0,"",IF(FU54="","",FL54))</f>
        <v/>
      </c>
      <c r="FU54" s="266" t="str">
        <f>IF(SUM(DJ14:DN14)=0,"",1)</f>
        <v/>
      </c>
      <c r="FV54" s="315" t="str">
        <f>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67"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28">IF(ISBLANK(DT14),"",MAX(0,DT14+VLOOKUP(FK54,$CB$54:$CD$85,3,FALSE)))</f>
        <v/>
      </c>
      <c r="GE54" s="318" t="str">
        <f t="shared" ref="GE54:GE85" si="129">IF(ISBLANK(DU14),"",MAX(0,DU14+VLOOKUP(FK54,$CB$54:$CM$85,12,FALSE)))</f>
        <v/>
      </c>
      <c r="GF54" s="269" t="str">
        <f t="shared" ref="GF54:GF85" si="130">IF(AND(ISBLANK(DV14),ISBLANK(DW14)),"",IF(DV14="P",IF(ISNUMBER(DW14),CONCATENATE("#", DW14),DW14),CEILING((DV14*12+DW14+GC54)/COS(VLOOKUP(FK54,$CB$54:$EU$85,72,FALSE))-0.0625,0.125)))</f>
        <v/>
      </c>
      <c r="GG54" s="270" t="str">
        <f t="shared" ref="GG54:GG85" si="131">IF(AND(ISBLANK(DZ14),ISBLANK(EA14)),"",IF(DZ14="P",IF(ISNUMBER(EA14),CONCATENATE("#", EA14),EA14),CEILING((DZ14*12+EA14+GC54)/COS(VLOOKUP(FK54,$CB$54:$EU$85,72,FALSE))-0.0625,0.125)))</f>
        <v/>
      </c>
      <c r="GH54" s="270" t="str">
        <f t="shared" ref="GH54:GH85" si="132">IF(AND(ISBLANK(ED14),ISBLANK(EE14)),"",IF(ED14="P",IF(ISNUMBER(EE14),CONCATENATE("#", EE14),EE14),CEILING((ED14*12+EE14+GC54)/COS(VLOOKUP(FK54,$CB$54:$EU$85,72,FALSE))-0.0625,0.125)))</f>
        <v/>
      </c>
      <c r="GI54" s="271" t="str">
        <f t="shared" ref="GI54:GI85" si="133">IF(AND(ISBLANK(EH14),ISBLANK(EI14)),"",IF(EH14="P",IF(ISNUMBER(EI14),CONCATENATE("#", EI14),EI14),CEILING((EH14*12+EI14+GC54)/COS(VLOOKUP(FK54,$CB$54:$EU$85,72,FALSE))-0.0625,0.125)))</f>
        <v/>
      </c>
      <c r="GJ54" s="319">
        <f t="shared" ref="GJ54:GJ84" ca="1" si="134">IF(FY54="",GJ55,(FY54-(FQ54+VLOOKUP(FK54,$CB$54:$EU$85,12,FALSE)-VLOOKUP(FK54,$CB$54:$EU$85,34,FALSE))/COS(VLOOKUP(FK54,$CB$54:$EU$85,72,FALSE)))/2)</f>
        <v>0</v>
      </c>
      <c r="GK54" s="916" t="str">
        <f t="shared" ref="GK54:GK85" si="135">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45"/>
      <c r="CC55" s="346"/>
      <c r="CD55" s="347"/>
      <c r="CE55" s="347"/>
      <c r="CF55" s="347"/>
      <c r="CG55" s="347"/>
      <c r="CH55" s="347"/>
      <c r="CI55" s="347"/>
      <c r="CJ55" s="347"/>
      <c r="CK55" s="348"/>
      <c r="CL55" s="346"/>
      <c r="CM55" s="347"/>
      <c r="CN55" s="347"/>
      <c r="CO55" s="347"/>
      <c r="CP55" s="347"/>
      <c r="CQ55" s="347"/>
      <c r="CR55" s="347"/>
      <c r="CS55" s="347"/>
      <c r="CT55" s="348"/>
      <c r="CU55" s="349"/>
      <c r="CV55" s="350"/>
      <c r="CW55" s="350"/>
      <c r="CX55" s="350"/>
      <c r="CY55" s="351"/>
      <c r="CZ55" s="351"/>
      <c r="DA55" s="351"/>
      <c r="DB55" s="350"/>
      <c r="DC55" s="350"/>
      <c r="DD55" s="352"/>
      <c r="DE55" s="350"/>
      <c r="DF55" s="351"/>
      <c r="DG55" s="351"/>
      <c r="DH55" s="350"/>
      <c r="DI55" s="350"/>
      <c r="DJ55" s="352"/>
      <c r="DK55" s="350"/>
      <c r="DL55" s="350"/>
      <c r="DM55" s="350"/>
      <c r="DN55" s="350"/>
      <c r="DO55" s="350"/>
      <c r="DP55" s="350"/>
      <c r="DQ55" s="350"/>
      <c r="DR55" s="350"/>
      <c r="DS55" s="350"/>
      <c r="DT55" s="350"/>
      <c r="DU55" s="350"/>
      <c r="DV55" s="350"/>
      <c r="DW55" s="350"/>
      <c r="DX55" s="350"/>
      <c r="DY55" s="350"/>
      <c r="DZ55" s="350"/>
      <c r="EA55" s="350"/>
      <c r="EB55" s="353"/>
      <c r="EC55" s="354"/>
      <c r="ED55" s="353"/>
      <c r="EE55" s="353"/>
      <c r="EF55" s="353"/>
      <c r="EG55" s="353"/>
      <c r="EH55" s="353"/>
      <c r="EI55" s="353"/>
      <c r="EJ55" s="353"/>
      <c r="EK55" s="351"/>
      <c r="EL55" s="351"/>
      <c r="EM55" s="351"/>
      <c r="EN55" s="351"/>
      <c r="EO55" s="350"/>
      <c r="EP55" s="351"/>
      <c r="EQ55" s="351"/>
      <c r="ER55" s="351"/>
      <c r="ES55" s="351"/>
      <c r="ET55" s="350"/>
      <c r="EU55" s="350"/>
      <c r="EV55" s="353"/>
      <c r="EW55" s="353"/>
      <c r="EX55" s="356"/>
      <c r="EY55" s="362"/>
      <c r="EZ55" s="346"/>
      <c r="FA55" s="359"/>
      <c r="FB55" s="363"/>
      <c r="FC55" s="364"/>
      <c r="FD55" s="525"/>
      <c r="FE55" s="526"/>
      <c r="FF55" s="754" t="b">
        <f t="shared" si="123"/>
        <v>0</v>
      </c>
      <c r="FG55" s="754" t="b">
        <f t="shared" si="124"/>
        <v>0</v>
      </c>
      <c r="FH55" s="754" t="b">
        <f t="shared" si="125"/>
        <v>0</v>
      </c>
      <c r="FI55" s="917" t="b">
        <f t="shared" si="126"/>
        <v>0</v>
      </c>
      <c r="FJ55" s="920" t="str">
        <f t="shared" ref="FJ55:FJ85" si="136">IF(AND(COUNTA(DH15:EK15)&gt;0,FK55=FK54,FK55&lt;&gt;""),"G","")</f>
        <v/>
      </c>
      <c r="FK55" s="919" t="str">
        <f t="shared" ref="FK55:FK85" si="137">IF(ISBLANK(DH15),FK54,DH15)</f>
        <v/>
      </c>
      <c r="FL55" s="320" t="e">
        <f t="shared" ref="FL55:FL85" si="138">IF(ISERROR(VLOOKUP(DH15,$CB$54:$DK$85,36,FALSE)),FL54,VLOOKUP(DH15,$CB$54:$DK$85,36,FALSE))</f>
        <v>#N/A</v>
      </c>
      <c r="FM55" s="312" t="str">
        <f t="shared" si="127"/>
        <v/>
      </c>
      <c r="FN55" s="272" t="str">
        <f t="shared" ref="FN55:FN85" ca="1" si="139">IF(OR(FS55=0,DL15=""),"",IF(UPPER(FM54)="X",0,CEILING(IF(AND(DJ15="",DK15=""),IF(UPPER(FM55)="X",FP55,IF(AND(DM15="",DN15=""),(FS55-FO55*FP55)/2,(DJ15*12+DK15+(DL15*(DM15*12+DN15)))-FO55*FP55)),(DJ15*12+DK15))-0.0625,0.125)))</f>
        <v/>
      </c>
      <c r="FO55" s="273" t="str">
        <f t="shared" ref="FO55:FO85" ca="1" si="140">IF(OR(FS55=0,DL15=""),"",DL15-IF(AND(DJ15="",DK15="",FM54&lt;&gt;"X"),1,0)-IF(AND(DM15="",DN15="",FM55=""),1,0))</f>
        <v/>
      </c>
      <c r="FP55" s="274" t="str">
        <f t="shared" ref="FP55:FP85" ca="1" si="141">IF(OR(FS55=0,DL15=""),"",CEILING(IF(AND(DM15="",DN15=""),IF(DL15=FO55,(FS55-FN55-FQ55)/FO55,(FS55-IF(AND(DJ15="",DK15=""),0,FN55)-IF(FM55="",0,FQ55))/DL15),DM15*12+DN15)-0.0625,0.125))</f>
        <v/>
      </c>
      <c r="FQ55" s="274" t="str">
        <f t="shared" ref="FQ55:FQ85" ca="1" si="142">IF(OR(FS55=0,DL15=""),"",IF(UPPER(FM55)="X",0,FS55-FN55-FO55*FP55))</f>
        <v/>
      </c>
      <c r="FR55" s="321">
        <f t="shared" ref="FR55:FR85" ca="1" si="143">IF(OR(FS55=0,DL15=""),0,FS55-(FN55+FO55*FP55+FQ55))</f>
        <v>0</v>
      </c>
      <c r="FS55" s="322">
        <f t="shared" ref="FS55:FS85" ca="1" si="144">IF(ISBLANK(DH15),IF(FR54=0,IF(OR(DI15="F",DI15="N"),OFFSET(FS54,(-1*(FU54-1)),0),0),FR54),VLOOKUP(DH15,$CB$28:$CF$45,4,FALSE)*12+VLOOKUP(DH15,$CB$28:$CF$45,5,FALSE))</f>
        <v>0</v>
      </c>
      <c r="FT55" s="272" t="str">
        <f ca="1">IF(FU55="","",IF(FU55=1,IF(FL55="",OFFSET(FL55,(-1*FU54),0),FL55),FT54-GA54))</f>
        <v/>
      </c>
      <c r="FU55" s="275" t="str">
        <f ca="1">IF(FS55=0,"",IF(FR54=0,1,FU54+1))</f>
        <v/>
      </c>
      <c r="FV55" s="323" t="str">
        <f ca="1">IF(FW55="","",CEILING(FW55+GJ55-0.0625,0.125))</f>
        <v/>
      </c>
      <c r="FW55" s="276" t="str">
        <f t="shared" ref="FW55:FW85" ca="1" si="145">IF(OR(FN55=0,FN55=""),"",(FN55+VLOOKUP(FK55,$CB$54:$CD$85,3,FALSE)-VLOOKUP(FK55,$CB$54:$DD$85,29,FALSE))/COS(VLOOKUP(FK55,$CB$54:$EU$85,72,FALSE)))</f>
        <v/>
      </c>
      <c r="FX55" s="276" t="str">
        <f t="shared" ref="FX55:FX85" ca="1" si="146">IF(FO55=0,0,IF(FP55="","",CEILING(FP55/COS(VLOOKUP(FK55,$CB$54:$EU$85,72,FALSE))-0.0625,0.125)))</f>
        <v/>
      </c>
      <c r="FY55" s="276" t="str">
        <f ca="1">IF(OR(FQ55=0,FQ55=""),"",FT55-IF(FW55="",0,FW55)-FO55*FX55)</f>
        <v/>
      </c>
      <c r="FZ55" s="276" t="str">
        <f t="shared" ref="FZ55:FZ85" ca="1" si="147">IF(FY55="","",CEILING(FT55-IF(FV55="",0,FV55)-(FO55*FX55)-0.0625,0.125))</f>
        <v/>
      </c>
      <c r="GA55" s="276" t="str">
        <f ca="1">IF(FP55="","",IF(FW55="",0,FW55)+FO55*FX55+IF(FY55="",0,FY55))</f>
        <v/>
      </c>
      <c r="GB55" s="277" t="str">
        <f ca="1">IF(FY55="","",2+SUM(FO55:OFFSET(FO55,(FU55-1)*-1,0)))</f>
        <v/>
      </c>
      <c r="GC55" s="316" t="e">
        <f t="shared" ref="GC55:GC85" si="148">IF(ISERROR(VLOOKUP(DH15,$CB$54:$CD$85,3,FALSE)),GC54,VLOOKUP(DH15,$CB$54:$CD$85,3,FALSE))</f>
        <v>#N/A</v>
      </c>
      <c r="GD55" s="324" t="str">
        <f t="shared" si="128"/>
        <v/>
      </c>
      <c r="GE55" s="325" t="str">
        <f t="shared" si="129"/>
        <v/>
      </c>
      <c r="GF55" s="278" t="str">
        <f t="shared" si="130"/>
        <v/>
      </c>
      <c r="GG55" s="279" t="str">
        <f t="shared" si="131"/>
        <v/>
      </c>
      <c r="GH55" s="279" t="str">
        <f t="shared" si="132"/>
        <v/>
      </c>
      <c r="GI55" s="280" t="str">
        <f t="shared" si="133"/>
        <v/>
      </c>
      <c r="GJ55" s="326">
        <f t="shared" ca="1" si="134"/>
        <v>0</v>
      </c>
      <c r="GK55" s="913" t="str">
        <f t="shared" ca="1" si="135"/>
        <v/>
      </c>
    </row>
    <row r="56" spans="1:193" ht="12.6" hidden="1" customHeight="1" x14ac:dyDescent="0.2">
      <c r="BZ56" s="293"/>
      <c r="CA56" s="293"/>
      <c r="CB56" s="345"/>
      <c r="CC56" s="346"/>
      <c r="CD56" s="347"/>
      <c r="CE56" s="347"/>
      <c r="CF56" s="347"/>
      <c r="CG56" s="347"/>
      <c r="CH56" s="347"/>
      <c r="CI56" s="347"/>
      <c r="CJ56" s="347"/>
      <c r="CK56" s="348"/>
      <c r="CL56" s="346"/>
      <c r="CM56" s="347"/>
      <c r="CN56" s="347"/>
      <c r="CO56" s="347"/>
      <c r="CP56" s="347"/>
      <c r="CQ56" s="347"/>
      <c r="CR56" s="347"/>
      <c r="CS56" s="347"/>
      <c r="CT56" s="348"/>
      <c r="CU56" s="349"/>
      <c r="CV56" s="350"/>
      <c r="CW56" s="350"/>
      <c r="CX56" s="350"/>
      <c r="CY56" s="351"/>
      <c r="CZ56" s="351"/>
      <c r="DA56" s="351"/>
      <c r="DB56" s="350"/>
      <c r="DC56" s="350"/>
      <c r="DD56" s="352"/>
      <c r="DE56" s="350"/>
      <c r="DF56" s="351"/>
      <c r="DG56" s="351"/>
      <c r="DH56" s="350"/>
      <c r="DI56" s="350"/>
      <c r="DJ56" s="352"/>
      <c r="DK56" s="350"/>
      <c r="DL56" s="350"/>
      <c r="DM56" s="350"/>
      <c r="DN56" s="350"/>
      <c r="DO56" s="350"/>
      <c r="DP56" s="350"/>
      <c r="DQ56" s="350"/>
      <c r="DR56" s="350"/>
      <c r="DS56" s="350"/>
      <c r="DT56" s="350"/>
      <c r="DU56" s="350"/>
      <c r="DV56" s="350"/>
      <c r="DW56" s="350"/>
      <c r="DX56" s="350"/>
      <c r="DY56" s="350"/>
      <c r="DZ56" s="350"/>
      <c r="EA56" s="350"/>
      <c r="EB56" s="353"/>
      <c r="EC56" s="354"/>
      <c r="ED56" s="353"/>
      <c r="EE56" s="353"/>
      <c r="EF56" s="353"/>
      <c r="EG56" s="353"/>
      <c r="EH56" s="353"/>
      <c r="EI56" s="353"/>
      <c r="EJ56" s="353"/>
      <c r="EK56" s="351"/>
      <c r="EL56" s="351"/>
      <c r="EM56" s="351"/>
      <c r="EN56" s="351"/>
      <c r="EO56" s="350"/>
      <c r="EP56" s="351"/>
      <c r="EQ56" s="351"/>
      <c r="ER56" s="351"/>
      <c r="ES56" s="351"/>
      <c r="ET56" s="350"/>
      <c r="EU56" s="350"/>
      <c r="EV56" s="353"/>
      <c r="EW56" s="353"/>
      <c r="EX56" s="356"/>
      <c r="EY56" s="362"/>
      <c r="EZ56" s="346"/>
      <c r="FA56" s="359"/>
      <c r="FB56" s="363"/>
      <c r="FC56" s="364"/>
      <c r="FD56" s="525"/>
      <c r="FE56" s="526"/>
      <c r="FF56" s="754" t="b">
        <f t="shared" si="123"/>
        <v>0</v>
      </c>
      <c r="FG56" s="754" t="b">
        <f t="shared" si="124"/>
        <v>0</v>
      </c>
      <c r="FH56" s="754" t="b">
        <f t="shared" si="125"/>
        <v>0</v>
      </c>
      <c r="FI56" s="917" t="b">
        <f t="shared" si="126"/>
        <v>0</v>
      </c>
      <c r="FJ56" s="920" t="str">
        <f t="shared" si="136"/>
        <v/>
      </c>
      <c r="FK56" s="919" t="str">
        <f t="shared" si="137"/>
        <v/>
      </c>
      <c r="FL56" s="320" t="e">
        <f t="shared" si="138"/>
        <v>#N/A</v>
      </c>
      <c r="FM56" s="312" t="str">
        <f t="shared" si="127"/>
        <v/>
      </c>
      <c r="FN56" s="272" t="str">
        <f t="shared" ca="1" si="139"/>
        <v/>
      </c>
      <c r="FO56" s="273" t="str">
        <f t="shared" ca="1" si="140"/>
        <v/>
      </c>
      <c r="FP56" s="274" t="str">
        <f t="shared" ca="1" si="141"/>
        <v/>
      </c>
      <c r="FQ56" s="274" t="str">
        <f t="shared" ca="1" si="142"/>
        <v/>
      </c>
      <c r="FR56" s="321">
        <f t="shared" ca="1" si="143"/>
        <v>0</v>
      </c>
      <c r="FS56" s="322">
        <f t="shared" ca="1" si="144"/>
        <v>0</v>
      </c>
      <c r="FT56" s="272" t="str">
        <f t="shared" ref="FT56:FT85" ca="1" si="149">IF(FU56="","",IF(FU56=1,IF(FL56="",OFFSET(FL56,(-1*FU55),0),FL56),FT55-GA55))</f>
        <v/>
      </c>
      <c r="FU56" s="1385" t="str">
        <f t="shared" ref="FU56:FU85" ca="1" si="150">IF(FS56=0,"",IF(FR55=0,1,FU55+1))</f>
        <v/>
      </c>
      <c r="FV56" s="323" t="str">
        <f t="shared" ref="FV56:FV85" ca="1" si="151">IF(FW56="","",CEILING(FW56+GJ56-0.0625,0.125))</f>
        <v/>
      </c>
      <c r="FW56" s="276" t="str">
        <f t="shared" ca="1" si="145"/>
        <v/>
      </c>
      <c r="FX56" s="276" t="str">
        <f t="shared" ca="1" si="146"/>
        <v/>
      </c>
      <c r="FY56" s="276" t="str">
        <f t="shared" ref="FY56:FY85" ca="1" si="152">IF(OR(FQ56=0,FQ56=""),"",FT56-IF(FW56="",0,FW56)-FO56*FX56)</f>
        <v/>
      </c>
      <c r="FZ56" s="276" t="str">
        <f t="shared" ca="1" si="147"/>
        <v/>
      </c>
      <c r="GA56" s="276" t="str">
        <f t="shared" ref="GA56:GA85" ca="1" si="153">IF(FP56="","",IF(FW56="",0,FW56)+FO56*FX56+IF(FY56="",0,FY56))</f>
        <v/>
      </c>
      <c r="GB56" s="277" t="str">
        <f ca="1">IF(FY56="","",2+SUM(FO56:OFFSET(FO56,(FU56-1)*-1,0)))</f>
        <v/>
      </c>
      <c r="GC56" s="316" t="e">
        <f t="shared" si="148"/>
        <v>#N/A</v>
      </c>
      <c r="GD56" s="324" t="str">
        <f t="shared" si="128"/>
        <v/>
      </c>
      <c r="GE56" s="325" t="str">
        <f t="shared" si="129"/>
        <v/>
      </c>
      <c r="GF56" s="278" t="str">
        <f t="shared" si="130"/>
        <v/>
      </c>
      <c r="GG56" s="279" t="str">
        <f t="shared" si="131"/>
        <v/>
      </c>
      <c r="GH56" s="279" t="str">
        <f t="shared" si="132"/>
        <v/>
      </c>
      <c r="GI56" s="280" t="str">
        <f t="shared" si="133"/>
        <v/>
      </c>
      <c r="GJ56" s="326">
        <f t="shared" ca="1" si="134"/>
        <v>0</v>
      </c>
      <c r="GK56" s="913" t="str">
        <f t="shared" ca="1" si="135"/>
        <v/>
      </c>
    </row>
    <row r="57" spans="1:193" ht="12.6" hidden="1" customHeight="1" x14ac:dyDescent="0.2">
      <c r="BZ57" s="293"/>
      <c r="CA57" s="293"/>
      <c r="CB57" s="345"/>
      <c r="CC57" s="346"/>
      <c r="CD57" s="347"/>
      <c r="CE57" s="347"/>
      <c r="CF57" s="347"/>
      <c r="CG57" s="347"/>
      <c r="CH57" s="347"/>
      <c r="CI57" s="347"/>
      <c r="CJ57" s="347"/>
      <c r="CK57" s="348"/>
      <c r="CL57" s="346"/>
      <c r="CM57" s="347"/>
      <c r="CN57" s="347"/>
      <c r="CO57" s="347"/>
      <c r="CP57" s="347"/>
      <c r="CQ57" s="347"/>
      <c r="CR57" s="347"/>
      <c r="CS57" s="347"/>
      <c r="CT57" s="348"/>
      <c r="CU57" s="349"/>
      <c r="CV57" s="350"/>
      <c r="CW57" s="350"/>
      <c r="CX57" s="350"/>
      <c r="CY57" s="351"/>
      <c r="CZ57" s="351"/>
      <c r="DA57" s="351"/>
      <c r="DB57" s="350"/>
      <c r="DC57" s="350"/>
      <c r="DD57" s="352"/>
      <c r="DE57" s="350"/>
      <c r="DF57" s="351"/>
      <c r="DG57" s="351"/>
      <c r="DH57" s="350"/>
      <c r="DI57" s="350"/>
      <c r="DJ57" s="352"/>
      <c r="DK57" s="350"/>
      <c r="DL57" s="350"/>
      <c r="DM57" s="350"/>
      <c r="DN57" s="350"/>
      <c r="DO57" s="350"/>
      <c r="DP57" s="350"/>
      <c r="DQ57" s="350"/>
      <c r="DR57" s="350"/>
      <c r="DS57" s="350"/>
      <c r="DT57" s="350"/>
      <c r="DU57" s="350"/>
      <c r="DV57" s="350"/>
      <c r="DW57" s="350"/>
      <c r="DX57" s="350"/>
      <c r="DY57" s="350"/>
      <c r="DZ57" s="350"/>
      <c r="EA57" s="350"/>
      <c r="EB57" s="353"/>
      <c r="EC57" s="354"/>
      <c r="ED57" s="353"/>
      <c r="EE57" s="353"/>
      <c r="EF57" s="353"/>
      <c r="EG57" s="353"/>
      <c r="EH57" s="353"/>
      <c r="EI57" s="353"/>
      <c r="EJ57" s="353"/>
      <c r="EK57" s="351"/>
      <c r="EL57" s="351"/>
      <c r="EM57" s="351"/>
      <c r="EN57" s="351"/>
      <c r="EO57" s="350"/>
      <c r="EP57" s="351"/>
      <c r="EQ57" s="351"/>
      <c r="ER57" s="351"/>
      <c r="ES57" s="351"/>
      <c r="ET57" s="350"/>
      <c r="EU57" s="350"/>
      <c r="EV57" s="353"/>
      <c r="EW57" s="353"/>
      <c r="EX57" s="356"/>
      <c r="EY57" s="362"/>
      <c r="EZ57" s="346"/>
      <c r="FA57" s="359"/>
      <c r="FB57" s="363"/>
      <c r="FC57" s="364"/>
      <c r="FD57" s="525"/>
      <c r="FE57" s="526"/>
      <c r="FF57" s="754" t="b">
        <f t="shared" si="123"/>
        <v>0</v>
      </c>
      <c r="FG57" s="754" t="b">
        <f t="shared" si="124"/>
        <v>0</v>
      </c>
      <c r="FH57" s="754" t="b">
        <f t="shared" si="125"/>
        <v>0</v>
      </c>
      <c r="FI57" s="917" t="b">
        <f t="shared" si="126"/>
        <v>0</v>
      </c>
      <c r="FJ57" s="920" t="str">
        <f t="shared" si="136"/>
        <v/>
      </c>
      <c r="FK57" s="919" t="str">
        <f t="shared" si="137"/>
        <v/>
      </c>
      <c r="FL57" s="320" t="e">
        <f t="shared" si="138"/>
        <v>#N/A</v>
      </c>
      <c r="FM57" s="312" t="str">
        <f t="shared" si="127"/>
        <v/>
      </c>
      <c r="FN57" s="272" t="str">
        <f t="shared" ca="1" si="139"/>
        <v/>
      </c>
      <c r="FO57" s="273" t="str">
        <f t="shared" ca="1" si="140"/>
        <v/>
      </c>
      <c r="FP57" s="274" t="str">
        <f t="shared" ca="1" si="141"/>
        <v/>
      </c>
      <c r="FQ57" s="274" t="str">
        <f t="shared" ca="1" si="142"/>
        <v/>
      </c>
      <c r="FR57" s="321">
        <f t="shared" ca="1" si="143"/>
        <v>0</v>
      </c>
      <c r="FS57" s="322">
        <f t="shared" ca="1" si="144"/>
        <v>0</v>
      </c>
      <c r="FT57" s="272" t="str">
        <f t="shared" ca="1" si="149"/>
        <v/>
      </c>
      <c r="FU57" s="1385" t="str">
        <f t="shared" ca="1" si="150"/>
        <v/>
      </c>
      <c r="FV57" s="323" t="str">
        <f t="shared" ca="1" si="151"/>
        <v/>
      </c>
      <c r="FW57" s="276" t="str">
        <f t="shared" ca="1" si="145"/>
        <v/>
      </c>
      <c r="FX57" s="276" t="str">
        <f t="shared" ca="1" si="146"/>
        <v/>
      </c>
      <c r="FY57" s="276" t="str">
        <f t="shared" ca="1" si="152"/>
        <v/>
      </c>
      <c r="FZ57" s="276" t="str">
        <f t="shared" ca="1" si="147"/>
        <v/>
      </c>
      <c r="GA57" s="276" t="str">
        <f t="shared" ca="1" si="153"/>
        <v/>
      </c>
      <c r="GB57" s="277" t="str">
        <f ca="1">IF(FY57="","",2+SUM(FO57:OFFSET(FO57,(FU57-1)*-1,0)))</f>
        <v/>
      </c>
      <c r="GC57" s="316" t="e">
        <f t="shared" si="148"/>
        <v>#N/A</v>
      </c>
      <c r="GD57" s="324" t="str">
        <f t="shared" si="128"/>
        <v/>
      </c>
      <c r="GE57" s="325" t="str">
        <f t="shared" si="129"/>
        <v/>
      </c>
      <c r="GF57" s="278" t="str">
        <f t="shared" si="130"/>
        <v/>
      </c>
      <c r="GG57" s="279" t="str">
        <f t="shared" si="131"/>
        <v/>
      </c>
      <c r="GH57" s="279" t="str">
        <f t="shared" si="132"/>
        <v/>
      </c>
      <c r="GI57" s="280" t="str">
        <f t="shared" si="133"/>
        <v/>
      </c>
      <c r="GJ57" s="326">
        <f t="shared" ca="1" si="134"/>
        <v>0</v>
      </c>
      <c r="GK57" s="913" t="str">
        <f t="shared" ca="1" si="135"/>
        <v/>
      </c>
    </row>
    <row r="58" spans="1:193" ht="12.6" hidden="1" customHeight="1" x14ac:dyDescent="0.2">
      <c r="BZ58" s="293"/>
      <c r="CA58" s="293"/>
      <c r="CB58" s="345"/>
      <c r="CC58" s="346"/>
      <c r="CD58" s="347"/>
      <c r="CE58" s="347"/>
      <c r="CF58" s="347"/>
      <c r="CG58" s="347"/>
      <c r="CH58" s="347"/>
      <c r="CI58" s="347"/>
      <c r="CJ58" s="347"/>
      <c r="CK58" s="348"/>
      <c r="CL58" s="346"/>
      <c r="CM58" s="347"/>
      <c r="CN58" s="347"/>
      <c r="CO58" s="347"/>
      <c r="CP58" s="347"/>
      <c r="CQ58" s="347"/>
      <c r="CR58" s="347"/>
      <c r="CS58" s="347"/>
      <c r="CT58" s="348"/>
      <c r="CU58" s="349"/>
      <c r="CV58" s="350"/>
      <c r="CW58" s="350"/>
      <c r="CX58" s="350"/>
      <c r="CY58" s="351"/>
      <c r="CZ58" s="351"/>
      <c r="DA58" s="351"/>
      <c r="DB58" s="350"/>
      <c r="DC58" s="350"/>
      <c r="DD58" s="352"/>
      <c r="DE58" s="350"/>
      <c r="DF58" s="351"/>
      <c r="DG58" s="351"/>
      <c r="DH58" s="350"/>
      <c r="DI58" s="350"/>
      <c r="DJ58" s="352"/>
      <c r="DK58" s="350"/>
      <c r="DL58" s="350"/>
      <c r="DM58" s="350"/>
      <c r="DN58" s="350"/>
      <c r="DO58" s="350"/>
      <c r="DP58" s="350"/>
      <c r="DQ58" s="350"/>
      <c r="DR58" s="350"/>
      <c r="DS58" s="350"/>
      <c r="DT58" s="350"/>
      <c r="DU58" s="350"/>
      <c r="DV58" s="350"/>
      <c r="DW58" s="350"/>
      <c r="DX58" s="350"/>
      <c r="DY58" s="350"/>
      <c r="DZ58" s="350"/>
      <c r="EA58" s="350"/>
      <c r="EB58" s="353"/>
      <c r="EC58" s="354"/>
      <c r="ED58" s="353"/>
      <c r="EE58" s="353"/>
      <c r="EF58" s="353"/>
      <c r="EG58" s="353"/>
      <c r="EH58" s="353"/>
      <c r="EI58" s="353"/>
      <c r="EJ58" s="353"/>
      <c r="EK58" s="351"/>
      <c r="EL58" s="351"/>
      <c r="EM58" s="351"/>
      <c r="EN58" s="351"/>
      <c r="EO58" s="350"/>
      <c r="EP58" s="351"/>
      <c r="EQ58" s="351"/>
      <c r="ER58" s="351"/>
      <c r="ES58" s="351"/>
      <c r="ET58" s="350"/>
      <c r="EU58" s="350"/>
      <c r="EV58" s="353"/>
      <c r="EW58" s="353"/>
      <c r="EX58" s="356"/>
      <c r="EY58" s="362"/>
      <c r="EZ58" s="346"/>
      <c r="FA58" s="359"/>
      <c r="FB58" s="363"/>
      <c r="FC58" s="364"/>
      <c r="FD58" s="525"/>
      <c r="FE58" s="526"/>
      <c r="FF58" s="754" t="b">
        <f t="shared" si="123"/>
        <v>0</v>
      </c>
      <c r="FG58" s="754" t="b">
        <f t="shared" si="124"/>
        <v>0</v>
      </c>
      <c r="FH58" s="754" t="b">
        <f t="shared" si="125"/>
        <v>0</v>
      </c>
      <c r="FI58" s="917" t="b">
        <f t="shared" si="126"/>
        <v>0</v>
      </c>
      <c r="FJ58" s="920" t="str">
        <f t="shared" si="136"/>
        <v/>
      </c>
      <c r="FK58" s="919" t="str">
        <f t="shared" si="137"/>
        <v/>
      </c>
      <c r="FL58" s="320" t="e">
        <f t="shared" si="138"/>
        <v>#N/A</v>
      </c>
      <c r="FM58" s="312" t="str">
        <f t="shared" si="127"/>
        <v/>
      </c>
      <c r="FN58" s="272" t="str">
        <f t="shared" ca="1" si="139"/>
        <v/>
      </c>
      <c r="FO58" s="273" t="str">
        <f t="shared" ca="1" si="140"/>
        <v/>
      </c>
      <c r="FP58" s="274" t="str">
        <f t="shared" ca="1" si="141"/>
        <v/>
      </c>
      <c r="FQ58" s="274" t="str">
        <f t="shared" ca="1" si="142"/>
        <v/>
      </c>
      <c r="FR58" s="321">
        <f t="shared" ca="1" si="143"/>
        <v>0</v>
      </c>
      <c r="FS58" s="322">
        <f t="shared" ca="1" si="144"/>
        <v>0</v>
      </c>
      <c r="FT58" s="272" t="str">
        <f t="shared" ca="1" si="149"/>
        <v/>
      </c>
      <c r="FU58" s="275" t="str">
        <f t="shared" ca="1" si="150"/>
        <v/>
      </c>
      <c r="FV58" s="323" t="str">
        <f t="shared" ca="1" si="151"/>
        <v/>
      </c>
      <c r="FW58" s="276" t="str">
        <f t="shared" ca="1" si="145"/>
        <v/>
      </c>
      <c r="FX58" s="276" t="str">
        <f t="shared" ca="1" si="146"/>
        <v/>
      </c>
      <c r="FY58" s="276" t="str">
        <f t="shared" ca="1" si="152"/>
        <v/>
      </c>
      <c r="FZ58" s="276" t="str">
        <f t="shared" ca="1" si="147"/>
        <v/>
      </c>
      <c r="GA58" s="276" t="str">
        <f t="shared" ca="1" si="153"/>
        <v/>
      </c>
      <c r="GB58" s="277" t="str">
        <f ca="1">IF(FY58="","",2+SUM(FO58:OFFSET(FO58,(FU58-1)*-1,0)))</f>
        <v/>
      </c>
      <c r="GC58" s="316" t="e">
        <f t="shared" si="148"/>
        <v>#N/A</v>
      </c>
      <c r="GD58" s="324" t="str">
        <f t="shared" si="128"/>
        <v/>
      </c>
      <c r="GE58" s="325" t="str">
        <f t="shared" si="129"/>
        <v/>
      </c>
      <c r="GF58" s="278" t="str">
        <f t="shared" si="130"/>
        <v/>
      </c>
      <c r="GG58" s="279" t="str">
        <f t="shared" si="131"/>
        <v/>
      </c>
      <c r="GH58" s="279" t="str">
        <f t="shared" si="132"/>
        <v/>
      </c>
      <c r="GI58" s="280" t="str">
        <f t="shared" si="133"/>
        <v/>
      </c>
      <c r="GJ58" s="326">
        <f t="shared" ca="1" si="134"/>
        <v>0</v>
      </c>
      <c r="GK58" s="913" t="str">
        <f t="shared" ca="1" si="135"/>
        <v/>
      </c>
    </row>
    <row r="59" spans="1:193" ht="12.6" hidden="1" customHeight="1" x14ac:dyDescent="0.2">
      <c r="BZ59" s="293"/>
      <c r="CA59" s="293"/>
      <c r="CB59" s="345"/>
      <c r="CC59" s="346"/>
      <c r="CD59" s="347"/>
      <c r="CE59" s="347"/>
      <c r="CF59" s="347"/>
      <c r="CG59" s="347"/>
      <c r="CH59" s="347"/>
      <c r="CI59" s="347"/>
      <c r="CJ59" s="347"/>
      <c r="CK59" s="348"/>
      <c r="CL59" s="346"/>
      <c r="CM59" s="347"/>
      <c r="CN59" s="347"/>
      <c r="CO59" s="347"/>
      <c r="CP59" s="347"/>
      <c r="CQ59" s="347"/>
      <c r="CR59" s="347"/>
      <c r="CS59" s="347"/>
      <c r="CT59" s="348"/>
      <c r="CU59" s="349"/>
      <c r="CV59" s="350"/>
      <c r="CW59" s="350"/>
      <c r="CX59" s="350"/>
      <c r="CY59" s="351"/>
      <c r="CZ59" s="351"/>
      <c r="DA59" s="351"/>
      <c r="DB59" s="350"/>
      <c r="DC59" s="350"/>
      <c r="DD59" s="352"/>
      <c r="DE59" s="350"/>
      <c r="DF59" s="351"/>
      <c r="DG59" s="351"/>
      <c r="DH59" s="350"/>
      <c r="DI59" s="350"/>
      <c r="DJ59" s="352"/>
      <c r="DK59" s="350"/>
      <c r="DL59" s="350"/>
      <c r="DM59" s="350"/>
      <c r="DN59" s="350"/>
      <c r="DO59" s="350"/>
      <c r="DP59" s="350"/>
      <c r="DQ59" s="350"/>
      <c r="DR59" s="350"/>
      <c r="DS59" s="350"/>
      <c r="DT59" s="350"/>
      <c r="DU59" s="350"/>
      <c r="DV59" s="350"/>
      <c r="DW59" s="350"/>
      <c r="DX59" s="350"/>
      <c r="DY59" s="350"/>
      <c r="DZ59" s="350"/>
      <c r="EA59" s="350"/>
      <c r="EB59" s="353"/>
      <c r="EC59" s="354"/>
      <c r="ED59" s="353"/>
      <c r="EE59" s="353"/>
      <c r="EF59" s="353"/>
      <c r="EG59" s="353"/>
      <c r="EH59" s="353"/>
      <c r="EI59" s="353"/>
      <c r="EJ59" s="353"/>
      <c r="EK59" s="351"/>
      <c r="EL59" s="351"/>
      <c r="EM59" s="351"/>
      <c r="EN59" s="351"/>
      <c r="EO59" s="350"/>
      <c r="EP59" s="351"/>
      <c r="EQ59" s="351"/>
      <c r="ER59" s="351"/>
      <c r="ES59" s="351"/>
      <c r="ET59" s="350"/>
      <c r="EU59" s="350"/>
      <c r="EV59" s="353"/>
      <c r="EW59" s="353"/>
      <c r="EX59" s="356"/>
      <c r="EY59" s="362"/>
      <c r="EZ59" s="346"/>
      <c r="FA59" s="359"/>
      <c r="FB59" s="363"/>
      <c r="FC59" s="364"/>
      <c r="FD59" s="525"/>
      <c r="FE59" s="526"/>
      <c r="FF59" s="754" t="b">
        <f t="shared" si="123"/>
        <v>0</v>
      </c>
      <c r="FG59" s="754" t="b">
        <f t="shared" si="124"/>
        <v>0</v>
      </c>
      <c r="FH59" s="754" t="b">
        <f t="shared" si="125"/>
        <v>0</v>
      </c>
      <c r="FI59" s="917" t="b">
        <f t="shared" si="126"/>
        <v>0</v>
      </c>
      <c r="FJ59" s="920" t="str">
        <f t="shared" si="136"/>
        <v/>
      </c>
      <c r="FK59" s="919" t="str">
        <f t="shared" si="137"/>
        <v/>
      </c>
      <c r="FL59" s="320" t="e">
        <f t="shared" si="138"/>
        <v>#N/A</v>
      </c>
      <c r="FM59" s="312" t="str">
        <f t="shared" si="127"/>
        <v/>
      </c>
      <c r="FN59" s="272" t="str">
        <f t="shared" ca="1" si="139"/>
        <v/>
      </c>
      <c r="FO59" s="273" t="str">
        <f t="shared" ca="1" si="140"/>
        <v/>
      </c>
      <c r="FP59" s="274" t="str">
        <f t="shared" ca="1" si="141"/>
        <v/>
      </c>
      <c r="FQ59" s="274" t="str">
        <f t="shared" ca="1" si="142"/>
        <v/>
      </c>
      <c r="FR59" s="321">
        <f t="shared" ca="1" si="143"/>
        <v>0</v>
      </c>
      <c r="FS59" s="322">
        <f t="shared" ca="1" si="144"/>
        <v>0</v>
      </c>
      <c r="FT59" s="272" t="str">
        <f t="shared" ca="1" si="149"/>
        <v/>
      </c>
      <c r="FU59" s="275" t="str">
        <f t="shared" ca="1" si="150"/>
        <v/>
      </c>
      <c r="FV59" s="323" t="str">
        <f t="shared" ca="1" si="151"/>
        <v/>
      </c>
      <c r="FW59" s="276" t="str">
        <f t="shared" ca="1" si="145"/>
        <v/>
      </c>
      <c r="FX59" s="276" t="str">
        <f t="shared" ca="1" si="146"/>
        <v/>
      </c>
      <c r="FY59" s="276" t="str">
        <f t="shared" ca="1" si="152"/>
        <v/>
      </c>
      <c r="FZ59" s="276" t="str">
        <f t="shared" ca="1" si="147"/>
        <v/>
      </c>
      <c r="GA59" s="276" t="str">
        <f t="shared" ca="1" si="153"/>
        <v/>
      </c>
      <c r="GB59" s="277" t="str">
        <f ca="1">IF(FY59="","",2+SUM(FO59:OFFSET(FO59,(FU59-1)*-1,0)))</f>
        <v/>
      </c>
      <c r="GC59" s="316" t="e">
        <f t="shared" si="148"/>
        <v>#N/A</v>
      </c>
      <c r="GD59" s="324" t="str">
        <f t="shared" si="128"/>
        <v/>
      </c>
      <c r="GE59" s="325" t="str">
        <f t="shared" si="129"/>
        <v/>
      </c>
      <c r="GF59" s="278" t="str">
        <f t="shared" si="130"/>
        <v/>
      </c>
      <c r="GG59" s="279" t="str">
        <f t="shared" si="131"/>
        <v/>
      </c>
      <c r="GH59" s="279" t="str">
        <f t="shared" si="132"/>
        <v/>
      </c>
      <c r="GI59" s="280" t="str">
        <f t="shared" si="133"/>
        <v/>
      </c>
      <c r="GJ59" s="326">
        <f t="shared" ca="1" si="134"/>
        <v>0</v>
      </c>
      <c r="GK59" s="913" t="str">
        <f t="shared" ca="1" si="135"/>
        <v/>
      </c>
    </row>
    <row r="60" spans="1:193" ht="12.6" hidden="1" customHeight="1" x14ac:dyDescent="0.2">
      <c r="A60" s="892" t="s">
        <v>1178</v>
      </c>
      <c r="BZ60" s="293"/>
      <c r="CA60" s="293"/>
      <c r="CB60" s="345"/>
      <c r="CC60" s="346"/>
      <c r="CD60" s="347"/>
      <c r="CE60" s="347"/>
      <c r="CF60" s="347"/>
      <c r="CG60" s="347"/>
      <c r="CH60" s="347"/>
      <c r="CI60" s="347"/>
      <c r="CJ60" s="347"/>
      <c r="CK60" s="348"/>
      <c r="CL60" s="346"/>
      <c r="CM60" s="347"/>
      <c r="CN60" s="347"/>
      <c r="CO60" s="347"/>
      <c r="CP60" s="347"/>
      <c r="CQ60" s="347"/>
      <c r="CR60" s="347"/>
      <c r="CS60" s="347"/>
      <c r="CT60" s="348"/>
      <c r="CU60" s="349"/>
      <c r="CV60" s="350"/>
      <c r="CW60" s="350"/>
      <c r="CX60" s="350"/>
      <c r="CY60" s="351"/>
      <c r="CZ60" s="351"/>
      <c r="DA60" s="351"/>
      <c r="DB60" s="350"/>
      <c r="DC60" s="350"/>
      <c r="DD60" s="352"/>
      <c r="DE60" s="350"/>
      <c r="DF60" s="351"/>
      <c r="DG60" s="351"/>
      <c r="DH60" s="350"/>
      <c r="DI60" s="350"/>
      <c r="DJ60" s="352"/>
      <c r="DK60" s="350"/>
      <c r="DL60" s="350"/>
      <c r="DM60" s="350"/>
      <c r="DN60" s="350"/>
      <c r="DO60" s="350"/>
      <c r="DP60" s="350"/>
      <c r="DQ60" s="350"/>
      <c r="DR60" s="350"/>
      <c r="DS60" s="350"/>
      <c r="DT60" s="350"/>
      <c r="DU60" s="350"/>
      <c r="DV60" s="350"/>
      <c r="DW60" s="350"/>
      <c r="DX60" s="350"/>
      <c r="DY60" s="350"/>
      <c r="DZ60" s="350"/>
      <c r="EA60" s="350"/>
      <c r="EB60" s="353"/>
      <c r="EC60" s="354"/>
      <c r="ED60" s="353"/>
      <c r="EE60" s="353"/>
      <c r="EF60" s="353"/>
      <c r="EG60" s="353"/>
      <c r="EH60" s="353"/>
      <c r="EI60" s="353"/>
      <c r="EJ60" s="353"/>
      <c r="EK60" s="351"/>
      <c r="EL60" s="351"/>
      <c r="EM60" s="351"/>
      <c r="EN60" s="351"/>
      <c r="EO60" s="350"/>
      <c r="EP60" s="351"/>
      <c r="EQ60" s="351"/>
      <c r="ER60" s="351"/>
      <c r="ES60" s="351"/>
      <c r="ET60" s="350"/>
      <c r="EU60" s="350"/>
      <c r="EV60" s="353"/>
      <c r="EW60" s="353"/>
      <c r="EX60" s="356"/>
      <c r="EY60" s="362"/>
      <c r="EZ60" s="346"/>
      <c r="FA60" s="359"/>
      <c r="FB60" s="363"/>
      <c r="FC60" s="364"/>
      <c r="FD60" s="525"/>
      <c r="FE60" s="526"/>
      <c r="FF60" s="754" t="b">
        <f t="shared" si="123"/>
        <v>0</v>
      </c>
      <c r="FG60" s="754" t="b">
        <f t="shared" si="124"/>
        <v>0</v>
      </c>
      <c r="FH60" s="754" t="b">
        <f t="shared" si="125"/>
        <v>0</v>
      </c>
      <c r="FI60" s="917" t="b">
        <f t="shared" si="126"/>
        <v>0</v>
      </c>
      <c r="FJ60" s="920" t="str">
        <f t="shared" si="136"/>
        <v/>
      </c>
      <c r="FK60" s="919" t="str">
        <f t="shared" si="137"/>
        <v/>
      </c>
      <c r="FL60" s="320" t="e">
        <f t="shared" si="138"/>
        <v>#N/A</v>
      </c>
      <c r="FM60" s="312" t="str">
        <f t="shared" si="127"/>
        <v/>
      </c>
      <c r="FN60" s="272" t="str">
        <f t="shared" ca="1" si="139"/>
        <v/>
      </c>
      <c r="FO60" s="273" t="str">
        <f t="shared" ca="1" si="140"/>
        <v/>
      </c>
      <c r="FP60" s="274" t="str">
        <f t="shared" ca="1" si="141"/>
        <v/>
      </c>
      <c r="FQ60" s="274" t="str">
        <f t="shared" ca="1" si="142"/>
        <v/>
      </c>
      <c r="FR60" s="321">
        <f t="shared" ca="1" si="143"/>
        <v>0</v>
      </c>
      <c r="FS60" s="322">
        <f t="shared" ca="1" si="144"/>
        <v>0</v>
      </c>
      <c r="FT60" s="272" t="str">
        <f t="shared" ca="1" si="149"/>
        <v/>
      </c>
      <c r="FU60" s="275" t="str">
        <f t="shared" ca="1" si="150"/>
        <v/>
      </c>
      <c r="FV60" s="323" t="str">
        <f t="shared" ca="1" si="151"/>
        <v/>
      </c>
      <c r="FW60" s="276" t="str">
        <f t="shared" ca="1" si="145"/>
        <v/>
      </c>
      <c r="FX60" s="276" t="str">
        <f t="shared" ca="1" si="146"/>
        <v/>
      </c>
      <c r="FY60" s="276" t="str">
        <f t="shared" ca="1" si="152"/>
        <v/>
      </c>
      <c r="FZ60" s="276" t="str">
        <f t="shared" ca="1" si="147"/>
        <v/>
      </c>
      <c r="GA60" s="276" t="str">
        <f t="shared" ca="1" si="153"/>
        <v/>
      </c>
      <c r="GB60" s="277" t="str">
        <f ca="1">IF(FY60="","",2+SUM(FO60:OFFSET(FO60,(FU60-1)*-1,0)))</f>
        <v/>
      </c>
      <c r="GC60" s="316" t="e">
        <f t="shared" si="148"/>
        <v>#N/A</v>
      </c>
      <c r="GD60" s="324" t="str">
        <f t="shared" si="128"/>
        <v/>
      </c>
      <c r="GE60" s="325" t="str">
        <f t="shared" si="129"/>
        <v/>
      </c>
      <c r="GF60" s="278" t="str">
        <f t="shared" si="130"/>
        <v/>
      </c>
      <c r="GG60" s="279" t="str">
        <f t="shared" si="131"/>
        <v/>
      </c>
      <c r="GH60" s="279" t="str">
        <f t="shared" si="132"/>
        <v/>
      </c>
      <c r="GI60" s="280" t="str">
        <f t="shared" si="133"/>
        <v/>
      </c>
      <c r="GJ60" s="326">
        <f t="shared" ca="1" si="134"/>
        <v>0</v>
      </c>
      <c r="GK60" s="913" t="str">
        <f t="shared" ca="1" si="135"/>
        <v/>
      </c>
    </row>
    <row r="61" spans="1:193" ht="12.6" hidden="1" customHeight="1" x14ac:dyDescent="0.2">
      <c r="A61" s="894"/>
      <c r="BZ61" s="293"/>
      <c r="CA61" s="293"/>
      <c r="CB61" s="345"/>
      <c r="CC61" s="346"/>
      <c r="CD61" s="347"/>
      <c r="CE61" s="347"/>
      <c r="CF61" s="347"/>
      <c r="CG61" s="347"/>
      <c r="CH61" s="347"/>
      <c r="CI61" s="347"/>
      <c r="CJ61" s="347"/>
      <c r="CK61" s="348"/>
      <c r="CL61" s="346"/>
      <c r="CM61" s="347"/>
      <c r="CN61" s="347"/>
      <c r="CO61" s="347"/>
      <c r="CP61" s="347"/>
      <c r="CQ61" s="347"/>
      <c r="CR61" s="347"/>
      <c r="CS61" s="347"/>
      <c r="CT61" s="348"/>
      <c r="CU61" s="349"/>
      <c r="CV61" s="350"/>
      <c r="CW61" s="350"/>
      <c r="CX61" s="350"/>
      <c r="CY61" s="351"/>
      <c r="CZ61" s="351"/>
      <c r="DA61" s="351"/>
      <c r="DB61" s="350"/>
      <c r="DC61" s="350"/>
      <c r="DD61" s="352"/>
      <c r="DE61" s="350"/>
      <c r="DF61" s="351"/>
      <c r="DG61" s="351"/>
      <c r="DH61" s="350"/>
      <c r="DI61" s="350"/>
      <c r="DJ61" s="352"/>
      <c r="DK61" s="350"/>
      <c r="DL61" s="350"/>
      <c r="DM61" s="350"/>
      <c r="DN61" s="350"/>
      <c r="DO61" s="350"/>
      <c r="DP61" s="350"/>
      <c r="DQ61" s="350"/>
      <c r="DR61" s="350"/>
      <c r="DS61" s="350"/>
      <c r="DT61" s="350"/>
      <c r="DU61" s="350"/>
      <c r="DV61" s="350"/>
      <c r="DW61" s="350"/>
      <c r="DX61" s="350"/>
      <c r="DY61" s="350"/>
      <c r="DZ61" s="350"/>
      <c r="EA61" s="350"/>
      <c r="EB61" s="353"/>
      <c r="EC61" s="354"/>
      <c r="ED61" s="353"/>
      <c r="EE61" s="353"/>
      <c r="EF61" s="353"/>
      <c r="EG61" s="353"/>
      <c r="EH61" s="353"/>
      <c r="EI61" s="353"/>
      <c r="EJ61" s="353"/>
      <c r="EK61" s="351"/>
      <c r="EL61" s="351"/>
      <c r="EM61" s="351"/>
      <c r="EN61" s="351"/>
      <c r="EO61" s="350"/>
      <c r="EP61" s="351"/>
      <c r="EQ61" s="351"/>
      <c r="ER61" s="351"/>
      <c r="ES61" s="351"/>
      <c r="ET61" s="350"/>
      <c r="EU61" s="350"/>
      <c r="EV61" s="353"/>
      <c r="EW61" s="353"/>
      <c r="EX61" s="356"/>
      <c r="EY61" s="362"/>
      <c r="EZ61" s="346"/>
      <c r="FA61" s="359"/>
      <c r="FB61" s="363"/>
      <c r="FC61" s="364"/>
      <c r="FD61" s="525"/>
      <c r="FE61" s="526"/>
      <c r="FF61" s="754" t="b">
        <f t="shared" si="123"/>
        <v>0</v>
      </c>
      <c r="FG61" s="754" t="b">
        <f t="shared" si="124"/>
        <v>0</v>
      </c>
      <c r="FH61" s="754" t="b">
        <f t="shared" si="125"/>
        <v>0</v>
      </c>
      <c r="FI61" s="917" t="b">
        <f t="shared" si="126"/>
        <v>0</v>
      </c>
      <c r="FJ61" s="920" t="str">
        <f t="shared" si="136"/>
        <v/>
      </c>
      <c r="FK61" s="919" t="str">
        <f t="shared" si="137"/>
        <v/>
      </c>
      <c r="FL61" s="320" t="e">
        <f t="shared" si="138"/>
        <v>#N/A</v>
      </c>
      <c r="FM61" s="312" t="str">
        <f t="shared" si="127"/>
        <v/>
      </c>
      <c r="FN61" s="272" t="str">
        <f t="shared" ca="1" si="139"/>
        <v/>
      </c>
      <c r="FO61" s="273" t="str">
        <f t="shared" ca="1" si="140"/>
        <v/>
      </c>
      <c r="FP61" s="274" t="str">
        <f t="shared" ca="1" si="141"/>
        <v/>
      </c>
      <c r="FQ61" s="274" t="str">
        <f t="shared" ca="1" si="142"/>
        <v/>
      </c>
      <c r="FR61" s="321">
        <f t="shared" ca="1" si="143"/>
        <v>0</v>
      </c>
      <c r="FS61" s="322">
        <f t="shared" ca="1" si="144"/>
        <v>0</v>
      </c>
      <c r="FT61" s="272" t="str">
        <f t="shared" ca="1" si="149"/>
        <v/>
      </c>
      <c r="FU61" s="275" t="str">
        <f t="shared" ca="1" si="150"/>
        <v/>
      </c>
      <c r="FV61" s="323" t="str">
        <f t="shared" ca="1" si="151"/>
        <v/>
      </c>
      <c r="FW61" s="276" t="str">
        <f t="shared" ca="1" si="145"/>
        <v/>
      </c>
      <c r="FX61" s="276" t="str">
        <f t="shared" ca="1" si="146"/>
        <v/>
      </c>
      <c r="FY61" s="276" t="str">
        <f t="shared" ca="1" si="152"/>
        <v/>
      </c>
      <c r="FZ61" s="276" t="str">
        <f t="shared" ca="1" si="147"/>
        <v/>
      </c>
      <c r="GA61" s="276" t="str">
        <f t="shared" ca="1" si="153"/>
        <v/>
      </c>
      <c r="GB61" s="277" t="str">
        <f ca="1">IF(FY61="","",2+SUM(FO61:OFFSET(FO61,(FU61-1)*-1,0)))</f>
        <v/>
      </c>
      <c r="GC61" s="316" t="e">
        <f t="shared" si="148"/>
        <v>#N/A</v>
      </c>
      <c r="GD61" s="324" t="str">
        <f t="shared" si="128"/>
        <v/>
      </c>
      <c r="GE61" s="325" t="str">
        <f t="shared" si="129"/>
        <v/>
      </c>
      <c r="GF61" s="278" t="str">
        <f t="shared" si="130"/>
        <v/>
      </c>
      <c r="GG61" s="279" t="str">
        <f t="shared" si="131"/>
        <v/>
      </c>
      <c r="GH61" s="279" t="str">
        <f t="shared" si="132"/>
        <v/>
      </c>
      <c r="GI61" s="280" t="str">
        <f t="shared" si="133"/>
        <v/>
      </c>
      <c r="GJ61" s="326">
        <f t="shared" ca="1" si="134"/>
        <v>0</v>
      </c>
      <c r="GK61" s="913" t="str">
        <f t="shared" ca="1" si="135"/>
        <v/>
      </c>
    </row>
    <row r="62" spans="1:193" ht="12.6" hidden="1" customHeight="1" x14ac:dyDescent="0.2">
      <c r="BZ62" s="293"/>
      <c r="CA62" s="293"/>
      <c r="CB62" s="345"/>
      <c r="CC62" s="346"/>
      <c r="CD62" s="347"/>
      <c r="CE62" s="347"/>
      <c r="CF62" s="347"/>
      <c r="CG62" s="347"/>
      <c r="CH62" s="347"/>
      <c r="CI62" s="347"/>
      <c r="CJ62" s="347"/>
      <c r="CK62" s="348"/>
      <c r="CL62" s="346"/>
      <c r="CM62" s="347"/>
      <c r="CN62" s="347"/>
      <c r="CO62" s="347"/>
      <c r="CP62" s="347"/>
      <c r="CQ62" s="347"/>
      <c r="CR62" s="347"/>
      <c r="CS62" s="347"/>
      <c r="CT62" s="348"/>
      <c r="CU62" s="349"/>
      <c r="CV62" s="350"/>
      <c r="CW62" s="350"/>
      <c r="CX62" s="350"/>
      <c r="CY62" s="351"/>
      <c r="CZ62" s="351"/>
      <c r="DA62" s="351"/>
      <c r="DB62" s="350"/>
      <c r="DC62" s="350"/>
      <c r="DD62" s="352"/>
      <c r="DE62" s="350"/>
      <c r="DF62" s="351"/>
      <c r="DG62" s="351"/>
      <c r="DH62" s="350"/>
      <c r="DI62" s="350"/>
      <c r="DJ62" s="352"/>
      <c r="DK62" s="350"/>
      <c r="DL62" s="350"/>
      <c r="DM62" s="350"/>
      <c r="DN62" s="350"/>
      <c r="DO62" s="350"/>
      <c r="DP62" s="350"/>
      <c r="DQ62" s="350"/>
      <c r="DR62" s="350"/>
      <c r="DS62" s="350"/>
      <c r="DT62" s="350"/>
      <c r="DU62" s="350"/>
      <c r="DV62" s="350"/>
      <c r="DW62" s="350"/>
      <c r="DX62" s="350"/>
      <c r="DY62" s="350"/>
      <c r="DZ62" s="350"/>
      <c r="EA62" s="350"/>
      <c r="EB62" s="353"/>
      <c r="EC62" s="354"/>
      <c r="ED62" s="353"/>
      <c r="EE62" s="353"/>
      <c r="EF62" s="353"/>
      <c r="EG62" s="353"/>
      <c r="EH62" s="353"/>
      <c r="EI62" s="353"/>
      <c r="EJ62" s="353"/>
      <c r="EK62" s="351"/>
      <c r="EL62" s="351"/>
      <c r="EM62" s="351"/>
      <c r="EN62" s="351"/>
      <c r="EO62" s="350"/>
      <c r="EP62" s="351"/>
      <c r="EQ62" s="351"/>
      <c r="ER62" s="351"/>
      <c r="ES62" s="351"/>
      <c r="ET62" s="350"/>
      <c r="EU62" s="350"/>
      <c r="EV62" s="353"/>
      <c r="EW62" s="353"/>
      <c r="EX62" s="356"/>
      <c r="EY62" s="362"/>
      <c r="EZ62" s="346"/>
      <c r="FA62" s="359"/>
      <c r="FB62" s="363"/>
      <c r="FC62" s="364"/>
      <c r="FD62" s="525"/>
      <c r="FE62" s="526"/>
      <c r="FF62" s="754" t="b">
        <f t="shared" si="123"/>
        <v>0</v>
      </c>
      <c r="FG62" s="754" t="b">
        <f t="shared" si="124"/>
        <v>0</v>
      </c>
      <c r="FH62" s="754" t="b">
        <f t="shared" si="125"/>
        <v>0</v>
      </c>
      <c r="FI62" s="917" t="b">
        <f t="shared" si="126"/>
        <v>0</v>
      </c>
      <c r="FJ62" s="920" t="str">
        <f t="shared" si="136"/>
        <v/>
      </c>
      <c r="FK62" s="919" t="str">
        <f t="shared" si="137"/>
        <v/>
      </c>
      <c r="FL62" s="320" t="e">
        <f t="shared" si="138"/>
        <v>#N/A</v>
      </c>
      <c r="FM62" s="312" t="str">
        <f t="shared" si="127"/>
        <v/>
      </c>
      <c r="FN62" s="272" t="str">
        <f t="shared" ca="1" si="139"/>
        <v/>
      </c>
      <c r="FO62" s="273" t="str">
        <f t="shared" ca="1" si="140"/>
        <v/>
      </c>
      <c r="FP62" s="274" t="str">
        <f t="shared" ca="1" si="141"/>
        <v/>
      </c>
      <c r="FQ62" s="274" t="str">
        <f t="shared" ca="1" si="142"/>
        <v/>
      </c>
      <c r="FR62" s="321">
        <f t="shared" ca="1" si="143"/>
        <v>0</v>
      </c>
      <c r="FS62" s="322">
        <f t="shared" ca="1" si="144"/>
        <v>0</v>
      </c>
      <c r="FT62" s="272" t="str">
        <f t="shared" ca="1" si="149"/>
        <v/>
      </c>
      <c r="FU62" s="275" t="str">
        <f t="shared" ca="1" si="150"/>
        <v/>
      </c>
      <c r="FV62" s="323" t="str">
        <f t="shared" ca="1" si="151"/>
        <v/>
      </c>
      <c r="FW62" s="276" t="str">
        <f t="shared" ca="1" si="145"/>
        <v/>
      </c>
      <c r="FX62" s="276" t="str">
        <f t="shared" ca="1" si="146"/>
        <v/>
      </c>
      <c r="FY62" s="276" t="str">
        <f t="shared" ca="1" si="152"/>
        <v/>
      </c>
      <c r="FZ62" s="276" t="str">
        <f t="shared" ca="1" si="147"/>
        <v/>
      </c>
      <c r="GA62" s="276" t="str">
        <f t="shared" ca="1" si="153"/>
        <v/>
      </c>
      <c r="GB62" s="277" t="str">
        <f ca="1">IF(FY62="","",2+SUM(FO62:OFFSET(FO62,(FU62-1)*-1,0)))</f>
        <v/>
      </c>
      <c r="GC62" s="316" t="e">
        <f t="shared" si="148"/>
        <v>#N/A</v>
      </c>
      <c r="GD62" s="324" t="str">
        <f t="shared" si="128"/>
        <v/>
      </c>
      <c r="GE62" s="325" t="str">
        <f t="shared" si="129"/>
        <v/>
      </c>
      <c r="GF62" s="278" t="str">
        <f t="shared" si="130"/>
        <v/>
      </c>
      <c r="GG62" s="279" t="str">
        <f t="shared" si="131"/>
        <v/>
      </c>
      <c r="GH62" s="279" t="str">
        <f t="shared" si="132"/>
        <v/>
      </c>
      <c r="GI62" s="280" t="str">
        <f t="shared" si="133"/>
        <v/>
      </c>
      <c r="GJ62" s="326">
        <f t="shared" ca="1" si="134"/>
        <v>0</v>
      </c>
      <c r="GK62" s="913" t="str">
        <f t="shared" ca="1" si="135"/>
        <v/>
      </c>
    </row>
    <row r="63" spans="1:193" ht="12.6" hidden="1" customHeight="1" x14ac:dyDescent="0.2">
      <c r="BZ63" s="293"/>
      <c r="CA63" s="293"/>
      <c r="CB63" s="345"/>
      <c r="CC63" s="346"/>
      <c r="CD63" s="347"/>
      <c r="CE63" s="347"/>
      <c r="CF63" s="347"/>
      <c r="CG63" s="347"/>
      <c r="CH63" s="347"/>
      <c r="CI63" s="347"/>
      <c r="CJ63" s="347"/>
      <c r="CK63" s="348"/>
      <c r="CL63" s="346"/>
      <c r="CM63" s="347"/>
      <c r="CN63" s="347"/>
      <c r="CO63" s="347"/>
      <c r="CP63" s="347"/>
      <c r="CQ63" s="347"/>
      <c r="CR63" s="347"/>
      <c r="CS63" s="347"/>
      <c r="CT63" s="348"/>
      <c r="CU63" s="349"/>
      <c r="CV63" s="350"/>
      <c r="CW63" s="350"/>
      <c r="CX63" s="350"/>
      <c r="CY63" s="351"/>
      <c r="CZ63" s="351"/>
      <c r="DA63" s="351"/>
      <c r="DB63" s="350"/>
      <c r="DC63" s="350"/>
      <c r="DD63" s="352"/>
      <c r="DE63" s="350"/>
      <c r="DF63" s="351"/>
      <c r="DG63" s="351"/>
      <c r="DH63" s="350"/>
      <c r="DI63" s="350"/>
      <c r="DJ63" s="352"/>
      <c r="DK63" s="350"/>
      <c r="DL63" s="350"/>
      <c r="DM63" s="350"/>
      <c r="DN63" s="350"/>
      <c r="DO63" s="350"/>
      <c r="DP63" s="350"/>
      <c r="DQ63" s="350"/>
      <c r="DR63" s="350"/>
      <c r="DS63" s="350"/>
      <c r="DT63" s="350"/>
      <c r="DU63" s="350"/>
      <c r="DV63" s="350"/>
      <c r="DW63" s="350"/>
      <c r="DX63" s="350"/>
      <c r="DY63" s="350"/>
      <c r="DZ63" s="350"/>
      <c r="EA63" s="350"/>
      <c r="EB63" s="353"/>
      <c r="EC63" s="354"/>
      <c r="ED63" s="353"/>
      <c r="EE63" s="353"/>
      <c r="EF63" s="353"/>
      <c r="EG63" s="353"/>
      <c r="EH63" s="353"/>
      <c r="EI63" s="353"/>
      <c r="EJ63" s="353"/>
      <c r="EK63" s="351"/>
      <c r="EL63" s="351"/>
      <c r="EM63" s="351"/>
      <c r="EN63" s="351"/>
      <c r="EO63" s="350"/>
      <c r="EP63" s="351"/>
      <c r="EQ63" s="351"/>
      <c r="ER63" s="351"/>
      <c r="ES63" s="351"/>
      <c r="ET63" s="350"/>
      <c r="EU63" s="350"/>
      <c r="EV63" s="353"/>
      <c r="EW63" s="353"/>
      <c r="EX63" s="356"/>
      <c r="EY63" s="362"/>
      <c r="EZ63" s="346"/>
      <c r="FA63" s="359"/>
      <c r="FB63" s="363"/>
      <c r="FC63" s="364"/>
      <c r="FD63" s="525"/>
      <c r="FE63" s="526"/>
      <c r="FF63" s="754" t="b">
        <f t="shared" si="123"/>
        <v>0</v>
      </c>
      <c r="FG63" s="754" t="b">
        <f t="shared" si="124"/>
        <v>0</v>
      </c>
      <c r="FH63" s="754" t="b">
        <f t="shared" si="125"/>
        <v>0</v>
      </c>
      <c r="FI63" s="917" t="b">
        <f t="shared" si="126"/>
        <v>0</v>
      </c>
      <c r="FJ63" s="920" t="str">
        <f t="shared" si="136"/>
        <v/>
      </c>
      <c r="FK63" s="919" t="str">
        <f t="shared" si="137"/>
        <v/>
      </c>
      <c r="FL63" s="320" t="e">
        <f t="shared" si="138"/>
        <v>#N/A</v>
      </c>
      <c r="FM63" s="312" t="str">
        <f t="shared" si="127"/>
        <v/>
      </c>
      <c r="FN63" s="272" t="str">
        <f t="shared" ca="1" si="139"/>
        <v/>
      </c>
      <c r="FO63" s="273" t="str">
        <f t="shared" ca="1" si="140"/>
        <v/>
      </c>
      <c r="FP63" s="274" t="str">
        <f t="shared" ca="1" si="141"/>
        <v/>
      </c>
      <c r="FQ63" s="274" t="str">
        <f t="shared" ca="1" si="142"/>
        <v/>
      </c>
      <c r="FR63" s="321">
        <f t="shared" ca="1" si="143"/>
        <v>0</v>
      </c>
      <c r="FS63" s="322">
        <f t="shared" ca="1" si="144"/>
        <v>0</v>
      </c>
      <c r="FT63" s="272" t="str">
        <f t="shared" ca="1" si="149"/>
        <v/>
      </c>
      <c r="FU63" s="275" t="str">
        <f t="shared" ca="1" si="150"/>
        <v/>
      </c>
      <c r="FV63" s="323" t="str">
        <f t="shared" ca="1" si="151"/>
        <v/>
      </c>
      <c r="FW63" s="276" t="str">
        <f t="shared" ca="1" si="145"/>
        <v/>
      </c>
      <c r="FX63" s="276" t="str">
        <f t="shared" ca="1" si="146"/>
        <v/>
      </c>
      <c r="FY63" s="276" t="str">
        <f t="shared" ca="1" si="152"/>
        <v/>
      </c>
      <c r="FZ63" s="276" t="str">
        <f t="shared" ca="1" si="147"/>
        <v/>
      </c>
      <c r="GA63" s="276" t="str">
        <f t="shared" ca="1" si="153"/>
        <v/>
      </c>
      <c r="GB63" s="277" t="str">
        <f ca="1">IF(FY63="","",2+SUM(FO63:OFFSET(FO63,(FU63-1)*-1,0)))</f>
        <v/>
      </c>
      <c r="GC63" s="316" t="e">
        <f t="shared" si="148"/>
        <v>#N/A</v>
      </c>
      <c r="GD63" s="324" t="str">
        <f t="shared" si="128"/>
        <v/>
      </c>
      <c r="GE63" s="325" t="str">
        <f t="shared" si="129"/>
        <v/>
      </c>
      <c r="GF63" s="278" t="str">
        <f t="shared" si="130"/>
        <v/>
      </c>
      <c r="GG63" s="279" t="str">
        <f t="shared" si="131"/>
        <v/>
      </c>
      <c r="GH63" s="279" t="str">
        <f t="shared" si="132"/>
        <v/>
      </c>
      <c r="GI63" s="280" t="str">
        <f t="shared" si="133"/>
        <v/>
      </c>
      <c r="GJ63" s="326">
        <f t="shared" ca="1" si="134"/>
        <v>0</v>
      </c>
      <c r="GK63" s="913" t="str">
        <f t="shared" ca="1" si="135"/>
        <v/>
      </c>
    </row>
    <row r="64" spans="1:193" ht="12.6" hidden="1" customHeight="1" x14ac:dyDescent="0.2">
      <c r="BZ64" s="293"/>
      <c r="CA64" s="293"/>
      <c r="CB64" s="345"/>
      <c r="CC64" s="346"/>
      <c r="CD64" s="347"/>
      <c r="CE64" s="347"/>
      <c r="CF64" s="347"/>
      <c r="CG64" s="347"/>
      <c r="CH64" s="347"/>
      <c r="CI64" s="347"/>
      <c r="CJ64" s="347"/>
      <c r="CK64" s="348"/>
      <c r="CL64" s="346"/>
      <c r="CM64" s="347"/>
      <c r="CN64" s="347"/>
      <c r="CO64" s="347"/>
      <c r="CP64" s="347"/>
      <c r="CQ64" s="347"/>
      <c r="CR64" s="347"/>
      <c r="CS64" s="347"/>
      <c r="CT64" s="348"/>
      <c r="CU64" s="349"/>
      <c r="CV64" s="350"/>
      <c r="CW64" s="350"/>
      <c r="CX64" s="350"/>
      <c r="CY64" s="351"/>
      <c r="CZ64" s="351"/>
      <c r="DA64" s="351"/>
      <c r="DB64" s="350"/>
      <c r="DC64" s="350"/>
      <c r="DD64" s="352"/>
      <c r="DE64" s="350"/>
      <c r="DF64" s="351"/>
      <c r="DG64" s="351"/>
      <c r="DH64" s="350"/>
      <c r="DI64" s="350"/>
      <c r="DJ64" s="352"/>
      <c r="DK64" s="350"/>
      <c r="DL64" s="350"/>
      <c r="DM64" s="350"/>
      <c r="DN64" s="350"/>
      <c r="DO64" s="350"/>
      <c r="DP64" s="350"/>
      <c r="DQ64" s="350"/>
      <c r="DR64" s="350"/>
      <c r="DS64" s="350"/>
      <c r="DT64" s="350"/>
      <c r="DU64" s="350"/>
      <c r="DV64" s="350"/>
      <c r="DW64" s="350"/>
      <c r="DX64" s="350"/>
      <c r="DY64" s="350"/>
      <c r="DZ64" s="350"/>
      <c r="EA64" s="350"/>
      <c r="EB64" s="353"/>
      <c r="EC64" s="354"/>
      <c r="ED64" s="353"/>
      <c r="EE64" s="353"/>
      <c r="EF64" s="353"/>
      <c r="EG64" s="353"/>
      <c r="EH64" s="353"/>
      <c r="EI64" s="353"/>
      <c r="EJ64" s="353"/>
      <c r="EK64" s="351"/>
      <c r="EL64" s="351"/>
      <c r="EM64" s="351"/>
      <c r="EN64" s="351"/>
      <c r="EO64" s="350"/>
      <c r="EP64" s="351"/>
      <c r="EQ64" s="351"/>
      <c r="ER64" s="351"/>
      <c r="ES64" s="351"/>
      <c r="ET64" s="350"/>
      <c r="EU64" s="350"/>
      <c r="EV64" s="353"/>
      <c r="EW64" s="353"/>
      <c r="EX64" s="356"/>
      <c r="EY64" s="362"/>
      <c r="EZ64" s="346"/>
      <c r="FA64" s="359"/>
      <c r="FB64" s="363"/>
      <c r="FC64" s="364"/>
      <c r="FD64" s="525"/>
      <c r="FE64" s="526"/>
      <c r="FF64" s="754" t="b">
        <f t="shared" si="123"/>
        <v>0</v>
      </c>
      <c r="FG64" s="754" t="b">
        <f t="shared" si="124"/>
        <v>0</v>
      </c>
      <c r="FH64" s="754" t="b">
        <f t="shared" si="125"/>
        <v>0</v>
      </c>
      <c r="FI64" s="917" t="b">
        <f t="shared" si="126"/>
        <v>0</v>
      </c>
      <c r="FJ64" s="920" t="str">
        <f t="shared" si="136"/>
        <v/>
      </c>
      <c r="FK64" s="919" t="str">
        <f t="shared" si="137"/>
        <v/>
      </c>
      <c r="FL64" s="320" t="e">
        <f t="shared" si="138"/>
        <v>#N/A</v>
      </c>
      <c r="FM64" s="312" t="str">
        <f t="shared" si="127"/>
        <v/>
      </c>
      <c r="FN64" s="272" t="str">
        <f t="shared" ca="1" si="139"/>
        <v/>
      </c>
      <c r="FO64" s="273" t="str">
        <f t="shared" ca="1" si="140"/>
        <v/>
      </c>
      <c r="FP64" s="274" t="str">
        <f t="shared" ca="1" si="141"/>
        <v/>
      </c>
      <c r="FQ64" s="274" t="str">
        <f t="shared" ca="1" si="142"/>
        <v/>
      </c>
      <c r="FR64" s="321">
        <f t="shared" ca="1" si="143"/>
        <v>0</v>
      </c>
      <c r="FS64" s="322">
        <f t="shared" ca="1" si="144"/>
        <v>0</v>
      </c>
      <c r="FT64" s="272" t="str">
        <f t="shared" ca="1" si="149"/>
        <v/>
      </c>
      <c r="FU64" s="275" t="str">
        <f t="shared" ca="1" si="150"/>
        <v/>
      </c>
      <c r="FV64" s="323" t="str">
        <f t="shared" ca="1" si="151"/>
        <v/>
      </c>
      <c r="FW64" s="276" t="str">
        <f t="shared" ca="1" si="145"/>
        <v/>
      </c>
      <c r="FX64" s="276" t="str">
        <f t="shared" ca="1" si="146"/>
        <v/>
      </c>
      <c r="FY64" s="276" t="str">
        <f t="shared" ca="1" si="152"/>
        <v/>
      </c>
      <c r="FZ64" s="276" t="str">
        <f t="shared" ca="1" si="147"/>
        <v/>
      </c>
      <c r="GA64" s="276" t="str">
        <f t="shared" ca="1" si="153"/>
        <v/>
      </c>
      <c r="GB64" s="277" t="str">
        <f ca="1">IF(FY64="","",2+SUM(FO64:OFFSET(FO64,(FU64-1)*-1,0)))</f>
        <v/>
      </c>
      <c r="GC64" s="316" t="e">
        <f t="shared" si="148"/>
        <v>#N/A</v>
      </c>
      <c r="GD64" s="324" t="str">
        <f t="shared" si="128"/>
        <v/>
      </c>
      <c r="GE64" s="325" t="str">
        <f t="shared" si="129"/>
        <v/>
      </c>
      <c r="GF64" s="278" t="str">
        <f t="shared" si="130"/>
        <v/>
      </c>
      <c r="GG64" s="279" t="str">
        <f t="shared" si="131"/>
        <v/>
      </c>
      <c r="GH64" s="279" t="str">
        <f t="shared" si="132"/>
        <v/>
      </c>
      <c r="GI64" s="280" t="str">
        <f t="shared" si="133"/>
        <v/>
      </c>
      <c r="GJ64" s="326">
        <f t="shared" ca="1" si="134"/>
        <v>0</v>
      </c>
      <c r="GK64" s="913" t="str">
        <f t="shared" ca="1" si="135"/>
        <v/>
      </c>
    </row>
    <row r="65" spans="78:196" ht="12.6" hidden="1" customHeight="1" x14ac:dyDescent="0.2">
      <c r="BZ65" s="293"/>
      <c r="CA65" s="293"/>
      <c r="CB65" s="345"/>
      <c r="CC65" s="346"/>
      <c r="CD65" s="347"/>
      <c r="CE65" s="347"/>
      <c r="CF65" s="347"/>
      <c r="CG65" s="347"/>
      <c r="CH65" s="347"/>
      <c r="CI65" s="347"/>
      <c r="CJ65" s="347"/>
      <c r="CK65" s="348"/>
      <c r="CL65" s="346"/>
      <c r="CM65" s="347"/>
      <c r="CN65" s="347"/>
      <c r="CO65" s="347"/>
      <c r="CP65" s="347"/>
      <c r="CQ65" s="347"/>
      <c r="CR65" s="347"/>
      <c r="CS65" s="347"/>
      <c r="CT65" s="348"/>
      <c r="CU65" s="349"/>
      <c r="CV65" s="350"/>
      <c r="CW65" s="350"/>
      <c r="CX65" s="350"/>
      <c r="CY65" s="351"/>
      <c r="CZ65" s="351"/>
      <c r="DA65" s="351"/>
      <c r="DB65" s="350"/>
      <c r="DC65" s="350"/>
      <c r="DD65" s="352"/>
      <c r="DE65" s="350"/>
      <c r="DF65" s="351"/>
      <c r="DG65" s="351"/>
      <c r="DH65" s="350"/>
      <c r="DI65" s="350"/>
      <c r="DJ65" s="352"/>
      <c r="DK65" s="350"/>
      <c r="DL65" s="350"/>
      <c r="DM65" s="350"/>
      <c r="DN65" s="350"/>
      <c r="DO65" s="350"/>
      <c r="DP65" s="350"/>
      <c r="DQ65" s="350"/>
      <c r="DR65" s="350"/>
      <c r="DS65" s="350"/>
      <c r="DT65" s="350"/>
      <c r="DU65" s="350"/>
      <c r="DV65" s="350"/>
      <c r="DW65" s="350"/>
      <c r="DX65" s="350"/>
      <c r="DY65" s="350"/>
      <c r="DZ65" s="350"/>
      <c r="EA65" s="350"/>
      <c r="EB65" s="353"/>
      <c r="EC65" s="354"/>
      <c r="ED65" s="353"/>
      <c r="EE65" s="353"/>
      <c r="EF65" s="353"/>
      <c r="EG65" s="353"/>
      <c r="EH65" s="353"/>
      <c r="EI65" s="353"/>
      <c r="EJ65" s="353"/>
      <c r="EK65" s="351"/>
      <c r="EL65" s="351"/>
      <c r="EM65" s="351"/>
      <c r="EN65" s="351"/>
      <c r="EO65" s="350"/>
      <c r="EP65" s="351"/>
      <c r="EQ65" s="351"/>
      <c r="ER65" s="351"/>
      <c r="ES65" s="351"/>
      <c r="ET65" s="350"/>
      <c r="EU65" s="350"/>
      <c r="EV65" s="353"/>
      <c r="EW65" s="353"/>
      <c r="EX65" s="356"/>
      <c r="EY65" s="362"/>
      <c r="EZ65" s="346"/>
      <c r="FA65" s="359"/>
      <c r="FB65" s="363"/>
      <c r="FC65" s="364"/>
      <c r="FD65" s="525"/>
      <c r="FE65" s="526"/>
      <c r="FF65" s="754" t="b">
        <f t="shared" si="123"/>
        <v>0</v>
      </c>
      <c r="FG65" s="754" t="b">
        <f t="shared" si="124"/>
        <v>0</v>
      </c>
      <c r="FH65" s="754" t="b">
        <f t="shared" si="125"/>
        <v>0</v>
      </c>
      <c r="FI65" s="917" t="b">
        <f t="shared" si="126"/>
        <v>0</v>
      </c>
      <c r="FJ65" s="920" t="str">
        <f t="shared" si="136"/>
        <v/>
      </c>
      <c r="FK65" s="919" t="str">
        <f t="shared" si="137"/>
        <v/>
      </c>
      <c r="FL65" s="320" t="e">
        <f t="shared" si="138"/>
        <v>#N/A</v>
      </c>
      <c r="FM65" s="312" t="str">
        <f t="shared" si="127"/>
        <v/>
      </c>
      <c r="FN65" s="272" t="str">
        <f t="shared" ca="1" si="139"/>
        <v/>
      </c>
      <c r="FO65" s="273" t="str">
        <f t="shared" ca="1" si="140"/>
        <v/>
      </c>
      <c r="FP65" s="274" t="str">
        <f t="shared" ca="1" si="141"/>
        <v/>
      </c>
      <c r="FQ65" s="274" t="str">
        <f t="shared" ca="1" si="142"/>
        <v/>
      </c>
      <c r="FR65" s="321">
        <f t="shared" ca="1" si="143"/>
        <v>0</v>
      </c>
      <c r="FS65" s="322">
        <f t="shared" ca="1" si="144"/>
        <v>0</v>
      </c>
      <c r="FT65" s="272" t="str">
        <f t="shared" ca="1" si="149"/>
        <v/>
      </c>
      <c r="FU65" s="275" t="str">
        <f t="shared" ca="1" si="150"/>
        <v/>
      </c>
      <c r="FV65" s="323" t="str">
        <f t="shared" ca="1" si="151"/>
        <v/>
      </c>
      <c r="FW65" s="276" t="str">
        <f t="shared" ca="1" si="145"/>
        <v/>
      </c>
      <c r="FX65" s="276" t="str">
        <f t="shared" ca="1" si="146"/>
        <v/>
      </c>
      <c r="FY65" s="276" t="str">
        <f t="shared" ca="1" si="152"/>
        <v/>
      </c>
      <c r="FZ65" s="276" t="str">
        <f t="shared" ca="1" si="147"/>
        <v/>
      </c>
      <c r="GA65" s="276" t="str">
        <f t="shared" ca="1" si="153"/>
        <v/>
      </c>
      <c r="GB65" s="277" t="str">
        <f ca="1">IF(FY65="","",2+SUM(FO65:OFFSET(FO65,(FU65-1)*-1,0)))</f>
        <v/>
      </c>
      <c r="GC65" s="316" t="e">
        <f t="shared" si="148"/>
        <v>#N/A</v>
      </c>
      <c r="GD65" s="324" t="str">
        <f t="shared" si="128"/>
        <v/>
      </c>
      <c r="GE65" s="325" t="str">
        <f t="shared" si="129"/>
        <v/>
      </c>
      <c r="GF65" s="278" t="str">
        <f t="shared" si="130"/>
        <v/>
      </c>
      <c r="GG65" s="279" t="str">
        <f t="shared" si="131"/>
        <v/>
      </c>
      <c r="GH65" s="279" t="str">
        <f t="shared" si="132"/>
        <v/>
      </c>
      <c r="GI65" s="280" t="str">
        <f t="shared" si="133"/>
        <v/>
      </c>
      <c r="GJ65" s="326">
        <f t="shared" ca="1" si="134"/>
        <v>0</v>
      </c>
      <c r="GK65" s="913" t="str">
        <f t="shared" ca="1" si="135"/>
        <v/>
      </c>
    </row>
    <row r="66" spans="78:196" ht="12.6" hidden="1" customHeight="1" x14ac:dyDescent="0.2">
      <c r="BZ66" s="293"/>
      <c r="CA66" s="293"/>
      <c r="CB66" s="345"/>
      <c r="CC66" s="346"/>
      <c r="CD66" s="347"/>
      <c r="CE66" s="347"/>
      <c r="CF66" s="347"/>
      <c r="CG66" s="347"/>
      <c r="CH66" s="347"/>
      <c r="CI66" s="347"/>
      <c r="CJ66" s="347"/>
      <c r="CK66" s="348"/>
      <c r="CL66" s="346"/>
      <c r="CM66" s="347"/>
      <c r="CN66" s="347"/>
      <c r="CO66" s="347"/>
      <c r="CP66" s="347"/>
      <c r="CQ66" s="347"/>
      <c r="CR66" s="347"/>
      <c r="CS66" s="347"/>
      <c r="CT66" s="348"/>
      <c r="CU66" s="349"/>
      <c r="CV66" s="350"/>
      <c r="CW66" s="350"/>
      <c r="CX66" s="350"/>
      <c r="CY66" s="351"/>
      <c r="CZ66" s="351"/>
      <c r="DA66" s="351"/>
      <c r="DB66" s="350"/>
      <c r="DC66" s="350"/>
      <c r="DD66" s="352"/>
      <c r="DE66" s="350"/>
      <c r="DF66" s="351"/>
      <c r="DG66" s="351"/>
      <c r="DH66" s="350"/>
      <c r="DI66" s="350"/>
      <c r="DJ66" s="352"/>
      <c r="DK66" s="350"/>
      <c r="DL66" s="350"/>
      <c r="DM66" s="350"/>
      <c r="DN66" s="350"/>
      <c r="DO66" s="350"/>
      <c r="DP66" s="350"/>
      <c r="DQ66" s="350"/>
      <c r="DR66" s="350"/>
      <c r="DS66" s="350"/>
      <c r="DT66" s="350"/>
      <c r="DU66" s="350"/>
      <c r="DV66" s="350"/>
      <c r="DW66" s="350"/>
      <c r="DX66" s="350"/>
      <c r="DY66" s="350"/>
      <c r="DZ66" s="350"/>
      <c r="EA66" s="350"/>
      <c r="EB66" s="353"/>
      <c r="EC66" s="354"/>
      <c r="ED66" s="353"/>
      <c r="EE66" s="353"/>
      <c r="EF66" s="353"/>
      <c r="EG66" s="353"/>
      <c r="EH66" s="353"/>
      <c r="EI66" s="353"/>
      <c r="EJ66" s="353"/>
      <c r="EK66" s="351"/>
      <c r="EL66" s="351"/>
      <c r="EM66" s="351"/>
      <c r="EN66" s="351"/>
      <c r="EO66" s="350"/>
      <c r="EP66" s="351"/>
      <c r="EQ66" s="351"/>
      <c r="ER66" s="351"/>
      <c r="ES66" s="351"/>
      <c r="ET66" s="350"/>
      <c r="EU66" s="350"/>
      <c r="EV66" s="353"/>
      <c r="EW66" s="353"/>
      <c r="EX66" s="356"/>
      <c r="EY66" s="362"/>
      <c r="EZ66" s="346"/>
      <c r="FA66" s="359"/>
      <c r="FB66" s="363"/>
      <c r="FC66" s="364"/>
      <c r="FD66" s="525"/>
      <c r="FE66" s="526"/>
      <c r="FF66" s="754" t="b">
        <f t="shared" si="123"/>
        <v>0</v>
      </c>
      <c r="FG66" s="754" t="b">
        <f t="shared" si="124"/>
        <v>0</v>
      </c>
      <c r="FH66" s="754" t="b">
        <f t="shared" si="125"/>
        <v>0</v>
      </c>
      <c r="FI66" s="917" t="b">
        <f t="shared" si="126"/>
        <v>0</v>
      </c>
      <c r="FJ66" s="920" t="str">
        <f t="shared" si="136"/>
        <v/>
      </c>
      <c r="FK66" s="919" t="str">
        <f t="shared" si="137"/>
        <v/>
      </c>
      <c r="FL66" s="320" t="e">
        <f t="shared" si="138"/>
        <v>#N/A</v>
      </c>
      <c r="FM66" s="312" t="str">
        <f t="shared" si="127"/>
        <v/>
      </c>
      <c r="FN66" s="272" t="str">
        <f t="shared" ca="1" si="139"/>
        <v/>
      </c>
      <c r="FO66" s="273" t="str">
        <f t="shared" ca="1" si="140"/>
        <v/>
      </c>
      <c r="FP66" s="274" t="str">
        <f t="shared" ca="1" si="141"/>
        <v/>
      </c>
      <c r="FQ66" s="274" t="str">
        <f t="shared" ca="1" si="142"/>
        <v/>
      </c>
      <c r="FR66" s="321">
        <f t="shared" ca="1" si="143"/>
        <v>0</v>
      </c>
      <c r="FS66" s="322">
        <f t="shared" ca="1" si="144"/>
        <v>0</v>
      </c>
      <c r="FT66" s="272" t="str">
        <f t="shared" ca="1" si="149"/>
        <v/>
      </c>
      <c r="FU66" s="275" t="str">
        <f t="shared" ca="1" si="150"/>
        <v/>
      </c>
      <c r="FV66" s="323" t="str">
        <f t="shared" ca="1" si="151"/>
        <v/>
      </c>
      <c r="FW66" s="276" t="str">
        <f t="shared" ca="1" si="145"/>
        <v/>
      </c>
      <c r="FX66" s="276" t="str">
        <f t="shared" ca="1" si="146"/>
        <v/>
      </c>
      <c r="FY66" s="276" t="str">
        <f t="shared" ca="1" si="152"/>
        <v/>
      </c>
      <c r="FZ66" s="276" t="str">
        <f t="shared" ca="1" si="147"/>
        <v/>
      </c>
      <c r="GA66" s="276" t="str">
        <f t="shared" ca="1" si="153"/>
        <v/>
      </c>
      <c r="GB66" s="277" t="str">
        <f ca="1">IF(FY66="","",2+SUM(FO66:OFFSET(FO66,(FU66-1)*-1,0)))</f>
        <v/>
      </c>
      <c r="GC66" s="316" t="e">
        <f t="shared" si="148"/>
        <v>#N/A</v>
      </c>
      <c r="GD66" s="324" t="str">
        <f t="shared" si="128"/>
        <v/>
      </c>
      <c r="GE66" s="325" t="str">
        <f t="shared" si="129"/>
        <v/>
      </c>
      <c r="GF66" s="278" t="str">
        <f t="shared" si="130"/>
        <v/>
      </c>
      <c r="GG66" s="279" t="str">
        <f t="shared" si="131"/>
        <v/>
      </c>
      <c r="GH66" s="279" t="str">
        <f t="shared" si="132"/>
        <v/>
      </c>
      <c r="GI66" s="280" t="str">
        <f t="shared" si="133"/>
        <v/>
      </c>
      <c r="GJ66" s="326">
        <f t="shared" ca="1" si="134"/>
        <v>0</v>
      </c>
      <c r="GK66" s="913" t="str">
        <f t="shared" ca="1" si="135"/>
        <v/>
      </c>
    </row>
    <row r="67" spans="78:196" ht="12.6" hidden="1" customHeight="1" x14ac:dyDescent="0.2">
      <c r="BZ67" s="293"/>
      <c r="CA67" s="293"/>
      <c r="CB67" s="345"/>
      <c r="CC67" s="346"/>
      <c r="CD67" s="347"/>
      <c r="CE67" s="347"/>
      <c r="CF67" s="347"/>
      <c r="CG67" s="347"/>
      <c r="CH67" s="347"/>
      <c r="CI67" s="347"/>
      <c r="CJ67" s="347"/>
      <c r="CK67" s="348"/>
      <c r="CL67" s="346"/>
      <c r="CM67" s="347"/>
      <c r="CN67" s="347"/>
      <c r="CO67" s="347"/>
      <c r="CP67" s="347"/>
      <c r="CQ67" s="347"/>
      <c r="CR67" s="347"/>
      <c r="CS67" s="347"/>
      <c r="CT67" s="348"/>
      <c r="CU67" s="349"/>
      <c r="CV67" s="350"/>
      <c r="CW67" s="350"/>
      <c r="CX67" s="350"/>
      <c r="CY67" s="351"/>
      <c r="CZ67" s="351"/>
      <c r="DA67" s="351"/>
      <c r="DB67" s="350"/>
      <c r="DC67" s="350"/>
      <c r="DD67" s="352"/>
      <c r="DE67" s="350"/>
      <c r="DF67" s="351"/>
      <c r="DG67" s="351"/>
      <c r="DH67" s="350"/>
      <c r="DI67" s="350"/>
      <c r="DJ67" s="352"/>
      <c r="DK67" s="350"/>
      <c r="DL67" s="350"/>
      <c r="DM67" s="350"/>
      <c r="DN67" s="350"/>
      <c r="DO67" s="350"/>
      <c r="DP67" s="350"/>
      <c r="DQ67" s="350"/>
      <c r="DR67" s="350"/>
      <c r="DS67" s="350"/>
      <c r="DT67" s="350"/>
      <c r="DU67" s="350"/>
      <c r="DV67" s="350"/>
      <c r="DW67" s="350"/>
      <c r="DX67" s="350"/>
      <c r="DY67" s="350"/>
      <c r="DZ67" s="350"/>
      <c r="EA67" s="350"/>
      <c r="EB67" s="353"/>
      <c r="EC67" s="354"/>
      <c r="ED67" s="353"/>
      <c r="EE67" s="353"/>
      <c r="EF67" s="353"/>
      <c r="EG67" s="353"/>
      <c r="EH67" s="353"/>
      <c r="EI67" s="353"/>
      <c r="EJ67" s="353"/>
      <c r="EK67" s="351"/>
      <c r="EL67" s="351"/>
      <c r="EM67" s="351"/>
      <c r="EN67" s="351"/>
      <c r="EO67" s="350"/>
      <c r="EP67" s="351"/>
      <c r="EQ67" s="351"/>
      <c r="ER67" s="351"/>
      <c r="ES67" s="351"/>
      <c r="ET67" s="350"/>
      <c r="EU67" s="350"/>
      <c r="EV67" s="353"/>
      <c r="EW67" s="353"/>
      <c r="EX67" s="356"/>
      <c r="EY67" s="362"/>
      <c r="EZ67" s="346"/>
      <c r="FA67" s="359"/>
      <c r="FB67" s="363"/>
      <c r="FC67" s="364"/>
      <c r="FD67" s="525"/>
      <c r="FE67" s="526"/>
      <c r="FF67" s="754" t="b">
        <f t="shared" si="123"/>
        <v>0</v>
      </c>
      <c r="FG67" s="754" t="b">
        <f t="shared" si="124"/>
        <v>0</v>
      </c>
      <c r="FH67" s="754" t="b">
        <f t="shared" si="125"/>
        <v>0</v>
      </c>
      <c r="FI67" s="917" t="b">
        <f t="shared" si="126"/>
        <v>0</v>
      </c>
      <c r="FJ67" s="920" t="str">
        <f t="shared" si="136"/>
        <v/>
      </c>
      <c r="FK67" s="919" t="str">
        <f t="shared" si="137"/>
        <v/>
      </c>
      <c r="FL67" s="320" t="e">
        <f t="shared" si="138"/>
        <v>#N/A</v>
      </c>
      <c r="FM67" s="312" t="str">
        <f t="shared" si="127"/>
        <v/>
      </c>
      <c r="FN67" s="272" t="str">
        <f t="shared" ca="1" si="139"/>
        <v/>
      </c>
      <c r="FO67" s="273" t="str">
        <f t="shared" ca="1" si="140"/>
        <v/>
      </c>
      <c r="FP67" s="274" t="str">
        <f t="shared" ca="1" si="141"/>
        <v/>
      </c>
      <c r="FQ67" s="274" t="str">
        <f t="shared" ca="1" si="142"/>
        <v/>
      </c>
      <c r="FR67" s="321">
        <f t="shared" ca="1" si="143"/>
        <v>0</v>
      </c>
      <c r="FS67" s="322">
        <f t="shared" ca="1" si="144"/>
        <v>0</v>
      </c>
      <c r="FT67" s="272" t="str">
        <f t="shared" ca="1" si="149"/>
        <v/>
      </c>
      <c r="FU67" s="275" t="str">
        <f t="shared" ca="1" si="150"/>
        <v/>
      </c>
      <c r="FV67" s="323" t="str">
        <f t="shared" ca="1" si="151"/>
        <v/>
      </c>
      <c r="FW67" s="276" t="str">
        <f t="shared" ca="1" si="145"/>
        <v/>
      </c>
      <c r="FX67" s="276" t="str">
        <f t="shared" ca="1" si="146"/>
        <v/>
      </c>
      <c r="FY67" s="276" t="str">
        <f t="shared" ca="1" si="152"/>
        <v/>
      </c>
      <c r="FZ67" s="276" t="str">
        <f t="shared" ca="1" si="147"/>
        <v/>
      </c>
      <c r="GA67" s="276" t="str">
        <f t="shared" ca="1" si="153"/>
        <v/>
      </c>
      <c r="GB67" s="277" t="str">
        <f ca="1">IF(FY67="","",2+SUM(FO67:OFFSET(FO67,(FU67-1)*-1,0)))</f>
        <v/>
      </c>
      <c r="GC67" s="316" t="e">
        <f t="shared" si="148"/>
        <v>#N/A</v>
      </c>
      <c r="GD67" s="324" t="str">
        <f t="shared" si="128"/>
        <v/>
      </c>
      <c r="GE67" s="325" t="str">
        <f t="shared" si="129"/>
        <v/>
      </c>
      <c r="GF67" s="278" t="str">
        <f t="shared" si="130"/>
        <v/>
      </c>
      <c r="GG67" s="279" t="str">
        <f t="shared" si="131"/>
        <v/>
      </c>
      <c r="GH67" s="279" t="str">
        <f t="shared" si="132"/>
        <v/>
      </c>
      <c r="GI67" s="280" t="str">
        <f t="shared" si="133"/>
        <v/>
      </c>
      <c r="GJ67" s="326">
        <f t="shared" ca="1" si="134"/>
        <v>0</v>
      </c>
      <c r="GK67" s="913" t="str">
        <f t="shared" ca="1" si="135"/>
        <v/>
      </c>
    </row>
    <row r="68" spans="78:196" ht="12.6" hidden="1" customHeight="1" x14ac:dyDescent="0.2">
      <c r="BZ68" s="293"/>
      <c r="CA68" s="293"/>
      <c r="CB68" s="365" t="str">
        <f t="shared" ref="CB68:CB85" si="154">IF(CB28="","",CB28)</f>
        <v/>
      </c>
      <c r="CC68" s="1304"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ref="CK68:CK85" si="155">CM28*-1</f>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367" t="str">
        <f>IF(CQ28="","",IF(VLOOKUP(CQ28,SectInfo!$B:$N,7,FALSE)="","",(VLOOKUP(CQ28,SectInfo!$B:$N,7,FALSE)*-1)))</f>
        <v/>
      </c>
      <c r="CR68" s="367" t="str">
        <f>IF(CQ28="","",IF(VLOOKUP(CQ28,SectInfo!$B:$N,8,FALSE)="",$FC$4,(VLOOKUP(CQ28,SectInfo!$B:$N,8,FALSE))))</f>
        <v/>
      </c>
      <c r="CS68" s="367" t="str">
        <f>IF(CQ28="","",VLOOKUP(CQ28,SectInfo!$B:$N,9,FALSE))</f>
        <v/>
      </c>
      <c r="CT68" s="368">
        <f t="shared" ref="CT68:CT85" si="156">CW28*-1</f>
        <v>0</v>
      </c>
      <c r="CU68" s="369">
        <f t="shared" ref="CU68:CU85" si="157">IF(DA28="",0,ATAN(DA28/12))</f>
        <v>0</v>
      </c>
      <c r="CV68" s="274" t="str">
        <f t="shared" ref="CV68:CV85" si="158">IF(OR(CD68="",CE28="",CM68=""),"",CEILING(IF(AND(CE28="",CF28=""),"",((CE28*12+CF28)+CD68+CM68)/COS(EU68))-0.0625,0.125))</f>
        <v/>
      </c>
      <c r="CW68" s="274" t="str">
        <f t="shared" ref="CW68:CW85" si="159">IF(CF68="","",IF(ABS(EM68)&lt;ABS($FA$2),CF68,IF(EM68=0,CF68,CEILING((CF68+((DC68-CD68)/12)*EM68)-0.0625,0.125))))</f>
        <v/>
      </c>
      <c r="CX68" s="873" t="str">
        <f t="shared" ref="CX68:CX85" si="160">IF(CO68="","",IF(ABS(ER68)&lt;ABS($FA$2),CO68,IF(ER68=0,CO68,CEILING((CO68+((DI68-CM68)/12)*ER68)-0.0625,0.125))))</f>
        <v/>
      </c>
      <c r="CY68" s="874">
        <f t="shared" ref="CY68:CY85" si="161">RADIANS(ABS(CL28))</f>
        <v>0</v>
      </c>
      <c r="CZ68" s="874">
        <f t="shared" ref="CZ68:CZ85" si="162">MIN(IF(CH28&gt;0,CH28/2,MAX(CI28/2,CJ68)),IF(CI28&gt;0,CI28/2,MAX(CH28/2,CJ68)),IF(CJ68&gt;0,CJ68,MAX(CI28/2,CH28/2)))/IF(OR(CC68="C",AND(CC68="M",$FG$1="N")),1,COS(CY68))</f>
        <v>0</v>
      </c>
      <c r="DA68" s="874" t="str">
        <f t="shared" ref="DA68:DA85" si="163">IF(CD68="","",IF(CJ68&gt;=0,MAX(CH28/2,CI28/2,CJ68),CJ68)/IF(OR(CC68="C",AND(CC68="M",$FG$1="N")),1,COS(CY68)))</f>
        <v/>
      </c>
      <c r="DB68" s="1310" t="str">
        <f>IF(CD68="","",CD68+DA68+($EY$4*TAN(CY68)))</f>
        <v/>
      </c>
      <c r="DC68" s="1310" t="str">
        <f t="shared" ref="DC68:DC85" si="164">IF(CD68="","",IF(NOT(ISBLANK(CO28)),CD68-CO28,MAX(IF(AND(CZ68&gt;=$FB$4,DA68&lt;=$FA$4,OR($FA$1=1,$FA$1=4)),CD68,IF(OR($FA$1=3,$FA$1=4),DB68-$FA$4,DB68+MAX(($FA$4-$FB$4)-(DA68-CZ68)-$EY$4/2*TAN(CY68),0)-$FA$4))-EO68,0)))</f>
        <v/>
      </c>
      <c r="DD68" s="1311">
        <f>IF(CD68="",0,IF(DC68/COS(EU68)&lt;0.0625,0,CEILING(DC68/COS(EU68)-0.03125,0.125)))</f>
        <v>0</v>
      </c>
      <c r="DE68" s="1310">
        <f t="shared" ref="DE68:DE85" si="165">RADIANS(ABS(CV28))</f>
        <v>0</v>
      </c>
      <c r="DF68" s="1312">
        <f t="shared" ref="DF68:DF85" si="166">MIN(IF(CR28&gt;0,CR28/2,MAX(CS28/2,CS68)),IF(CS28&gt;0,CS28/2,MAX(CR28/2,CS68)),IF(CS68&gt;0,CS68,MAX(CS28/2,CR28/2)))/IF(OR(CL68="C",AND(CL68="M",$FG$1="N")),1,COS(DE68))</f>
        <v>0</v>
      </c>
      <c r="DG68" s="1312" t="str">
        <f t="shared" ref="DG68:DG85" si="167">IF(CM68="","",IF(CS68&gt;=0,MAX(CR28/2,CS28/2,CS68),CS68)/IF(OR(CL68="C",AND(CL68="M",$FG$1="N")),1,COS(DE68)))</f>
        <v/>
      </c>
      <c r="DH68" s="1310" t="str">
        <f>IF(CM68="","",CM68+DG68+($EY$4*TAN(DE68)))</f>
        <v/>
      </c>
      <c r="DI68" s="1310" t="str">
        <f t="shared" ref="DI68:DI85" si="168">IF(CM68="","",IF(NOT(ISBLANK(CY28)),CM68-CY28,MAX(IF(AND(DF68&gt;=$FB$4,DG68&lt;=$FA$4,OR($FA$1=1,$FA$1=4)),CM68,IF(OR($FA$1=3,$FA$1=4),DH68-$FA$4,DH68+MAX(($FA$4-$FB$4)-(DG68-DF68)-$EY$4/2*TAN(DE68),0)-$FA$4))-ET68,0)-CY28))</f>
        <v/>
      </c>
      <c r="DJ68" s="1311">
        <f>IF(CM68="",0,IF(DI68/COS(EU68)&lt;0.0625,0,CEILING(DI68/COS(EU68)-0.03125,0.125)))</f>
        <v>0</v>
      </c>
      <c r="DK68" s="1310" t="str">
        <f>IF(CV68="","",CEILING(CV68-DD68-DJ68-0.0625,0.125))</f>
        <v/>
      </c>
      <c r="DL68" s="1310" t="str">
        <f>IF(AND(EG68="",CH68=""),"",IF(EG68="ERR","ERR",IF(ISNUMBER(EG68),(EG68/2)*-1,CH68)))</f>
        <v/>
      </c>
      <c r="DM68" s="1310" t="str">
        <f t="shared" ref="DM68:DM85" si="169">IF(DL68="ERR","ERR",IF(DL68="","",IF(CR68*TAN(CY68)&lt;=($FE$4-($FD$4-0.0625)),CD68-(DL68-EO68)/IF(OR(CC68="C",AND(CC68="M",$FG$1="N")),1,COS(CY68))-IF(MID(CE68,1,1)="R",0,DC68),(ABS(DL68-EO68)/IF(OR(CC68="C",AND(CC68="M",$FG$1="N")),1,COS(CY68))+CD68)-((CR68/2)*TAN(CY68))-IF(MID(CE68,1,1)="R",0,DC68))))</f>
        <v/>
      </c>
      <c r="DN68" s="1310" t="str">
        <f t="shared" ref="DN68:DN85" si="170">IF(DL68="ERR","ERR",IF(DL68="","",IF(CI68*TAN(CY68)&lt;=($FE$4-($FD$4-0.0625)),CD68-(DL68-EO68)/IF(OR(CC68="C",AND(CC68="M",$FG$1="N")),1,COS(CY68))-IF(MID(CE68,1,1)="R",0,DC68),(ABS(DL68-EO68)/IF(OR(CC68="C",AND(CC68="M",$FG$1="N")),1,COS(CY68))+CD68)+((CI68/2)*TAN(CY68))-IF(MID(CE68,1,1)="R",0,DC68))))</f>
        <v/>
      </c>
      <c r="DO68" s="889" t="str">
        <f t="shared" ref="DO68:DO85" si="171">IF(ISBLANK(CO28),IF(DM68&lt;$EX$6+($FD$4-0.0625)/2,"ERR",IF(DM68&lt;$EX$6+$FE$4/2,($FE$4/2+$EX$6),IF(DM68&lt;$FA$4+IF(MID(CE68,1,1)="R",DC68+CO28,0)-$FE$4/2-$EX$6,DM68,IF(DM68&lt;=$FA$4+IF(MID(CE68,1,1)="R",DC68,0)-($FD$4-0.0625)/2-$EX$6,$FA$4+IF(MID(CE68,1,1)="R",DC68,0)-($FE$4/2+$EX$6),"ERR")))),DM68)</f>
        <v>ERR</v>
      </c>
      <c r="DP68" s="889" t="str">
        <f t="shared" ref="DP68:DP85" si="172">IF(ISBLANK(CO28),IF(DN68&lt;$EX$6+($FD$4-0.0625)/2,"ERR",IF(DN68&lt;0.5+$FE$4/2,($FE$4/2+$EX$6),IF(DN68&lt;$FA$4+IF(MID(CE68,1,1)="R",DC68+CO28,0)-$FE$4/2-$EX$6,DN68,IF(DN68&lt;=$FA$4+IF(MID(CE68,1,1)="R",DC68,0)-($FD$4-0.0625)/2-$EX$6,$FA$4+IF(MID(CE68,1,1)="R",DC68,0)-($FE$4/2+$EX$6),"ERR")))),DN68)</f>
        <v>ERR</v>
      </c>
      <c r="DQ68" s="1310" t="str">
        <f>IF(ISERROR(DM68),"ERR",IF(DM68="","",IF(DO68="ERR","ERR",CEILING(DO68-0.0625,0.125))))</f>
        <v/>
      </c>
      <c r="DR68" s="1310" t="str">
        <f>IF(ISERROR(DN68),"ERR",IF(DN68="","",IF(DP68="ERR","ERR",CEILING(DP68-0.0625,0.125))))</f>
        <v/>
      </c>
      <c r="DS68" s="1310" t="str">
        <f>IF(AND(EJ68="",CQ68=""),"",IF(EJ68="ERR","ERR",IF(ISNUMBER(EJ68),(EJ68/2)*-1,CQ68)))</f>
        <v/>
      </c>
      <c r="DT68" s="1310" t="str">
        <f t="shared" ref="DT68:DT85" si="173">IF(DS68="ERR","ERR",IF(DS68="","",IF(CR68*TAN(DE68)&lt;=($FE$4-($FD$4-0.0625)),CM68-(DS68-ET68)/IF(OR(CL68="C",AND(CL68="M",$FG$1="N")),1,COS(DE68))-IF(MID(CN68,1,1)="R",0,DI68),(ABS(DS68-ET68)/IF(OR(CL68="C",AND(CL68="M",$FG$1="N")),1,COS(DE68))+CM68)-((CR68/2)*TAN(DE68))-IF(MID(CN68,1,1)="R",0,DI68))))</f>
        <v/>
      </c>
      <c r="DU68" s="1310" t="str">
        <f t="shared" ref="DU68:DU85" si="174">IF(DS68="ERR","ERR",IF(DS68="","",IF(CR68*TAN(DE68)&lt;=($FE$4-($FD$4-0.0625)),CM68-(DS68-ET68)/IF(OR(CL68="C",AND(CL68="M",$FG$1="N")),1,COS(DE68))-IF(MID(CN68,1,1)="R",0,DI68),(ABS(DS68-ET68)/IF(OR(CL68="C",AND(CL68="M",$FG$1="N")),1,COS(DE68))+CM68)+((CR68/2)*TAN(DE68))-IF(MID(CN68,1,1)="R",0,DI68))))</f>
        <v/>
      </c>
      <c r="DV68" s="889" t="str">
        <f t="shared" ref="DV68:DV85" si="175">IF(ISBLANK(CY28),IF(DT68&lt;$EX$6+($FD$4-0.0625)/2,"ERR",IF(DT68&lt;$EX$6+$FE$4/2,($FE$4/2+$EX$6),IF(DT68&lt;$FA$4+IF(MID(CN68,1,1)="R",DI68+CY28,0)-$FE$4/2-$EX$6,DT68,IF(DT68&lt;=$FA$4+IF(MID(CN68,1,1)="R",DI68,0)-($FD$4-0.0625)/2-$EX$6,$FA$4+IF(MID(CN68,1,1)="R",DI68,0)-($FE$4/2+$EX$6),"ERR")))),DT68)</f>
        <v>ERR</v>
      </c>
      <c r="DW68" s="889" t="str">
        <f t="shared" ref="DW68:DW85" si="176">IF(ISBLANK(CY28),IF(DU68&lt;$EX$6+($FD$4-0.0625)/2,"ERR",IF(DU68&lt;0.5+$FE$4/2,($FE$4/2+$EX$6),IF(DU68&lt;$FA$4+IF(MID(CN68,1,1)="R",DI68+CY28,0)-$FE$4/2-$EX$6,DU68,IF(DU68&lt;=$FA$4+IF(MID(CN68,1,1)="R",DI68,0)-($FD$4-0.0625)/2-$EX$6,$FA$4+IF(MID(CN68,1,1)="R",DI68,0)-($FE$4/2+$EX$6),"ERR")))),DU68)</f>
        <v>ERR</v>
      </c>
      <c r="DX68" s="873" t="str">
        <f>IF(ISERROR(DT68),"ERR",IF(DT68="","",IF(DV68="ERR","ERR",CEILING(DV68-0.0625,0.125))))</f>
        <v/>
      </c>
      <c r="DY68" s="873" t="str">
        <f>IF(ISERROR(DU68),"ERR",IF(DU68="","",IF(DW68="ERR","ERR",CEILING(DW68-0.0625,0.125))))</f>
        <v/>
      </c>
      <c r="DZ68" s="873" t="str">
        <f>IF(CG68="","",IF((CD68-CG68)/COS(CU68)-FB68&lt;=-0.0625,CEILING((CD68-CG68)/COS(CU68)-FB68+0.0625,-0.125),IF((CD68-CG68)/COS(CU68)-FB68&gt;=0.0625,CEILING((CD68-CG68)/COS(CU68)-FB68-0.0625,0.125),0)))</f>
        <v/>
      </c>
      <c r="EA68" s="873" t="str">
        <f>IF(CP68="","",IF((CM68-CP68)/COS(CU68)-FC68&lt;=-0.0625,CEILING((CM68-CP68)/COS(CU68)-FC68+0.0625,-0.125),IF((CM68-CP68)/COS(CU68)-FC68&gt;=0.0625,CEILING((CM68-CP68)/COS(CU68)-FC68-0.0625,0.125),0)))</f>
        <v/>
      </c>
      <c r="EB68" s="876" t="str">
        <f t="shared" ref="EB68:EB85" si="177">IF(CD28="","",$FC$4)</f>
        <v/>
      </c>
      <c r="EC68" s="877" t="str">
        <f>IF(AND(DR68="",DY68=""),"",IF(OR(CI68=EB68,CR68=EB68),EB68,CI68))</f>
        <v/>
      </c>
      <c r="ED68" s="876" t="str">
        <f t="shared" ref="ED68:ED85" si="178">IF(DA28="","",CEILING(($EZ$4/COS(CU68)+$FA$4/12*ABS(DA28)+0.5),0.125))</f>
        <v/>
      </c>
      <c r="EE68" s="876" t="str">
        <f t="shared" ref="EE68:EE85" si="179">(IF(CC68="B",MIN(CJ28:CK28),""))</f>
        <v/>
      </c>
      <c r="EF68" s="876" t="str">
        <f t="shared" ref="EF68:EF85" si="180">(IF(CC68="B",MAX(CJ28:CK28),""))</f>
        <v/>
      </c>
      <c r="EG68" s="876" t="str">
        <f t="shared" ref="EG68:EG85" si="181">IF(EE68="","",IF((EF68-EE68)/2&lt;=($FE$4-($FD$4-0.0625)),(EE68+EF68)/2,"ERR"))</f>
        <v/>
      </c>
      <c r="EH68" s="876" t="str">
        <f t="shared" ref="EH68:EH85" si="182">IF(CL68="B",MIN(CT28:CU28),"")</f>
        <v/>
      </c>
      <c r="EI68" s="876" t="str">
        <f t="shared" ref="EI68:EI85" si="183">IF(CL68="B",MAX(CT28:CU28),"")</f>
        <v/>
      </c>
      <c r="EJ68" s="876" t="str">
        <f t="shared" ref="EJ68:EJ85" si="184">IF(EH68="","",IF((EI68-EH68)/2&lt;=($FE$4-($FD$4-0.0625)),(EH68+EI68)/2,"ERR"))</f>
        <v/>
      </c>
      <c r="EK68" s="874">
        <f>IF(CK68="",0,ATAN(CK68/12))</f>
        <v>0</v>
      </c>
      <c r="EL68" s="874">
        <f>CU68-EK68</f>
        <v>0</v>
      </c>
      <c r="EM68" s="874">
        <f t="shared" ref="EM68:EM85" si="185">TAN(EL68)*12</f>
        <v>0</v>
      </c>
      <c r="EN68" s="874" t="str">
        <f t="shared" ref="EN68:EN85" si="186">IF(ABS(EM68)&lt;$FA$2,"",IF(EM68&gt;0,CEILING(EM68-0.0625,0.125),CEILING(EM68+0.0625,-0.125)))</f>
        <v/>
      </c>
      <c r="EO68" s="873" t="str">
        <f>IF(CF68="","",CF68*TAN(EK68))</f>
        <v/>
      </c>
      <c r="EP68" s="874">
        <f>IF(CT68="",0,ATAN(CT68/12))</f>
        <v>0</v>
      </c>
      <c r="EQ68" s="874">
        <f>CU68+EP68</f>
        <v>0</v>
      </c>
      <c r="ER68" s="874">
        <f t="shared" ref="ER68:ER85" si="187">TAN(EQ68)*-12</f>
        <v>0</v>
      </c>
      <c r="ES68" s="874" t="str">
        <f t="shared" ref="ES68:ES85" si="188">IF(ABS(ER68)&lt;$FA$2,"",IF(ER68&gt;0,CEILING(ER68-0.0625,0.125),CEILING(ER68+0.0625,-0.125)))</f>
        <v/>
      </c>
      <c r="ET68" s="873" t="str">
        <f>IF(CO68="","",CO68*TAN(EP68))</f>
        <v/>
      </c>
      <c r="EU68" s="873">
        <f t="shared" ref="EU68:EU85" si="189">IF((CE28*12+CF28)/COS(CU68)-(CE28*12+CF28)&lt;$FE$2,0,CU68)</f>
        <v>0</v>
      </c>
      <c r="EV68" s="876" t="e">
        <f t="shared" ref="EV68:EV85" si="190">MIN(IF(CH28&gt;0,CH28/2,MAX(CI28/2,CJ68)),IF(CI28&gt;0,CI28/2,MAX(CH28/2,CJ68)),IF(CJ68&gt;0,CJ68,MAX(CI28/2,CH28/2)))/COS(CY68)+CD68-DC68</f>
        <v>#VALUE!</v>
      </c>
      <c r="EW68" s="876" t="e">
        <f t="shared" ref="EW68:EW85" si="191">MIN(IF(CR28&gt;0,CR28/2,MAX(CS28/2,CS68)),IF(CS28&gt;0,CS28/2,MAX(CR28/2,CS68)),IF(CS68&gt;0,CS68,MAX(CS28/2,CR28/2)))/COS(DE68)+CM68-DI68</f>
        <v>#VALUE!</v>
      </c>
      <c r="EX68" s="942" t="str">
        <f t="shared" ref="EX68:EX85" si="192">IF(CD28="","",IF(EZ68&lt;1.2,5+$EX$4,IF(EZ68&lt;1.79,6+$EX$4,IF(EZ68&lt;2.3,7+$EX$4,IF(EZ68&lt;3.76,8+$EX$4,IF(EZ68&lt;4.76,10+$EY$4,IF(EZ68&lt;8.45,12+$EY$4,"ERR")))))))</f>
        <v/>
      </c>
      <c r="EY68" s="879" t="e">
        <f>TRUNC(IF(FA68&lt;1.03,25.667,IF(FA68&lt;1.2,29.667,IF(FA68&lt;1.79,33.583,IF(FA68&lt;2.3,37.75,IF(FA68&lt;3.76,42,IF(FA68&lt;4.76,50.167,IF(FA68&lt;8.45,58.167,"ERR"))))))))</f>
        <v>#DIV/0!</v>
      </c>
      <c r="EZ68" s="959" t="e">
        <f t="shared" ref="EZ68:EZ85" si="193">(0.03*BP28*((CE28+CF28/12)/BO28)*(BO28^2-IF(ISEVEN(BO28),0,1)))/BM28</f>
        <v>#DIV/0!</v>
      </c>
      <c r="FA68" s="960" t="e">
        <f t="shared" ref="FA68:FA85" si="194">(0.026*BP28*((CE28+CF28/12)/BO28)*(BO28^2-IF(ISEVEN(BO28),0,1)))/BM28</f>
        <v>#DIV/0!</v>
      </c>
      <c r="FB68" s="880" t="str">
        <f t="shared" ref="FB68:FB85" si="195">IF(CG68="","",IF(ABS(DA28*((BM28-IF(DA28&gt;0,$FF$4,0))/12))&gt;$CX$2,DA28*((BM28-IF(DA28&gt;0,$FF$4,0))/12),0))</f>
        <v/>
      </c>
      <c r="FC68" s="881" t="str">
        <f t="shared" ref="FC68:FC85" si="196">IF(CP68="","",IF(ABS(DA28*((BM28-IF(DA28&lt;0,$FF$4,0))/12))&gt;$CX$2,DA28*((BM28-IF(DA28&lt;0,$FF$4,0))/12)*-1,0))</f>
        <v/>
      </c>
      <c r="FD68" s="512">
        <f t="shared" ref="FD68:FD85" si="197">IF(CF68="",0,MAX(0,DB68-$FA$4))</f>
        <v>0</v>
      </c>
      <c r="FE68" s="513">
        <f t="shared" ref="FE68:FE85" si="198">IF(CO68="",0,MAX(0,DH68-$FA$4))</f>
        <v>0</v>
      </c>
      <c r="FF68" s="754" t="b">
        <f t="shared" si="123"/>
        <v>0</v>
      </c>
      <c r="FG68" s="754" t="b">
        <f t="shared" si="124"/>
        <v>0</v>
      </c>
      <c r="FH68" s="754" t="b">
        <f t="shared" si="125"/>
        <v>0</v>
      </c>
      <c r="FI68" s="917" t="b">
        <f t="shared" si="126"/>
        <v>0</v>
      </c>
      <c r="FJ68" s="920" t="str">
        <f t="shared" si="136"/>
        <v/>
      </c>
      <c r="FK68" s="919" t="str">
        <f t="shared" si="137"/>
        <v/>
      </c>
      <c r="FL68" s="320" t="e">
        <f t="shared" si="138"/>
        <v>#N/A</v>
      </c>
      <c r="FM68" s="312" t="str">
        <f t="shared" si="127"/>
        <v/>
      </c>
      <c r="FN68" s="272" t="str">
        <f t="shared" ca="1" si="139"/>
        <v/>
      </c>
      <c r="FO68" s="273" t="str">
        <f t="shared" ca="1" si="140"/>
        <v/>
      </c>
      <c r="FP68" s="274" t="str">
        <f t="shared" ca="1" si="141"/>
        <v/>
      </c>
      <c r="FQ68" s="274" t="str">
        <f t="shared" ca="1" si="142"/>
        <v/>
      </c>
      <c r="FR68" s="321">
        <f t="shared" ca="1" si="143"/>
        <v>0</v>
      </c>
      <c r="FS68" s="322">
        <f t="shared" ca="1" si="144"/>
        <v>0</v>
      </c>
      <c r="FT68" s="272" t="str">
        <f t="shared" ca="1" si="149"/>
        <v/>
      </c>
      <c r="FU68" s="275" t="str">
        <f t="shared" ca="1" si="150"/>
        <v/>
      </c>
      <c r="FV68" s="323" t="str">
        <f t="shared" ca="1" si="151"/>
        <v/>
      </c>
      <c r="FW68" s="276" t="str">
        <f t="shared" ca="1" si="145"/>
        <v/>
      </c>
      <c r="FX68" s="276" t="str">
        <f t="shared" ca="1" si="146"/>
        <v/>
      </c>
      <c r="FY68" s="276" t="str">
        <f t="shared" ca="1" si="152"/>
        <v/>
      </c>
      <c r="FZ68" s="276" t="str">
        <f t="shared" ca="1" si="147"/>
        <v/>
      </c>
      <c r="GA68" s="276" t="str">
        <f t="shared" ca="1" si="153"/>
        <v/>
      </c>
      <c r="GB68" s="277" t="str">
        <f ca="1">IF(FY68="","",2+SUM(FO68:OFFSET(FO68,(FU68-1)*-1,0)))</f>
        <v/>
      </c>
      <c r="GC68" s="316" t="e">
        <f t="shared" si="148"/>
        <v>#N/A</v>
      </c>
      <c r="GD68" s="324" t="str">
        <f t="shared" si="128"/>
        <v/>
      </c>
      <c r="GE68" s="325" t="str">
        <f t="shared" si="129"/>
        <v/>
      </c>
      <c r="GF68" s="278" t="str">
        <f t="shared" si="130"/>
        <v/>
      </c>
      <c r="GG68" s="279" t="str">
        <f t="shared" si="131"/>
        <v/>
      </c>
      <c r="GH68" s="279" t="str">
        <f t="shared" si="132"/>
        <v/>
      </c>
      <c r="GI68" s="280" t="str">
        <f t="shared" si="133"/>
        <v/>
      </c>
      <c r="GJ68" s="326">
        <f t="shared" ca="1" si="134"/>
        <v>0</v>
      </c>
      <c r="GK68" s="913" t="str">
        <f t="shared" ca="1" si="135"/>
        <v/>
      </c>
    </row>
    <row r="69" spans="78:196" ht="12.6" hidden="1" customHeight="1" x14ac:dyDescent="0.2">
      <c r="BZ69" s="293"/>
      <c r="CA69" s="293"/>
      <c r="CB69" s="365" t="str">
        <f t="shared" si="154"/>
        <v/>
      </c>
      <c r="CC69" s="1304"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55"/>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367" t="str">
        <f>IF(CQ29="","",IF(VLOOKUP(CQ29,SectInfo!$B:$N,7,FALSE)="","",(VLOOKUP(CQ29,SectInfo!$B:$N,7,FALSE)*-1)))</f>
        <v/>
      </c>
      <c r="CR69" s="367" t="str">
        <f>IF(CQ29="","",IF(VLOOKUP(CQ29,SectInfo!$B:$N,8,FALSE)="",$FC$4,(VLOOKUP(CQ29,SectInfo!$B:$N,8,FALSE))))</f>
        <v/>
      </c>
      <c r="CS69" s="367" t="str">
        <f>IF(CQ29="","",VLOOKUP(CQ29,SectInfo!$B:$N,9,FALSE))</f>
        <v/>
      </c>
      <c r="CT69" s="368">
        <f t="shared" si="156"/>
        <v>0</v>
      </c>
      <c r="CU69" s="369">
        <f t="shared" si="157"/>
        <v>0</v>
      </c>
      <c r="CV69" s="274" t="str">
        <f t="shared" si="158"/>
        <v/>
      </c>
      <c r="CW69" s="274" t="str">
        <f t="shared" si="159"/>
        <v/>
      </c>
      <c r="CX69" s="873" t="str">
        <f t="shared" si="160"/>
        <v/>
      </c>
      <c r="CY69" s="874">
        <f t="shared" si="161"/>
        <v>0</v>
      </c>
      <c r="CZ69" s="874">
        <f t="shared" si="162"/>
        <v>0</v>
      </c>
      <c r="DA69" s="874" t="str">
        <f t="shared" si="163"/>
        <v/>
      </c>
      <c r="DB69" s="1310" t="str">
        <f t="shared" ref="DB69:DB85" si="199">IF(CD69="","",CD69+DA69+($EY$4*TAN(CY69)))</f>
        <v/>
      </c>
      <c r="DC69" s="1310" t="str">
        <f t="shared" si="164"/>
        <v/>
      </c>
      <c r="DD69" s="1311">
        <f t="shared" ref="DD69:DD85" si="200">IF(CD69="",0,IF(DC69/COS(EU69)&lt;0.0625,0,CEILING(DC69/COS(EU69)-0.03125,0.125)))</f>
        <v>0</v>
      </c>
      <c r="DE69" s="1310">
        <f t="shared" si="165"/>
        <v>0</v>
      </c>
      <c r="DF69" s="1312">
        <f t="shared" si="166"/>
        <v>0</v>
      </c>
      <c r="DG69" s="1312" t="str">
        <f t="shared" si="167"/>
        <v/>
      </c>
      <c r="DH69" s="1310" t="str">
        <f t="shared" ref="DH69:DH85" si="201">IF(CM69="","",CM69+DG69+($EY$4*TAN(DE69)))</f>
        <v/>
      </c>
      <c r="DI69" s="1310" t="str">
        <f t="shared" si="168"/>
        <v/>
      </c>
      <c r="DJ69" s="1311">
        <f t="shared" ref="DJ69:DJ85" si="202">IF(CM69="",0,IF(DI69/COS(EU69)&lt;0.0625,0,CEILING(DI69/COS(EU69)-0.03125,0.125)))</f>
        <v>0</v>
      </c>
      <c r="DK69" s="1310" t="str">
        <f t="shared" ref="DK69:DK85" si="203">IF(CV69="","",CEILING(CV69-DD69-DJ69-0.0625,0.125))</f>
        <v/>
      </c>
      <c r="DL69" s="1310" t="str">
        <f t="shared" ref="DL69:DL85" si="204">IF(AND(EG69="",CH69=""),"",IF(EG69="ERR","ERR",IF(ISNUMBER(EG69),(EG69/2)*-1,CH69)))</f>
        <v/>
      </c>
      <c r="DM69" s="1310" t="str">
        <f t="shared" si="169"/>
        <v/>
      </c>
      <c r="DN69" s="1310" t="str">
        <f t="shared" si="170"/>
        <v/>
      </c>
      <c r="DO69" s="889" t="str">
        <f t="shared" si="171"/>
        <v>ERR</v>
      </c>
      <c r="DP69" s="889" t="str">
        <f t="shared" si="172"/>
        <v>ERR</v>
      </c>
      <c r="DQ69" s="1310" t="str">
        <f t="shared" ref="DQ69:DQ85" si="205">IF(ISERROR(DM69),"ERR",IF(DM69="","",IF(DO69="ERR","ERR",CEILING(DO69-0.0625,0.125))))</f>
        <v/>
      </c>
      <c r="DR69" s="1310" t="str">
        <f t="shared" ref="DR69:DR85" si="206">IF(ISERROR(DN69),"ERR",IF(DN69="","",IF(DP69="ERR","ERR",CEILING(DP69-0.0625,0.125))))</f>
        <v/>
      </c>
      <c r="DS69" s="1310" t="str">
        <f t="shared" ref="DS69:DS85" si="207">IF(AND(EJ69="",CQ69=""),"",IF(EJ69="ERR","ERR",IF(ISNUMBER(EJ69),(EJ69/2)*-1,CQ69)))</f>
        <v/>
      </c>
      <c r="DT69" s="1310" t="str">
        <f t="shared" si="173"/>
        <v/>
      </c>
      <c r="DU69" s="1310" t="str">
        <f t="shared" si="174"/>
        <v/>
      </c>
      <c r="DV69" s="889" t="str">
        <f t="shared" si="175"/>
        <v>ERR</v>
      </c>
      <c r="DW69" s="889" t="str">
        <f t="shared" si="176"/>
        <v>ERR</v>
      </c>
      <c r="DX69" s="873" t="str">
        <f t="shared" ref="DX69:DX85" si="208">IF(ISERROR(DT69),"ERR",IF(DT69="","",IF(DV69="ERR","ERR",CEILING(DV69-0.0625,0.125))))</f>
        <v/>
      </c>
      <c r="DY69" s="873" t="str">
        <f t="shared" ref="DY69:DY85" si="209">IF(ISERROR(DU69),"ERR",IF(DU69="","",IF(DW69="ERR","ERR",CEILING(DW69-0.0625,0.125))))</f>
        <v/>
      </c>
      <c r="DZ69" s="873" t="str">
        <f>IF(CG69="","",IF((CD69-CG69)/COS(CU69)-FB69&lt;=-0.0625,CEILING((CD69-CG69)/COS(CU69)-FB69+0.0625,-0.125),IF((CD69-CG69)/COS(CU69)-FB69&gt;=0.0625,CEILING((CD69-CG69)/COS(CU69)-FB69-0.0625,0.125),0)))</f>
        <v/>
      </c>
      <c r="EA69" s="873" t="str">
        <f>IF(CP69="","",IF((CM69-CP69)/COS(CU69)-FC69&lt;=-0.0625,CEILING((CM69-CP69)/COS(CU69)-FC69+0.0625,-0.125),IF((CM69-CP69)/COS(CU69)-FC69&gt;=0.0625,CEILING((CM69-CP69)/COS(CU69)-FC69-0.0625,0.125),0)))</f>
        <v/>
      </c>
      <c r="EB69" s="876" t="str">
        <f t="shared" si="177"/>
        <v/>
      </c>
      <c r="EC69" s="877" t="str">
        <f t="shared" ref="EC69:EC85" si="210">IF(AND(DR69="",DY69=""),"",IF(OR(CI69=EB69,CR69=EB69),EB69,CI69))</f>
        <v/>
      </c>
      <c r="ED69" s="876" t="str">
        <f t="shared" si="178"/>
        <v/>
      </c>
      <c r="EE69" s="876" t="str">
        <f t="shared" si="179"/>
        <v/>
      </c>
      <c r="EF69" s="876" t="str">
        <f t="shared" si="180"/>
        <v/>
      </c>
      <c r="EG69" s="876" t="str">
        <f t="shared" si="181"/>
        <v/>
      </c>
      <c r="EH69" s="876" t="str">
        <f t="shared" si="182"/>
        <v/>
      </c>
      <c r="EI69" s="876" t="str">
        <f t="shared" si="183"/>
        <v/>
      </c>
      <c r="EJ69" s="876" t="str">
        <f t="shared" si="184"/>
        <v/>
      </c>
      <c r="EK69" s="874">
        <f t="shared" ref="EK69:EK85" si="211">IF(CK69="",0,ATAN(CK69/12))</f>
        <v>0</v>
      </c>
      <c r="EL69" s="874">
        <f t="shared" ref="EL69:EL85" si="212">CU69-EK69</f>
        <v>0</v>
      </c>
      <c r="EM69" s="874">
        <f t="shared" si="185"/>
        <v>0</v>
      </c>
      <c r="EN69" s="874" t="str">
        <f t="shared" si="186"/>
        <v/>
      </c>
      <c r="EO69" s="873" t="str">
        <f t="shared" ref="EO69:EO85" si="213">IF(CF69="","",CF69*TAN(EK69))</f>
        <v/>
      </c>
      <c r="EP69" s="874">
        <f t="shared" ref="EP69:EP85" si="214">IF(CT69="",0,ATAN(CT69/12))</f>
        <v>0</v>
      </c>
      <c r="EQ69" s="874">
        <f t="shared" ref="EQ69:EQ85" si="215">CU69+EP69</f>
        <v>0</v>
      </c>
      <c r="ER69" s="874">
        <f t="shared" si="187"/>
        <v>0</v>
      </c>
      <c r="ES69" s="874" t="str">
        <f t="shared" si="188"/>
        <v/>
      </c>
      <c r="ET69" s="873" t="str">
        <f t="shared" ref="ET69:ET85" si="216">IF(CO69="","",CO69*TAN(EP69))</f>
        <v/>
      </c>
      <c r="EU69" s="873">
        <f t="shared" si="189"/>
        <v>0</v>
      </c>
      <c r="EV69" s="876" t="e">
        <f t="shared" si="190"/>
        <v>#VALUE!</v>
      </c>
      <c r="EW69" s="876" t="e">
        <f t="shared" si="191"/>
        <v>#VALUE!</v>
      </c>
      <c r="EX69" s="942" t="str">
        <f t="shared" si="192"/>
        <v/>
      </c>
      <c r="EY69" s="879" t="e">
        <f t="shared" ref="EY69:EY85" si="217">TRUNC(IF(FA69&lt;1.03,25.667,IF(FA69&lt;1.2,29.667,IF(FA69&lt;1.79,33.583,IF(FA69&lt;2.3,37.75,IF(FA69&lt;3.76,42,IF(FA69&lt;4.76,50.167,IF(FA69&lt;8.45,58.167,"ERR"))))))))</f>
        <v>#DIV/0!</v>
      </c>
      <c r="EZ69" s="959" t="e">
        <f t="shared" si="193"/>
        <v>#DIV/0!</v>
      </c>
      <c r="FA69" s="960" t="e">
        <f t="shared" si="194"/>
        <v>#DIV/0!</v>
      </c>
      <c r="FB69" s="880" t="str">
        <f t="shared" si="195"/>
        <v/>
      </c>
      <c r="FC69" s="881" t="str">
        <f t="shared" si="196"/>
        <v/>
      </c>
      <c r="FD69" s="512">
        <f t="shared" si="197"/>
        <v>0</v>
      </c>
      <c r="FE69" s="513">
        <f t="shared" si="198"/>
        <v>0</v>
      </c>
      <c r="FF69" s="754" t="b">
        <f t="shared" si="123"/>
        <v>0</v>
      </c>
      <c r="FG69" s="754" t="b">
        <f t="shared" si="124"/>
        <v>0</v>
      </c>
      <c r="FH69" s="754" t="b">
        <f t="shared" si="125"/>
        <v>0</v>
      </c>
      <c r="FI69" s="917" t="b">
        <f t="shared" si="126"/>
        <v>0</v>
      </c>
      <c r="FJ69" s="920" t="str">
        <f t="shared" si="136"/>
        <v/>
      </c>
      <c r="FK69" s="919" t="str">
        <f t="shared" si="137"/>
        <v/>
      </c>
      <c r="FL69" s="320" t="e">
        <f t="shared" si="138"/>
        <v>#N/A</v>
      </c>
      <c r="FM69" s="312" t="str">
        <f t="shared" si="127"/>
        <v/>
      </c>
      <c r="FN69" s="272" t="str">
        <f t="shared" ca="1" si="139"/>
        <v/>
      </c>
      <c r="FO69" s="273" t="str">
        <f t="shared" ca="1" si="140"/>
        <v/>
      </c>
      <c r="FP69" s="274" t="str">
        <f t="shared" ca="1" si="141"/>
        <v/>
      </c>
      <c r="FQ69" s="274" t="str">
        <f t="shared" ca="1" si="142"/>
        <v/>
      </c>
      <c r="FR69" s="321">
        <f t="shared" ca="1" si="143"/>
        <v>0</v>
      </c>
      <c r="FS69" s="322">
        <f t="shared" ca="1" si="144"/>
        <v>0</v>
      </c>
      <c r="FT69" s="272" t="str">
        <f t="shared" ca="1" si="149"/>
        <v/>
      </c>
      <c r="FU69" s="275" t="str">
        <f t="shared" ca="1" si="150"/>
        <v/>
      </c>
      <c r="FV69" s="323" t="str">
        <f t="shared" ca="1" si="151"/>
        <v/>
      </c>
      <c r="FW69" s="276" t="str">
        <f t="shared" ca="1" si="145"/>
        <v/>
      </c>
      <c r="FX69" s="276" t="str">
        <f t="shared" ca="1" si="146"/>
        <v/>
      </c>
      <c r="FY69" s="276" t="str">
        <f t="shared" ca="1" si="152"/>
        <v/>
      </c>
      <c r="FZ69" s="276" t="str">
        <f t="shared" ca="1" si="147"/>
        <v/>
      </c>
      <c r="GA69" s="276" t="str">
        <f t="shared" ca="1" si="153"/>
        <v/>
      </c>
      <c r="GB69" s="277" t="str">
        <f ca="1">IF(FY69="","",2+SUM(FO69:OFFSET(FO69,(FU69-1)*-1,0)))</f>
        <v/>
      </c>
      <c r="GC69" s="316" t="e">
        <f t="shared" si="148"/>
        <v>#N/A</v>
      </c>
      <c r="GD69" s="324" t="str">
        <f t="shared" si="128"/>
        <v/>
      </c>
      <c r="GE69" s="325" t="str">
        <f t="shared" si="129"/>
        <v/>
      </c>
      <c r="GF69" s="278" t="str">
        <f t="shared" si="130"/>
        <v/>
      </c>
      <c r="GG69" s="279" t="str">
        <f t="shared" si="131"/>
        <v/>
      </c>
      <c r="GH69" s="279" t="str">
        <f t="shared" si="132"/>
        <v/>
      </c>
      <c r="GI69" s="280" t="str">
        <f t="shared" si="133"/>
        <v/>
      </c>
      <c r="GJ69" s="326">
        <f t="shared" ca="1" si="134"/>
        <v>0</v>
      </c>
      <c r="GK69" s="913" t="str">
        <f t="shared" ca="1" si="135"/>
        <v/>
      </c>
    </row>
    <row r="70" spans="78:196" ht="12.6" hidden="1" customHeight="1" x14ac:dyDescent="0.2">
      <c r="BZ70" s="293"/>
      <c r="CA70" s="293"/>
      <c r="CB70" s="365" t="str">
        <f t="shared" si="154"/>
        <v/>
      </c>
      <c r="CC70" s="1304"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55"/>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367" t="str">
        <f>IF(CQ30="","",IF(VLOOKUP(CQ30,SectInfo!$B:$N,7,FALSE)="","",(VLOOKUP(CQ30,SectInfo!$B:$N,7,FALSE)*-1)))</f>
        <v/>
      </c>
      <c r="CR70" s="367" t="str">
        <f>IF(CQ30="","",IF(VLOOKUP(CQ30,SectInfo!$B:$N,8,FALSE)="",$FC$4,(VLOOKUP(CQ30,SectInfo!$B:$N,8,FALSE))))</f>
        <v/>
      </c>
      <c r="CS70" s="367" t="str">
        <f>IF(CQ30="","",VLOOKUP(CQ30,SectInfo!$B:$N,9,FALSE))</f>
        <v/>
      </c>
      <c r="CT70" s="368">
        <f t="shared" si="156"/>
        <v>0</v>
      </c>
      <c r="CU70" s="369">
        <f t="shared" si="157"/>
        <v>0</v>
      </c>
      <c r="CV70" s="274" t="str">
        <f t="shared" si="158"/>
        <v/>
      </c>
      <c r="CW70" s="274" t="str">
        <f t="shared" si="159"/>
        <v/>
      </c>
      <c r="CX70" s="873" t="str">
        <f t="shared" si="160"/>
        <v/>
      </c>
      <c r="CY70" s="874">
        <f t="shared" si="161"/>
        <v>0</v>
      </c>
      <c r="CZ70" s="874">
        <f t="shared" si="162"/>
        <v>0</v>
      </c>
      <c r="DA70" s="874" t="str">
        <f t="shared" si="163"/>
        <v/>
      </c>
      <c r="DB70" s="1310" t="str">
        <f t="shared" si="199"/>
        <v/>
      </c>
      <c r="DC70" s="1310" t="str">
        <f t="shared" si="164"/>
        <v/>
      </c>
      <c r="DD70" s="1311">
        <f t="shared" si="200"/>
        <v>0</v>
      </c>
      <c r="DE70" s="1310">
        <f t="shared" si="165"/>
        <v>0</v>
      </c>
      <c r="DF70" s="1312">
        <f t="shared" si="166"/>
        <v>0</v>
      </c>
      <c r="DG70" s="1312" t="str">
        <f t="shared" si="167"/>
        <v/>
      </c>
      <c r="DH70" s="1310" t="str">
        <f t="shared" si="201"/>
        <v/>
      </c>
      <c r="DI70" s="1310" t="str">
        <f t="shared" si="168"/>
        <v/>
      </c>
      <c r="DJ70" s="1311">
        <f t="shared" si="202"/>
        <v>0</v>
      </c>
      <c r="DK70" s="1310" t="str">
        <f t="shared" si="203"/>
        <v/>
      </c>
      <c r="DL70" s="1310" t="str">
        <f t="shared" si="204"/>
        <v/>
      </c>
      <c r="DM70" s="1310" t="str">
        <f t="shared" si="169"/>
        <v/>
      </c>
      <c r="DN70" s="1310" t="str">
        <f t="shared" si="170"/>
        <v/>
      </c>
      <c r="DO70" s="889" t="str">
        <f t="shared" si="171"/>
        <v>ERR</v>
      </c>
      <c r="DP70" s="889" t="str">
        <f t="shared" si="172"/>
        <v>ERR</v>
      </c>
      <c r="DQ70" s="1310" t="str">
        <f t="shared" si="205"/>
        <v/>
      </c>
      <c r="DR70" s="1310" t="str">
        <f t="shared" si="206"/>
        <v/>
      </c>
      <c r="DS70" s="1310" t="str">
        <f t="shared" si="207"/>
        <v/>
      </c>
      <c r="DT70" s="1310" t="str">
        <f t="shared" si="173"/>
        <v/>
      </c>
      <c r="DU70" s="1310" t="str">
        <f t="shared" si="174"/>
        <v/>
      </c>
      <c r="DV70" s="889" t="str">
        <f t="shared" si="175"/>
        <v>ERR</v>
      </c>
      <c r="DW70" s="889" t="str">
        <f t="shared" si="176"/>
        <v>ERR</v>
      </c>
      <c r="DX70" s="873" t="str">
        <f t="shared" si="208"/>
        <v/>
      </c>
      <c r="DY70" s="873" t="str">
        <f t="shared" si="209"/>
        <v/>
      </c>
      <c r="DZ70" s="873" t="str">
        <f>IF(CG70="","",IF((CD70-CG70)/COS(CU70)-FB70&lt;=-0.0625,CEILING((CD70-CG70)/COS(CU70)-FB70+0.0625,-0.125),IF((CD70-CG70)/COS(CU70)-FB70&gt;=0.0625,CEILING((CD70-CG70)/COS(CU70)-FB70-0.0625,0.125),0)))</f>
        <v/>
      </c>
      <c r="EA70" s="873" t="str">
        <f>IF(CP70="","",IF((CM70-CP70)/COS(CU70)-FC70&lt;=-0.0625,CEILING((CM70-CP70)/COS(CU70)-FC70+0.0625,-0.125),IF((CM70-CP70)/COS(CU70)-FC70&gt;=0.0625,CEILING((CM70-CP70)/COS(CU70)-FC70-0.0625,0.125),0)))</f>
        <v/>
      </c>
      <c r="EB70" s="876" t="str">
        <f t="shared" si="177"/>
        <v/>
      </c>
      <c r="EC70" s="877" t="str">
        <f t="shared" si="210"/>
        <v/>
      </c>
      <c r="ED70" s="876" t="str">
        <f t="shared" si="178"/>
        <v/>
      </c>
      <c r="EE70" s="876" t="str">
        <f t="shared" si="179"/>
        <v/>
      </c>
      <c r="EF70" s="876" t="str">
        <f t="shared" si="180"/>
        <v/>
      </c>
      <c r="EG70" s="876" t="str">
        <f t="shared" si="181"/>
        <v/>
      </c>
      <c r="EH70" s="876" t="str">
        <f t="shared" si="182"/>
        <v/>
      </c>
      <c r="EI70" s="876" t="str">
        <f t="shared" si="183"/>
        <v/>
      </c>
      <c r="EJ70" s="876" t="str">
        <f t="shared" si="184"/>
        <v/>
      </c>
      <c r="EK70" s="874">
        <f>IF(CK70="",0,ATAN(CK70/12))</f>
        <v>0</v>
      </c>
      <c r="EL70" s="874">
        <f t="shared" si="212"/>
        <v>0</v>
      </c>
      <c r="EM70" s="874">
        <f t="shared" si="185"/>
        <v>0</v>
      </c>
      <c r="EN70" s="874" t="str">
        <f t="shared" si="186"/>
        <v/>
      </c>
      <c r="EO70" s="873" t="str">
        <f t="shared" si="213"/>
        <v/>
      </c>
      <c r="EP70" s="874">
        <f t="shared" si="214"/>
        <v>0</v>
      </c>
      <c r="EQ70" s="874">
        <f t="shared" si="215"/>
        <v>0</v>
      </c>
      <c r="ER70" s="874">
        <f t="shared" si="187"/>
        <v>0</v>
      </c>
      <c r="ES70" s="874" t="str">
        <f t="shared" si="188"/>
        <v/>
      </c>
      <c r="ET70" s="873" t="str">
        <f t="shared" si="216"/>
        <v/>
      </c>
      <c r="EU70" s="873">
        <f t="shared" si="189"/>
        <v>0</v>
      </c>
      <c r="EV70" s="876" t="e">
        <f t="shared" si="190"/>
        <v>#VALUE!</v>
      </c>
      <c r="EW70" s="876" t="e">
        <f t="shared" si="191"/>
        <v>#VALUE!</v>
      </c>
      <c r="EX70" s="942" t="str">
        <f t="shared" si="192"/>
        <v/>
      </c>
      <c r="EY70" s="879" t="e">
        <f t="shared" si="217"/>
        <v>#DIV/0!</v>
      </c>
      <c r="EZ70" s="959" t="e">
        <f t="shared" si="193"/>
        <v>#DIV/0!</v>
      </c>
      <c r="FA70" s="960" t="e">
        <f t="shared" si="194"/>
        <v>#DIV/0!</v>
      </c>
      <c r="FB70" s="880" t="str">
        <f t="shared" si="195"/>
        <v/>
      </c>
      <c r="FC70" s="881" t="str">
        <f t="shared" si="196"/>
        <v/>
      </c>
      <c r="FD70" s="512">
        <f t="shared" si="197"/>
        <v>0</v>
      </c>
      <c r="FE70" s="513">
        <f t="shared" si="198"/>
        <v>0</v>
      </c>
      <c r="FF70" s="755" t="b">
        <f t="shared" si="123"/>
        <v>0</v>
      </c>
      <c r="FG70" s="755" t="b">
        <f t="shared" si="124"/>
        <v>0</v>
      </c>
      <c r="FH70" s="755" t="b">
        <f t="shared" si="125"/>
        <v>0</v>
      </c>
      <c r="FI70" s="918" t="b">
        <f t="shared" si="126"/>
        <v>0</v>
      </c>
      <c r="FJ70" s="920" t="str">
        <f t="shared" si="136"/>
        <v/>
      </c>
      <c r="FK70" s="919" t="str">
        <f t="shared" si="137"/>
        <v/>
      </c>
      <c r="FL70" s="320" t="e">
        <f t="shared" si="138"/>
        <v>#N/A</v>
      </c>
      <c r="FM70" s="312" t="str">
        <f t="shared" si="127"/>
        <v/>
      </c>
      <c r="FN70" s="272" t="str">
        <f t="shared" ca="1" si="139"/>
        <v/>
      </c>
      <c r="FO70" s="273" t="str">
        <f t="shared" ca="1" si="140"/>
        <v/>
      </c>
      <c r="FP70" s="274" t="str">
        <f t="shared" ca="1" si="141"/>
        <v/>
      </c>
      <c r="FQ70" s="274" t="str">
        <f t="shared" ca="1" si="142"/>
        <v/>
      </c>
      <c r="FR70" s="321">
        <f t="shared" ca="1" si="143"/>
        <v>0</v>
      </c>
      <c r="FS70" s="322">
        <f t="shared" ca="1" si="144"/>
        <v>0</v>
      </c>
      <c r="FT70" s="272" t="str">
        <f t="shared" ca="1" si="149"/>
        <v/>
      </c>
      <c r="FU70" s="275" t="str">
        <f t="shared" ca="1" si="150"/>
        <v/>
      </c>
      <c r="FV70" s="323" t="str">
        <f t="shared" ca="1" si="151"/>
        <v/>
      </c>
      <c r="FW70" s="276" t="str">
        <f t="shared" ca="1" si="145"/>
        <v/>
      </c>
      <c r="FX70" s="276" t="str">
        <f t="shared" ca="1" si="146"/>
        <v/>
      </c>
      <c r="FY70" s="276" t="str">
        <f t="shared" ca="1" si="152"/>
        <v/>
      </c>
      <c r="FZ70" s="276" t="str">
        <f t="shared" ca="1" si="147"/>
        <v/>
      </c>
      <c r="GA70" s="276" t="str">
        <f t="shared" ca="1" si="153"/>
        <v/>
      </c>
      <c r="GB70" s="277" t="str">
        <f ca="1">IF(FY70="","",2+SUM(FO70:OFFSET(FO70,(FU70-1)*-1,0)))</f>
        <v/>
      </c>
      <c r="GC70" s="316" t="e">
        <f t="shared" si="148"/>
        <v>#N/A</v>
      </c>
      <c r="GD70" s="324" t="str">
        <f>IF(ISBLANK(DT30),"",MAX(0,DT30+VLOOKUP(FK70,$CB$54:$CD$85,3,FALSE)))</f>
        <v/>
      </c>
      <c r="GE70" s="325" t="str">
        <f>IF(ISBLANK(DU30),"",MAX(0,DU30+VLOOKUP(FK70,$CB$54:$CM$85,12,FALSE)))</f>
        <v/>
      </c>
      <c r="GF70" s="278" t="str">
        <f t="shared" si="130"/>
        <v/>
      </c>
      <c r="GG70" s="279" t="str">
        <f t="shared" si="131"/>
        <v/>
      </c>
      <c r="GH70" s="279" t="str">
        <f t="shared" si="132"/>
        <v/>
      </c>
      <c r="GI70" s="280" t="str">
        <f t="shared" si="133"/>
        <v/>
      </c>
      <c r="GJ70" s="326">
        <f t="shared" ca="1" si="134"/>
        <v>0</v>
      </c>
      <c r="GK70" s="913" t="str">
        <f t="shared" ca="1" si="135"/>
        <v/>
      </c>
      <c r="GN70" s="1403" t="s">
        <v>1257</v>
      </c>
    </row>
    <row r="71" spans="78:196" ht="12.6" hidden="1" customHeight="1" x14ac:dyDescent="0.2">
      <c r="BZ71" s="293"/>
      <c r="CA71" s="293"/>
      <c r="CB71" s="365" t="str">
        <f t="shared" si="154"/>
        <v/>
      </c>
      <c r="CC71" s="1304"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55"/>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367" t="str">
        <f>IF(CQ31="","",IF(VLOOKUP(CQ31,SectInfo!$B:$N,7,FALSE)="","",(VLOOKUP(CQ31,SectInfo!$B:$N,7,FALSE)*-1)))</f>
        <v/>
      </c>
      <c r="CR71" s="367" t="str">
        <f>IF(CQ31="","",IF(VLOOKUP(CQ31,SectInfo!$B:$N,8,FALSE)="",$FC$4,(VLOOKUP(CQ31,SectInfo!$B:$N,8,FALSE))))</f>
        <v/>
      </c>
      <c r="CS71" s="367" t="str">
        <f>IF(CQ31="","",VLOOKUP(CQ31,SectInfo!$B:$N,9,FALSE))</f>
        <v/>
      </c>
      <c r="CT71" s="368">
        <f t="shared" si="156"/>
        <v>0</v>
      </c>
      <c r="CU71" s="369">
        <f t="shared" si="157"/>
        <v>0</v>
      </c>
      <c r="CV71" s="274" t="str">
        <f t="shared" si="158"/>
        <v/>
      </c>
      <c r="CW71" s="274" t="str">
        <f t="shared" si="159"/>
        <v/>
      </c>
      <c r="CX71" s="873" t="str">
        <f t="shared" si="160"/>
        <v/>
      </c>
      <c r="CY71" s="874">
        <f t="shared" si="161"/>
        <v>0</v>
      </c>
      <c r="CZ71" s="874">
        <f t="shared" si="162"/>
        <v>0</v>
      </c>
      <c r="DA71" s="874" t="str">
        <f t="shared" si="163"/>
        <v/>
      </c>
      <c r="DB71" s="1310" t="str">
        <f t="shared" si="199"/>
        <v/>
      </c>
      <c r="DC71" s="1310" t="str">
        <f t="shared" si="164"/>
        <v/>
      </c>
      <c r="DD71" s="1311">
        <f t="shared" si="200"/>
        <v>0</v>
      </c>
      <c r="DE71" s="1310">
        <f t="shared" si="165"/>
        <v>0</v>
      </c>
      <c r="DF71" s="1312">
        <f t="shared" si="166"/>
        <v>0</v>
      </c>
      <c r="DG71" s="1312" t="str">
        <f t="shared" si="167"/>
        <v/>
      </c>
      <c r="DH71" s="1310" t="str">
        <f t="shared" si="201"/>
        <v/>
      </c>
      <c r="DI71" s="1310" t="str">
        <f t="shared" si="168"/>
        <v/>
      </c>
      <c r="DJ71" s="1311">
        <f t="shared" si="202"/>
        <v>0</v>
      </c>
      <c r="DK71" s="1310" t="str">
        <f t="shared" si="203"/>
        <v/>
      </c>
      <c r="DL71" s="1310" t="str">
        <f t="shared" si="204"/>
        <v/>
      </c>
      <c r="DM71" s="1310" t="str">
        <f t="shared" si="169"/>
        <v/>
      </c>
      <c r="DN71" s="1310" t="str">
        <f t="shared" si="170"/>
        <v/>
      </c>
      <c r="DO71" s="889" t="str">
        <f t="shared" si="171"/>
        <v>ERR</v>
      </c>
      <c r="DP71" s="889" t="str">
        <f t="shared" si="172"/>
        <v>ERR</v>
      </c>
      <c r="DQ71" s="1310" t="str">
        <f t="shared" si="205"/>
        <v/>
      </c>
      <c r="DR71" s="1310" t="str">
        <f t="shared" si="206"/>
        <v/>
      </c>
      <c r="DS71" s="1310" t="str">
        <f t="shared" si="207"/>
        <v/>
      </c>
      <c r="DT71" s="1310" t="str">
        <f t="shared" si="173"/>
        <v/>
      </c>
      <c r="DU71" s="1310" t="str">
        <f t="shared" si="174"/>
        <v/>
      </c>
      <c r="DV71" s="889" t="str">
        <f t="shared" si="175"/>
        <v>ERR</v>
      </c>
      <c r="DW71" s="889" t="str">
        <f t="shared" si="176"/>
        <v>ERR</v>
      </c>
      <c r="DX71" s="873" t="str">
        <f t="shared" si="208"/>
        <v/>
      </c>
      <c r="DY71" s="873" t="str">
        <f t="shared" si="209"/>
        <v/>
      </c>
      <c r="DZ71" s="873" t="str">
        <f>IF(CG71="","",IF((CD71-CG71)/COS(CU71)-FB71&lt;=-0.0625,CEILING((CD71-CG71)/COS(CU71)-FB71+0.0625,-0.125),IF((CD71-CG71)/COS(CU71)-FB71&gt;=0.0625,CEILING((CD71-CG71)/COS(CU71)-FB71-0.0625,0.125),0)))</f>
        <v/>
      </c>
      <c r="EA71" s="873" t="str">
        <f>IF(CP71="","",IF((CM71-CP71)/COS(CU71)-FC71&lt;=-0.0625,CEILING((CM71-CP71)/COS(CU71)-FC71+0.0625,-0.125),IF((CM71-CP71)/COS(CU71)-FC71&gt;=0.0625,CEILING((CM71-CP71)/COS(CU71)-FC71-0.0625,0.125),0)))</f>
        <v/>
      </c>
      <c r="EB71" s="876" t="str">
        <f t="shared" si="177"/>
        <v/>
      </c>
      <c r="EC71" s="877" t="str">
        <f t="shared" si="210"/>
        <v/>
      </c>
      <c r="ED71" s="876" t="str">
        <f t="shared" si="178"/>
        <v/>
      </c>
      <c r="EE71" s="876" t="str">
        <f t="shared" si="179"/>
        <v/>
      </c>
      <c r="EF71" s="876" t="str">
        <f t="shared" si="180"/>
        <v/>
      </c>
      <c r="EG71" s="876" t="str">
        <f t="shared" si="181"/>
        <v/>
      </c>
      <c r="EH71" s="876" t="str">
        <f t="shared" si="182"/>
        <v/>
      </c>
      <c r="EI71" s="876" t="str">
        <f t="shared" si="183"/>
        <v/>
      </c>
      <c r="EJ71" s="876" t="str">
        <f t="shared" si="184"/>
        <v/>
      </c>
      <c r="EK71" s="874">
        <f t="shared" si="211"/>
        <v>0</v>
      </c>
      <c r="EL71" s="874">
        <f t="shared" si="212"/>
        <v>0</v>
      </c>
      <c r="EM71" s="874">
        <f t="shared" si="185"/>
        <v>0</v>
      </c>
      <c r="EN71" s="874" t="str">
        <f t="shared" si="186"/>
        <v/>
      </c>
      <c r="EO71" s="873" t="str">
        <f t="shared" si="213"/>
        <v/>
      </c>
      <c r="EP71" s="874">
        <f t="shared" si="214"/>
        <v>0</v>
      </c>
      <c r="EQ71" s="874">
        <f t="shared" si="215"/>
        <v>0</v>
      </c>
      <c r="ER71" s="874">
        <f t="shared" si="187"/>
        <v>0</v>
      </c>
      <c r="ES71" s="874" t="str">
        <f t="shared" si="188"/>
        <v/>
      </c>
      <c r="ET71" s="873" t="str">
        <f t="shared" si="216"/>
        <v/>
      </c>
      <c r="EU71" s="873">
        <f t="shared" si="189"/>
        <v>0</v>
      </c>
      <c r="EV71" s="876" t="e">
        <f t="shared" si="190"/>
        <v>#VALUE!</v>
      </c>
      <c r="EW71" s="876" t="e">
        <f t="shared" si="191"/>
        <v>#VALUE!</v>
      </c>
      <c r="EX71" s="942" t="str">
        <f t="shared" si="192"/>
        <v/>
      </c>
      <c r="EY71" s="879" t="e">
        <f t="shared" si="217"/>
        <v>#DIV/0!</v>
      </c>
      <c r="EZ71" s="959" t="e">
        <f t="shared" si="193"/>
        <v>#DIV/0!</v>
      </c>
      <c r="FA71" s="960" t="e">
        <f t="shared" si="194"/>
        <v>#DIV/0!</v>
      </c>
      <c r="FB71" s="880" t="str">
        <f t="shared" si="195"/>
        <v/>
      </c>
      <c r="FC71" s="881" t="str">
        <f t="shared" si="196"/>
        <v/>
      </c>
      <c r="FD71" s="512">
        <f t="shared" si="197"/>
        <v>0</v>
      </c>
      <c r="FE71" s="513">
        <f t="shared" si="198"/>
        <v>0</v>
      </c>
      <c r="FF71" s="755" t="b">
        <f t="shared" si="123"/>
        <v>0</v>
      </c>
      <c r="FG71" s="755" t="b">
        <f t="shared" si="124"/>
        <v>0</v>
      </c>
      <c r="FH71" s="755" t="b">
        <f t="shared" si="125"/>
        <v>0</v>
      </c>
      <c r="FI71" s="918" t="b">
        <f t="shared" si="126"/>
        <v>0</v>
      </c>
      <c r="FJ71" s="920" t="str">
        <f t="shared" si="136"/>
        <v/>
      </c>
      <c r="FK71" s="919" t="str">
        <f t="shared" si="137"/>
        <v/>
      </c>
      <c r="FL71" s="320" t="e">
        <f t="shared" si="138"/>
        <v>#N/A</v>
      </c>
      <c r="FM71" s="312" t="str">
        <f t="shared" si="127"/>
        <v/>
      </c>
      <c r="FN71" s="272" t="str">
        <f t="shared" ca="1" si="139"/>
        <v/>
      </c>
      <c r="FO71" s="273" t="str">
        <f t="shared" ca="1" si="140"/>
        <v/>
      </c>
      <c r="FP71" s="274" t="str">
        <f t="shared" ca="1" si="141"/>
        <v/>
      </c>
      <c r="FQ71" s="274" t="str">
        <f t="shared" ca="1" si="142"/>
        <v/>
      </c>
      <c r="FR71" s="321">
        <f t="shared" ca="1" si="143"/>
        <v>0</v>
      </c>
      <c r="FS71" s="322">
        <f t="shared" ca="1" si="144"/>
        <v>0</v>
      </c>
      <c r="FT71" s="272" t="str">
        <f t="shared" ca="1" si="149"/>
        <v/>
      </c>
      <c r="FU71" s="275" t="str">
        <f t="shared" ca="1" si="150"/>
        <v/>
      </c>
      <c r="FV71" s="323" t="str">
        <f t="shared" ca="1" si="151"/>
        <v/>
      </c>
      <c r="FW71" s="276" t="str">
        <f t="shared" ca="1" si="145"/>
        <v/>
      </c>
      <c r="FX71" s="276" t="str">
        <f t="shared" ca="1" si="146"/>
        <v/>
      </c>
      <c r="FY71" s="276" t="str">
        <f t="shared" ca="1" si="152"/>
        <v/>
      </c>
      <c r="FZ71" s="276" t="str">
        <f t="shared" ca="1" si="147"/>
        <v/>
      </c>
      <c r="GA71" s="276" t="str">
        <f t="shared" ca="1" si="153"/>
        <v/>
      </c>
      <c r="GB71" s="277" t="str">
        <f ca="1">IF(FY71="","",2+SUM(FO71:OFFSET(FO71,(FU71-1)*-1,0)))</f>
        <v/>
      </c>
      <c r="GC71" s="316" t="e">
        <f t="shared" si="148"/>
        <v>#N/A</v>
      </c>
      <c r="GD71" s="324" t="str">
        <f t="shared" si="128"/>
        <v/>
      </c>
      <c r="GE71" s="325" t="str">
        <f t="shared" si="129"/>
        <v/>
      </c>
      <c r="GF71" s="278" t="str">
        <f t="shared" si="130"/>
        <v/>
      </c>
      <c r="GG71" s="279" t="str">
        <f t="shared" si="131"/>
        <v/>
      </c>
      <c r="GH71" s="279" t="str">
        <f t="shared" si="132"/>
        <v/>
      </c>
      <c r="GI71" s="280" t="str">
        <f t="shared" si="133"/>
        <v/>
      </c>
      <c r="GJ71" s="326">
        <f t="shared" ca="1" si="134"/>
        <v>0</v>
      </c>
      <c r="GK71" s="913" t="str">
        <f t="shared" ca="1" si="135"/>
        <v/>
      </c>
    </row>
    <row r="72" spans="78:196" ht="12.6" hidden="1" customHeight="1" x14ac:dyDescent="0.2">
      <c r="BZ72" s="293"/>
      <c r="CA72" s="293"/>
      <c r="CB72" s="365" t="str">
        <f t="shared" si="154"/>
        <v/>
      </c>
      <c r="CC72" s="1304"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55"/>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367" t="str">
        <f>IF(CQ32="","",IF(VLOOKUP(CQ32,SectInfo!$B:$N,7,FALSE)="","",(VLOOKUP(CQ32,SectInfo!$B:$N,7,FALSE)*-1)))</f>
        <v/>
      </c>
      <c r="CR72" s="367" t="str">
        <f>IF(CQ32="","",IF(VLOOKUP(CQ32,SectInfo!$B:$N,8,FALSE)="",$FC$4,(VLOOKUP(CQ32,SectInfo!$B:$N,8,FALSE))))</f>
        <v/>
      </c>
      <c r="CS72" s="367" t="str">
        <f>IF(CQ32="","",VLOOKUP(CQ32,SectInfo!$B:$N,9,FALSE))</f>
        <v/>
      </c>
      <c r="CT72" s="368">
        <f t="shared" si="156"/>
        <v>0</v>
      </c>
      <c r="CU72" s="369">
        <f t="shared" si="157"/>
        <v>0</v>
      </c>
      <c r="CV72" s="274" t="str">
        <f t="shared" si="158"/>
        <v/>
      </c>
      <c r="CW72" s="274" t="str">
        <f t="shared" si="159"/>
        <v/>
      </c>
      <c r="CX72" s="873" t="str">
        <f t="shared" si="160"/>
        <v/>
      </c>
      <c r="CY72" s="874">
        <f t="shared" si="161"/>
        <v>0</v>
      </c>
      <c r="CZ72" s="874">
        <f t="shared" si="162"/>
        <v>0</v>
      </c>
      <c r="DA72" s="874" t="str">
        <f t="shared" si="163"/>
        <v/>
      </c>
      <c r="DB72" s="1310" t="str">
        <f t="shared" si="199"/>
        <v/>
      </c>
      <c r="DC72" s="1310" t="str">
        <f t="shared" si="164"/>
        <v/>
      </c>
      <c r="DD72" s="1311">
        <f t="shared" si="200"/>
        <v>0</v>
      </c>
      <c r="DE72" s="1310">
        <f t="shared" si="165"/>
        <v>0</v>
      </c>
      <c r="DF72" s="1312">
        <f t="shared" si="166"/>
        <v>0</v>
      </c>
      <c r="DG72" s="1312" t="str">
        <f t="shared" si="167"/>
        <v/>
      </c>
      <c r="DH72" s="1310" t="str">
        <f t="shared" si="201"/>
        <v/>
      </c>
      <c r="DI72" s="1310" t="str">
        <f t="shared" si="168"/>
        <v/>
      </c>
      <c r="DJ72" s="1311">
        <f t="shared" si="202"/>
        <v>0</v>
      </c>
      <c r="DK72" s="1310" t="str">
        <f t="shared" si="203"/>
        <v/>
      </c>
      <c r="DL72" s="1310" t="str">
        <f t="shared" si="204"/>
        <v/>
      </c>
      <c r="DM72" s="1310" t="str">
        <f t="shared" si="169"/>
        <v/>
      </c>
      <c r="DN72" s="1310" t="str">
        <f t="shared" si="170"/>
        <v/>
      </c>
      <c r="DO72" s="889" t="str">
        <f t="shared" si="171"/>
        <v>ERR</v>
      </c>
      <c r="DP72" s="889" t="str">
        <f t="shared" si="172"/>
        <v>ERR</v>
      </c>
      <c r="DQ72" s="1310" t="str">
        <f t="shared" si="205"/>
        <v/>
      </c>
      <c r="DR72" s="1310" t="str">
        <f t="shared" si="206"/>
        <v/>
      </c>
      <c r="DS72" s="1310" t="str">
        <f t="shared" si="207"/>
        <v/>
      </c>
      <c r="DT72" s="1310" t="str">
        <f t="shared" si="173"/>
        <v/>
      </c>
      <c r="DU72" s="1310" t="str">
        <f t="shared" si="174"/>
        <v/>
      </c>
      <c r="DV72" s="889" t="str">
        <f t="shared" si="175"/>
        <v>ERR</v>
      </c>
      <c r="DW72" s="889" t="str">
        <f t="shared" si="176"/>
        <v>ERR</v>
      </c>
      <c r="DX72" s="873" t="str">
        <f t="shared" si="208"/>
        <v/>
      </c>
      <c r="DY72" s="873" t="str">
        <f t="shared" si="209"/>
        <v/>
      </c>
      <c r="DZ72" s="873" t="str">
        <f>IF(CG72="","",IF((CD72-CG72)/COS(CU72)-FB72&lt;=-0.0625,CEILING((CD72-CG72)/COS(CU72)-FB72+0.0625,-0.125),IF((CD72-CG72)/COS(CU72)-FB72&gt;=0.0625,CEILING((CD72-CG72)/COS(CU72)-FB72-0.0625,0.125),0)))</f>
        <v/>
      </c>
      <c r="EA72" s="873" t="str">
        <f>IF(CP72="","",IF((CM72-CP72)/COS(CU72)-FC72&lt;=-0.0625,CEILING((CM72-CP72)/COS(CU72)-FC72+0.0625,-0.125),IF((CM72-CP72)/COS(CU72)-FC72&gt;=0.0625,CEILING((CM72-CP72)/COS(CU72)-FC72-0.0625,0.125),0)))</f>
        <v/>
      </c>
      <c r="EB72" s="876" t="str">
        <f t="shared" si="177"/>
        <v/>
      </c>
      <c r="EC72" s="877" t="str">
        <f t="shared" si="210"/>
        <v/>
      </c>
      <c r="ED72" s="876" t="str">
        <f t="shared" si="178"/>
        <v/>
      </c>
      <c r="EE72" s="876" t="str">
        <f t="shared" si="179"/>
        <v/>
      </c>
      <c r="EF72" s="876" t="str">
        <f t="shared" si="180"/>
        <v/>
      </c>
      <c r="EG72" s="876" t="str">
        <f t="shared" si="181"/>
        <v/>
      </c>
      <c r="EH72" s="876" t="str">
        <f t="shared" si="182"/>
        <v/>
      </c>
      <c r="EI72" s="876" t="str">
        <f t="shared" si="183"/>
        <v/>
      </c>
      <c r="EJ72" s="876" t="str">
        <f t="shared" si="184"/>
        <v/>
      </c>
      <c r="EK72" s="874">
        <f t="shared" si="211"/>
        <v>0</v>
      </c>
      <c r="EL72" s="874">
        <f t="shared" si="212"/>
        <v>0</v>
      </c>
      <c r="EM72" s="874">
        <f t="shared" si="185"/>
        <v>0</v>
      </c>
      <c r="EN72" s="874" t="str">
        <f t="shared" si="186"/>
        <v/>
      </c>
      <c r="EO72" s="873" t="str">
        <f t="shared" si="213"/>
        <v/>
      </c>
      <c r="EP72" s="874">
        <f t="shared" si="214"/>
        <v>0</v>
      </c>
      <c r="EQ72" s="874">
        <f t="shared" si="215"/>
        <v>0</v>
      </c>
      <c r="ER72" s="874">
        <f t="shared" si="187"/>
        <v>0</v>
      </c>
      <c r="ES72" s="874" t="str">
        <f t="shared" si="188"/>
        <v/>
      </c>
      <c r="ET72" s="873" t="str">
        <f t="shared" si="216"/>
        <v/>
      </c>
      <c r="EU72" s="873">
        <f t="shared" si="189"/>
        <v>0</v>
      </c>
      <c r="EV72" s="876" t="e">
        <f t="shared" si="190"/>
        <v>#VALUE!</v>
      </c>
      <c r="EW72" s="876" t="e">
        <f t="shared" si="191"/>
        <v>#VALUE!</v>
      </c>
      <c r="EX72" s="942" t="str">
        <f t="shared" si="192"/>
        <v/>
      </c>
      <c r="EY72" s="879" t="e">
        <f t="shared" si="217"/>
        <v>#DIV/0!</v>
      </c>
      <c r="EZ72" s="959" t="e">
        <f t="shared" si="193"/>
        <v>#DIV/0!</v>
      </c>
      <c r="FA72" s="960" t="e">
        <f t="shared" si="194"/>
        <v>#DIV/0!</v>
      </c>
      <c r="FB72" s="880" t="str">
        <f t="shared" si="195"/>
        <v/>
      </c>
      <c r="FC72" s="881" t="str">
        <f t="shared" si="196"/>
        <v/>
      </c>
      <c r="FD72" s="512">
        <f t="shared" si="197"/>
        <v>0</v>
      </c>
      <c r="FE72" s="513">
        <f t="shared" si="198"/>
        <v>0</v>
      </c>
      <c r="FF72" s="754" t="b">
        <f t="shared" si="123"/>
        <v>0</v>
      </c>
      <c r="FG72" s="754" t="b">
        <f t="shared" si="124"/>
        <v>0</v>
      </c>
      <c r="FH72" s="754" t="b">
        <f t="shared" si="125"/>
        <v>0</v>
      </c>
      <c r="FI72" s="917" t="b">
        <f t="shared" si="126"/>
        <v>0</v>
      </c>
      <c r="FJ72" s="920" t="str">
        <f t="shared" si="136"/>
        <v/>
      </c>
      <c r="FK72" s="919" t="str">
        <f t="shared" si="137"/>
        <v/>
      </c>
      <c r="FL72" s="320" t="e">
        <f t="shared" si="138"/>
        <v>#N/A</v>
      </c>
      <c r="FM72" s="312" t="str">
        <f t="shared" si="127"/>
        <v/>
      </c>
      <c r="FN72" s="272" t="str">
        <f t="shared" ca="1" si="139"/>
        <v/>
      </c>
      <c r="FO72" s="273" t="str">
        <f t="shared" ca="1" si="140"/>
        <v/>
      </c>
      <c r="FP72" s="274" t="str">
        <f t="shared" ca="1" si="141"/>
        <v/>
      </c>
      <c r="FQ72" s="274" t="str">
        <f t="shared" ca="1" si="142"/>
        <v/>
      </c>
      <c r="FR72" s="321">
        <f t="shared" ca="1" si="143"/>
        <v>0</v>
      </c>
      <c r="FS72" s="322">
        <f t="shared" ca="1" si="144"/>
        <v>0</v>
      </c>
      <c r="FT72" s="272" t="str">
        <f t="shared" ca="1" si="149"/>
        <v/>
      </c>
      <c r="FU72" s="275" t="str">
        <f t="shared" ca="1" si="150"/>
        <v/>
      </c>
      <c r="FV72" s="323" t="str">
        <f t="shared" ca="1" si="151"/>
        <v/>
      </c>
      <c r="FW72" s="276" t="str">
        <f t="shared" ca="1" si="145"/>
        <v/>
      </c>
      <c r="FX72" s="276" t="str">
        <f t="shared" ca="1" si="146"/>
        <v/>
      </c>
      <c r="FY72" s="276" t="str">
        <f t="shared" ca="1" si="152"/>
        <v/>
      </c>
      <c r="FZ72" s="276" t="str">
        <f t="shared" ca="1" si="147"/>
        <v/>
      </c>
      <c r="GA72" s="276" t="str">
        <f t="shared" ca="1" si="153"/>
        <v/>
      </c>
      <c r="GB72" s="277" t="str">
        <f ca="1">IF(FY72="","",2+SUM(FO72:OFFSET(FO72,(FU72-1)*-1,0)))</f>
        <v/>
      </c>
      <c r="GC72" s="316" t="e">
        <f t="shared" si="148"/>
        <v>#N/A</v>
      </c>
      <c r="GD72" s="324" t="str">
        <f t="shared" si="128"/>
        <v/>
      </c>
      <c r="GE72" s="325" t="str">
        <f t="shared" si="129"/>
        <v/>
      </c>
      <c r="GF72" s="278" t="str">
        <f t="shared" si="130"/>
        <v/>
      </c>
      <c r="GG72" s="279" t="str">
        <f t="shared" si="131"/>
        <v/>
      </c>
      <c r="GH72" s="279" t="str">
        <f t="shared" si="132"/>
        <v/>
      </c>
      <c r="GI72" s="280" t="str">
        <f t="shared" si="133"/>
        <v/>
      </c>
      <c r="GJ72" s="326">
        <f t="shared" ca="1" si="134"/>
        <v>0</v>
      </c>
      <c r="GK72" s="913" t="str">
        <f t="shared" ca="1" si="135"/>
        <v/>
      </c>
    </row>
    <row r="73" spans="78:196" ht="12.6" hidden="1" customHeight="1" x14ac:dyDescent="0.2">
      <c r="BZ73" s="293"/>
      <c r="CA73" s="293"/>
      <c r="CB73" s="365" t="str">
        <f t="shared" si="154"/>
        <v/>
      </c>
      <c r="CC73" s="1304"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55"/>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367" t="str">
        <f>IF(CQ33="","",IF(VLOOKUP(CQ33,SectInfo!$B:$N,7,FALSE)="","",(VLOOKUP(CQ33,SectInfo!$B:$N,7,FALSE)*-1)))</f>
        <v/>
      </c>
      <c r="CR73" s="367" t="str">
        <f>IF(CQ33="","",IF(VLOOKUP(CQ33,SectInfo!$B:$N,8,FALSE)="",$FC$4,(VLOOKUP(CQ33,SectInfo!$B:$N,8,FALSE))))</f>
        <v/>
      </c>
      <c r="CS73" s="367" t="str">
        <f>IF(CQ33="","",VLOOKUP(CQ33,SectInfo!$B:$N,9,FALSE))</f>
        <v/>
      </c>
      <c r="CT73" s="368">
        <f t="shared" si="156"/>
        <v>0</v>
      </c>
      <c r="CU73" s="369">
        <f t="shared" si="157"/>
        <v>0</v>
      </c>
      <c r="CV73" s="274" t="str">
        <f t="shared" si="158"/>
        <v/>
      </c>
      <c r="CW73" s="274" t="str">
        <f t="shared" si="159"/>
        <v/>
      </c>
      <c r="CX73" s="873" t="str">
        <f t="shared" si="160"/>
        <v/>
      </c>
      <c r="CY73" s="874">
        <f t="shared" si="161"/>
        <v>0</v>
      </c>
      <c r="CZ73" s="874">
        <f t="shared" si="162"/>
        <v>0</v>
      </c>
      <c r="DA73" s="874" t="str">
        <f t="shared" si="163"/>
        <v/>
      </c>
      <c r="DB73" s="1310" t="str">
        <f t="shared" si="199"/>
        <v/>
      </c>
      <c r="DC73" s="1310" t="str">
        <f t="shared" si="164"/>
        <v/>
      </c>
      <c r="DD73" s="1311">
        <f t="shared" si="200"/>
        <v>0</v>
      </c>
      <c r="DE73" s="1310">
        <f t="shared" si="165"/>
        <v>0</v>
      </c>
      <c r="DF73" s="1312">
        <f t="shared" si="166"/>
        <v>0</v>
      </c>
      <c r="DG73" s="1312" t="str">
        <f t="shared" si="167"/>
        <v/>
      </c>
      <c r="DH73" s="1310" t="str">
        <f t="shared" si="201"/>
        <v/>
      </c>
      <c r="DI73" s="1310" t="str">
        <f t="shared" si="168"/>
        <v/>
      </c>
      <c r="DJ73" s="1311">
        <f t="shared" si="202"/>
        <v>0</v>
      </c>
      <c r="DK73" s="1310" t="str">
        <f t="shared" si="203"/>
        <v/>
      </c>
      <c r="DL73" s="1310" t="str">
        <f t="shared" si="204"/>
        <v/>
      </c>
      <c r="DM73" s="1310" t="str">
        <f t="shared" si="169"/>
        <v/>
      </c>
      <c r="DN73" s="1310" t="str">
        <f t="shared" si="170"/>
        <v/>
      </c>
      <c r="DO73" s="889" t="str">
        <f t="shared" si="171"/>
        <v>ERR</v>
      </c>
      <c r="DP73" s="889" t="str">
        <f t="shared" si="172"/>
        <v>ERR</v>
      </c>
      <c r="DQ73" s="1310" t="str">
        <f t="shared" si="205"/>
        <v/>
      </c>
      <c r="DR73" s="1310" t="str">
        <f t="shared" si="206"/>
        <v/>
      </c>
      <c r="DS73" s="1310" t="str">
        <f t="shared" si="207"/>
        <v/>
      </c>
      <c r="DT73" s="1310" t="str">
        <f t="shared" si="173"/>
        <v/>
      </c>
      <c r="DU73" s="1310" t="str">
        <f t="shared" si="174"/>
        <v/>
      </c>
      <c r="DV73" s="889" t="str">
        <f t="shared" si="175"/>
        <v>ERR</v>
      </c>
      <c r="DW73" s="889" t="str">
        <f t="shared" si="176"/>
        <v>ERR</v>
      </c>
      <c r="DX73" s="873" t="str">
        <f t="shared" si="208"/>
        <v/>
      </c>
      <c r="DY73" s="873" t="str">
        <f t="shared" si="209"/>
        <v/>
      </c>
      <c r="DZ73" s="873" t="str">
        <f t="shared" ref="DZ73:DZ85" si="218">IF(CG73="","",IF((CD73-CG73)/COS(CU73)-FB73&lt;=-0.0625,CEILING((CD73-CG73)/COS(CU73)-FB73+0.0625,-0.125),IF((CD73-CG73)/COS(CU73)-FB73&gt;=0.0625,CEILING((CD73-CG73)/COS(CU73)-FB73-0.0625,0.125),0)))</f>
        <v/>
      </c>
      <c r="EA73" s="873" t="str">
        <f t="shared" ref="EA73:EA85" si="219">IF(CP73="","",IF((CM73-CP73)/COS(CU73)-FC73&lt;=-0.0625,CEILING((CM73-CP73)/COS(CU73)-FC73+0.0625,-0.125),IF((CM73-CP73)/COS(CU73)-FC73&gt;=0.0625,CEILING((CM73-CP73)/COS(CU73)-FC73-0.0625,0.125),0)))</f>
        <v/>
      </c>
      <c r="EB73" s="876" t="str">
        <f t="shared" si="177"/>
        <v/>
      </c>
      <c r="EC73" s="877" t="str">
        <f t="shared" si="210"/>
        <v/>
      </c>
      <c r="ED73" s="876" t="str">
        <f t="shared" si="178"/>
        <v/>
      </c>
      <c r="EE73" s="876" t="str">
        <f t="shared" si="179"/>
        <v/>
      </c>
      <c r="EF73" s="876" t="str">
        <f t="shared" si="180"/>
        <v/>
      </c>
      <c r="EG73" s="876" t="str">
        <f t="shared" si="181"/>
        <v/>
      </c>
      <c r="EH73" s="876" t="str">
        <f t="shared" si="182"/>
        <v/>
      </c>
      <c r="EI73" s="876" t="str">
        <f t="shared" si="183"/>
        <v/>
      </c>
      <c r="EJ73" s="876" t="str">
        <f t="shared" si="184"/>
        <v/>
      </c>
      <c r="EK73" s="874">
        <f t="shared" si="211"/>
        <v>0</v>
      </c>
      <c r="EL73" s="874">
        <f t="shared" si="212"/>
        <v>0</v>
      </c>
      <c r="EM73" s="874">
        <f t="shared" si="185"/>
        <v>0</v>
      </c>
      <c r="EN73" s="874" t="str">
        <f t="shared" si="186"/>
        <v/>
      </c>
      <c r="EO73" s="873" t="str">
        <f t="shared" si="213"/>
        <v/>
      </c>
      <c r="EP73" s="874">
        <f t="shared" si="214"/>
        <v>0</v>
      </c>
      <c r="EQ73" s="874">
        <f t="shared" si="215"/>
        <v>0</v>
      </c>
      <c r="ER73" s="874">
        <f t="shared" si="187"/>
        <v>0</v>
      </c>
      <c r="ES73" s="874" t="str">
        <f t="shared" si="188"/>
        <v/>
      </c>
      <c r="ET73" s="873" t="str">
        <f t="shared" si="216"/>
        <v/>
      </c>
      <c r="EU73" s="873">
        <f t="shared" si="189"/>
        <v>0</v>
      </c>
      <c r="EV73" s="876" t="e">
        <f t="shared" si="190"/>
        <v>#VALUE!</v>
      </c>
      <c r="EW73" s="876" t="e">
        <f t="shared" si="191"/>
        <v>#VALUE!</v>
      </c>
      <c r="EX73" s="942" t="str">
        <f t="shared" si="192"/>
        <v/>
      </c>
      <c r="EY73" s="879" t="e">
        <f t="shared" si="217"/>
        <v>#DIV/0!</v>
      </c>
      <c r="EZ73" s="959" t="e">
        <f t="shared" si="193"/>
        <v>#DIV/0!</v>
      </c>
      <c r="FA73" s="960" t="e">
        <f t="shared" si="194"/>
        <v>#DIV/0!</v>
      </c>
      <c r="FB73" s="880" t="str">
        <f t="shared" si="195"/>
        <v/>
      </c>
      <c r="FC73" s="881" t="str">
        <f t="shared" si="196"/>
        <v/>
      </c>
      <c r="FD73" s="527">
        <f t="shared" si="197"/>
        <v>0</v>
      </c>
      <c r="FE73" s="528">
        <f t="shared" si="198"/>
        <v>0</v>
      </c>
      <c r="FF73" s="754" t="b">
        <f t="shared" si="123"/>
        <v>0</v>
      </c>
      <c r="FG73" s="754" t="b">
        <f t="shared" si="124"/>
        <v>0</v>
      </c>
      <c r="FH73" s="754" t="b">
        <f t="shared" si="125"/>
        <v>0</v>
      </c>
      <c r="FI73" s="917" t="b">
        <f t="shared" si="126"/>
        <v>0</v>
      </c>
      <c r="FJ73" s="920" t="str">
        <f t="shared" si="136"/>
        <v/>
      </c>
      <c r="FK73" s="919" t="str">
        <f t="shared" si="137"/>
        <v/>
      </c>
      <c r="FL73" s="320" t="e">
        <f t="shared" si="138"/>
        <v>#N/A</v>
      </c>
      <c r="FM73" s="312" t="str">
        <f t="shared" si="127"/>
        <v/>
      </c>
      <c r="FN73" s="272" t="str">
        <f t="shared" ca="1" si="139"/>
        <v/>
      </c>
      <c r="FO73" s="273" t="str">
        <f t="shared" ca="1" si="140"/>
        <v/>
      </c>
      <c r="FP73" s="274" t="str">
        <f t="shared" ca="1" si="141"/>
        <v/>
      </c>
      <c r="FQ73" s="274" t="str">
        <f t="shared" ca="1" si="142"/>
        <v/>
      </c>
      <c r="FR73" s="321">
        <f t="shared" ca="1" si="143"/>
        <v>0</v>
      </c>
      <c r="FS73" s="322">
        <f t="shared" ca="1" si="144"/>
        <v>0</v>
      </c>
      <c r="FT73" s="272" t="str">
        <f t="shared" ca="1" si="149"/>
        <v/>
      </c>
      <c r="FU73" s="275" t="str">
        <f t="shared" ca="1" si="150"/>
        <v/>
      </c>
      <c r="FV73" s="323" t="str">
        <f t="shared" ca="1" si="151"/>
        <v/>
      </c>
      <c r="FW73" s="276" t="str">
        <f t="shared" ca="1" si="145"/>
        <v/>
      </c>
      <c r="FX73" s="276" t="str">
        <f t="shared" ca="1" si="146"/>
        <v/>
      </c>
      <c r="FY73" s="276" t="str">
        <f t="shared" ca="1" si="152"/>
        <v/>
      </c>
      <c r="FZ73" s="276" t="str">
        <f t="shared" ca="1" si="147"/>
        <v/>
      </c>
      <c r="GA73" s="276" t="str">
        <f t="shared" ca="1" si="153"/>
        <v/>
      </c>
      <c r="GB73" s="277" t="str">
        <f ca="1">IF(FY73="","",2+SUM(FO73:OFFSET(FO73,(FU73-1)*-1,0)))</f>
        <v/>
      </c>
      <c r="GC73" s="316" t="e">
        <f t="shared" si="148"/>
        <v>#N/A</v>
      </c>
      <c r="GD73" s="324" t="str">
        <f t="shared" si="128"/>
        <v/>
      </c>
      <c r="GE73" s="325" t="str">
        <f t="shared" si="129"/>
        <v/>
      </c>
      <c r="GF73" s="278" t="str">
        <f t="shared" si="130"/>
        <v/>
      </c>
      <c r="GG73" s="279" t="str">
        <f t="shared" si="131"/>
        <v/>
      </c>
      <c r="GH73" s="279" t="str">
        <f t="shared" si="132"/>
        <v/>
      </c>
      <c r="GI73" s="280" t="str">
        <f t="shared" si="133"/>
        <v/>
      </c>
      <c r="GJ73" s="326">
        <f t="shared" ca="1" si="134"/>
        <v>0</v>
      </c>
      <c r="GK73" s="913" t="str">
        <f t="shared" ca="1" si="135"/>
        <v/>
      </c>
    </row>
    <row r="74" spans="78:196" ht="12.6" hidden="1" customHeight="1" x14ac:dyDescent="0.2">
      <c r="BZ74" s="293"/>
      <c r="CA74" s="293"/>
      <c r="CB74" s="365" t="str">
        <f t="shared" si="154"/>
        <v/>
      </c>
      <c r="CC74" s="1304"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55"/>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367" t="str">
        <f>IF(CQ34="","",IF(VLOOKUP(CQ34,SectInfo!$B:$N,7,FALSE)="","",(VLOOKUP(CQ34,SectInfo!$B:$N,7,FALSE)*-1)))</f>
        <v/>
      </c>
      <c r="CR74" s="367" t="str">
        <f>IF(CQ34="","",IF(VLOOKUP(CQ34,SectInfo!$B:$N,8,FALSE)="",$FC$4,(VLOOKUP(CQ34,SectInfo!$B:$N,8,FALSE))))</f>
        <v/>
      </c>
      <c r="CS74" s="367" t="str">
        <f>IF(CQ34="","",VLOOKUP(CQ34,SectInfo!$B:$N,9,FALSE))</f>
        <v/>
      </c>
      <c r="CT74" s="368">
        <f t="shared" si="156"/>
        <v>0</v>
      </c>
      <c r="CU74" s="369">
        <f t="shared" si="157"/>
        <v>0</v>
      </c>
      <c r="CV74" s="274" t="str">
        <f t="shared" si="158"/>
        <v/>
      </c>
      <c r="CW74" s="274" t="str">
        <f t="shared" si="159"/>
        <v/>
      </c>
      <c r="CX74" s="873" t="str">
        <f t="shared" si="160"/>
        <v/>
      </c>
      <c r="CY74" s="874">
        <f t="shared" si="161"/>
        <v>0</v>
      </c>
      <c r="CZ74" s="874">
        <f t="shared" si="162"/>
        <v>0</v>
      </c>
      <c r="DA74" s="874" t="str">
        <f t="shared" si="163"/>
        <v/>
      </c>
      <c r="DB74" s="1310" t="str">
        <f t="shared" si="199"/>
        <v/>
      </c>
      <c r="DC74" s="1310" t="str">
        <f t="shared" si="164"/>
        <v/>
      </c>
      <c r="DD74" s="1311">
        <f t="shared" si="200"/>
        <v>0</v>
      </c>
      <c r="DE74" s="1310">
        <f t="shared" si="165"/>
        <v>0</v>
      </c>
      <c r="DF74" s="1312">
        <f t="shared" si="166"/>
        <v>0</v>
      </c>
      <c r="DG74" s="1312" t="str">
        <f t="shared" si="167"/>
        <v/>
      </c>
      <c r="DH74" s="1310" t="str">
        <f t="shared" si="201"/>
        <v/>
      </c>
      <c r="DI74" s="1310" t="str">
        <f t="shared" si="168"/>
        <v/>
      </c>
      <c r="DJ74" s="1311">
        <f t="shared" si="202"/>
        <v>0</v>
      </c>
      <c r="DK74" s="1310" t="str">
        <f t="shared" si="203"/>
        <v/>
      </c>
      <c r="DL74" s="1310" t="str">
        <f t="shared" si="204"/>
        <v/>
      </c>
      <c r="DM74" s="1310" t="str">
        <f t="shared" si="169"/>
        <v/>
      </c>
      <c r="DN74" s="1310" t="str">
        <f t="shared" si="170"/>
        <v/>
      </c>
      <c r="DO74" s="889" t="str">
        <f t="shared" si="171"/>
        <v>ERR</v>
      </c>
      <c r="DP74" s="889" t="str">
        <f t="shared" si="172"/>
        <v>ERR</v>
      </c>
      <c r="DQ74" s="1310" t="str">
        <f t="shared" si="205"/>
        <v/>
      </c>
      <c r="DR74" s="1310" t="str">
        <f t="shared" si="206"/>
        <v/>
      </c>
      <c r="DS74" s="1310" t="str">
        <f t="shared" si="207"/>
        <v/>
      </c>
      <c r="DT74" s="1310" t="str">
        <f t="shared" si="173"/>
        <v/>
      </c>
      <c r="DU74" s="1310" t="str">
        <f t="shared" si="174"/>
        <v/>
      </c>
      <c r="DV74" s="889" t="str">
        <f t="shared" si="175"/>
        <v>ERR</v>
      </c>
      <c r="DW74" s="889" t="str">
        <f t="shared" si="176"/>
        <v>ERR</v>
      </c>
      <c r="DX74" s="873" t="str">
        <f t="shared" si="208"/>
        <v/>
      </c>
      <c r="DY74" s="873" t="str">
        <f t="shared" si="209"/>
        <v/>
      </c>
      <c r="DZ74" s="873" t="str">
        <f t="shared" si="218"/>
        <v/>
      </c>
      <c r="EA74" s="873" t="str">
        <f t="shared" si="219"/>
        <v/>
      </c>
      <c r="EB74" s="876" t="str">
        <f t="shared" si="177"/>
        <v/>
      </c>
      <c r="EC74" s="877" t="str">
        <f t="shared" si="210"/>
        <v/>
      </c>
      <c r="ED74" s="876" t="str">
        <f t="shared" si="178"/>
        <v/>
      </c>
      <c r="EE74" s="876" t="str">
        <f t="shared" si="179"/>
        <v/>
      </c>
      <c r="EF74" s="876" t="str">
        <f t="shared" si="180"/>
        <v/>
      </c>
      <c r="EG74" s="876" t="str">
        <f t="shared" si="181"/>
        <v/>
      </c>
      <c r="EH74" s="876" t="str">
        <f t="shared" si="182"/>
        <v/>
      </c>
      <c r="EI74" s="876" t="str">
        <f t="shared" si="183"/>
        <v/>
      </c>
      <c r="EJ74" s="876" t="str">
        <f t="shared" si="184"/>
        <v/>
      </c>
      <c r="EK74" s="874">
        <f t="shared" si="211"/>
        <v>0</v>
      </c>
      <c r="EL74" s="874">
        <f t="shared" si="212"/>
        <v>0</v>
      </c>
      <c r="EM74" s="874">
        <f t="shared" si="185"/>
        <v>0</v>
      </c>
      <c r="EN74" s="874" t="str">
        <f t="shared" si="186"/>
        <v/>
      </c>
      <c r="EO74" s="873" t="str">
        <f t="shared" si="213"/>
        <v/>
      </c>
      <c r="EP74" s="874">
        <f t="shared" si="214"/>
        <v>0</v>
      </c>
      <c r="EQ74" s="874">
        <f t="shared" si="215"/>
        <v>0</v>
      </c>
      <c r="ER74" s="874">
        <f t="shared" si="187"/>
        <v>0</v>
      </c>
      <c r="ES74" s="874" t="str">
        <f t="shared" si="188"/>
        <v/>
      </c>
      <c r="ET74" s="873" t="str">
        <f t="shared" si="216"/>
        <v/>
      </c>
      <c r="EU74" s="873">
        <f t="shared" si="189"/>
        <v>0</v>
      </c>
      <c r="EV74" s="876" t="e">
        <f t="shared" si="190"/>
        <v>#VALUE!</v>
      </c>
      <c r="EW74" s="876" t="e">
        <f t="shared" si="191"/>
        <v>#VALUE!</v>
      </c>
      <c r="EX74" s="942" t="str">
        <f t="shared" si="192"/>
        <v/>
      </c>
      <c r="EY74" s="879" t="e">
        <f t="shared" si="217"/>
        <v>#DIV/0!</v>
      </c>
      <c r="EZ74" s="959" t="e">
        <f t="shared" si="193"/>
        <v>#DIV/0!</v>
      </c>
      <c r="FA74" s="960" t="e">
        <f t="shared" si="194"/>
        <v>#DIV/0!</v>
      </c>
      <c r="FB74" s="880" t="str">
        <f t="shared" si="195"/>
        <v/>
      </c>
      <c r="FC74" s="881" t="str">
        <f t="shared" si="196"/>
        <v/>
      </c>
      <c r="FD74" s="512">
        <f t="shared" si="197"/>
        <v>0</v>
      </c>
      <c r="FE74" s="513">
        <f t="shared" si="198"/>
        <v>0</v>
      </c>
      <c r="FF74" s="754" t="b">
        <f t="shared" si="123"/>
        <v>0</v>
      </c>
      <c r="FG74" s="754" t="b">
        <f t="shared" si="124"/>
        <v>0</v>
      </c>
      <c r="FH74" s="754" t="b">
        <f t="shared" si="125"/>
        <v>0</v>
      </c>
      <c r="FI74" s="917" t="b">
        <f t="shared" si="126"/>
        <v>0</v>
      </c>
      <c r="FJ74" s="920" t="str">
        <f t="shared" si="136"/>
        <v/>
      </c>
      <c r="FK74" s="919" t="str">
        <f t="shared" si="137"/>
        <v/>
      </c>
      <c r="FL74" s="320" t="e">
        <f t="shared" si="138"/>
        <v>#N/A</v>
      </c>
      <c r="FM74" s="312" t="str">
        <f t="shared" si="127"/>
        <v/>
      </c>
      <c r="FN74" s="272" t="str">
        <f t="shared" ca="1" si="139"/>
        <v/>
      </c>
      <c r="FO74" s="273" t="str">
        <f t="shared" ca="1" si="140"/>
        <v/>
      </c>
      <c r="FP74" s="274" t="str">
        <f t="shared" ca="1" si="141"/>
        <v/>
      </c>
      <c r="FQ74" s="274" t="str">
        <f t="shared" ca="1" si="142"/>
        <v/>
      </c>
      <c r="FR74" s="321">
        <f t="shared" ca="1" si="143"/>
        <v>0</v>
      </c>
      <c r="FS74" s="322">
        <f t="shared" ca="1" si="144"/>
        <v>0</v>
      </c>
      <c r="FT74" s="272" t="str">
        <f t="shared" ca="1" si="149"/>
        <v/>
      </c>
      <c r="FU74" s="275" t="str">
        <f t="shared" ca="1" si="150"/>
        <v/>
      </c>
      <c r="FV74" s="323" t="str">
        <f t="shared" ca="1" si="151"/>
        <v/>
      </c>
      <c r="FW74" s="276" t="str">
        <f t="shared" ca="1" si="145"/>
        <v/>
      </c>
      <c r="FX74" s="276" t="str">
        <f t="shared" ca="1" si="146"/>
        <v/>
      </c>
      <c r="FY74" s="276" t="str">
        <f t="shared" ca="1" si="152"/>
        <v/>
      </c>
      <c r="FZ74" s="276" t="str">
        <f t="shared" ca="1" si="147"/>
        <v/>
      </c>
      <c r="GA74" s="276" t="str">
        <f t="shared" ca="1" si="153"/>
        <v/>
      </c>
      <c r="GB74" s="277" t="str">
        <f ca="1">IF(FY74="","",2+SUM(FO74:OFFSET(FO74,(FU74-1)*-1,0)))</f>
        <v/>
      </c>
      <c r="GC74" s="316" t="e">
        <f t="shared" si="148"/>
        <v>#N/A</v>
      </c>
      <c r="GD74" s="324" t="str">
        <f t="shared" si="128"/>
        <v/>
      </c>
      <c r="GE74" s="325" t="str">
        <f t="shared" si="129"/>
        <v/>
      </c>
      <c r="GF74" s="278" t="str">
        <f t="shared" si="130"/>
        <v/>
      </c>
      <c r="GG74" s="279" t="str">
        <f t="shared" si="131"/>
        <v/>
      </c>
      <c r="GH74" s="279" t="str">
        <f t="shared" si="132"/>
        <v/>
      </c>
      <c r="GI74" s="280" t="str">
        <f t="shared" si="133"/>
        <v/>
      </c>
      <c r="GJ74" s="326">
        <f t="shared" ca="1" si="134"/>
        <v>0</v>
      </c>
      <c r="GK74" s="913" t="str">
        <f t="shared" ca="1" si="135"/>
        <v/>
      </c>
    </row>
    <row r="75" spans="78:196" ht="12.6" hidden="1" customHeight="1" x14ac:dyDescent="0.2">
      <c r="BZ75" s="293"/>
      <c r="CA75" s="293"/>
      <c r="CB75" s="365" t="str">
        <f t="shared" si="154"/>
        <v/>
      </c>
      <c r="CC75" s="1304"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55"/>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367" t="str">
        <f>IF(CQ35="","",IF(VLOOKUP(CQ35,SectInfo!$B:$N,7,FALSE)="","",(VLOOKUP(CQ35,SectInfo!$B:$N,7,FALSE)*-1)))</f>
        <v/>
      </c>
      <c r="CR75" s="367" t="str">
        <f>IF(CQ35="","",IF(VLOOKUP(CQ35,SectInfo!$B:$N,8,FALSE)="",$FC$4,(VLOOKUP(CQ35,SectInfo!$B:$N,8,FALSE))))</f>
        <v/>
      </c>
      <c r="CS75" s="367" t="str">
        <f>IF(CQ35="","",VLOOKUP(CQ35,SectInfo!$B:$N,9,FALSE))</f>
        <v/>
      </c>
      <c r="CT75" s="368">
        <f t="shared" si="156"/>
        <v>0</v>
      </c>
      <c r="CU75" s="369">
        <f t="shared" si="157"/>
        <v>0</v>
      </c>
      <c r="CV75" s="274" t="str">
        <f t="shared" si="158"/>
        <v/>
      </c>
      <c r="CW75" s="274" t="str">
        <f t="shared" si="159"/>
        <v/>
      </c>
      <c r="CX75" s="873" t="str">
        <f t="shared" si="160"/>
        <v/>
      </c>
      <c r="CY75" s="874">
        <f t="shared" si="161"/>
        <v>0</v>
      </c>
      <c r="CZ75" s="874">
        <f t="shared" si="162"/>
        <v>0</v>
      </c>
      <c r="DA75" s="874" t="str">
        <f t="shared" si="163"/>
        <v/>
      </c>
      <c r="DB75" s="1310" t="str">
        <f t="shared" si="199"/>
        <v/>
      </c>
      <c r="DC75" s="1310" t="str">
        <f t="shared" si="164"/>
        <v/>
      </c>
      <c r="DD75" s="1311">
        <f t="shared" si="200"/>
        <v>0</v>
      </c>
      <c r="DE75" s="1310">
        <f t="shared" si="165"/>
        <v>0</v>
      </c>
      <c r="DF75" s="1312">
        <f t="shared" si="166"/>
        <v>0</v>
      </c>
      <c r="DG75" s="1312" t="str">
        <f t="shared" si="167"/>
        <v/>
      </c>
      <c r="DH75" s="1310" t="str">
        <f t="shared" si="201"/>
        <v/>
      </c>
      <c r="DI75" s="1310" t="str">
        <f t="shared" si="168"/>
        <v/>
      </c>
      <c r="DJ75" s="1311">
        <f t="shared" si="202"/>
        <v>0</v>
      </c>
      <c r="DK75" s="1310" t="str">
        <f t="shared" si="203"/>
        <v/>
      </c>
      <c r="DL75" s="1310" t="str">
        <f t="shared" si="204"/>
        <v/>
      </c>
      <c r="DM75" s="1310" t="str">
        <f t="shared" si="169"/>
        <v/>
      </c>
      <c r="DN75" s="1310" t="str">
        <f t="shared" si="170"/>
        <v/>
      </c>
      <c r="DO75" s="889" t="str">
        <f t="shared" si="171"/>
        <v>ERR</v>
      </c>
      <c r="DP75" s="889" t="str">
        <f t="shared" si="172"/>
        <v>ERR</v>
      </c>
      <c r="DQ75" s="1310" t="str">
        <f t="shared" si="205"/>
        <v/>
      </c>
      <c r="DR75" s="1310" t="str">
        <f t="shared" si="206"/>
        <v/>
      </c>
      <c r="DS75" s="1310" t="str">
        <f t="shared" si="207"/>
        <v/>
      </c>
      <c r="DT75" s="1310" t="str">
        <f t="shared" si="173"/>
        <v/>
      </c>
      <c r="DU75" s="1310" t="str">
        <f t="shared" si="174"/>
        <v/>
      </c>
      <c r="DV75" s="889" t="str">
        <f t="shared" si="175"/>
        <v>ERR</v>
      </c>
      <c r="DW75" s="889" t="str">
        <f t="shared" si="176"/>
        <v>ERR</v>
      </c>
      <c r="DX75" s="873" t="str">
        <f t="shared" si="208"/>
        <v/>
      </c>
      <c r="DY75" s="873" t="str">
        <f t="shared" si="209"/>
        <v/>
      </c>
      <c r="DZ75" s="873" t="str">
        <f t="shared" si="218"/>
        <v/>
      </c>
      <c r="EA75" s="873" t="str">
        <f t="shared" si="219"/>
        <v/>
      </c>
      <c r="EB75" s="876" t="str">
        <f t="shared" si="177"/>
        <v/>
      </c>
      <c r="EC75" s="877" t="str">
        <f t="shared" si="210"/>
        <v/>
      </c>
      <c r="ED75" s="876" t="str">
        <f t="shared" si="178"/>
        <v/>
      </c>
      <c r="EE75" s="876" t="str">
        <f t="shared" si="179"/>
        <v/>
      </c>
      <c r="EF75" s="876" t="str">
        <f t="shared" si="180"/>
        <v/>
      </c>
      <c r="EG75" s="876" t="str">
        <f t="shared" si="181"/>
        <v/>
      </c>
      <c r="EH75" s="876" t="str">
        <f t="shared" si="182"/>
        <v/>
      </c>
      <c r="EI75" s="876" t="str">
        <f t="shared" si="183"/>
        <v/>
      </c>
      <c r="EJ75" s="876" t="str">
        <f t="shared" si="184"/>
        <v/>
      </c>
      <c r="EK75" s="874">
        <f t="shared" si="211"/>
        <v>0</v>
      </c>
      <c r="EL75" s="874">
        <f t="shared" si="212"/>
        <v>0</v>
      </c>
      <c r="EM75" s="874">
        <f t="shared" si="185"/>
        <v>0</v>
      </c>
      <c r="EN75" s="874" t="str">
        <f t="shared" si="186"/>
        <v/>
      </c>
      <c r="EO75" s="873" t="str">
        <f t="shared" si="213"/>
        <v/>
      </c>
      <c r="EP75" s="874">
        <f t="shared" si="214"/>
        <v>0</v>
      </c>
      <c r="EQ75" s="874">
        <f t="shared" si="215"/>
        <v>0</v>
      </c>
      <c r="ER75" s="874">
        <f t="shared" si="187"/>
        <v>0</v>
      </c>
      <c r="ES75" s="874" t="str">
        <f t="shared" si="188"/>
        <v/>
      </c>
      <c r="ET75" s="873" t="str">
        <f t="shared" si="216"/>
        <v/>
      </c>
      <c r="EU75" s="873">
        <f t="shared" si="189"/>
        <v>0</v>
      </c>
      <c r="EV75" s="876" t="e">
        <f t="shared" si="190"/>
        <v>#VALUE!</v>
      </c>
      <c r="EW75" s="876" t="e">
        <f t="shared" si="191"/>
        <v>#VALUE!</v>
      </c>
      <c r="EX75" s="942" t="str">
        <f t="shared" si="192"/>
        <v/>
      </c>
      <c r="EY75" s="879" t="e">
        <f t="shared" si="217"/>
        <v>#DIV/0!</v>
      </c>
      <c r="EZ75" s="959" t="e">
        <f t="shared" si="193"/>
        <v>#DIV/0!</v>
      </c>
      <c r="FA75" s="960" t="e">
        <f t="shared" si="194"/>
        <v>#DIV/0!</v>
      </c>
      <c r="FB75" s="880" t="str">
        <f t="shared" si="195"/>
        <v/>
      </c>
      <c r="FC75" s="881" t="str">
        <f t="shared" si="196"/>
        <v/>
      </c>
      <c r="FD75" s="512">
        <f t="shared" si="197"/>
        <v>0</v>
      </c>
      <c r="FE75" s="513">
        <f t="shared" si="198"/>
        <v>0</v>
      </c>
      <c r="FF75" s="754" t="b">
        <f t="shared" si="123"/>
        <v>0</v>
      </c>
      <c r="FG75" s="754" t="b">
        <f t="shared" si="124"/>
        <v>0</v>
      </c>
      <c r="FH75" s="754" t="b">
        <f t="shared" si="125"/>
        <v>0</v>
      </c>
      <c r="FI75" s="917" t="b">
        <f t="shared" si="126"/>
        <v>0</v>
      </c>
      <c r="FJ75" s="920" t="str">
        <f t="shared" si="136"/>
        <v/>
      </c>
      <c r="FK75" s="919" t="str">
        <f t="shared" si="137"/>
        <v/>
      </c>
      <c r="FL75" s="320" t="e">
        <f t="shared" si="138"/>
        <v>#N/A</v>
      </c>
      <c r="FM75" s="312" t="str">
        <f t="shared" si="127"/>
        <v/>
      </c>
      <c r="FN75" s="272" t="str">
        <f t="shared" ca="1" si="139"/>
        <v/>
      </c>
      <c r="FO75" s="273" t="str">
        <f t="shared" ca="1" si="140"/>
        <v/>
      </c>
      <c r="FP75" s="274" t="str">
        <f t="shared" ca="1" si="141"/>
        <v/>
      </c>
      <c r="FQ75" s="274" t="str">
        <f t="shared" ca="1" si="142"/>
        <v/>
      </c>
      <c r="FR75" s="321">
        <f t="shared" ca="1" si="143"/>
        <v>0</v>
      </c>
      <c r="FS75" s="322">
        <f t="shared" ca="1" si="144"/>
        <v>0</v>
      </c>
      <c r="FT75" s="272" t="str">
        <f t="shared" ca="1" si="149"/>
        <v/>
      </c>
      <c r="FU75" s="275" t="str">
        <f t="shared" ca="1" si="150"/>
        <v/>
      </c>
      <c r="FV75" s="323" t="str">
        <f t="shared" ca="1" si="151"/>
        <v/>
      </c>
      <c r="FW75" s="276" t="str">
        <f t="shared" ca="1" si="145"/>
        <v/>
      </c>
      <c r="FX75" s="276" t="str">
        <f t="shared" ca="1" si="146"/>
        <v/>
      </c>
      <c r="FY75" s="276" t="str">
        <f t="shared" ca="1" si="152"/>
        <v/>
      </c>
      <c r="FZ75" s="276" t="str">
        <f t="shared" ca="1" si="147"/>
        <v/>
      </c>
      <c r="GA75" s="276" t="str">
        <f t="shared" ca="1" si="153"/>
        <v/>
      </c>
      <c r="GB75" s="277" t="str">
        <f ca="1">IF(FY75="","",2+SUM(FO75:OFFSET(FO75,(FU75-1)*-1,0)))</f>
        <v/>
      </c>
      <c r="GC75" s="316" t="e">
        <f t="shared" si="148"/>
        <v>#N/A</v>
      </c>
      <c r="GD75" s="324" t="str">
        <f t="shared" si="128"/>
        <v/>
      </c>
      <c r="GE75" s="325" t="str">
        <f t="shared" si="129"/>
        <v/>
      </c>
      <c r="GF75" s="278" t="str">
        <f t="shared" si="130"/>
        <v/>
      </c>
      <c r="GG75" s="279" t="str">
        <f t="shared" si="131"/>
        <v/>
      </c>
      <c r="GH75" s="279" t="str">
        <f t="shared" si="132"/>
        <v/>
      </c>
      <c r="GI75" s="280" t="str">
        <f t="shared" si="133"/>
        <v/>
      </c>
      <c r="GJ75" s="326">
        <f t="shared" ca="1" si="134"/>
        <v>0</v>
      </c>
      <c r="GK75" s="913" t="str">
        <f t="shared" ca="1" si="135"/>
        <v/>
      </c>
    </row>
    <row r="76" spans="78:196" ht="12.6" hidden="1" customHeight="1" x14ac:dyDescent="0.2">
      <c r="BZ76" s="293"/>
      <c r="CA76" s="293"/>
      <c r="CB76" s="365" t="str">
        <f t="shared" si="154"/>
        <v/>
      </c>
      <c r="CC76" s="1304"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55"/>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367" t="str">
        <f>IF(CQ36="","",IF(VLOOKUP(CQ36,SectInfo!$B:$N,7,FALSE)="","",(VLOOKUP(CQ36,SectInfo!$B:$N,7,FALSE)*-1)))</f>
        <v/>
      </c>
      <c r="CR76" s="367" t="str">
        <f>IF(CQ36="","",IF(VLOOKUP(CQ36,SectInfo!$B:$N,8,FALSE)="",$FC$4,(VLOOKUP(CQ36,SectInfo!$B:$N,8,FALSE))))</f>
        <v/>
      </c>
      <c r="CS76" s="367" t="str">
        <f>IF(CQ36="","",VLOOKUP(CQ36,SectInfo!$B:$N,9,FALSE))</f>
        <v/>
      </c>
      <c r="CT76" s="368">
        <f t="shared" si="156"/>
        <v>0</v>
      </c>
      <c r="CU76" s="369">
        <f t="shared" si="157"/>
        <v>0</v>
      </c>
      <c r="CV76" s="274" t="str">
        <f t="shared" si="158"/>
        <v/>
      </c>
      <c r="CW76" s="274" t="str">
        <f t="shared" si="159"/>
        <v/>
      </c>
      <c r="CX76" s="873" t="str">
        <f t="shared" si="160"/>
        <v/>
      </c>
      <c r="CY76" s="874">
        <f t="shared" si="161"/>
        <v>0</v>
      </c>
      <c r="CZ76" s="874">
        <f t="shared" si="162"/>
        <v>0</v>
      </c>
      <c r="DA76" s="874" t="str">
        <f t="shared" si="163"/>
        <v/>
      </c>
      <c r="DB76" s="1310" t="str">
        <f t="shared" si="199"/>
        <v/>
      </c>
      <c r="DC76" s="1310" t="str">
        <f t="shared" si="164"/>
        <v/>
      </c>
      <c r="DD76" s="1311">
        <f t="shared" si="200"/>
        <v>0</v>
      </c>
      <c r="DE76" s="1310">
        <f t="shared" si="165"/>
        <v>0</v>
      </c>
      <c r="DF76" s="1312">
        <f t="shared" si="166"/>
        <v>0</v>
      </c>
      <c r="DG76" s="1312" t="str">
        <f t="shared" si="167"/>
        <v/>
      </c>
      <c r="DH76" s="1310" t="str">
        <f t="shared" si="201"/>
        <v/>
      </c>
      <c r="DI76" s="1310" t="str">
        <f t="shared" si="168"/>
        <v/>
      </c>
      <c r="DJ76" s="1311">
        <f t="shared" si="202"/>
        <v>0</v>
      </c>
      <c r="DK76" s="1310" t="str">
        <f t="shared" si="203"/>
        <v/>
      </c>
      <c r="DL76" s="1310" t="str">
        <f t="shared" si="204"/>
        <v/>
      </c>
      <c r="DM76" s="1310" t="str">
        <f t="shared" si="169"/>
        <v/>
      </c>
      <c r="DN76" s="1310" t="str">
        <f t="shared" si="170"/>
        <v/>
      </c>
      <c r="DO76" s="889" t="str">
        <f t="shared" si="171"/>
        <v>ERR</v>
      </c>
      <c r="DP76" s="889" t="str">
        <f t="shared" si="172"/>
        <v>ERR</v>
      </c>
      <c r="DQ76" s="1310" t="str">
        <f t="shared" si="205"/>
        <v/>
      </c>
      <c r="DR76" s="1310" t="str">
        <f t="shared" si="206"/>
        <v/>
      </c>
      <c r="DS76" s="1310" t="str">
        <f t="shared" si="207"/>
        <v/>
      </c>
      <c r="DT76" s="1310" t="str">
        <f t="shared" si="173"/>
        <v/>
      </c>
      <c r="DU76" s="1310" t="str">
        <f t="shared" si="174"/>
        <v/>
      </c>
      <c r="DV76" s="889" t="str">
        <f t="shared" si="175"/>
        <v>ERR</v>
      </c>
      <c r="DW76" s="889" t="str">
        <f t="shared" si="176"/>
        <v>ERR</v>
      </c>
      <c r="DX76" s="873" t="str">
        <f t="shared" si="208"/>
        <v/>
      </c>
      <c r="DY76" s="873" t="str">
        <f t="shared" si="209"/>
        <v/>
      </c>
      <c r="DZ76" s="873" t="str">
        <f t="shared" si="218"/>
        <v/>
      </c>
      <c r="EA76" s="873" t="str">
        <f t="shared" si="219"/>
        <v/>
      </c>
      <c r="EB76" s="876" t="str">
        <f t="shared" si="177"/>
        <v/>
      </c>
      <c r="EC76" s="877" t="str">
        <f t="shared" si="210"/>
        <v/>
      </c>
      <c r="ED76" s="876" t="str">
        <f t="shared" si="178"/>
        <v/>
      </c>
      <c r="EE76" s="876" t="str">
        <f t="shared" si="179"/>
        <v/>
      </c>
      <c r="EF76" s="876" t="str">
        <f t="shared" si="180"/>
        <v/>
      </c>
      <c r="EG76" s="876" t="str">
        <f t="shared" si="181"/>
        <v/>
      </c>
      <c r="EH76" s="876" t="str">
        <f t="shared" si="182"/>
        <v/>
      </c>
      <c r="EI76" s="876" t="str">
        <f t="shared" si="183"/>
        <v/>
      </c>
      <c r="EJ76" s="876" t="str">
        <f t="shared" si="184"/>
        <v/>
      </c>
      <c r="EK76" s="874">
        <f t="shared" si="211"/>
        <v>0</v>
      </c>
      <c r="EL76" s="874">
        <f t="shared" si="212"/>
        <v>0</v>
      </c>
      <c r="EM76" s="874">
        <f t="shared" si="185"/>
        <v>0</v>
      </c>
      <c r="EN76" s="874" t="str">
        <f t="shared" si="186"/>
        <v/>
      </c>
      <c r="EO76" s="873" t="str">
        <f t="shared" si="213"/>
        <v/>
      </c>
      <c r="EP76" s="874">
        <f t="shared" si="214"/>
        <v>0</v>
      </c>
      <c r="EQ76" s="874">
        <f t="shared" si="215"/>
        <v>0</v>
      </c>
      <c r="ER76" s="874">
        <f t="shared" si="187"/>
        <v>0</v>
      </c>
      <c r="ES76" s="874" t="str">
        <f t="shared" si="188"/>
        <v/>
      </c>
      <c r="ET76" s="873" t="str">
        <f t="shared" si="216"/>
        <v/>
      </c>
      <c r="EU76" s="873">
        <f t="shared" si="189"/>
        <v>0</v>
      </c>
      <c r="EV76" s="876" t="e">
        <f t="shared" si="190"/>
        <v>#VALUE!</v>
      </c>
      <c r="EW76" s="876" t="e">
        <f t="shared" si="191"/>
        <v>#VALUE!</v>
      </c>
      <c r="EX76" s="942" t="str">
        <f t="shared" si="192"/>
        <v/>
      </c>
      <c r="EY76" s="879" t="e">
        <f t="shared" si="217"/>
        <v>#DIV/0!</v>
      </c>
      <c r="EZ76" s="959" t="e">
        <f t="shared" si="193"/>
        <v>#DIV/0!</v>
      </c>
      <c r="FA76" s="960" t="e">
        <f t="shared" si="194"/>
        <v>#DIV/0!</v>
      </c>
      <c r="FB76" s="880" t="str">
        <f t="shared" si="195"/>
        <v/>
      </c>
      <c r="FC76" s="881" t="str">
        <f t="shared" si="196"/>
        <v/>
      </c>
      <c r="FD76" s="512">
        <f t="shared" si="197"/>
        <v>0</v>
      </c>
      <c r="FE76" s="513">
        <f t="shared" si="198"/>
        <v>0</v>
      </c>
      <c r="FF76" s="754" t="b">
        <f t="shared" si="123"/>
        <v>0</v>
      </c>
      <c r="FG76" s="754" t="b">
        <f t="shared" si="124"/>
        <v>0</v>
      </c>
      <c r="FH76" s="754" t="b">
        <f t="shared" si="125"/>
        <v>0</v>
      </c>
      <c r="FI76" s="917" t="b">
        <f t="shared" si="126"/>
        <v>0</v>
      </c>
      <c r="FJ76" s="920" t="str">
        <f t="shared" si="136"/>
        <v/>
      </c>
      <c r="FK76" s="919" t="str">
        <f t="shared" si="137"/>
        <v/>
      </c>
      <c r="FL76" s="320" t="e">
        <f t="shared" si="138"/>
        <v>#N/A</v>
      </c>
      <c r="FM76" s="312" t="str">
        <f t="shared" si="127"/>
        <v/>
      </c>
      <c r="FN76" s="272" t="str">
        <f t="shared" ca="1" si="139"/>
        <v/>
      </c>
      <c r="FO76" s="273" t="str">
        <f t="shared" ca="1" si="140"/>
        <v/>
      </c>
      <c r="FP76" s="274" t="str">
        <f t="shared" ca="1" si="141"/>
        <v/>
      </c>
      <c r="FQ76" s="274" t="str">
        <f t="shared" ca="1" si="142"/>
        <v/>
      </c>
      <c r="FR76" s="321">
        <f t="shared" ca="1" si="143"/>
        <v>0</v>
      </c>
      <c r="FS76" s="322">
        <f t="shared" ca="1" si="144"/>
        <v>0</v>
      </c>
      <c r="FT76" s="272" t="str">
        <f t="shared" ca="1" si="149"/>
        <v/>
      </c>
      <c r="FU76" s="275" t="str">
        <f t="shared" ca="1" si="150"/>
        <v/>
      </c>
      <c r="FV76" s="323" t="str">
        <f t="shared" ca="1" si="151"/>
        <v/>
      </c>
      <c r="FW76" s="276" t="str">
        <f t="shared" ca="1" si="145"/>
        <v/>
      </c>
      <c r="FX76" s="276" t="str">
        <f t="shared" ca="1" si="146"/>
        <v/>
      </c>
      <c r="FY76" s="276" t="str">
        <f t="shared" ca="1" si="152"/>
        <v/>
      </c>
      <c r="FZ76" s="276" t="str">
        <f t="shared" ca="1" si="147"/>
        <v/>
      </c>
      <c r="GA76" s="276" t="str">
        <f t="shared" ca="1" si="153"/>
        <v/>
      </c>
      <c r="GB76" s="277" t="str">
        <f ca="1">IF(FY76="","",2+SUM(FO76:OFFSET(FO76,(FU76-1)*-1,0)))</f>
        <v/>
      </c>
      <c r="GC76" s="316" t="e">
        <f t="shared" si="148"/>
        <v>#N/A</v>
      </c>
      <c r="GD76" s="324" t="str">
        <f t="shared" si="128"/>
        <v/>
      </c>
      <c r="GE76" s="325" t="str">
        <f t="shared" si="129"/>
        <v/>
      </c>
      <c r="GF76" s="278" t="str">
        <f t="shared" si="130"/>
        <v/>
      </c>
      <c r="GG76" s="279" t="str">
        <f t="shared" si="131"/>
        <v/>
      </c>
      <c r="GH76" s="279" t="str">
        <f t="shared" si="132"/>
        <v/>
      </c>
      <c r="GI76" s="280" t="str">
        <f t="shared" si="133"/>
        <v/>
      </c>
      <c r="GJ76" s="326">
        <f t="shared" ca="1" si="134"/>
        <v>0</v>
      </c>
      <c r="GK76" s="913" t="str">
        <f t="shared" ca="1" si="135"/>
        <v/>
      </c>
    </row>
    <row r="77" spans="78:196" ht="12.6" hidden="1" customHeight="1" x14ac:dyDescent="0.2">
      <c r="BZ77" s="293"/>
      <c r="CA77" s="293"/>
      <c r="CB77" s="365" t="str">
        <f t="shared" si="154"/>
        <v/>
      </c>
      <c r="CC77" s="1304"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55"/>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367" t="str">
        <f>IF(CQ37="","",IF(VLOOKUP(CQ37,SectInfo!$B:$N,7,FALSE)="","",(VLOOKUP(CQ37,SectInfo!$B:$N,7,FALSE)*-1)))</f>
        <v/>
      </c>
      <c r="CR77" s="367" t="str">
        <f>IF(CQ37="","",IF(VLOOKUP(CQ37,SectInfo!$B:$N,8,FALSE)="",$FC$4,(VLOOKUP(CQ37,SectInfo!$B:$N,8,FALSE))))</f>
        <v/>
      </c>
      <c r="CS77" s="367" t="str">
        <f>IF(CQ37="","",VLOOKUP(CQ37,SectInfo!$B:$N,9,FALSE))</f>
        <v/>
      </c>
      <c r="CT77" s="368">
        <f t="shared" si="156"/>
        <v>0</v>
      </c>
      <c r="CU77" s="369">
        <f t="shared" si="157"/>
        <v>0</v>
      </c>
      <c r="CV77" s="274" t="str">
        <f t="shared" si="158"/>
        <v/>
      </c>
      <c r="CW77" s="274" t="str">
        <f t="shared" si="159"/>
        <v/>
      </c>
      <c r="CX77" s="873" t="str">
        <f t="shared" si="160"/>
        <v/>
      </c>
      <c r="CY77" s="874">
        <f t="shared" si="161"/>
        <v>0</v>
      </c>
      <c r="CZ77" s="874">
        <f t="shared" si="162"/>
        <v>0</v>
      </c>
      <c r="DA77" s="874" t="str">
        <f t="shared" si="163"/>
        <v/>
      </c>
      <c r="DB77" s="1310" t="str">
        <f t="shared" si="199"/>
        <v/>
      </c>
      <c r="DC77" s="1310" t="str">
        <f t="shared" si="164"/>
        <v/>
      </c>
      <c r="DD77" s="1311">
        <f t="shared" si="200"/>
        <v>0</v>
      </c>
      <c r="DE77" s="1310">
        <f t="shared" si="165"/>
        <v>0</v>
      </c>
      <c r="DF77" s="1312">
        <f t="shared" si="166"/>
        <v>0</v>
      </c>
      <c r="DG77" s="1312" t="str">
        <f t="shared" si="167"/>
        <v/>
      </c>
      <c r="DH77" s="1310" t="str">
        <f t="shared" si="201"/>
        <v/>
      </c>
      <c r="DI77" s="1310" t="str">
        <f t="shared" si="168"/>
        <v/>
      </c>
      <c r="DJ77" s="1311">
        <f t="shared" si="202"/>
        <v>0</v>
      </c>
      <c r="DK77" s="1310" t="str">
        <f t="shared" si="203"/>
        <v/>
      </c>
      <c r="DL77" s="1310" t="str">
        <f t="shared" si="204"/>
        <v/>
      </c>
      <c r="DM77" s="1310" t="str">
        <f t="shared" si="169"/>
        <v/>
      </c>
      <c r="DN77" s="1310" t="str">
        <f t="shared" si="170"/>
        <v/>
      </c>
      <c r="DO77" s="889" t="str">
        <f t="shared" si="171"/>
        <v>ERR</v>
      </c>
      <c r="DP77" s="889" t="str">
        <f t="shared" si="172"/>
        <v>ERR</v>
      </c>
      <c r="DQ77" s="1310" t="str">
        <f t="shared" si="205"/>
        <v/>
      </c>
      <c r="DR77" s="1310" t="str">
        <f t="shared" si="206"/>
        <v/>
      </c>
      <c r="DS77" s="1310" t="str">
        <f t="shared" si="207"/>
        <v/>
      </c>
      <c r="DT77" s="1310" t="str">
        <f t="shared" si="173"/>
        <v/>
      </c>
      <c r="DU77" s="1310" t="str">
        <f t="shared" si="174"/>
        <v/>
      </c>
      <c r="DV77" s="889" t="str">
        <f t="shared" si="175"/>
        <v>ERR</v>
      </c>
      <c r="DW77" s="889" t="str">
        <f t="shared" si="176"/>
        <v>ERR</v>
      </c>
      <c r="DX77" s="873" t="str">
        <f t="shared" si="208"/>
        <v/>
      </c>
      <c r="DY77" s="873" t="str">
        <f t="shared" si="209"/>
        <v/>
      </c>
      <c r="DZ77" s="873" t="str">
        <f t="shared" si="218"/>
        <v/>
      </c>
      <c r="EA77" s="873" t="str">
        <f t="shared" si="219"/>
        <v/>
      </c>
      <c r="EB77" s="876" t="str">
        <f t="shared" si="177"/>
        <v/>
      </c>
      <c r="EC77" s="877" t="str">
        <f t="shared" si="210"/>
        <v/>
      </c>
      <c r="ED77" s="876" t="str">
        <f t="shared" si="178"/>
        <v/>
      </c>
      <c r="EE77" s="876" t="str">
        <f t="shared" si="179"/>
        <v/>
      </c>
      <c r="EF77" s="876" t="str">
        <f t="shared" si="180"/>
        <v/>
      </c>
      <c r="EG77" s="876" t="str">
        <f t="shared" si="181"/>
        <v/>
      </c>
      <c r="EH77" s="876" t="str">
        <f t="shared" si="182"/>
        <v/>
      </c>
      <c r="EI77" s="876" t="str">
        <f t="shared" si="183"/>
        <v/>
      </c>
      <c r="EJ77" s="876" t="str">
        <f t="shared" si="184"/>
        <v/>
      </c>
      <c r="EK77" s="874">
        <f t="shared" si="211"/>
        <v>0</v>
      </c>
      <c r="EL77" s="874">
        <f t="shared" si="212"/>
        <v>0</v>
      </c>
      <c r="EM77" s="874">
        <f t="shared" si="185"/>
        <v>0</v>
      </c>
      <c r="EN77" s="874" t="str">
        <f t="shared" si="186"/>
        <v/>
      </c>
      <c r="EO77" s="873" t="str">
        <f t="shared" si="213"/>
        <v/>
      </c>
      <c r="EP77" s="874">
        <f t="shared" si="214"/>
        <v>0</v>
      </c>
      <c r="EQ77" s="874">
        <f t="shared" si="215"/>
        <v>0</v>
      </c>
      <c r="ER77" s="874">
        <f t="shared" si="187"/>
        <v>0</v>
      </c>
      <c r="ES77" s="874" t="str">
        <f t="shared" si="188"/>
        <v/>
      </c>
      <c r="ET77" s="873" t="str">
        <f t="shared" si="216"/>
        <v/>
      </c>
      <c r="EU77" s="873">
        <f t="shared" si="189"/>
        <v>0</v>
      </c>
      <c r="EV77" s="876" t="e">
        <f t="shared" si="190"/>
        <v>#VALUE!</v>
      </c>
      <c r="EW77" s="876" t="e">
        <f t="shared" si="191"/>
        <v>#VALUE!</v>
      </c>
      <c r="EX77" s="942" t="str">
        <f t="shared" si="192"/>
        <v/>
      </c>
      <c r="EY77" s="879" t="e">
        <f t="shared" si="217"/>
        <v>#DIV/0!</v>
      </c>
      <c r="EZ77" s="959" t="e">
        <f t="shared" si="193"/>
        <v>#DIV/0!</v>
      </c>
      <c r="FA77" s="960" t="e">
        <f t="shared" si="194"/>
        <v>#DIV/0!</v>
      </c>
      <c r="FB77" s="880" t="str">
        <f t="shared" si="195"/>
        <v/>
      </c>
      <c r="FC77" s="881" t="str">
        <f t="shared" si="196"/>
        <v/>
      </c>
      <c r="FD77" s="512">
        <f t="shared" si="197"/>
        <v>0</v>
      </c>
      <c r="FE77" s="513">
        <f t="shared" si="198"/>
        <v>0</v>
      </c>
      <c r="FF77" s="754" t="b">
        <f t="shared" si="123"/>
        <v>0</v>
      </c>
      <c r="FG77" s="754" t="b">
        <f t="shared" si="124"/>
        <v>0</v>
      </c>
      <c r="FH77" s="754" t="b">
        <f t="shared" si="125"/>
        <v>0</v>
      </c>
      <c r="FI77" s="917" t="b">
        <f t="shared" si="126"/>
        <v>0</v>
      </c>
      <c r="FJ77" s="920" t="str">
        <f t="shared" si="136"/>
        <v/>
      </c>
      <c r="FK77" s="919" t="str">
        <f t="shared" si="137"/>
        <v/>
      </c>
      <c r="FL77" s="320" t="e">
        <f t="shared" si="138"/>
        <v>#N/A</v>
      </c>
      <c r="FM77" s="312" t="str">
        <f t="shared" si="127"/>
        <v/>
      </c>
      <c r="FN77" s="272" t="str">
        <f t="shared" ca="1" si="139"/>
        <v/>
      </c>
      <c r="FO77" s="273" t="str">
        <f t="shared" ca="1" si="140"/>
        <v/>
      </c>
      <c r="FP77" s="274" t="str">
        <f t="shared" ca="1" si="141"/>
        <v/>
      </c>
      <c r="FQ77" s="274" t="str">
        <f t="shared" ca="1" si="142"/>
        <v/>
      </c>
      <c r="FR77" s="321">
        <f t="shared" ca="1" si="143"/>
        <v>0</v>
      </c>
      <c r="FS77" s="322">
        <f t="shared" ca="1" si="144"/>
        <v>0</v>
      </c>
      <c r="FT77" s="272" t="str">
        <f t="shared" ca="1" si="149"/>
        <v/>
      </c>
      <c r="FU77" s="275" t="str">
        <f t="shared" ca="1" si="150"/>
        <v/>
      </c>
      <c r="FV77" s="323" t="str">
        <f t="shared" ca="1" si="151"/>
        <v/>
      </c>
      <c r="FW77" s="276" t="str">
        <f t="shared" ca="1" si="145"/>
        <v/>
      </c>
      <c r="FX77" s="276" t="str">
        <f t="shared" ca="1" si="146"/>
        <v/>
      </c>
      <c r="FY77" s="276" t="str">
        <f t="shared" ca="1" si="152"/>
        <v/>
      </c>
      <c r="FZ77" s="276" t="str">
        <f t="shared" ca="1" si="147"/>
        <v/>
      </c>
      <c r="GA77" s="276" t="str">
        <f t="shared" ca="1" si="153"/>
        <v/>
      </c>
      <c r="GB77" s="277" t="str">
        <f ca="1">IF(FY77="","",2+SUM(FO77:OFFSET(FO77,(FU77-1)*-1,0)))</f>
        <v/>
      </c>
      <c r="GC77" s="316" t="e">
        <f t="shared" si="148"/>
        <v>#N/A</v>
      </c>
      <c r="GD77" s="324" t="str">
        <f t="shared" si="128"/>
        <v/>
      </c>
      <c r="GE77" s="325" t="str">
        <f t="shared" si="129"/>
        <v/>
      </c>
      <c r="GF77" s="278" t="str">
        <f t="shared" si="130"/>
        <v/>
      </c>
      <c r="GG77" s="279" t="str">
        <f t="shared" si="131"/>
        <v/>
      </c>
      <c r="GH77" s="279" t="str">
        <f t="shared" si="132"/>
        <v/>
      </c>
      <c r="GI77" s="280" t="str">
        <f t="shared" si="133"/>
        <v/>
      </c>
      <c r="GJ77" s="326">
        <f t="shared" ca="1" si="134"/>
        <v>0</v>
      </c>
      <c r="GK77" s="913" t="str">
        <f t="shared" ca="1" si="135"/>
        <v/>
      </c>
    </row>
    <row r="78" spans="78:196" ht="12.6" hidden="1" customHeight="1" x14ac:dyDescent="0.2">
      <c r="BZ78" s="293"/>
      <c r="CA78" s="293"/>
      <c r="CB78" s="365" t="str">
        <f t="shared" si="154"/>
        <v/>
      </c>
      <c r="CC78" s="1304"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55"/>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367" t="str">
        <f>IF(CQ38="","",IF(VLOOKUP(CQ38,SectInfo!$B:$N,7,FALSE)="","",(VLOOKUP(CQ38,SectInfo!$B:$N,7,FALSE)*-1)))</f>
        <v/>
      </c>
      <c r="CR78" s="367" t="str">
        <f>IF(CQ38="","",IF(VLOOKUP(CQ38,SectInfo!$B:$N,8,FALSE)="",$FC$4,(VLOOKUP(CQ38,SectInfo!$B:$N,8,FALSE))))</f>
        <v/>
      </c>
      <c r="CS78" s="367" t="str">
        <f>IF(CQ38="","",VLOOKUP(CQ38,SectInfo!$B:$N,9,FALSE))</f>
        <v/>
      </c>
      <c r="CT78" s="368">
        <f t="shared" si="156"/>
        <v>0</v>
      </c>
      <c r="CU78" s="369">
        <f t="shared" si="157"/>
        <v>0</v>
      </c>
      <c r="CV78" s="274" t="str">
        <f t="shared" si="158"/>
        <v/>
      </c>
      <c r="CW78" s="274" t="str">
        <f t="shared" si="159"/>
        <v/>
      </c>
      <c r="CX78" s="873" t="str">
        <f t="shared" si="160"/>
        <v/>
      </c>
      <c r="CY78" s="874">
        <f t="shared" si="161"/>
        <v>0</v>
      </c>
      <c r="CZ78" s="874">
        <f t="shared" si="162"/>
        <v>0</v>
      </c>
      <c r="DA78" s="874" t="str">
        <f t="shared" si="163"/>
        <v/>
      </c>
      <c r="DB78" s="1310" t="str">
        <f t="shared" si="199"/>
        <v/>
      </c>
      <c r="DC78" s="1310" t="str">
        <f t="shared" si="164"/>
        <v/>
      </c>
      <c r="DD78" s="1311">
        <f t="shared" si="200"/>
        <v>0</v>
      </c>
      <c r="DE78" s="1310">
        <f t="shared" si="165"/>
        <v>0</v>
      </c>
      <c r="DF78" s="1312">
        <f t="shared" si="166"/>
        <v>0</v>
      </c>
      <c r="DG78" s="1312" t="str">
        <f t="shared" si="167"/>
        <v/>
      </c>
      <c r="DH78" s="1310" t="str">
        <f t="shared" si="201"/>
        <v/>
      </c>
      <c r="DI78" s="1310" t="str">
        <f t="shared" si="168"/>
        <v/>
      </c>
      <c r="DJ78" s="1311">
        <f t="shared" si="202"/>
        <v>0</v>
      </c>
      <c r="DK78" s="1310" t="str">
        <f t="shared" si="203"/>
        <v/>
      </c>
      <c r="DL78" s="1310" t="str">
        <f t="shared" si="204"/>
        <v/>
      </c>
      <c r="DM78" s="1310" t="str">
        <f t="shared" si="169"/>
        <v/>
      </c>
      <c r="DN78" s="1310" t="str">
        <f t="shared" si="170"/>
        <v/>
      </c>
      <c r="DO78" s="889" t="str">
        <f t="shared" si="171"/>
        <v>ERR</v>
      </c>
      <c r="DP78" s="889" t="str">
        <f t="shared" si="172"/>
        <v>ERR</v>
      </c>
      <c r="DQ78" s="1310" t="str">
        <f t="shared" si="205"/>
        <v/>
      </c>
      <c r="DR78" s="1310" t="str">
        <f t="shared" si="206"/>
        <v/>
      </c>
      <c r="DS78" s="1310" t="str">
        <f t="shared" si="207"/>
        <v/>
      </c>
      <c r="DT78" s="1310" t="str">
        <f t="shared" si="173"/>
        <v/>
      </c>
      <c r="DU78" s="1310" t="str">
        <f t="shared" si="174"/>
        <v/>
      </c>
      <c r="DV78" s="889" t="str">
        <f t="shared" si="175"/>
        <v>ERR</v>
      </c>
      <c r="DW78" s="889" t="str">
        <f t="shared" si="176"/>
        <v>ERR</v>
      </c>
      <c r="DX78" s="873" t="str">
        <f t="shared" si="208"/>
        <v/>
      </c>
      <c r="DY78" s="873" t="str">
        <f t="shared" si="209"/>
        <v/>
      </c>
      <c r="DZ78" s="873" t="str">
        <f t="shared" si="218"/>
        <v/>
      </c>
      <c r="EA78" s="873" t="str">
        <f t="shared" si="219"/>
        <v/>
      </c>
      <c r="EB78" s="876" t="str">
        <f t="shared" si="177"/>
        <v/>
      </c>
      <c r="EC78" s="877" t="str">
        <f t="shared" si="210"/>
        <v/>
      </c>
      <c r="ED78" s="876" t="str">
        <f t="shared" si="178"/>
        <v/>
      </c>
      <c r="EE78" s="876" t="str">
        <f t="shared" si="179"/>
        <v/>
      </c>
      <c r="EF78" s="876" t="str">
        <f t="shared" si="180"/>
        <v/>
      </c>
      <c r="EG78" s="876" t="str">
        <f t="shared" si="181"/>
        <v/>
      </c>
      <c r="EH78" s="876" t="str">
        <f t="shared" si="182"/>
        <v/>
      </c>
      <c r="EI78" s="876" t="str">
        <f t="shared" si="183"/>
        <v/>
      </c>
      <c r="EJ78" s="876" t="str">
        <f t="shared" si="184"/>
        <v/>
      </c>
      <c r="EK78" s="874">
        <f t="shared" si="211"/>
        <v>0</v>
      </c>
      <c r="EL78" s="874">
        <f t="shared" si="212"/>
        <v>0</v>
      </c>
      <c r="EM78" s="874">
        <f t="shared" si="185"/>
        <v>0</v>
      </c>
      <c r="EN78" s="874" t="str">
        <f t="shared" si="186"/>
        <v/>
      </c>
      <c r="EO78" s="873" t="str">
        <f t="shared" si="213"/>
        <v/>
      </c>
      <c r="EP78" s="874">
        <f t="shared" si="214"/>
        <v>0</v>
      </c>
      <c r="EQ78" s="874">
        <f t="shared" si="215"/>
        <v>0</v>
      </c>
      <c r="ER78" s="874">
        <f t="shared" si="187"/>
        <v>0</v>
      </c>
      <c r="ES78" s="874" t="str">
        <f t="shared" si="188"/>
        <v/>
      </c>
      <c r="ET78" s="873" t="str">
        <f t="shared" si="216"/>
        <v/>
      </c>
      <c r="EU78" s="873">
        <f t="shared" si="189"/>
        <v>0</v>
      </c>
      <c r="EV78" s="876" t="e">
        <f t="shared" si="190"/>
        <v>#VALUE!</v>
      </c>
      <c r="EW78" s="876" t="e">
        <f t="shared" si="191"/>
        <v>#VALUE!</v>
      </c>
      <c r="EX78" s="942" t="str">
        <f t="shared" si="192"/>
        <v/>
      </c>
      <c r="EY78" s="879" t="e">
        <f t="shared" si="217"/>
        <v>#DIV/0!</v>
      </c>
      <c r="EZ78" s="959" t="e">
        <f t="shared" si="193"/>
        <v>#DIV/0!</v>
      </c>
      <c r="FA78" s="960" t="e">
        <f t="shared" si="194"/>
        <v>#DIV/0!</v>
      </c>
      <c r="FB78" s="880" t="str">
        <f t="shared" si="195"/>
        <v/>
      </c>
      <c r="FC78" s="881" t="str">
        <f t="shared" si="196"/>
        <v/>
      </c>
      <c r="FD78" s="512">
        <f t="shared" si="197"/>
        <v>0</v>
      </c>
      <c r="FE78" s="513">
        <f t="shared" si="198"/>
        <v>0</v>
      </c>
      <c r="FF78" s="754" t="b">
        <f t="shared" si="123"/>
        <v>0</v>
      </c>
      <c r="FG78" s="754" t="b">
        <f t="shared" si="124"/>
        <v>0</v>
      </c>
      <c r="FH78" s="754" t="b">
        <f t="shared" si="125"/>
        <v>0</v>
      </c>
      <c r="FI78" s="917" t="b">
        <f t="shared" si="126"/>
        <v>0</v>
      </c>
      <c r="FJ78" s="920" t="str">
        <f t="shared" si="136"/>
        <v/>
      </c>
      <c r="FK78" s="919" t="str">
        <f t="shared" si="137"/>
        <v/>
      </c>
      <c r="FL78" s="320" t="e">
        <f t="shared" si="138"/>
        <v>#N/A</v>
      </c>
      <c r="FM78" s="312" t="str">
        <f t="shared" si="127"/>
        <v/>
      </c>
      <c r="FN78" s="272" t="str">
        <f t="shared" ca="1" si="139"/>
        <v/>
      </c>
      <c r="FO78" s="273" t="str">
        <f t="shared" ca="1" si="140"/>
        <v/>
      </c>
      <c r="FP78" s="274" t="str">
        <f t="shared" ca="1" si="141"/>
        <v/>
      </c>
      <c r="FQ78" s="274" t="str">
        <f t="shared" ca="1" si="142"/>
        <v/>
      </c>
      <c r="FR78" s="321">
        <f t="shared" ca="1" si="143"/>
        <v>0</v>
      </c>
      <c r="FS78" s="322">
        <f t="shared" ca="1" si="144"/>
        <v>0</v>
      </c>
      <c r="FT78" s="272" t="str">
        <f t="shared" ca="1" si="149"/>
        <v/>
      </c>
      <c r="FU78" s="275" t="str">
        <f t="shared" ca="1" si="150"/>
        <v/>
      </c>
      <c r="FV78" s="323" t="str">
        <f t="shared" ca="1" si="151"/>
        <v/>
      </c>
      <c r="FW78" s="276" t="str">
        <f t="shared" ca="1" si="145"/>
        <v/>
      </c>
      <c r="FX78" s="276" t="str">
        <f t="shared" ca="1" si="146"/>
        <v/>
      </c>
      <c r="FY78" s="276" t="str">
        <f t="shared" ca="1" si="152"/>
        <v/>
      </c>
      <c r="FZ78" s="276" t="str">
        <f t="shared" ca="1" si="147"/>
        <v/>
      </c>
      <c r="GA78" s="276" t="str">
        <f t="shared" ca="1" si="153"/>
        <v/>
      </c>
      <c r="GB78" s="277" t="str">
        <f ca="1">IF(FY78="","",2+SUM(FO78:OFFSET(FO78,(FU78-1)*-1,0)))</f>
        <v/>
      </c>
      <c r="GC78" s="316" t="e">
        <f t="shared" si="148"/>
        <v>#N/A</v>
      </c>
      <c r="GD78" s="324" t="str">
        <f t="shared" si="128"/>
        <v/>
      </c>
      <c r="GE78" s="325" t="str">
        <f t="shared" si="129"/>
        <v/>
      </c>
      <c r="GF78" s="278" t="str">
        <f t="shared" si="130"/>
        <v/>
      </c>
      <c r="GG78" s="279" t="str">
        <f t="shared" si="131"/>
        <v/>
      </c>
      <c r="GH78" s="279" t="str">
        <f t="shared" si="132"/>
        <v/>
      </c>
      <c r="GI78" s="280" t="str">
        <f t="shared" si="133"/>
        <v/>
      </c>
      <c r="GJ78" s="326">
        <f t="shared" ca="1" si="134"/>
        <v>0</v>
      </c>
      <c r="GK78" s="913" t="str">
        <f t="shared" ca="1" si="135"/>
        <v/>
      </c>
    </row>
    <row r="79" spans="78:196" ht="12.6" hidden="1" customHeight="1" x14ac:dyDescent="0.2">
      <c r="BZ79" s="293"/>
      <c r="CA79" s="293"/>
      <c r="CB79" s="365" t="str">
        <f t="shared" si="154"/>
        <v/>
      </c>
      <c r="CC79" s="1304"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55"/>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367" t="str">
        <f>IF(CQ39="","",IF(VLOOKUP(CQ39,SectInfo!$B:$N,7,FALSE)="","",(VLOOKUP(CQ39,SectInfo!$B:$N,7,FALSE)*-1)))</f>
        <v/>
      </c>
      <c r="CR79" s="367" t="str">
        <f>IF(CQ39="","",IF(VLOOKUP(CQ39,SectInfo!$B:$N,8,FALSE)="",$FC$4,(VLOOKUP(CQ39,SectInfo!$B:$N,8,FALSE))))</f>
        <v/>
      </c>
      <c r="CS79" s="367" t="str">
        <f>IF(CQ39="","",VLOOKUP(CQ39,SectInfo!$B:$N,9,FALSE))</f>
        <v/>
      </c>
      <c r="CT79" s="368">
        <f t="shared" si="156"/>
        <v>0</v>
      </c>
      <c r="CU79" s="369">
        <f t="shared" si="157"/>
        <v>0</v>
      </c>
      <c r="CV79" s="274" t="str">
        <f t="shared" si="158"/>
        <v/>
      </c>
      <c r="CW79" s="274" t="str">
        <f t="shared" si="159"/>
        <v/>
      </c>
      <c r="CX79" s="873" t="str">
        <f t="shared" si="160"/>
        <v/>
      </c>
      <c r="CY79" s="874">
        <f t="shared" si="161"/>
        <v>0</v>
      </c>
      <c r="CZ79" s="874">
        <f t="shared" si="162"/>
        <v>0</v>
      </c>
      <c r="DA79" s="874" t="str">
        <f t="shared" si="163"/>
        <v/>
      </c>
      <c r="DB79" s="1310" t="str">
        <f t="shared" si="199"/>
        <v/>
      </c>
      <c r="DC79" s="1310" t="str">
        <f t="shared" si="164"/>
        <v/>
      </c>
      <c r="DD79" s="1311">
        <f t="shared" si="200"/>
        <v>0</v>
      </c>
      <c r="DE79" s="1310">
        <f t="shared" si="165"/>
        <v>0</v>
      </c>
      <c r="DF79" s="1312">
        <f t="shared" si="166"/>
        <v>0</v>
      </c>
      <c r="DG79" s="1312" t="str">
        <f t="shared" si="167"/>
        <v/>
      </c>
      <c r="DH79" s="1310" t="str">
        <f t="shared" si="201"/>
        <v/>
      </c>
      <c r="DI79" s="1310" t="str">
        <f t="shared" si="168"/>
        <v/>
      </c>
      <c r="DJ79" s="1311">
        <f t="shared" si="202"/>
        <v>0</v>
      </c>
      <c r="DK79" s="1310" t="str">
        <f t="shared" si="203"/>
        <v/>
      </c>
      <c r="DL79" s="1310" t="str">
        <f t="shared" si="204"/>
        <v/>
      </c>
      <c r="DM79" s="1310" t="str">
        <f t="shared" si="169"/>
        <v/>
      </c>
      <c r="DN79" s="1310" t="str">
        <f t="shared" si="170"/>
        <v/>
      </c>
      <c r="DO79" s="889" t="str">
        <f t="shared" si="171"/>
        <v>ERR</v>
      </c>
      <c r="DP79" s="889" t="str">
        <f t="shared" si="172"/>
        <v>ERR</v>
      </c>
      <c r="DQ79" s="1310" t="str">
        <f t="shared" si="205"/>
        <v/>
      </c>
      <c r="DR79" s="1310" t="str">
        <f t="shared" si="206"/>
        <v/>
      </c>
      <c r="DS79" s="1310" t="str">
        <f t="shared" si="207"/>
        <v/>
      </c>
      <c r="DT79" s="1310" t="str">
        <f t="shared" si="173"/>
        <v/>
      </c>
      <c r="DU79" s="1310" t="str">
        <f t="shared" si="174"/>
        <v/>
      </c>
      <c r="DV79" s="889" t="str">
        <f t="shared" si="175"/>
        <v>ERR</v>
      </c>
      <c r="DW79" s="889" t="str">
        <f t="shared" si="176"/>
        <v>ERR</v>
      </c>
      <c r="DX79" s="873" t="str">
        <f t="shared" si="208"/>
        <v/>
      </c>
      <c r="DY79" s="873" t="str">
        <f t="shared" si="209"/>
        <v/>
      </c>
      <c r="DZ79" s="873" t="str">
        <f t="shared" si="218"/>
        <v/>
      </c>
      <c r="EA79" s="873" t="str">
        <f t="shared" si="219"/>
        <v/>
      </c>
      <c r="EB79" s="876" t="str">
        <f t="shared" si="177"/>
        <v/>
      </c>
      <c r="EC79" s="877" t="str">
        <f t="shared" si="210"/>
        <v/>
      </c>
      <c r="ED79" s="876" t="str">
        <f t="shared" si="178"/>
        <v/>
      </c>
      <c r="EE79" s="876" t="str">
        <f t="shared" si="179"/>
        <v/>
      </c>
      <c r="EF79" s="876" t="str">
        <f t="shared" si="180"/>
        <v/>
      </c>
      <c r="EG79" s="876" t="str">
        <f t="shared" si="181"/>
        <v/>
      </c>
      <c r="EH79" s="876" t="str">
        <f t="shared" si="182"/>
        <v/>
      </c>
      <c r="EI79" s="876" t="str">
        <f t="shared" si="183"/>
        <v/>
      </c>
      <c r="EJ79" s="876" t="str">
        <f t="shared" si="184"/>
        <v/>
      </c>
      <c r="EK79" s="874">
        <f t="shared" si="211"/>
        <v>0</v>
      </c>
      <c r="EL79" s="874">
        <f t="shared" si="212"/>
        <v>0</v>
      </c>
      <c r="EM79" s="874">
        <f t="shared" si="185"/>
        <v>0</v>
      </c>
      <c r="EN79" s="874" t="str">
        <f t="shared" si="186"/>
        <v/>
      </c>
      <c r="EO79" s="873" t="str">
        <f t="shared" si="213"/>
        <v/>
      </c>
      <c r="EP79" s="874">
        <f t="shared" si="214"/>
        <v>0</v>
      </c>
      <c r="EQ79" s="874">
        <f t="shared" si="215"/>
        <v>0</v>
      </c>
      <c r="ER79" s="874">
        <f t="shared" si="187"/>
        <v>0</v>
      </c>
      <c r="ES79" s="874" t="str">
        <f t="shared" si="188"/>
        <v/>
      </c>
      <c r="ET79" s="873" t="str">
        <f t="shared" si="216"/>
        <v/>
      </c>
      <c r="EU79" s="873">
        <f t="shared" si="189"/>
        <v>0</v>
      </c>
      <c r="EV79" s="876" t="e">
        <f t="shared" si="190"/>
        <v>#VALUE!</v>
      </c>
      <c r="EW79" s="876" t="e">
        <f t="shared" si="191"/>
        <v>#VALUE!</v>
      </c>
      <c r="EX79" s="942" t="str">
        <f t="shared" si="192"/>
        <v/>
      </c>
      <c r="EY79" s="879" t="e">
        <f t="shared" si="217"/>
        <v>#DIV/0!</v>
      </c>
      <c r="EZ79" s="959" t="e">
        <f t="shared" si="193"/>
        <v>#DIV/0!</v>
      </c>
      <c r="FA79" s="960" t="e">
        <f t="shared" si="194"/>
        <v>#DIV/0!</v>
      </c>
      <c r="FB79" s="880" t="str">
        <f t="shared" si="195"/>
        <v/>
      </c>
      <c r="FC79" s="881" t="str">
        <f t="shared" si="196"/>
        <v/>
      </c>
      <c r="FD79" s="512">
        <f t="shared" si="197"/>
        <v>0</v>
      </c>
      <c r="FE79" s="513">
        <f t="shared" si="198"/>
        <v>0</v>
      </c>
      <c r="FF79" s="754" t="b">
        <f t="shared" si="123"/>
        <v>0</v>
      </c>
      <c r="FG79" s="754" t="b">
        <f t="shared" si="124"/>
        <v>0</v>
      </c>
      <c r="FH79" s="754" t="b">
        <f t="shared" si="125"/>
        <v>0</v>
      </c>
      <c r="FI79" s="917" t="b">
        <f t="shared" si="126"/>
        <v>0</v>
      </c>
      <c r="FJ79" s="920" t="str">
        <f t="shared" si="136"/>
        <v/>
      </c>
      <c r="FK79" s="919" t="str">
        <f t="shared" si="137"/>
        <v/>
      </c>
      <c r="FL79" s="320" t="e">
        <f t="shared" si="138"/>
        <v>#N/A</v>
      </c>
      <c r="FM79" s="312" t="str">
        <f t="shared" si="127"/>
        <v/>
      </c>
      <c r="FN79" s="272" t="str">
        <f t="shared" ca="1" si="139"/>
        <v/>
      </c>
      <c r="FO79" s="273" t="str">
        <f t="shared" ca="1" si="140"/>
        <v/>
      </c>
      <c r="FP79" s="274" t="str">
        <f t="shared" ca="1" si="141"/>
        <v/>
      </c>
      <c r="FQ79" s="274" t="str">
        <f t="shared" ca="1" si="142"/>
        <v/>
      </c>
      <c r="FR79" s="321">
        <f t="shared" ca="1" si="143"/>
        <v>0</v>
      </c>
      <c r="FS79" s="322">
        <f t="shared" ca="1" si="144"/>
        <v>0</v>
      </c>
      <c r="FT79" s="272" t="str">
        <f t="shared" ca="1" si="149"/>
        <v/>
      </c>
      <c r="FU79" s="275" t="str">
        <f t="shared" ca="1" si="150"/>
        <v/>
      </c>
      <c r="FV79" s="323" t="str">
        <f t="shared" ca="1" si="151"/>
        <v/>
      </c>
      <c r="FW79" s="276" t="str">
        <f t="shared" ca="1" si="145"/>
        <v/>
      </c>
      <c r="FX79" s="276" t="str">
        <f t="shared" ca="1" si="146"/>
        <v/>
      </c>
      <c r="FY79" s="276" t="str">
        <f t="shared" ca="1" si="152"/>
        <v/>
      </c>
      <c r="FZ79" s="276" t="str">
        <f t="shared" ca="1" si="147"/>
        <v/>
      </c>
      <c r="GA79" s="276" t="str">
        <f t="shared" ca="1" si="153"/>
        <v/>
      </c>
      <c r="GB79" s="277" t="str">
        <f ca="1">IF(FY79="","",2+SUM(FO79:OFFSET(FO79,(FU79-1)*-1,0)))</f>
        <v/>
      </c>
      <c r="GC79" s="316" t="e">
        <f t="shared" si="148"/>
        <v>#N/A</v>
      </c>
      <c r="GD79" s="324" t="str">
        <f t="shared" si="128"/>
        <v/>
      </c>
      <c r="GE79" s="325" t="str">
        <f t="shared" si="129"/>
        <v/>
      </c>
      <c r="GF79" s="278" t="str">
        <f t="shared" si="130"/>
        <v/>
      </c>
      <c r="GG79" s="279" t="str">
        <f t="shared" si="131"/>
        <v/>
      </c>
      <c r="GH79" s="279" t="str">
        <f t="shared" si="132"/>
        <v/>
      </c>
      <c r="GI79" s="280" t="str">
        <f t="shared" si="133"/>
        <v/>
      </c>
      <c r="GJ79" s="326">
        <f t="shared" ca="1" si="134"/>
        <v>0</v>
      </c>
      <c r="GK79" s="913" t="str">
        <f t="shared" ca="1" si="135"/>
        <v/>
      </c>
    </row>
    <row r="80" spans="78:196" ht="12.6" hidden="1" customHeight="1" x14ac:dyDescent="0.2">
      <c r="BZ80" s="293"/>
      <c r="CA80" s="293"/>
      <c r="CB80" s="365" t="str">
        <f t="shared" si="154"/>
        <v/>
      </c>
      <c r="CC80" s="1304"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55"/>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367" t="str">
        <f>IF(CQ40="","",IF(VLOOKUP(CQ40,SectInfo!$B:$N,7,FALSE)="","",(VLOOKUP(CQ40,SectInfo!$B:$N,7,FALSE)*-1)))</f>
        <v/>
      </c>
      <c r="CR80" s="367" t="str">
        <f>IF(CQ40="","",IF(VLOOKUP(CQ40,SectInfo!$B:$N,8,FALSE)="",$FC$4,(VLOOKUP(CQ40,SectInfo!$B:$N,8,FALSE))))</f>
        <v/>
      </c>
      <c r="CS80" s="367" t="str">
        <f>IF(CQ40="","",VLOOKUP(CQ40,SectInfo!$B:$N,9,FALSE))</f>
        <v/>
      </c>
      <c r="CT80" s="368">
        <f t="shared" si="156"/>
        <v>0</v>
      </c>
      <c r="CU80" s="369">
        <f t="shared" si="157"/>
        <v>0</v>
      </c>
      <c r="CV80" s="274" t="str">
        <f t="shared" si="158"/>
        <v/>
      </c>
      <c r="CW80" s="274" t="str">
        <f t="shared" si="159"/>
        <v/>
      </c>
      <c r="CX80" s="873" t="str">
        <f t="shared" si="160"/>
        <v/>
      </c>
      <c r="CY80" s="874">
        <f t="shared" si="161"/>
        <v>0</v>
      </c>
      <c r="CZ80" s="874">
        <f t="shared" si="162"/>
        <v>0</v>
      </c>
      <c r="DA80" s="874" t="str">
        <f t="shared" si="163"/>
        <v/>
      </c>
      <c r="DB80" s="1310" t="str">
        <f t="shared" si="199"/>
        <v/>
      </c>
      <c r="DC80" s="1310" t="str">
        <f t="shared" si="164"/>
        <v/>
      </c>
      <c r="DD80" s="1311">
        <f t="shared" si="200"/>
        <v>0</v>
      </c>
      <c r="DE80" s="1310">
        <f t="shared" si="165"/>
        <v>0</v>
      </c>
      <c r="DF80" s="1312">
        <f t="shared" si="166"/>
        <v>0</v>
      </c>
      <c r="DG80" s="1312" t="str">
        <f t="shared" si="167"/>
        <v/>
      </c>
      <c r="DH80" s="1310" t="str">
        <f t="shared" si="201"/>
        <v/>
      </c>
      <c r="DI80" s="1310" t="str">
        <f t="shared" si="168"/>
        <v/>
      </c>
      <c r="DJ80" s="1311">
        <f t="shared" si="202"/>
        <v>0</v>
      </c>
      <c r="DK80" s="1310" t="str">
        <f t="shared" si="203"/>
        <v/>
      </c>
      <c r="DL80" s="1310" t="str">
        <f t="shared" si="204"/>
        <v/>
      </c>
      <c r="DM80" s="1310" t="str">
        <f t="shared" si="169"/>
        <v/>
      </c>
      <c r="DN80" s="1310" t="str">
        <f t="shared" si="170"/>
        <v/>
      </c>
      <c r="DO80" s="889" t="str">
        <f t="shared" si="171"/>
        <v>ERR</v>
      </c>
      <c r="DP80" s="889" t="str">
        <f t="shared" si="172"/>
        <v>ERR</v>
      </c>
      <c r="DQ80" s="1310" t="str">
        <f t="shared" si="205"/>
        <v/>
      </c>
      <c r="DR80" s="1310" t="str">
        <f t="shared" si="206"/>
        <v/>
      </c>
      <c r="DS80" s="1310" t="str">
        <f t="shared" si="207"/>
        <v/>
      </c>
      <c r="DT80" s="1310" t="str">
        <f t="shared" si="173"/>
        <v/>
      </c>
      <c r="DU80" s="1310" t="str">
        <f t="shared" si="174"/>
        <v/>
      </c>
      <c r="DV80" s="889" t="str">
        <f t="shared" si="175"/>
        <v>ERR</v>
      </c>
      <c r="DW80" s="889" t="str">
        <f t="shared" si="176"/>
        <v>ERR</v>
      </c>
      <c r="DX80" s="873" t="str">
        <f t="shared" si="208"/>
        <v/>
      </c>
      <c r="DY80" s="873" t="str">
        <f t="shared" si="209"/>
        <v/>
      </c>
      <c r="DZ80" s="873" t="str">
        <f t="shared" si="218"/>
        <v/>
      </c>
      <c r="EA80" s="873" t="str">
        <f t="shared" si="219"/>
        <v/>
      </c>
      <c r="EB80" s="876" t="str">
        <f t="shared" si="177"/>
        <v/>
      </c>
      <c r="EC80" s="877" t="str">
        <f t="shared" si="210"/>
        <v/>
      </c>
      <c r="ED80" s="876" t="str">
        <f t="shared" si="178"/>
        <v/>
      </c>
      <c r="EE80" s="876" t="str">
        <f t="shared" si="179"/>
        <v/>
      </c>
      <c r="EF80" s="876" t="str">
        <f t="shared" si="180"/>
        <v/>
      </c>
      <c r="EG80" s="876" t="str">
        <f t="shared" si="181"/>
        <v/>
      </c>
      <c r="EH80" s="876" t="str">
        <f t="shared" si="182"/>
        <v/>
      </c>
      <c r="EI80" s="876" t="str">
        <f t="shared" si="183"/>
        <v/>
      </c>
      <c r="EJ80" s="876" t="str">
        <f t="shared" si="184"/>
        <v/>
      </c>
      <c r="EK80" s="874">
        <f t="shared" si="211"/>
        <v>0</v>
      </c>
      <c r="EL80" s="874">
        <f t="shared" si="212"/>
        <v>0</v>
      </c>
      <c r="EM80" s="874">
        <f t="shared" si="185"/>
        <v>0</v>
      </c>
      <c r="EN80" s="874" t="str">
        <f t="shared" si="186"/>
        <v/>
      </c>
      <c r="EO80" s="873" t="str">
        <f t="shared" si="213"/>
        <v/>
      </c>
      <c r="EP80" s="874">
        <f t="shared" si="214"/>
        <v>0</v>
      </c>
      <c r="EQ80" s="874">
        <f t="shared" si="215"/>
        <v>0</v>
      </c>
      <c r="ER80" s="874">
        <f t="shared" si="187"/>
        <v>0</v>
      </c>
      <c r="ES80" s="874" t="str">
        <f t="shared" si="188"/>
        <v/>
      </c>
      <c r="ET80" s="873" t="str">
        <f t="shared" si="216"/>
        <v/>
      </c>
      <c r="EU80" s="873">
        <f t="shared" si="189"/>
        <v>0</v>
      </c>
      <c r="EV80" s="876" t="e">
        <f t="shared" si="190"/>
        <v>#VALUE!</v>
      </c>
      <c r="EW80" s="876" t="e">
        <f t="shared" si="191"/>
        <v>#VALUE!</v>
      </c>
      <c r="EX80" s="942" t="str">
        <f t="shared" si="192"/>
        <v/>
      </c>
      <c r="EY80" s="879" t="e">
        <f t="shared" si="217"/>
        <v>#DIV/0!</v>
      </c>
      <c r="EZ80" s="959" t="e">
        <f t="shared" si="193"/>
        <v>#DIV/0!</v>
      </c>
      <c r="FA80" s="960" t="e">
        <f t="shared" si="194"/>
        <v>#DIV/0!</v>
      </c>
      <c r="FB80" s="880" t="str">
        <f t="shared" si="195"/>
        <v/>
      </c>
      <c r="FC80" s="881" t="str">
        <f t="shared" si="196"/>
        <v/>
      </c>
      <c r="FD80" s="512">
        <f t="shared" si="197"/>
        <v>0</v>
      </c>
      <c r="FE80" s="513">
        <f t="shared" si="198"/>
        <v>0</v>
      </c>
      <c r="FF80" s="754" t="b">
        <f t="shared" si="123"/>
        <v>0</v>
      </c>
      <c r="FG80" s="754" t="b">
        <f t="shared" si="124"/>
        <v>0</v>
      </c>
      <c r="FH80" s="754" t="b">
        <f t="shared" si="125"/>
        <v>0</v>
      </c>
      <c r="FI80" s="917" t="b">
        <f t="shared" si="126"/>
        <v>0</v>
      </c>
      <c r="FJ80" s="920" t="str">
        <f t="shared" si="136"/>
        <v/>
      </c>
      <c r="FK80" s="919" t="str">
        <f t="shared" si="137"/>
        <v/>
      </c>
      <c r="FL80" s="320" t="e">
        <f t="shared" si="138"/>
        <v>#N/A</v>
      </c>
      <c r="FM80" s="312" t="str">
        <f t="shared" si="127"/>
        <v/>
      </c>
      <c r="FN80" s="272" t="str">
        <f t="shared" ca="1" si="139"/>
        <v/>
      </c>
      <c r="FO80" s="273" t="str">
        <f t="shared" ca="1" si="140"/>
        <v/>
      </c>
      <c r="FP80" s="274" t="str">
        <f t="shared" ca="1" si="141"/>
        <v/>
      </c>
      <c r="FQ80" s="274" t="str">
        <f t="shared" ca="1" si="142"/>
        <v/>
      </c>
      <c r="FR80" s="321">
        <f t="shared" ca="1" si="143"/>
        <v>0</v>
      </c>
      <c r="FS80" s="322">
        <f t="shared" ca="1" si="144"/>
        <v>0</v>
      </c>
      <c r="FT80" s="272" t="str">
        <f t="shared" ca="1" si="149"/>
        <v/>
      </c>
      <c r="FU80" s="275" t="str">
        <f t="shared" ca="1" si="150"/>
        <v/>
      </c>
      <c r="FV80" s="323" t="str">
        <f t="shared" ca="1" si="151"/>
        <v/>
      </c>
      <c r="FW80" s="276" t="str">
        <f t="shared" ca="1" si="145"/>
        <v/>
      </c>
      <c r="FX80" s="276" t="str">
        <f t="shared" ca="1" si="146"/>
        <v/>
      </c>
      <c r="FY80" s="276" t="str">
        <f t="shared" ca="1" si="152"/>
        <v/>
      </c>
      <c r="FZ80" s="276" t="str">
        <f t="shared" ca="1" si="147"/>
        <v/>
      </c>
      <c r="GA80" s="276" t="str">
        <f t="shared" ca="1" si="153"/>
        <v/>
      </c>
      <c r="GB80" s="277" t="str">
        <f ca="1">IF(FY80="","",2+SUM(FO80:OFFSET(FO80,(FU80-1)*-1,0)))</f>
        <v/>
      </c>
      <c r="GC80" s="316" t="e">
        <f t="shared" si="148"/>
        <v>#N/A</v>
      </c>
      <c r="GD80" s="324" t="str">
        <f t="shared" si="128"/>
        <v/>
      </c>
      <c r="GE80" s="325" t="str">
        <f t="shared" si="129"/>
        <v/>
      </c>
      <c r="GF80" s="278" t="str">
        <f t="shared" si="130"/>
        <v/>
      </c>
      <c r="GG80" s="279" t="str">
        <f t="shared" si="131"/>
        <v/>
      </c>
      <c r="GH80" s="279" t="str">
        <f t="shared" si="132"/>
        <v/>
      </c>
      <c r="GI80" s="280" t="str">
        <f t="shared" si="133"/>
        <v/>
      </c>
      <c r="GJ80" s="326">
        <f t="shared" ca="1" si="134"/>
        <v>0</v>
      </c>
      <c r="GK80" s="913" t="str">
        <f t="shared" ca="1" si="135"/>
        <v/>
      </c>
    </row>
    <row r="81" spans="1:238" ht="12.6" hidden="1" customHeight="1" x14ac:dyDescent="0.2">
      <c r="BZ81" s="293"/>
      <c r="CA81" s="293"/>
      <c r="CB81" s="365" t="str">
        <f t="shared" si="154"/>
        <v/>
      </c>
      <c r="CC81" s="1304"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55"/>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367" t="str">
        <f>IF(CQ41="","",IF(VLOOKUP(CQ41,SectInfo!$B:$N,7,FALSE)="","",(VLOOKUP(CQ41,SectInfo!$B:$N,7,FALSE)*-1)))</f>
        <v/>
      </c>
      <c r="CR81" s="367" t="str">
        <f>IF(CQ41="","",IF(VLOOKUP(CQ41,SectInfo!$B:$N,8,FALSE)="",$FC$4,(VLOOKUP(CQ41,SectInfo!$B:$N,8,FALSE))))</f>
        <v/>
      </c>
      <c r="CS81" s="367" t="str">
        <f>IF(CQ41="","",VLOOKUP(CQ41,SectInfo!$B:$N,9,FALSE))</f>
        <v/>
      </c>
      <c r="CT81" s="368">
        <f t="shared" si="156"/>
        <v>0</v>
      </c>
      <c r="CU81" s="369">
        <f t="shared" si="157"/>
        <v>0</v>
      </c>
      <c r="CV81" s="274" t="str">
        <f t="shared" si="158"/>
        <v/>
      </c>
      <c r="CW81" s="274" t="str">
        <f t="shared" si="159"/>
        <v/>
      </c>
      <c r="CX81" s="873" t="str">
        <f t="shared" si="160"/>
        <v/>
      </c>
      <c r="CY81" s="874">
        <f t="shared" si="161"/>
        <v>0</v>
      </c>
      <c r="CZ81" s="874">
        <f t="shared" si="162"/>
        <v>0</v>
      </c>
      <c r="DA81" s="874" t="str">
        <f t="shared" si="163"/>
        <v/>
      </c>
      <c r="DB81" s="1310" t="str">
        <f t="shared" si="199"/>
        <v/>
      </c>
      <c r="DC81" s="1310" t="str">
        <f t="shared" si="164"/>
        <v/>
      </c>
      <c r="DD81" s="1311">
        <f t="shared" si="200"/>
        <v>0</v>
      </c>
      <c r="DE81" s="1310">
        <f t="shared" si="165"/>
        <v>0</v>
      </c>
      <c r="DF81" s="1312">
        <f t="shared" si="166"/>
        <v>0</v>
      </c>
      <c r="DG81" s="1312" t="str">
        <f t="shared" si="167"/>
        <v/>
      </c>
      <c r="DH81" s="1310" t="str">
        <f t="shared" si="201"/>
        <v/>
      </c>
      <c r="DI81" s="1310" t="str">
        <f t="shared" si="168"/>
        <v/>
      </c>
      <c r="DJ81" s="1311">
        <f t="shared" si="202"/>
        <v>0</v>
      </c>
      <c r="DK81" s="1310" t="str">
        <f t="shared" si="203"/>
        <v/>
      </c>
      <c r="DL81" s="1310" t="str">
        <f t="shared" si="204"/>
        <v/>
      </c>
      <c r="DM81" s="1310" t="str">
        <f t="shared" si="169"/>
        <v/>
      </c>
      <c r="DN81" s="1310" t="str">
        <f t="shared" si="170"/>
        <v/>
      </c>
      <c r="DO81" s="889" t="str">
        <f t="shared" si="171"/>
        <v>ERR</v>
      </c>
      <c r="DP81" s="889" t="str">
        <f t="shared" si="172"/>
        <v>ERR</v>
      </c>
      <c r="DQ81" s="1310" t="str">
        <f t="shared" si="205"/>
        <v/>
      </c>
      <c r="DR81" s="1310" t="str">
        <f t="shared" si="206"/>
        <v/>
      </c>
      <c r="DS81" s="1310" t="str">
        <f t="shared" si="207"/>
        <v/>
      </c>
      <c r="DT81" s="1310" t="str">
        <f t="shared" si="173"/>
        <v/>
      </c>
      <c r="DU81" s="1310" t="str">
        <f t="shared" si="174"/>
        <v/>
      </c>
      <c r="DV81" s="889" t="str">
        <f t="shared" si="175"/>
        <v>ERR</v>
      </c>
      <c r="DW81" s="889" t="str">
        <f t="shared" si="176"/>
        <v>ERR</v>
      </c>
      <c r="DX81" s="873" t="str">
        <f t="shared" si="208"/>
        <v/>
      </c>
      <c r="DY81" s="873" t="str">
        <f t="shared" si="209"/>
        <v/>
      </c>
      <c r="DZ81" s="873" t="str">
        <f t="shared" si="218"/>
        <v/>
      </c>
      <c r="EA81" s="873" t="str">
        <f t="shared" si="219"/>
        <v/>
      </c>
      <c r="EB81" s="876" t="str">
        <f t="shared" si="177"/>
        <v/>
      </c>
      <c r="EC81" s="877" t="str">
        <f t="shared" si="210"/>
        <v/>
      </c>
      <c r="ED81" s="876" t="str">
        <f t="shared" si="178"/>
        <v/>
      </c>
      <c r="EE81" s="876" t="str">
        <f t="shared" si="179"/>
        <v/>
      </c>
      <c r="EF81" s="876" t="str">
        <f t="shared" si="180"/>
        <v/>
      </c>
      <c r="EG81" s="876" t="str">
        <f t="shared" si="181"/>
        <v/>
      </c>
      <c r="EH81" s="876" t="str">
        <f t="shared" si="182"/>
        <v/>
      </c>
      <c r="EI81" s="876" t="str">
        <f t="shared" si="183"/>
        <v/>
      </c>
      <c r="EJ81" s="876" t="str">
        <f t="shared" si="184"/>
        <v/>
      </c>
      <c r="EK81" s="874">
        <f t="shared" si="211"/>
        <v>0</v>
      </c>
      <c r="EL81" s="874">
        <f t="shared" si="212"/>
        <v>0</v>
      </c>
      <c r="EM81" s="874">
        <f t="shared" si="185"/>
        <v>0</v>
      </c>
      <c r="EN81" s="874" t="str">
        <f t="shared" si="186"/>
        <v/>
      </c>
      <c r="EO81" s="873" t="str">
        <f t="shared" si="213"/>
        <v/>
      </c>
      <c r="EP81" s="874">
        <f t="shared" si="214"/>
        <v>0</v>
      </c>
      <c r="EQ81" s="874">
        <f t="shared" si="215"/>
        <v>0</v>
      </c>
      <c r="ER81" s="874">
        <f t="shared" si="187"/>
        <v>0</v>
      </c>
      <c r="ES81" s="874" t="str">
        <f t="shared" si="188"/>
        <v/>
      </c>
      <c r="ET81" s="873" t="str">
        <f t="shared" si="216"/>
        <v/>
      </c>
      <c r="EU81" s="873">
        <f t="shared" si="189"/>
        <v>0</v>
      </c>
      <c r="EV81" s="876" t="e">
        <f t="shared" si="190"/>
        <v>#VALUE!</v>
      </c>
      <c r="EW81" s="876" t="e">
        <f t="shared" si="191"/>
        <v>#VALUE!</v>
      </c>
      <c r="EX81" s="942" t="str">
        <f t="shared" si="192"/>
        <v/>
      </c>
      <c r="EY81" s="879" t="e">
        <f t="shared" si="217"/>
        <v>#DIV/0!</v>
      </c>
      <c r="EZ81" s="959" t="e">
        <f t="shared" si="193"/>
        <v>#DIV/0!</v>
      </c>
      <c r="FA81" s="960" t="e">
        <f t="shared" si="194"/>
        <v>#DIV/0!</v>
      </c>
      <c r="FB81" s="880" t="str">
        <f t="shared" si="195"/>
        <v/>
      </c>
      <c r="FC81" s="881" t="str">
        <f t="shared" si="196"/>
        <v/>
      </c>
      <c r="FD81" s="512">
        <f t="shared" si="197"/>
        <v>0</v>
      </c>
      <c r="FE81" s="513">
        <f t="shared" si="198"/>
        <v>0</v>
      </c>
      <c r="FF81" s="754" t="b">
        <f t="shared" si="123"/>
        <v>0</v>
      </c>
      <c r="FG81" s="754" t="b">
        <f t="shared" si="124"/>
        <v>0</v>
      </c>
      <c r="FH81" s="754" t="b">
        <f t="shared" si="125"/>
        <v>0</v>
      </c>
      <c r="FI81" s="917" t="b">
        <f t="shared" si="126"/>
        <v>0</v>
      </c>
      <c r="FJ81" s="920" t="str">
        <f t="shared" si="136"/>
        <v/>
      </c>
      <c r="FK81" s="919" t="str">
        <f t="shared" si="137"/>
        <v/>
      </c>
      <c r="FL81" s="320" t="e">
        <f t="shared" si="138"/>
        <v>#N/A</v>
      </c>
      <c r="FM81" s="312" t="str">
        <f t="shared" si="127"/>
        <v/>
      </c>
      <c r="FN81" s="272" t="str">
        <f t="shared" ca="1" si="139"/>
        <v/>
      </c>
      <c r="FO81" s="273" t="str">
        <f t="shared" ca="1" si="140"/>
        <v/>
      </c>
      <c r="FP81" s="274" t="str">
        <f t="shared" ca="1" si="141"/>
        <v/>
      </c>
      <c r="FQ81" s="274" t="str">
        <f t="shared" ca="1" si="142"/>
        <v/>
      </c>
      <c r="FR81" s="321">
        <f t="shared" ca="1" si="143"/>
        <v>0</v>
      </c>
      <c r="FS81" s="322">
        <f t="shared" ca="1" si="144"/>
        <v>0</v>
      </c>
      <c r="FT81" s="272" t="str">
        <f t="shared" ca="1" si="149"/>
        <v/>
      </c>
      <c r="FU81" s="275" t="str">
        <f t="shared" ca="1" si="150"/>
        <v/>
      </c>
      <c r="FV81" s="323" t="str">
        <f t="shared" ca="1" si="151"/>
        <v/>
      </c>
      <c r="FW81" s="276" t="str">
        <f t="shared" ca="1" si="145"/>
        <v/>
      </c>
      <c r="FX81" s="276" t="str">
        <f t="shared" ca="1" si="146"/>
        <v/>
      </c>
      <c r="FY81" s="276" t="str">
        <f t="shared" ca="1" si="152"/>
        <v/>
      </c>
      <c r="FZ81" s="276" t="str">
        <f t="shared" ca="1" si="147"/>
        <v/>
      </c>
      <c r="GA81" s="276" t="str">
        <f t="shared" ca="1" si="153"/>
        <v/>
      </c>
      <c r="GB81" s="277" t="str">
        <f ca="1">IF(FY81="","",2+SUM(FO81:OFFSET(FO81,(FU81-1)*-1,0)))</f>
        <v/>
      </c>
      <c r="GC81" s="316" t="e">
        <f t="shared" si="148"/>
        <v>#N/A</v>
      </c>
      <c r="GD81" s="324" t="str">
        <f t="shared" si="128"/>
        <v/>
      </c>
      <c r="GE81" s="325" t="str">
        <f t="shared" si="129"/>
        <v/>
      </c>
      <c r="GF81" s="278" t="str">
        <f t="shared" si="130"/>
        <v/>
      </c>
      <c r="GG81" s="279" t="str">
        <f t="shared" si="131"/>
        <v/>
      </c>
      <c r="GH81" s="279" t="str">
        <f t="shared" si="132"/>
        <v/>
      </c>
      <c r="GI81" s="280" t="str">
        <f t="shared" si="133"/>
        <v/>
      </c>
      <c r="GJ81" s="326">
        <f t="shared" ca="1" si="134"/>
        <v>0</v>
      </c>
      <c r="GK81" s="913" t="str">
        <f t="shared" ca="1" si="135"/>
        <v/>
      </c>
    </row>
    <row r="82" spans="1:238" ht="12.6" hidden="1" customHeight="1" x14ac:dyDescent="0.2">
      <c r="BZ82" s="293"/>
      <c r="CA82" s="293"/>
      <c r="CB82" s="365" t="str">
        <f t="shared" si="154"/>
        <v/>
      </c>
      <c r="CC82" s="1304"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55"/>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367" t="str">
        <f>IF(CQ42="","",IF(VLOOKUP(CQ42,SectInfo!$B:$N,7,FALSE)="","",(VLOOKUP(CQ42,SectInfo!$B:$N,7,FALSE)*-1)))</f>
        <v/>
      </c>
      <c r="CR82" s="367" t="str">
        <f>IF(CQ42="","",IF(VLOOKUP(CQ42,SectInfo!$B:$N,8,FALSE)="",$FC$4,(VLOOKUP(CQ42,SectInfo!$B:$N,8,FALSE))))</f>
        <v/>
      </c>
      <c r="CS82" s="367" t="str">
        <f>IF(CQ42="","",VLOOKUP(CQ42,SectInfo!$B:$N,9,FALSE))</f>
        <v/>
      </c>
      <c r="CT82" s="368">
        <f t="shared" si="156"/>
        <v>0</v>
      </c>
      <c r="CU82" s="369">
        <f t="shared" si="157"/>
        <v>0</v>
      </c>
      <c r="CV82" s="274" t="str">
        <f t="shared" si="158"/>
        <v/>
      </c>
      <c r="CW82" s="274" t="str">
        <f t="shared" si="159"/>
        <v/>
      </c>
      <c r="CX82" s="873" t="str">
        <f t="shared" si="160"/>
        <v/>
      </c>
      <c r="CY82" s="874">
        <f t="shared" si="161"/>
        <v>0</v>
      </c>
      <c r="CZ82" s="874">
        <f t="shared" si="162"/>
        <v>0</v>
      </c>
      <c r="DA82" s="874" t="str">
        <f t="shared" si="163"/>
        <v/>
      </c>
      <c r="DB82" s="1310" t="str">
        <f t="shared" si="199"/>
        <v/>
      </c>
      <c r="DC82" s="1310" t="str">
        <f t="shared" si="164"/>
        <v/>
      </c>
      <c r="DD82" s="1311">
        <f t="shared" si="200"/>
        <v>0</v>
      </c>
      <c r="DE82" s="1310">
        <f t="shared" si="165"/>
        <v>0</v>
      </c>
      <c r="DF82" s="1312">
        <f t="shared" si="166"/>
        <v>0</v>
      </c>
      <c r="DG82" s="1312" t="str">
        <f t="shared" si="167"/>
        <v/>
      </c>
      <c r="DH82" s="1310" t="str">
        <f t="shared" si="201"/>
        <v/>
      </c>
      <c r="DI82" s="1310" t="str">
        <f t="shared" si="168"/>
        <v/>
      </c>
      <c r="DJ82" s="1311">
        <f t="shared" si="202"/>
        <v>0</v>
      </c>
      <c r="DK82" s="1310" t="str">
        <f t="shared" si="203"/>
        <v/>
      </c>
      <c r="DL82" s="1310" t="str">
        <f t="shared" si="204"/>
        <v/>
      </c>
      <c r="DM82" s="1310" t="str">
        <f t="shared" si="169"/>
        <v/>
      </c>
      <c r="DN82" s="1310" t="str">
        <f t="shared" si="170"/>
        <v/>
      </c>
      <c r="DO82" s="889" t="str">
        <f t="shared" si="171"/>
        <v>ERR</v>
      </c>
      <c r="DP82" s="889" t="str">
        <f t="shared" si="172"/>
        <v>ERR</v>
      </c>
      <c r="DQ82" s="1310" t="str">
        <f t="shared" si="205"/>
        <v/>
      </c>
      <c r="DR82" s="1310" t="str">
        <f t="shared" si="206"/>
        <v/>
      </c>
      <c r="DS82" s="1310" t="str">
        <f t="shared" si="207"/>
        <v/>
      </c>
      <c r="DT82" s="1310" t="str">
        <f t="shared" si="173"/>
        <v/>
      </c>
      <c r="DU82" s="1310" t="str">
        <f t="shared" si="174"/>
        <v/>
      </c>
      <c r="DV82" s="889" t="str">
        <f t="shared" si="175"/>
        <v>ERR</v>
      </c>
      <c r="DW82" s="889" t="str">
        <f t="shared" si="176"/>
        <v>ERR</v>
      </c>
      <c r="DX82" s="873" t="str">
        <f t="shared" si="208"/>
        <v/>
      </c>
      <c r="DY82" s="873" t="str">
        <f t="shared" si="209"/>
        <v/>
      </c>
      <c r="DZ82" s="873" t="str">
        <f t="shared" si="218"/>
        <v/>
      </c>
      <c r="EA82" s="873" t="str">
        <f t="shared" si="219"/>
        <v/>
      </c>
      <c r="EB82" s="876" t="str">
        <f t="shared" si="177"/>
        <v/>
      </c>
      <c r="EC82" s="877" t="str">
        <f t="shared" si="210"/>
        <v/>
      </c>
      <c r="ED82" s="876" t="str">
        <f t="shared" si="178"/>
        <v/>
      </c>
      <c r="EE82" s="876" t="str">
        <f t="shared" si="179"/>
        <v/>
      </c>
      <c r="EF82" s="876" t="str">
        <f t="shared" si="180"/>
        <v/>
      </c>
      <c r="EG82" s="876" t="str">
        <f t="shared" si="181"/>
        <v/>
      </c>
      <c r="EH82" s="876" t="str">
        <f t="shared" si="182"/>
        <v/>
      </c>
      <c r="EI82" s="876" t="str">
        <f t="shared" si="183"/>
        <v/>
      </c>
      <c r="EJ82" s="876" t="str">
        <f t="shared" si="184"/>
        <v/>
      </c>
      <c r="EK82" s="874">
        <f t="shared" si="211"/>
        <v>0</v>
      </c>
      <c r="EL82" s="874">
        <f t="shared" si="212"/>
        <v>0</v>
      </c>
      <c r="EM82" s="874">
        <f t="shared" si="185"/>
        <v>0</v>
      </c>
      <c r="EN82" s="874" t="str">
        <f t="shared" si="186"/>
        <v/>
      </c>
      <c r="EO82" s="873" t="str">
        <f t="shared" si="213"/>
        <v/>
      </c>
      <c r="EP82" s="874">
        <f t="shared" si="214"/>
        <v>0</v>
      </c>
      <c r="EQ82" s="874">
        <f t="shared" si="215"/>
        <v>0</v>
      </c>
      <c r="ER82" s="874">
        <f t="shared" si="187"/>
        <v>0</v>
      </c>
      <c r="ES82" s="874" t="str">
        <f t="shared" si="188"/>
        <v/>
      </c>
      <c r="ET82" s="873" t="str">
        <f t="shared" si="216"/>
        <v/>
      </c>
      <c r="EU82" s="873">
        <f t="shared" si="189"/>
        <v>0</v>
      </c>
      <c r="EV82" s="876" t="e">
        <f t="shared" si="190"/>
        <v>#VALUE!</v>
      </c>
      <c r="EW82" s="876" t="e">
        <f t="shared" si="191"/>
        <v>#VALUE!</v>
      </c>
      <c r="EX82" s="942" t="str">
        <f t="shared" si="192"/>
        <v/>
      </c>
      <c r="EY82" s="879" t="e">
        <f t="shared" si="217"/>
        <v>#DIV/0!</v>
      </c>
      <c r="EZ82" s="959" t="e">
        <f t="shared" si="193"/>
        <v>#DIV/0!</v>
      </c>
      <c r="FA82" s="960" t="e">
        <f t="shared" si="194"/>
        <v>#DIV/0!</v>
      </c>
      <c r="FB82" s="880" t="str">
        <f t="shared" si="195"/>
        <v/>
      </c>
      <c r="FC82" s="881" t="str">
        <f t="shared" si="196"/>
        <v/>
      </c>
      <c r="FD82" s="512">
        <f t="shared" si="197"/>
        <v>0</v>
      </c>
      <c r="FE82" s="513">
        <f t="shared" si="198"/>
        <v>0</v>
      </c>
      <c r="FF82" s="754" t="b">
        <f t="shared" si="123"/>
        <v>0</v>
      </c>
      <c r="FG82" s="754" t="b">
        <f t="shared" si="124"/>
        <v>0</v>
      </c>
      <c r="FH82" s="754" t="b">
        <f t="shared" si="125"/>
        <v>0</v>
      </c>
      <c r="FI82" s="917" t="b">
        <f t="shared" si="126"/>
        <v>0</v>
      </c>
      <c r="FJ82" s="920" t="str">
        <f t="shared" si="136"/>
        <v/>
      </c>
      <c r="FK82" s="919" t="str">
        <f t="shared" si="137"/>
        <v/>
      </c>
      <c r="FL82" s="320" t="e">
        <f t="shared" si="138"/>
        <v>#N/A</v>
      </c>
      <c r="FM82" s="312" t="str">
        <f t="shared" si="127"/>
        <v/>
      </c>
      <c r="FN82" s="272" t="str">
        <f t="shared" ca="1" si="139"/>
        <v/>
      </c>
      <c r="FO82" s="273" t="str">
        <f t="shared" ca="1" si="140"/>
        <v/>
      </c>
      <c r="FP82" s="274" t="str">
        <f t="shared" ca="1" si="141"/>
        <v/>
      </c>
      <c r="FQ82" s="274" t="str">
        <f t="shared" ca="1" si="142"/>
        <v/>
      </c>
      <c r="FR82" s="321">
        <f t="shared" ca="1" si="143"/>
        <v>0</v>
      </c>
      <c r="FS82" s="322">
        <f t="shared" ca="1" si="144"/>
        <v>0</v>
      </c>
      <c r="FT82" s="272" t="str">
        <f t="shared" ca="1" si="149"/>
        <v/>
      </c>
      <c r="FU82" s="275" t="str">
        <f t="shared" ca="1" si="150"/>
        <v/>
      </c>
      <c r="FV82" s="323" t="str">
        <f t="shared" ca="1" si="151"/>
        <v/>
      </c>
      <c r="FW82" s="276" t="str">
        <f t="shared" ca="1" si="145"/>
        <v/>
      </c>
      <c r="FX82" s="276" t="str">
        <f t="shared" ca="1" si="146"/>
        <v/>
      </c>
      <c r="FY82" s="276" t="str">
        <f t="shared" ca="1" si="152"/>
        <v/>
      </c>
      <c r="FZ82" s="276" t="str">
        <f t="shared" ca="1" si="147"/>
        <v/>
      </c>
      <c r="GA82" s="276" t="str">
        <f t="shared" ca="1" si="153"/>
        <v/>
      </c>
      <c r="GB82" s="277" t="str">
        <f ca="1">IF(FY82="","",2+SUM(FO82:OFFSET(FO82,(FU82-1)*-1,0)))</f>
        <v/>
      </c>
      <c r="GC82" s="316" t="e">
        <f t="shared" si="148"/>
        <v>#N/A</v>
      </c>
      <c r="GD82" s="324" t="str">
        <f t="shared" si="128"/>
        <v/>
      </c>
      <c r="GE82" s="325" t="str">
        <f t="shared" si="129"/>
        <v/>
      </c>
      <c r="GF82" s="278" t="str">
        <f t="shared" si="130"/>
        <v/>
      </c>
      <c r="GG82" s="279" t="str">
        <f t="shared" si="131"/>
        <v/>
      </c>
      <c r="GH82" s="279" t="str">
        <f t="shared" si="132"/>
        <v/>
      </c>
      <c r="GI82" s="280" t="str">
        <f t="shared" si="133"/>
        <v/>
      </c>
      <c r="GJ82" s="326">
        <f t="shared" ca="1" si="134"/>
        <v>0</v>
      </c>
      <c r="GK82" s="913" t="str">
        <f t="shared" ca="1" si="135"/>
        <v/>
      </c>
    </row>
    <row r="83" spans="1:238" ht="12.6" hidden="1" customHeight="1" x14ac:dyDescent="0.2">
      <c r="BZ83" s="293"/>
      <c r="CA83" s="293"/>
      <c r="CB83" s="365" t="str">
        <f t="shared" si="154"/>
        <v/>
      </c>
      <c r="CC83" s="1304"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55"/>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367" t="str">
        <f>IF(CQ43="","",IF(VLOOKUP(CQ43,SectInfo!$B:$N,7,FALSE)="","",(VLOOKUP(CQ43,SectInfo!$B:$N,7,FALSE)*-1)))</f>
        <v/>
      </c>
      <c r="CR83" s="367" t="str">
        <f>IF(CQ43="","",IF(VLOOKUP(CQ43,SectInfo!$B:$N,8,FALSE)="",$FC$4,(VLOOKUP(CQ43,SectInfo!$B:$N,8,FALSE))))</f>
        <v/>
      </c>
      <c r="CS83" s="367" t="str">
        <f>IF(CQ43="","",VLOOKUP(CQ43,SectInfo!$B:$N,9,FALSE))</f>
        <v/>
      </c>
      <c r="CT83" s="368">
        <f t="shared" si="156"/>
        <v>0</v>
      </c>
      <c r="CU83" s="369">
        <f t="shared" si="157"/>
        <v>0</v>
      </c>
      <c r="CV83" s="274" t="str">
        <f t="shared" si="158"/>
        <v/>
      </c>
      <c r="CW83" s="274" t="str">
        <f t="shared" si="159"/>
        <v/>
      </c>
      <c r="CX83" s="873" t="str">
        <f t="shared" si="160"/>
        <v/>
      </c>
      <c r="CY83" s="874">
        <f t="shared" si="161"/>
        <v>0</v>
      </c>
      <c r="CZ83" s="874">
        <f t="shared" si="162"/>
        <v>0</v>
      </c>
      <c r="DA83" s="874" t="str">
        <f t="shared" si="163"/>
        <v/>
      </c>
      <c r="DB83" s="1310" t="str">
        <f t="shared" si="199"/>
        <v/>
      </c>
      <c r="DC83" s="1310" t="str">
        <f t="shared" si="164"/>
        <v/>
      </c>
      <c r="DD83" s="1311">
        <f t="shared" si="200"/>
        <v>0</v>
      </c>
      <c r="DE83" s="1310">
        <f t="shared" si="165"/>
        <v>0</v>
      </c>
      <c r="DF83" s="1312">
        <f t="shared" si="166"/>
        <v>0</v>
      </c>
      <c r="DG83" s="1312" t="str">
        <f t="shared" si="167"/>
        <v/>
      </c>
      <c r="DH83" s="1310" t="str">
        <f t="shared" si="201"/>
        <v/>
      </c>
      <c r="DI83" s="1310" t="str">
        <f t="shared" si="168"/>
        <v/>
      </c>
      <c r="DJ83" s="1311">
        <f t="shared" si="202"/>
        <v>0</v>
      </c>
      <c r="DK83" s="1310" t="str">
        <f t="shared" si="203"/>
        <v/>
      </c>
      <c r="DL83" s="1310" t="str">
        <f t="shared" si="204"/>
        <v/>
      </c>
      <c r="DM83" s="1310" t="str">
        <f t="shared" si="169"/>
        <v/>
      </c>
      <c r="DN83" s="1310" t="str">
        <f t="shared" si="170"/>
        <v/>
      </c>
      <c r="DO83" s="889" t="str">
        <f t="shared" si="171"/>
        <v>ERR</v>
      </c>
      <c r="DP83" s="889" t="str">
        <f t="shared" si="172"/>
        <v>ERR</v>
      </c>
      <c r="DQ83" s="1310" t="str">
        <f t="shared" si="205"/>
        <v/>
      </c>
      <c r="DR83" s="1310" t="str">
        <f t="shared" si="206"/>
        <v/>
      </c>
      <c r="DS83" s="1310" t="str">
        <f t="shared" si="207"/>
        <v/>
      </c>
      <c r="DT83" s="1310" t="str">
        <f t="shared" si="173"/>
        <v/>
      </c>
      <c r="DU83" s="1310" t="str">
        <f t="shared" si="174"/>
        <v/>
      </c>
      <c r="DV83" s="889" t="str">
        <f t="shared" si="175"/>
        <v>ERR</v>
      </c>
      <c r="DW83" s="889" t="str">
        <f t="shared" si="176"/>
        <v>ERR</v>
      </c>
      <c r="DX83" s="873" t="str">
        <f t="shared" si="208"/>
        <v/>
      </c>
      <c r="DY83" s="873" t="str">
        <f t="shared" si="209"/>
        <v/>
      </c>
      <c r="DZ83" s="873" t="str">
        <f t="shared" si="218"/>
        <v/>
      </c>
      <c r="EA83" s="873" t="str">
        <f t="shared" si="219"/>
        <v/>
      </c>
      <c r="EB83" s="876" t="str">
        <f t="shared" si="177"/>
        <v/>
      </c>
      <c r="EC83" s="877" t="str">
        <f t="shared" si="210"/>
        <v/>
      </c>
      <c r="ED83" s="876" t="str">
        <f t="shared" si="178"/>
        <v/>
      </c>
      <c r="EE83" s="876" t="str">
        <f t="shared" si="179"/>
        <v/>
      </c>
      <c r="EF83" s="876" t="str">
        <f t="shared" si="180"/>
        <v/>
      </c>
      <c r="EG83" s="876" t="str">
        <f t="shared" si="181"/>
        <v/>
      </c>
      <c r="EH83" s="876" t="str">
        <f t="shared" si="182"/>
        <v/>
      </c>
      <c r="EI83" s="876" t="str">
        <f t="shared" si="183"/>
        <v/>
      </c>
      <c r="EJ83" s="876" t="str">
        <f t="shared" si="184"/>
        <v/>
      </c>
      <c r="EK83" s="874">
        <f t="shared" si="211"/>
        <v>0</v>
      </c>
      <c r="EL83" s="874">
        <f t="shared" si="212"/>
        <v>0</v>
      </c>
      <c r="EM83" s="874">
        <f t="shared" si="185"/>
        <v>0</v>
      </c>
      <c r="EN83" s="874" t="str">
        <f t="shared" si="186"/>
        <v/>
      </c>
      <c r="EO83" s="873" t="str">
        <f t="shared" si="213"/>
        <v/>
      </c>
      <c r="EP83" s="874">
        <f t="shared" si="214"/>
        <v>0</v>
      </c>
      <c r="EQ83" s="874">
        <f t="shared" si="215"/>
        <v>0</v>
      </c>
      <c r="ER83" s="874">
        <f t="shared" si="187"/>
        <v>0</v>
      </c>
      <c r="ES83" s="874" t="str">
        <f t="shared" si="188"/>
        <v/>
      </c>
      <c r="ET83" s="873" t="str">
        <f t="shared" si="216"/>
        <v/>
      </c>
      <c r="EU83" s="873">
        <f t="shared" si="189"/>
        <v>0</v>
      </c>
      <c r="EV83" s="876" t="e">
        <f t="shared" si="190"/>
        <v>#VALUE!</v>
      </c>
      <c r="EW83" s="876" t="e">
        <f t="shared" si="191"/>
        <v>#VALUE!</v>
      </c>
      <c r="EX83" s="942" t="str">
        <f t="shared" si="192"/>
        <v/>
      </c>
      <c r="EY83" s="879" t="e">
        <f t="shared" si="217"/>
        <v>#DIV/0!</v>
      </c>
      <c r="EZ83" s="959" t="e">
        <f t="shared" si="193"/>
        <v>#DIV/0!</v>
      </c>
      <c r="FA83" s="960" t="e">
        <f t="shared" si="194"/>
        <v>#DIV/0!</v>
      </c>
      <c r="FB83" s="880" t="str">
        <f t="shared" si="195"/>
        <v/>
      </c>
      <c r="FC83" s="881" t="str">
        <f t="shared" si="196"/>
        <v/>
      </c>
      <c r="FD83" s="512">
        <f t="shared" si="197"/>
        <v>0</v>
      </c>
      <c r="FE83" s="513">
        <f t="shared" si="198"/>
        <v>0</v>
      </c>
      <c r="FF83" s="754" t="b">
        <f t="shared" si="123"/>
        <v>0</v>
      </c>
      <c r="FG83" s="754" t="b">
        <f t="shared" si="124"/>
        <v>0</v>
      </c>
      <c r="FH83" s="754" t="b">
        <f t="shared" si="125"/>
        <v>0</v>
      </c>
      <c r="FI83" s="917" t="b">
        <f t="shared" si="126"/>
        <v>0</v>
      </c>
      <c r="FJ83" s="920" t="str">
        <f t="shared" si="136"/>
        <v/>
      </c>
      <c r="FK83" s="919" t="str">
        <f t="shared" si="137"/>
        <v/>
      </c>
      <c r="FL83" s="320" t="e">
        <f t="shared" si="138"/>
        <v>#N/A</v>
      </c>
      <c r="FM83" s="312" t="str">
        <f t="shared" si="127"/>
        <v/>
      </c>
      <c r="FN83" s="272" t="str">
        <f t="shared" ca="1" si="139"/>
        <v/>
      </c>
      <c r="FO83" s="273" t="str">
        <f t="shared" ca="1" si="140"/>
        <v/>
      </c>
      <c r="FP83" s="274" t="str">
        <f t="shared" ca="1" si="141"/>
        <v/>
      </c>
      <c r="FQ83" s="274" t="str">
        <f t="shared" ca="1" si="142"/>
        <v/>
      </c>
      <c r="FR83" s="321">
        <f t="shared" ca="1" si="143"/>
        <v>0</v>
      </c>
      <c r="FS83" s="322">
        <f t="shared" ca="1" si="144"/>
        <v>0</v>
      </c>
      <c r="FT83" s="272" t="str">
        <f t="shared" ca="1" si="149"/>
        <v/>
      </c>
      <c r="FU83" s="275" t="str">
        <f t="shared" ca="1" si="150"/>
        <v/>
      </c>
      <c r="FV83" s="323" t="str">
        <f t="shared" ca="1" si="151"/>
        <v/>
      </c>
      <c r="FW83" s="276" t="str">
        <f t="shared" ca="1" si="145"/>
        <v/>
      </c>
      <c r="FX83" s="276" t="str">
        <f t="shared" ca="1" si="146"/>
        <v/>
      </c>
      <c r="FY83" s="276" t="str">
        <f t="shared" ca="1" si="152"/>
        <v/>
      </c>
      <c r="FZ83" s="276" t="str">
        <f t="shared" ca="1" si="147"/>
        <v/>
      </c>
      <c r="GA83" s="276" t="str">
        <f t="shared" ca="1" si="153"/>
        <v/>
      </c>
      <c r="GB83" s="277" t="str">
        <f ca="1">IF(FY83="","",2+SUM(FO83:OFFSET(FO83,(FU83-1)*-1,0)))</f>
        <v/>
      </c>
      <c r="GC83" s="316" t="e">
        <f t="shared" si="148"/>
        <v>#N/A</v>
      </c>
      <c r="GD83" s="324" t="str">
        <f t="shared" si="128"/>
        <v/>
      </c>
      <c r="GE83" s="325" t="str">
        <f t="shared" si="129"/>
        <v/>
      </c>
      <c r="GF83" s="278" t="str">
        <f t="shared" si="130"/>
        <v/>
      </c>
      <c r="GG83" s="279" t="str">
        <f t="shared" si="131"/>
        <v/>
      </c>
      <c r="GH83" s="279" t="str">
        <f t="shared" si="132"/>
        <v/>
      </c>
      <c r="GI83" s="280" t="str">
        <f t="shared" si="133"/>
        <v/>
      </c>
      <c r="GJ83" s="326">
        <f t="shared" ca="1" si="134"/>
        <v>0</v>
      </c>
      <c r="GK83" s="913" t="str">
        <f t="shared" ca="1" si="135"/>
        <v/>
      </c>
    </row>
    <row r="84" spans="1:238" ht="12.6" hidden="1" customHeight="1" x14ac:dyDescent="0.2">
      <c r="BZ84" s="293"/>
      <c r="CA84" s="293"/>
      <c r="CB84" s="365" t="str">
        <f t="shared" si="154"/>
        <v/>
      </c>
      <c r="CC84" s="1304"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55"/>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367" t="str">
        <f>IF(CQ44="","",IF(VLOOKUP(CQ44,SectInfo!$B:$N,7,FALSE)="","",(VLOOKUP(CQ44,SectInfo!$B:$N,7,FALSE)*-1)))</f>
        <v/>
      </c>
      <c r="CR84" s="367" t="str">
        <f>IF(CQ44="","",IF(VLOOKUP(CQ44,SectInfo!$B:$N,8,FALSE)="",$FC$4,(VLOOKUP(CQ44,SectInfo!$B:$N,8,FALSE))))</f>
        <v/>
      </c>
      <c r="CS84" s="367" t="str">
        <f>IF(CQ44="","",VLOOKUP(CQ44,SectInfo!$B:$N,9,FALSE))</f>
        <v/>
      </c>
      <c r="CT84" s="368">
        <f t="shared" si="156"/>
        <v>0</v>
      </c>
      <c r="CU84" s="369">
        <f t="shared" si="157"/>
        <v>0</v>
      </c>
      <c r="CV84" s="274" t="str">
        <f t="shared" si="158"/>
        <v/>
      </c>
      <c r="CW84" s="274" t="str">
        <f t="shared" si="159"/>
        <v/>
      </c>
      <c r="CX84" s="873" t="str">
        <f t="shared" si="160"/>
        <v/>
      </c>
      <c r="CY84" s="874">
        <f t="shared" si="161"/>
        <v>0</v>
      </c>
      <c r="CZ84" s="874">
        <f t="shared" si="162"/>
        <v>0</v>
      </c>
      <c r="DA84" s="874" t="str">
        <f t="shared" si="163"/>
        <v/>
      </c>
      <c r="DB84" s="1310" t="str">
        <f t="shared" si="199"/>
        <v/>
      </c>
      <c r="DC84" s="1310" t="str">
        <f t="shared" si="164"/>
        <v/>
      </c>
      <c r="DD84" s="1311">
        <f t="shared" si="200"/>
        <v>0</v>
      </c>
      <c r="DE84" s="1310">
        <f t="shared" si="165"/>
        <v>0</v>
      </c>
      <c r="DF84" s="1312">
        <f t="shared" si="166"/>
        <v>0</v>
      </c>
      <c r="DG84" s="1312" t="str">
        <f t="shared" si="167"/>
        <v/>
      </c>
      <c r="DH84" s="1310" t="str">
        <f t="shared" si="201"/>
        <v/>
      </c>
      <c r="DI84" s="1310" t="str">
        <f t="shared" si="168"/>
        <v/>
      </c>
      <c r="DJ84" s="1311">
        <f t="shared" si="202"/>
        <v>0</v>
      </c>
      <c r="DK84" s="1310" t="str">
        <f t="shared" si="203"/>
        <v/>
      </c>
      <c r="DL84" s="1310" t="str">
        <f t="shared" si="204"/>
        <v/>
      </c>
      <c r="DM84" s="1310" t="str">
        <f t="shared" si="169"/>
        <v/>
      </c>
      <c r="DN84" s="1310" t="str">
        <f t="shared" si="170"/>
        <v/>
      </c>
      <c r="DO84" s="889" t="str">
        <f t="shared" si="171"/>
        <v>ERR</v>
      </c>
      <c r="DP84" s="889" t="str">
        <f t="shared" si="172"/>
        <v>ERR</v>
      </c>
      <c r="DQ84" s="1310" t="str">
        <f t="shared" si="205"/>
        <v/>
      </c>
      <c r="DR84" s="1310" t="str">
        <f t="shared" si="206"/>
        <v/>
      </c>
      <c r="DS84" s="1310" t="str">
        <f t="shared" si="207"/>
        <v/>
      </c>
      <c r="DT84" s="1310" t="str">
        <f t="shared" si="173"/>
        <v/>
      </c>
      <c r="DU84" s="1310" t="str">
        <f t="shared" si="174"/>
        <v/>
      </c>
      <c r="DV84" s="889" t="str">
        <f t="shared" si="175"/>
        <v>ERR</v>
      </c>
      <c r="DW84" s="889" t="str">
        <f t="shared" si="176"/>
        <v>ERR</v>
      </c>
      <c r="DX84" s="873" t="str">
        <f t="shared" si="208"/>
        <v/>
      </c>
      <c r="DY84" s="873" t="str">
        <f t="shared" si="209"/>
        <v/>
      </c>
      <c r="DZ84" s="873" t="str">
        <f t="shared" si="218"/>
        <v/>
      </c>
      <c r="EA84" s="873" t="str">
        <f t="shared" si="219"/>
        <v/>
      </c>
      <c r="EB84" s="876" t="str">
        <f t="shared" si="177"/>
        <v/>
      </c>
      <c r="EC84" s="877" t="str">
        <f t="shared" si="210"/>
        <v/>
      </c>
      <c r="ED84" s="876" t="str">
        <f t="shared" si="178"/>
        <v/>
      </c>
      <c r="EE84" s="876" t="str">
        <f t="shared" si="179"/>
        <v/>
      </c>
      <c r="EF84" s="876" t="str">
        <f t="shared" si="180"/>
        <v/>
      </c>
      <c r="EG84" s="876" t="str">
        <f t="shared" si="181"/>
        <v/>
      </c>
      <c r="EH84" s="876" t="str">
        <f t="shared" si="182"/>
        <v/>
      </c>
      <c r="EI84" s="876" t="str">
        <f t="shared" si="183"/>
        <v/>
      </c>
      <c r="EJ84" s="876" t="str">
        <f t="shared" si="184"/>
        <v/>
      </c>
      <c r="EK84" s="874">
        <f t="shared" si="211"/>
        <v>0</v>
      </c>
      <c r="EL84" s="874">
        <f t="shared" si="212"/>
        <v>0</v>
      </c>
      <c r="EM84" s="874">
        <f t="shared" si="185"/>
        <v>0</v>
      </c>
      <c r="EN84" s="874" t="str">
        <f t="shared" si="186"/>
        <v/>
      </c>
      <c r="EO84" s="873" t="str">
        <f t="shared" si="213"/>
        <v/>
      </c>
      <c r="EP84" s="874">
        <f t="shared" si="214"/>
        <v>0</v>
      </c>
      <c r="EQ84" s="874">
        <f t="shared" si="215"/>
        <v>0</v>
      </c>
      <c r="ER84" s="874">
        <f t="shared" si="187"/>
        <v>0</v>
      </c>
      <c r="ES84" s="874" t="str">
        <f t="shared" si="188"/>
        <v/>
      </c>
      <c r="ET84" s="873" t="str">
        <f t="shared" si="216"/>
        <v/>
      </c>
      <c r="EU84" s="873">
        <f t="shared" si="189"/>
        <v>0</v>
      </c>
      <c r="EV84" s="876" t="e">
        <f t="shared" si="190"/>
        <v>#VALUE!</v>
      </c>
      <c r="EW84" s="876" t="e">
        <f t="shared" si="191"/>
        <v>#VALUE!</v>
      </c>
      <c r="EX84" s="942" t="str">
        <f t="shared" si="192"/>
        <v/>
      </c>
      <c r="EY84" s="879" t="e">
        <f t="shared" si="217"/>
        <v>#DIV/0!</v>
      </c>
      <c r="EZ84" s="959" t="e">
        <f t="shared" si="193"/>
        <v>#DIV/0!</v>
      </c>
      <c r="FA84" s="960" t="e">
        <f t="shared" si="194"/>
        <v>#DIV/0!</v>
      </c>
      <c r="FB84" s="880" t="str">
        <f t="shared" si="195"/>
        <v/>
      </c>
      <c r="FC84" s="881" t="str">
        <f t="shared" si="196"/>
        <v/>
      </c>
      <c r="FD84" s="512">
        <f t="shared" si="197"/>
        <v>0</v>
      </c>
      <c r="FE84" s="513">
        <f t="shared" si="198"/>
        <v>0</v>
      </c>
      <c r="FF84" s="754" t="b">
        <f t="shared" si="123"/>
        <v>0</v>
      </c>
      <c r="FG84" s="754" t="b">
        <f t="shared" si="124"/>
        <v>0</v>
      </c>
      <c r="FH84" s="754" t="b">
        <f t="shared" si="125"/>
        <v>0</v>
      </c>
      <c r="FI84" s="917" t="b">
        <f t="shared" si="126"/>
        <v>0</v>
      </c>
      <c r="FJ84" s="920" t="str">
        <f t="shared" si="136"/>
        <v/>
      </c>
      <c r="FK84" s="919" t="str">
        <f t="shared" si="137"/>
        <v/>
      </c>
      <c r="FL84" s="320" t="e">
        <f t="shared" si="138"/>
        <v>#N/A</v>
      </c>
      <c r="FM84" s="312" t="str">
        <f t="shared" si="127"/>
        <v/>
      </c>
      <c r="FN84" s="272" t="str">
        <f t="shared" ca="1" si="139"/>
        <v/>
      </c>
      <c r="FO84" s="273" t="str">
        <f t="shared" ca="1" si="140"/>
        <v/>
      </c>
      <c r="FP84" s="274" t="str">
        <f t="shared" ca="1" si="141"/>
        <v/>
      </c>
      <c r="FQ84" s="274" t="str">
        <f t="shared" ca="1" si="142"/>
        <v/>
      </c>
      <c r="FR84" s="321">
        <f t="shared" ca="1" si="143"/>
        <v>0</v>
      </c>
      <c r="FS84" s="322">
        <f t="shared" ca="1" si="144"/>
        <v>0</v>
      </c>
      <c r="FT84" s="272" t="str">
        <f t="shared" ca="1" si="149"/>
        <v/>
      </c>
      <c r="FU84" s="275" t="str">
        <f t="shared" ca="1" si="150"/>
        <v/>
      </c>
      <c r="FV84" s="323" t="str">
        <f t="shared" ca="1" si="151"/>
        <v/>
      </c>
      <c r="FW84" s="276" t="str">
        <f t="shared" ca="1" si="145"/>
        <v/>
      </c>
      <c r="FX84" s="276" t="str">
        <f t="shared" ca="1" si="146"/>
        <v/>
      </c>
      <c r="FY84" s="276" t="str">
        <f t="shared" ca="1" si="152"/>
        <v/>
      </c>
      <c r="FZ84" s="276" t="str">
        <f t="shared" ca="1" si="147"/>
        <v/>
      </c>
      <c r="GA84" s="276" t="str">
        <f t="shared" ca="1" si="153"/>
        <v/>
      </c>
      <c r="GB84" s="277" t="str">
        <f ca="1">IF(FY84="","",2+SUM(FO84:OFFSET(FO84,(FU84-1)*-1,0)))</f>
        <v/>
      </c>
      <c r="GC84" s="316" t="e">
        <f t="shared" si="148"/>
        <v>#N/A</v>
      </c>
      <c r="GD84" s="324" t="str">
        <f t="shared" si="128"/>
        <v/>
      </c>
      <c r="GE84" s="325" t="str">
        <f t="shared" si="129"/>
        <v/>
      </c>
      <c r="GF84" s="278" t="str">
        <f t="shared" si="130"/>
        <v/>
      </c>
      <c r="GG84" s="279" t="str">
        <f t="shared" si="131"/>
        <v/>
      </c>
      <c r="GH84" s="279" t="str">
        <f t="shared" si="132"/>
        <v/>
      </c>
      <c r="GI84" s="280" t="str">
        <f t="shared" si="133"/>
        <v/>
      </c>
      <c r="GJ84" s="326">
        <f t="shared" ca="1" si="134"/>
        <v>0</v>
      </c>
      <c r="GK84" s="913" t="str">
        <f t="shared" ca="1" si="135"/>
        <v/>
      </c>
    </row>
    <row r="85" spans="1:238" ht="12.6" hidden="1" customHeight="1" thickBot="1" x14ac:dyDescent="0.25">
      <c r="BZ85" s="293"/>
      <c r="CA85" s="293"/>
      <c r="CB85" s="636" t="str">
        <f t="shared" si="154"/>
        <v/>
      </c>
      <c r="CC85" s="1307" t="str">
        <f>IF(CG45="","",VLOOKUP(CG45,SectInfo!$B:$N,12,FALSE))</f>
        <v/>
      </c>
      <c r="CD85" s="1308" t="str">
        <f>IF(ISBLANK(CN45),IF(CG45="","",VLOOKUP(CG45,SectInfo!$B:$N,13,FALSE)),CN45)</f>
        <v/>
      </c>
      <c r="CE85" s="1308" t="str">
        <f>IF(CG45="","",IF(VLOOKUP(CG45,SectInfo!$B:$N,5,FALSE)="","R",UPPER(VLOOKUP(CG45,SectInfo!$B:$N,5,FALSE))))</f>
        <v/>
      </c>
      <c r="CF85" s="1308" t="str">
        <f>IF(ISBLANK(CP45),IF(CG45="","",VLOOKUP(CG45,SectInfo!$B:$N,6,FALSE)),CP45)</f>
        <v/>
      </c>
      <c r="CG85" s="1308" t="str">
        <f>IF(CG45="","",IF(VLOOKUP(CG45,SectInfo!$B:$N,10,FALSE)="","",(VLOOKUP(CG45,SectInfo!$B:$N,10,FALSE)*-1)))</f>
        <v/>
      </c>
      <c r="CH85" s="1308" t="str">
        <f>IF(CG45="","",IF(VLOOKUP(CG45,SectInfo!$B:$N,7,FALSE)="","",(VLOOKUP(CG45,SectInfo!$B:$N,7,FALSE)*-1)))</f>
        <v/>
      </c>
      <c r="CI85" s="1308" t="str">
        <f>IF(CG45="","",IF(VLOOKUP(CG45,SectInfo!$B:$N,8,FALSE)="",$FC$4,(VLOOKUP(CG45,SectInfo!$B:$N,8,FALSE))))</f>
        <v/>
      </c>
      <c r="CJ85" s="1308" t="str">
        <f>IF(CG45="","",VLOOKUP(CG45,SectInfo!$B:$N,9,FALSE))</f>
        <v/>
      </c>
      <c r="CK85" s="1309">
        <f t="shared" si="155"/>
        <v>0</v>
      </c>
      <c r="CL85" s="1307" t="str">
        <f>IF(CQ45="","",VLOOKUP(CQ45,SectInfo!$B:$N,12,FALSE))</f>
        <v/>
      </c>
      <c r="CM85" s="1308" t="str">
        <f>IF(ISBLANK(CX45),IF(CQ45="","",VLOOKUP(CQ45,SectInfo!$B:$N,13,FALSE)),CX45)</f>
        <v/>
      </c>
      <c r="CN85" s="1308" t="str">
        <f>IF(CQ45="","",IF(VLOOKUP(CQ45,SectInfo!$B:$N,5,FALSE)="","R",UPPER(VLOOKUP(CQ45,SectInfo!$B:$N,5,FALSE))))</f>
        <v/>
      </c>
      <c r="CO85" s="1308" t="str">
        <f>IF(ISBLANK(CZ45),IF(CQ45="","",VLOOKUP(CQ45,SectInfo!$B:$N,6,FALSE)),CZ45)</f>
        <v/>
      </c>
      <c r="CP85" s="1308" t="str">
        <f>IF(CQ45="","",IF(VLOOKUP(CQ45,SectInfo!$B:$N,10,FALSE)="","",(VLOOKUP(CQ45,SectInfo!$B:$N,10,FALSE)*-1)))</f>
        <v/>
      </c>
      <c r="CQ85" s="637" t="str">
        <f>IF(CQ45="","",IF(VLOOKUP(CQ45,SectInfo!$B:$N,7,FALSE)="","",(VLOOKUP(CQ45,SectInfo!$B:$N,7,FALSE)*-1)))</f>
        <v/>
      </c>
      <c r="CR85" s="637" t="str">
        <f>IF(CQ45="","",IF(VLOOKUP(CQ45,SectInfo!$B:$N,8,FALSE)="",$FC$4,(VLOOKUP(CQ45,SectInfo!$B:$N,8,FALSE))))</f>
        <v/>
      </c>
      <c r="CS85" s="637" t="str">
        <f>IF(CQ45="","",VLOOKUP(CQ45,SectInfo!$B:$N,9,FALSE))</f>
        <v/>
      </c>
      <c r="CT85" s="638">
        <f t="shared" si="156"/>
        <v>0</v>
      </c>
      <c r="CU85" s="639">
        <f t="shared" si="157"/>
        <v>0</v>
      </c>
      <c r="CV85" s="283" t="str">
        <f t="shared" si="158"/>
        <v/>
      </c>
      <c r="CW85" s="283" t="str">
        <f t="shared" si="159"/>
        <v/>
      </c>
      <c r="CX85" s="882" t="str">
        <f t="shared" si="160"/>
        <v/>
      </c>
      <c r="CY85" s="883">
        <f t="shared" si="161"/>
        <v>0</v>
      </c>
      <c r="CZ85" s="883">
        <f t="shared" si="162"/>
        <v>0</v>
      </c>
      <c r="DA85" s="883" t="str">
        <f t="shared" si="163"/>
        <v/>
      </c>
      <c r="DB85" s="1313" t="str">
        <f t="shared" si="199"/>
        <v/>
      </c>
      <c r="DC85" s="1313" t="str">
        <f t="shared" si="164"/>
        <v/>
      </c>
      <c r="DD85" s="1314">
        <f t="shared" si="200"/>
        <v>0</v>
      </c>
      <c r="DE85" s="1313">
        <f t="shared" si="165"/>
        <v>0</v>
      </c>
      <c r="DF85" s="1315">
        <f t="shared" si="166"/>
        <v>0</v>
      </c>
      <c r="DG85" s="1315" t="str">
        <f t="shared" si="167"/>
        <v/>
      </c>
      <c r="DH85" s="1313" t="str">
        <f t="shared" si="201"/>
        <v/>
      </c>
      <c r="DI85" s="1313" t="str">
        <f t="shared" si="168"/>
        <v/>
      </c>
      <c r="DJ85" s="1314">
        <f t="shared" si="202"/>
        <v>0</v>
      </c>
      <c r="DK85" s="1313" t="str">
        <f t="shared" si="203"/>
        <v/>
      </c>
      <c r="DL85" s="1313" t="str">
        <f t="shared" si="204"/>
        <v/>
      </c>
      <c r="DM85" s="1313" t="str">
        <f t="shared" si="169"/>
        <v/>
      </c>
      <c r="DN85" s="1313" t="str">
        <f t="shared" si="170"/>
        <v/>
      </c>
      <c r="DO85" s="891" t="str">
        <f t="shared" si="171"/>
        <v>ERR</v>
      </c>
      <c r="DP85" s="891" t="str">
        <f t="shared" si="172"/>
        <v>ERR</v>
      </c>
      <c r="DQ85" s="1313" t="str">
        <f t="shared" si="205"/>
        <v/>
      </c>
      <c r="DR85" s="1313" t="str">
        <f t="shared" si="206"/>
        <v/>
      </c>
      <c r="DS85" s="1313" t="str">
        <f t="shared" si="207"/>
        <v/>
      </c>
      <c r="DT85" s="1313" t="str">
        <f t="shared" si="173"/>
        <v/>
      </c>
      <c r="DU85" s="1313" t="str">
        <f t="shared" si="174"/>
        <v/>
      </c>
      <c r="DV85" s="891" t="str">
        <f t="shared" si="175"/>
        <v>ERR</v>
      </c>
      <c r="DW85" s="891" t="str">
        <f t="shared" si="176"/>
        <v>ERR</v>
      </c>
      <c r="DX85" s="882" t="str">
        <f t="shared" si="208"/>
        <v/>
      </c>
      <c r="DY85" s="882" t="str">
        <f t="shared" si="209"/>
        <v/>
      </c>
      <c r="DZ85" s="882" t="str">
        <f t="shared" si="218"/>
        <v/>
      </c>
      <c r="EA85" s="882" t="str">
        <f t="shared" si="219"/>
        <v/>
      </c>
      <c r="EB85" s="884" t="str">
        <f t="shared" si="177"/>
        <v/>
      </c>
      <c r="EC85" s="885" t="str">
        <f t="shared" si="210"/>
        <v/>
      </c>
      <c r="ED85" s="884" t="str">
        <f t="shared" si="178"/>
        <v/>
      </c>
      <c r="EE85" s="884" t="str">
        <f t="shared" si="179"/>
        <v/>
      </c>
      <c r="EF85" s="884" t="str">
        <f t="shared" si="180"/>
        <v/>
      </c>
      <c r="EG85" s="884" t="str">
        <f t="shared" si="181"/>
        <v/>
      </c>
      <c r="EH85" s="884" t="str">
        <f t="shared" si="182"/>
        <v/>
      </c>
      <c r="EI85" s="884" t="str">
        <f t="shared" si="183"/>
        <v/>
      </c>
      <c r="EJ85" s="884" t="str">
        <f t="shared" si="184"/>
        <v/>
      </c>
      <c r="EK85" s="883">
        <f t="shared" si="211"/>
        <v>0</v>
      </c>
      <c r="EL85" s="883">
        <f t="shared" si="212"/>
        <v>0</v>
      </c>
      <c r="EM85" s="883">
        <f t="shared" si="185"/>
        <v>0</v>
      </c>
      <c r="EN85" s="883" t="str">
        <f t="shared" si="186"/>
        <v/>
      </c>
      <c r="EO85" s="882" t="str">
        <f t="shared" si="213"/>
        <v/>
      </c>
      <c r="EP85" s="883">
        <f t="shared" si="214"/>
        <v>0</v>
      </c>
      <c r="EQ85" s="883">
        <f t="shared" si="215"/>
        <v>0</v>
      </c>
      <c r="ER85" s="883">
        <f t="shared" si="187"/>
        <v>0</v>
      </c>
      <c r="ES85" s="883" t="str">
        <f t="shared" si="188"/>
        <v/>
      </c>
      <c r="ET85" s="882" t="str">
        <f t="shared" si="216"/>
        <v/>
      </c>
      <c r="EU85" s="882">
        <f t="shared" si="189"/>
        <v>0</v>
      </c>
      <c r="EV85" s="884" t="e">
        <f t="shared" si="190"/>
        <v>#VALUE!</v>
      </c>
      <c r="EW85" s="884" t="e">
        <f t="shared" si="191"/>
        <v>#VALUE!</v>
      </c>
      <c r="EX85" s="943" t="str">
        <f t="shared" si="192"/>
        <v/>
      </c>
      <c r="EY85" s="886" t="e">
        <f t="shared" si="217"/>
        <v>#DIV/0!</v>
      </c>
      <c r="EZ85" s="961" t="e">
        <f t="shared" si="193"/>
        <v>#DIV/0!</v>
      </c>
      <c r="FA85" s="962" t="e">
        <f t="shared" si="194"/>
        <v>#DIV/0!</v>
      </c>
      <c r="FB85" s="887" t="str">
        <f t="shared" si="195"/>
        <v/>
      </c>
      <c r="FC85" s="888" t="str">
        <f t="shared" si="196"/>
        <v/>
      </c>
      <c r="FD85" s="514">
        <f t="shared" si="197"/>
        <v>0</v>
      </c>
      <c r="FE85" s="515">
        <f t="shared" si="198"/>
        <v>0</v>
      </c>
      <c r="FF85" s="754" t="b">
        <f t="shared" si="123"/>
        <v>0</v>
      </c>
      <c r="FG85" s="754" t="b">
        <f t="shared" si="124"/>
        <v>0</v>
      </c>
      <c r="FH85" s="754" t="b">
        <f t="shared" si="125"/>
        <v>0</v>
      </c>
      <c r="FI85" s="917" t="b">
        <f t="shared" si="126"/>
        <v>0</v>
      </c>
      <c r="FJ85" s="920" t="str">
        <f t="shared" si="136"/>
        <v/>
      </c>
      <c r="FK85" s="919" t="str">
        <f t="shared" si="137"/>
        <v/>
      </c>
      <c r="FL85" s="327" t="e">
        <f t="shared" si="138"/>
        <v>#N/A</v>
      </c>
      <c r="FM85" s="328" t="str">
        <f t="shared" si="127"/>
        <v/>
      </c>
      <c r="FN85" s="281" t="str">
        <f t="shared" ca="1" si="139"/>
        <v/>
      </c>
      <c r="FO85" s="282" t="str">
        <f t="shared" ca="1" si="140"/>
        <v/>
      </c>
      <c r="FP85" s="283" t="str">
        <f t="shared" ca="1" si="141"/>
        <v/>
      </c>
      <c r="FQ85" s="283" t="str">
        <f t="shared" ca="1" si="142"/>
        <v/>
      </c>
      <c r="FR85" s="329">
        <f t="shared" ca="1" si="143"/>
        <v>0</v>
      </c>
      <c r="FS85" s="330">
        <f t="shared" ca="1" si="144"/>
        <v>0</v>
      </c>
      <c r="FT85" s="281" t="str">
        <f t="shared" ca="1" si="149"/>
        <v/>
      </c>
      <c r="FU85" s="284" t="str">
        <f t="shared" ca="1" si="150"/>
        <v/>
      </c>
      <c r="FV85" s="331" t="str">
        <f t="shared" ca="1" si="151"/>
        <v/>
      </c>
      <c r="FW85" s="285" t="str">
        <f t="shared" ca="1" si="145"/>
        <v/>
      </c>
      <c r="FX85" s="285" t="str">
        <f t="shared" ca="1" si="146"/>
        <v/>
      </c>
      <c r="FY85" s="285" t="str">
        <f t="shared" ca="1" si="152"/>
        <v/>
      </c>
      <c r="FZ85" s="285" t="str">
        <f t="shared" ca="1" si="147"/>
        <v/>
      </c>
      <c r="GA85" s="285" t="str">
        <f t="shared" ca="1" si="153"/>
        <v/>
      </c>
      <c r="GB85" s="286" t="str">
        <f ca="1">IF(FY85="","",2+SUM(FO85:OFFSET(FO85,(FU85-1)*-1,0)))</f>
        <v/>
      </c>
      <c r="GC85" s="332" t="e">
        <f t="shared" si="148"/>
        <v>#N/A</v>
      </c>
      <c r="GD85" s="333" t="str">
        <f t="shared" si="128"/>
        <v/>
      </c>
      <c r="GE85" s="334" t="str">
        <f t="shared" si="129"/>
        <v/>
      </c>
      <c r="GF85" s="287" t="str">
        <f t="shared" si="130"/>
        <v/>
      </c>
      <c r="GG85" s="288" t="str">
        <f t="shared" si="131"/>
        <v/>
      </c>
      <c r="GH85" s="288" t="str">
        <f t="shared" si="132"/>
        <v/>
      </c>
      <c r="GI85" s="289" t="str">
        <f t="shared" si="133"/>
        <v/>
      </c>
      <c r="GJ85" s="335">
        <f ca="1">IF(FY85="",FM46,(FY85-(FQ85+VLOOKUP(FK85,$CB$54:$EU$85,12,FALSE)-VLOOKUP(FK85,$CB$54:$EU$85,34,FALSE))/COS(VLOOKUP(FK85,$CB$54:$EU$85,72,FALSE)))/2)</f>
        <v>0</v>
      </c>
      <c r="GK85" s="914" t="str">
        <f t="shared" ca="1" si="135"/>
        <v/>
      </c>
    </row>
    <row r="86" spans="1:238" ht="12.6" hidden="1" customHeight="1" x14ac:dyDescent="0.2">
      <c r="Z86" s="1140"/>
      <c r="AA86" s="1140"/>
      <c r="AB86" s="1140"/>
    </row>
    <row r="87" spans="1:238" ht="12.6" hidden="1" customHeight="1" x14ac:dyDescent="0.25">
      <c r="A87" s="1214" t="str">
        <f>IF(ISBLANK(CB87),"",CB87)</f>
        <v/>
      </c>
      <c r="B87" s="1678" t="str">
        <f t="shared" ref="B87" si="220">IF(ISBLANK(CC87),"",CC87)</f>
        <v/>
      </c>
      <c r="C87" s="1215" t="str">
        <f>IF(ISBLANK(CD87),"",CD87)</f>
        <v/>
      </c>
      <c r="D87" s="1216" t="str">
        <f>IF(CV127="","",TRUNC(CV127/12))</f>
        <v/>
      </c>
      <c r="E87" s="1217" t="str">
        <f>IF(CV127="","",CV127-(D87*12))</f>
        <v/>
      </c>
      <c r="F87" s="1218" t="str">
        <f>IF(ISBLANK(CY87),"",CY87)</f>
        <v/>
      </c>
      <c r="G87" s="1219" t="str">
        <f>IF(DD127=0,"",TRUNC(DD127/12))</f>
        <v/>
      </c>
      <c r="H87" s="1220" t="str">
        <f>IF(DD127=0,"",DD127-(G87*12))</f>
        <v/>
      </c>
      <c r="I87" s="1221" t="str">
        <f>IF(DD127=0,"",CE127)</f>
        <v/>
      </c>
      <c r="J87" s="1216" t="str">
        <f>IF(DJ127=0,"",TRUNC(DJ127/12))</f>
        <v/>
      </c>
      <c r="K87" s="1220" t="str">
        <f>IF(DJ127=0,"",DJ127-(J87*12))</f>
        <v/>
      </c>
      <c r="L87" s="1222" t="str">
        <f>IF(DJ127=0,"",CN127)</f>
        <v/>
      </c>
      <c r="M87" s="1223" t="str">
        <f>IF(CW127="","",CW127)</f>
        <v/>
      </c>
      <c r="N87" s="1224" t="str">
        <f>IF(CX127="","",CX127)</f>
        <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89"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95"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c r="BH87" s="261">
        <v>12.5</v>
      </c>
      <c r="BJ87" s="995" t="str">
        <f>IF(AND(OR(ISBLANK(A87),A87=""),Z87&lt;&gt;""),BJ86,IF(OR(ISBLANK(A87),A87=""),"",A87))</f>
        <v/>
      </c>
      <c r="BK87" s="993" t="b">
        <f>IF($BK$1,IF(BJ87=BJ86,BK86,IF(AND(BJ87&lt;&gt;"",OR(B87=0,B87="")),TRUE,FALSE)),FALSE)</f>
        <v>0</v>
      </c>
      <c r="BL87" s="989" t="b">
        <v>0</v>
      </c>
      <c r="BM87" s="989">
        <f>IF(C87="",0,VALUE(IF(BN87="","",LEFT(C87,SEARCH(BN87,C87)-1))))</f>
        <v>0</v>
      </c>
      <c r="BN87" s="989">
        <f>IF(C87="",0,IF(NOT(ISERROR(SEARCH("VG",C87))),"VG",IF(NOT(ISERROR(SEARCH("BG",C87))),"BG",IF(NOT(ISERROR(SEARCH("G",C87))),"G"))))</f>
        <v>0</v>
      </c>
      <c r="BO87" s="989">
        <f>IF(C87="",0,VALUE(MID(C87,SEARCH(BN87,C87)+LEN(BN87),SEARCH("N",C87)-SEARCH(BN87,C87)-LEN(BN87))))</f>
        <v>0</v>
      </c>
      <c r="BP87" s="989">
        <f>IF(ISERROR(SEARCH("F",C87)),IF(C87="",0,VALUE(MID(C87,SEARCH("N",C87)+1,SEARCH("K",C87)-SEARCH("N",C87)-1))),IF(C87="",0,VALUE(MID(C87,SEARCH("N",C87)+1,SEARCH("F",C87)-SEARCH("N",C87)-1))))</f>
        <v>0</v>
      </c>
      <c r="BQ87" s="989">
        <f>IF(ISERROR(SEARCH("F",C87)),IF(C87="",0,IF(SEARCH("K",C87)=LEN(C87),0,VALUE(MID(C87,SEARCH("K",C87)+1,LEN(C87))))),IF(C87="",0,IF(SEARCH("F",C87)=LEN(C87),0,VALUE(MID(C87,SEARCH("F",C87)+1,LEN(C87))))))</f>
        <v>0</v>
      </c>
      <c r="BR87" s="989" t="b">
        <f>IF(OR(ISERROR(BM87),ISERROR(BN87),ISERROR(BO87),ISERROR(BP87),ISERROR(BQ87)),FALSE,TRUE)</f>
        <v>1</v>
      </c>
      <c r="BS87" s="990">
        <f>6+IF(LEFT(I87,1)="R",IF(ISNUMBER(G87),G87*12,0)+IF(ISNUMBER(H87),H87,0),0)</f>
        <v>6</v>
      </c>
      <c r="BT87" s="990" t="str">
        <f>IF(IF(ISNUMBER(S87),S87*12,0)+IF(ISNUMBER(T87),T87,0)&gt;0,IF(AND(IF(ISNUMBER(S87),S87*12,0)+IF(ISNUMBER(T87),T87,0)&gt;=1.25,IF(ISNUMBER(S87),S87*12,0)+IF(ISNUMBER(T87),T87,0)&lt;=(BS87-1.25)+IF(I87="X",2,0)),"Yes","No"),"No")</f>
        <v>No</v>
      </c>
      <c r="BU87" s="990">
        <f>6+IF(LEFT(L87,1)="R",IF(ISNUMBER(J87),J87*12,0)+IF(ISNUMBER(K87),K87,0),0)</f>
        <v>6</v>
      </c>
      <c r="BV87" s="990" t="str">
        <f>IF(IF(ISNUMBER(U87),U87*12,0)+IF(ISNUMBER(V87),V87,0)&gt;0,IF(AND(IF(ISNUMBER(U87),U87*12,0)+IF(ISNUMBER(V87),V87,0)&gt;=1.25,IF(ISNUMBER(U87),U87*12,0)+IF(ISNUMBER(V87),V87,0)&lt;=(BU87-1.25)+IF(L87="X",2,0)),"Yes","No"),"No")</f>
        <v>No</v>
      </c>
      <c r="BW87" s="991">
        <f>IF(AB87="",0,1)+IF(AC87="",0,1)+IF(AD87="",0,1)+IF(AE87="",0,1)+IF(AF87="",0,1)+IF(AG87="",0,1)+IF(AH87="",0,1)+IF(AI87="",0,1)+IF(AJ87="",0,1)+IF(AK87="",0,1)+IF(AL87="",0,1)+IF(AM87="",0,1)+IF(AN87="",0,1)+IF(AO87="",0,1)+IF(AP87="",0,1)+IF(AQ87="",0,1)+IF(AR87="",0,1)+IF(AS87="",0,1)+IF(AT87="",0,1)+IF(AU87="",0,1)+IF(AV87="",0,1)+IF(AW87="",0,1)+IF(AX87="",0,1)+IF(AY87="",0,1)+IF(AZ87="",0,1)+IF(BA87="",0,1)+IF(BB87="",0,1)+IF(BC87="",0,1)+IF(BD87="",0,1)+IF(BE87="",0,1)+IF(BF87="",0,1)+IF(BG87="",0,1)</f>
        <v>0</v>
      </c>
      <c r="BX87" s="991" t="str">
        <f>IF(AND(AB87="",BW87&gt;0),BX86,IF(ISBLANK(AB87),"",AB87))</f>
        <v/>
      </c>
      <c r="BY87" s="991" t="b">
        <f>IF(ISERROR(VLOOKUP(BX87,$BJ$14:$BL$45,3,FALSE)),FALSE,VLOOKUP(BX87,$BJ$14:$BL$45,3,FALSE))</f>
        <v>0</v>
      </c>
      <c r="BZ87" s="992" t="b">
        <f>IF($BK$1,IF(BX87="",FALSE,IF(ISERROR(VLOOKUP(BX87,$A$28:$B$45,2,FALSE)),FALSE,IF(VLOOKUP(BX87,$A$28:$B$45,2,FALSE)=0,TRUE,FALSE))))</f>
        <v>0</v>
      </c>
      <c r="CA87" s="105"/>
      <c r="FU87" s="2"/>
      <c r="FV87" s="2"/>
      <c r="FW87" s="2"/>
      <c r="FX87" s="2"/>
      <c r="FY87" s="2"/>
      <c r="FZ87" s="2"/>
      <c r="GG87" s="907"/>
      <c r="GH87" s="1643">
        <f>IF(D87="",0,D87*12+E87)</f>
        <v>0</v>
      </c>
      <c r="GI87" s="1640" t="e">
        <f>(GA48*12+GB48+GC48+GD48)/COS(ATAN(ABS(GE48/12)))</f>
        <v>#VALUE!</v>
      </c>
      <c r="GJ87" s="1641" t="e">
        <f>IF(ABS(GH87-GI87)&gt;=0.125,ABS(GH87-GI87),0)</f>
        <v>#VALUE!</v>
      </c>
      <c r="GK87" s="2"/>
      <c r="GR87" s="211"/>
      <c r="GS87" s="212"/>
      <c r="GT87" s="213"/>
      <c r="GU87" s="214"/>
      <c r="GV87" s="215"/>
      <c r="GW87" s="211"/>
      <c r="GX87" s="216"/>
      <c r="GY87" s="217"/>
      <c r="GZ87" s="216"/>
      <c r="HA87" s="217"/>
      <c r="HB87" s="218"/>
      <c r="HC87" s="219"/>
      <c r="HD87" s="211"/>
      <c r="HE87" s="216"/>
      <c r="HF87" s="217"/>
      <c r="HG87" s="216"/>
      <c r="HH87" s="217"/>
      <c r="HI87" s="218"/>
      <c r="HJ87" s="219"/>
      <c r="HK87" s="220"/>
      <c r="HL87" s="211"/>
      <c r="HM87" s="228"/>
      <c r="HN87" s="229"/>
      <c r="HO87" s="230"/>
      <c r="HP87" s="149">
        <f ca="1">IF(IZ87&lt;&gt;"",1,IF(HP86=0,0,IF(OFFSET(IZ87,HP86*-1,0)&lt;HP86+1,0,HP86+1)))</f>
        <v>0</v>
      </c>
      <c r="HQ87" s="149"/>
      <c r="HR87" s="149"/>
      <c r="HS87" s="149"/>
      <c r="HT87" s="149"/>
      <c r="HU87" s="149"/>
      <c r="HV87" s="211"/>
      <c r="HW87" s="221"/>
      <c r="HX87" s="222"/>
      <c r="HY87" s="223"/>
      <c r="HZ87" s="551"/>
      <c r="IA87" s="224"/>
      <c r="IB87" s="225"/>
      <c r="IC87" s="226"/>
      <c r="ID87" s="227"/>
    </row>
    <row r="88" spans="1:238" ht="12.6" hidden="1" customHeight="1" x14ac:dyDescent="0.2">
      <c r="Z88" s="1141"/>
    </row>
    <row r="89" spans="1:238" ht="12.75" customHeight="1" x14ac:dyDescent="0.2">
      <c r="B89" s="533" t="s">
        <v>721</v>
      </c>
    </row>
    <row r="92" spans="1:238" ht="13.5" customHeight="1" x14ac:dyDescent="0.2"/>
  </sheetData>
  <sheetProtection selectLockedCells="1"/>
  <mergeCells count="392">
    <mergeCell ref="JJ12:JJ13"/>
    <mergeCell ref="JK12:JK13"/>
    <mergeCell ref="JL12:JL13"/>
    <mergeCell ref="IG12:IG13"/>
    <mergeCell ref="IH12:IH13"/>
    <mergeCell ref="IJ12:IJ13"/>
    <mergeCell ref="IK12:IK13"/>
    <mergeCell ref="IQ12:IQ13"/>
    <mergeCell ref="IR12:IR13"/>
    <mergeCell ref="IS12:IS13"/>
    <mergeCell ref="IT12:IT13"/>
    <mergeCell ref="IW12:IW13"/>
    <mergeCell ref="IX12:IX13"/>
    <mergeCell ref="JA12:JA13"/>
    <mergeCell ref="JB12:JB13"/>
    <mergeCell ref="JE12:JE13"/>
    <mergeCell ref="JF12:JF13"/>
    <mergeCell ref="JI12:JI13"/>
    <mergeCell ref="IU12:IU13"/>
    <mergeCell ref="JH12:JH13"/>
    <mergeCell ref="JD12:JD13"/>
    <mergeCell ref="JG12:JG13"/>
    <mergeCell ref="IY12:IY13"/>
    <mergeCell ref="IZ12:IZ13"/>
    <mergeCell ref="HQ2:HR3"/>
    <mergeCell ref="HS2:HW2"/>
    <mergeCell ref="HX2:HY2"/>
    <mergeCell ref="IA2:IA3"/>
    <mergeCell ref="HG3:HH3"/>
    <mergeCell ref="HJ3:HK3"/>
    <mergeCell ref="HS3:HT3"/>
    <mergeCell ref="HU3:HV3"/>
    <mergeCell ref="HY4:HY5"/>
    <mergeCell ref="HZ4:HZ5"/>
    <mergeCell ref="IA4:IB4"/>
    <mergeCell ref="HN4:HO5"/>
    <mergeCell ref="HP4:HQ5"/>
    <mergeCell ref="HR4:HR5"/>
    <mergeCell ref="HM4:HM5"/>
    <mergeCell ref="HT4:HT5"/>
    <mergeCell ref="HS4:HS5"/>
    <mergeCell ref="HG4:HH5"/>
    <mergeCell ref="HA2:HA3"/>
    <mergeCell ref="HB2:HB3"/>
    <mergeCell ref="HC2:HC3"/>
    <mergeCell ref="HD2:HE3"/>
    <mergeCell ref="HF2:HF3"/>
    <mergeCell ref="HG2:HI2"/>
    <mergeCell ref="HJ2:HL2"/>
    <mergeCell ref="HM2:HN2"/>
    <mergeCell ref="HO2:HP3"/>
    <mergeCell ref="JC12:JC13"/>
    <mergeCell ref="DA26:DA27"/>
    <mergeCell ref="CG26:CG27"/>
    <mergeCell ref="CH26:CI27"/>
    <mergeCell ref="CQ26:CQ27"/>
    <mergeCell ref="CR26:CS27"/>
    <mergeCell ref="CJ26:CK27"/>
    <mergeCell ref="ER26:ES26"/>
    <mergeCell ref="DD26:DD27"/>
    <mergeCell ref="DE26:DE27"/>
    <mergeCell ref="CT26:CU27"/>
    <mergeCell ref="CW26:CW27"/>
    <mergeCell ref="CL26:CL27"/>
    <mergeCell ref="CM26:CM27"/>
    <mergeCell ref="EQ26:EQ27"/>
    <mergeCell ref="EN26:EP26"/>
    <mergeCell ref="GA25:GJ25"/>
    <mergeCell ref="IA26:IA27"/>
    <mergeCell ref="IB26:IB27"/>
    <mergeCell ref="HK26:HK27"/>
    <mergeCell ref="HL26:HL27"/>
    <mergeCell ref="HQ26:HQ27"/>
    <mergeCell ref="HR26:HR27"/>
    <mergeCell ref="HU26:HU27"/>
    <mergeCell ref="EQ50:EQ53"/>
    <mergeCell ref="EY51:EY53"/>
    <mergeCell ref="EX51:EX53"/>
    <mergeCell ref="FB52:FB53"/>
    <mergeCell ref="FC52:FC53"/>
    <mergeCell ref="EU50:EU53"/>
    <mergeCell ref="IV12:IV13"/>
    <mergeCell ref="HY26:HY27"/>
    <mergeCell ref="HZ26:HZ27"/>
    <mergeCell ref="GJ52:GJ53"/>
    <mergeCell ref="GC52:GC53"/>
    <mergeCell ref="FW52:FW53"/>
    <mergeCell ref="FZ52:FZ53"/>
    <mergeCell ref="GB52:GB53"/>
    <mergeCell ref="GA52:GA53"/>
    <mergeCell ref="FX52:FX53"/>
    <mergeCell ref="IP12:IP13"/>
    <mergeCell ref="FN50:FS51"/>
    <mergeCell ref="HP26:HP27"/>
    <mergeCell ref="IC26:IC27"/>
    <mergeCell ref="ID26:ID27"/>
    <mergeCell ref="HT26:HT27"/>
    <mergeCell ref="HV26:HV27"/>
    <mergeCell ref="HW26:HW27"/>
    <mergeCell ref="EO50:EO53"/>
    <mergeCell ref="EP50:EP53"/>
    <mergeCell ref="DV52:DW52"/>
    <mergeCell ref="DX52:DY52"/>
    <mergeCell ref="EM50:EM53"/>
    <mergeCell ref="EJ50:EJ53"/>
    <mergeCell ref="EI50:EI53"/>
    <mergeCell ref="EA52:EA53"/>
    <mergeCell ref="EE50:EE53"/>
    <mergeCell ref="DZ52:DZ53"/>
    <mergeCell ref="ED50:ED53"/>
    <mergeCell ref="EB52:EB53"/>
    <mergeCell ref="HC4:HC5"/>
    <mergeCell ref="HD4:HE5"/>
    <mergeCell ref="HC26:HC27"/>
    <mergeCell ref="HF26:HF27"/>
    <mergeCell ref="HG26:HG27"/>
    <mergeCell ref="HH26:HH27"/>
    <mergeCell ref="HI26:HI27"/>
    <mergeCell ref="HD26:HE27"/>
    <mergeCell ref="DV9:EK11"/>
    <mergeCell ref="EJ12:EJ13"/>
    <mergeCell ref="EK12:EK13"/>
    <mergeCell ref="DV12:DW12"/>
    <mergeCell ref="EM26:EM27"/>
    <mergeCell ref="GI26:GJ26"/>
    <mergeCell ref="IE12:IE13"/>
    <mergeCell ref="GL26:GL27"/>
    <mergeCell ref="HA15:HX17"/>
    <mergeCell ref="HA26:HA27"/>
    <mergeCell ref="HB26:HB27"/>
    <mergeCell ref="FT50:FZ51"/>
    <mergeCell ref="GM26:GM27"/>
    <mergeCell ref="HM26:HM27"/>
    <mergeCell ref="HS26:HS27"/>
    <mergeCell ref="HN26:HN27"/>
    <mergeCell ref="HO26:HO27"/>
    <mergeCell ref="HJ26:HJ27"/>
    <mergeCell ref="HX26:HX27"/>
    <mergeCell ref="ER50:ER53"/>
    <mergeCell ref="FY52:FY53"/>
    <mergeCell ref="FT52:FT53"/>
    <mergeCell ref="GG26:GH26"/>
    <mergeCell ref="FU52:FU53"/>
    <mergeCell ref="FK52:FK53"/>
    <mergeCell ref="ES50:ES53"/>
    <mergeCell ref="FV52:FV53"/>
    <mergeCell ref="FL52:FL53"/>
    <mergeCell ref="FM52:FM53"/>
    <mergeCell ref="FS52:FS53"/>
    <mergeCell ref="FP52:FP53"/>
    <mergeCell ref="FR52:FR53"/>
    <mergeCell ref="FQ52:FQ53"/>
    <mergeCell ref="FN52:FN53"/>
    <mergeCell ref="GA26:GB26"/>
    <mergeCell ref="FD52:FE52"/>
    <mergeCell ref="EW52:EW53"/>
    <mergeCell ref="EV52:EV53"/>
    <mergeCell ref="EZ52:EZ53"/>
    <mergeCell ref="FA52:FA53"/>
    <mergeCell ref="ET50:ET53"/>
    <mergeCell ref="FO52:FO53"/>
    <mergeCell ref="FF51:FI51"/>
    <mergeCell ref="AA26:AA27"/>
    <mergeCell ref="GC26:GD26"/>
    <mergeCell ref="GE26:GE27"/>
    <mergeCell ref="GF26:GF27"/>
    <mergeCell ref="GK26:GK27"/>
    <mergeCell ref="CB52:CB53"/>
    <mergeCell ref="CI52:CI53"/>
    <mergeCell ref="CB26:CB27"/>
    <mergeCell ref="CD26:CD27"/>
    <mergeCell ref="CV52:CV53"/>
    <mergeCell ref="CW52:CW53"/>
    <mergeCell ref="CU52:CU53"/>
    <mergeCell ref="CX52:CX53"/>
    <mergeCell ref="CZ52:DA52"/>
    <mergeCell ref="DF52:DG52"/>
    <mergeCell ref="DI52:DI53"/>
    <mergeCell ref="DL52:DL53"/>
    <mergeCell ref="EN50:EN53"/>
    <mergeCell ref="EF50:EF53"/>
    <mergeCell ref="EH50:EH53"/>
    <mergeCell ref="EK50:EK53"/>
    <mergeCell ref="EL50:EL53"/>
    <mergeCell ref="EG50:EG53"/>
    <mergeCell ref="EC52:EC53"/>
    <mergeCell ref="X24:Y24"/>
    <mergeCell ref="AC12:AC13"/>
    <mergeCell ref="AB12:AB13"/>
    <mergeCell ref="HI4:HJ5"/>
    <mergeCell ref="HK4:HK5"/>
    <mergeCell ref="HA4:HA5"/>
    <mergeCell ref="HL4:HL5"/>
    <mergeCell ref="IO12:IO13"/>
    <mergeCell ref="II12:II13"/>
    <mergeCell ref="IL12:IL13"/>
    <mergeCell ref="IM12:IM13"/>
    <mergeCell ref="IN12:IN13"/>
    <mergeCell ref="IF12:IF13"/>
    <mergeCell ref="HU4:HV4"/>
    <mergeCell ref="HX4:HX5"/>
    <mergeCell ref="HW4:HW5"/>
    <mergeCell ref="ET24:EU26"/>
    <mergeCell ref="AL12:AQ12"/>
    <mergeCell ref="A11:AA11"/>
    <mergeCell ref="AF12:AH12"/>
    <mergeCell ref="AG13:AH13"/>
    <mergeCell ref="IC4:ID4"/>
    <mergeCell ref="HF4:HF5"/>
    <mergeCell ref="HB4:HB5"/>
    <mergeCell ref="U27:V27"/>
    <mergeCell ref="G26:I26"/>
    <mergeCell ref="J26:L26"/>
    <mergeCell ref="Q1:T1"/>
    <mergeCell ref="AU1:AX1"/>
    <mergeCell ref="Q2:T3"/>
    <mergeCell ref="Q4:T4"/>
    <mergeCell ref="AU2:AX3"/>
    <mergeCell ref="AU4:AX4"/>
    <mergeCell ref="W1:Y1"/>
    <mergeCell ref="W2:Y2"/>
    <mergeCell ref="W3:Y3"/>
    <mergeCell ref="W4:Y4"/>
    <mergeCell ref="AB5:AQ5"/>
    <mergeCell ref="T9:AA9"/>
    <mergeCell ref="AE9:AT9"/>
    <mergeCell ref="Q26:R27"/>
    <mergeCell ref="S27:T27"/>
    <mergeCell ref="Q9:S9"/>
    <mergeCell ref="Z10:AA10"/>
    <mergeCell ref="T10:W10"/>
    <mergeCell ref="AE10:AT10"/>
    <mergeCell ref="X26:Y26"/>
    <mergeCell ref="AD12:AE13"/>
    <mergeCell ref="BD1:BF1"/>
    <mergeCell ref="BD2:BF2"/>
    <mergeCell ref="AB8:BG8"/>
    <mergeCell ref="BA3:BC3"/>
    <mergeCell ref="BA4:BC4"/>
    <mergeCell ref="BD3:BF3"/>
    <mergeCell ref="BD4:BF4"/>
    <mergeCell ref="A26:A27"/>
    <mergeCell ref="C26:C27"/>
    <mergeCell ref="B26:B27"/>
    <mergeCell ref="J27:K27"/>
    <mergeCell ref="G27:H27"/>
    <mergeCell ref="BA1:BC1"/>
    <mergeCell ref="BA2:BC2"/>
    <mergeCell ref="AX10:BA10"/>
    <mergeCell ref="BB6:BD6"/>
    <mergeCell ref="C9:P9"/>
    <mergeCell ref="M26:N26"/>
    <mergeCell ref="AZ7:BA7"/>
    <mergeCell ref="D26:E27"/>
    <mergeCell ref="O26:P27"/>
    <mergeCell ref="S26:W26"/>
    <mergeCell ref="F26:F27"/>
    <mergeCell ref="AI12:AJ13"/>
    <mergeCell ref="A5:L5"/>
    <mergeCell ref="A8:AA8"/>
    <mergeCell ref="V6:W6"/>
    <mergeCell ref="X6:Y6"/>
    <mergeCell ref="BB10:BD10"/>
    <mergeCell ref="M7:S7"/>
    <mergeCell ref="M6:T6"/>
    <mergeCell ref="C10:P10"/>
    <mergeCell ref="AZ6:BA6"/>
    <mergeCell ref="AZ13:BA13"/>
    <mergeCell ref="AR13:AS13"/>
    <mergeCell ref="A9:B9"/>
    <mergeCell ref="A10:B10"/>
    <mergeCell ref="BD13:BE13"/>
    <mergeCell ref="AR12:BG12"/>
    <mergeCell ref="AB10:AD10"/>
    <mergeCell ref="V7:W7"/>
    <mergeCell ref="K7:L7"/>
    <mergeCell ref="AV13:AW13"/>
    <mergeCell ref="BE10:BG10"/>
    <mergeCell ref="AK12:AK13"/>
    <mergeCell ref="AU10:AW10"/>
    <mergeCell ref="Q10:S10"/>
    <mergeCell ref="AB9:AD9"/>
    <mergeCell ref="AX9:BG9"/>
    <mergeCell ref="AU9:AW9"/>
    <mergeCell ref="X10:Y10"/>
    <mergeCell ref="BW12:BZ12"/>
    <mergeCell ref="CY52:CY53"/>
    <mergeCell ref="CC52:CC53"/>
    <mergeCell ref="CP52:CP53"/>
    <mergeCell ref="CJ52:CJ53"/>
    <mergeCell ref="CK52:CK53"/>
    <mergeCell ref="CL52:CL53"/>
    <mergeCell ref="CM52:CM53"/>
    <mergeCell ref="CQ52:CQ53"/>
    <mergeCell ref="CR52:CR53"/>
    <mergeCell ref="CS52:CS53"/>
    <mergeCell ref="CD52:CD53"/>
    <mergeCell ref="CC51:CK51"/>
    <mergeCell ref="CE52:CE53"/>
    <mergeCell ref="CF52:CF53"/>
    <mergeCell ref="CG52:CG53"/>
    <mergeCell ref="CH52:CH53"/>
    <mergeCell ref="CL51:CT51"/>
    <mergeCell ref="CE26:CF27"/>
    <mergeCell ref="CN52:CN53"/>
    <mergeCell ref="CO52:CO53"/>
    <mergeCell ref="CT52:CT53"/>
    <mergeCell ref="CV26:CV27"/>
    <mergeCell ref="CC26:CC27"/>
    <mergeCell ref="DB52:DB53"/>
    <mergeCell ref="DT52:DU52"/>
    <mergeCell ref="DK52:DK53"/>
    <mergeCell ref="DC52:DC53"/>
    <mergeCell ref="DD52:DD53"/>
    <mergeCell ref="DE52:DE53"/>
    <mergeCell ref="DJ52:DJ53"/>
    <mergeCell ref="CB22:DE23"/>
    <mergeCell ref="DH52:DH53"/>
    <mergeCell ref="DM52:DN52"/>
    <mergeCell ref="DO52:DP52"/>
    <mergeCell ref="DQ52:DR52"/>
    <mergeCell ref="DS52:DS53"/>
    <mergeCell ref="JD4:JD5"/>
    <mergeCell ref="JE4:JF4"/>
    <mergeCell ref="JG4:JG5"/>
    <mergeCell ref="FG3:FI3"/>
    <mergeCell ref="EH12:EI12"/>
    <mergeCell ref="DO9:DO13"/>
    <mergeCell ref="DH9:DH13"/>
    <mergeCell ref="DL12:DL13"/>
    <mergeCell ref="DM12:DN13"/>
    <mergeCell ref="EB12:EB13"/>
    <mergeCell ref="ED12:EE12"/>
    <mergeCell ref="EF12:EF13"/>
    <mergeCell ref="EG12:EG13"/>
    <mergeCell ref="DX12:DX13"/>
    <mergeCell ref="DI12:DI13"/>
    <mergeCell ref="DJ12:DK13"/>
    <mergeCell ref="EC12:EC13"/>
    <mergeCell ref="DS12:DS13"/>
    <mergeCell ref="DQ12:DQ13"/>
    <mergeCell ref="DZ12:EA12"/>
    <mergeCell ref="DT12:DU12"/>
    <mergeCell ref="DY12:DY13"/>
    <mergeCell ref="EM12:EM13"/>
    <mergeCell ref="DH6:EK8"/>
    <mergeCell ref="IQ4:IR4"/>
    <mergeCell ref="IS4:IT4"/>
    <mergeCell ref="IU4:IU5"/>
    <mergeCell ref="IV4:IV5"/>
    <mergeCell ref="IW4:IX4"/>
    <mergeCell ref="IY4:IY5"/>
    <mergeCell ref="IZ4:IZ5"/>
    <mergeCell ref="JA4:JB4"/>
    <mergeCell ref="JC4:JC5"/>
    <mergeCell ref="JK2:JK3"/>
    <mergeCell ref="JH4:JH5"/>
    <mergeCell ref="IL4:IL5"/>
    <mergeCell ref="JK4:JK5"/>
    <mergeCell ref="IF2:IF3"/>
    <mergeCell ref="IG2:IH3"/>
    <mergeCell ref="II2:IK2"/>
    <mergeCell ref="IL2:IM3"/>
    <mergeCell ref="IN2:IN3"/>
    <mergeCell ref="IO2:IT2"/>
    <mergeCell ref="IU2:JJ2"/>
    <mergeCell ref="IJ3:IK3"/>
    <mergeCell ref="IU3:IV3"/>
    <mergeCell ref="IY3:IZ3"/>
    <mergeCell ref="JC3:JD3"/>
    <mergeCell ref="JG3:JH3"/>
    <mergeCell ref="IF4:IF5"/>
    <mergeCell ref="IG4:IH5"/>
    <mergeCell ref="II4:II5"/>
    <mergeCell ref="IJ4:IK5"/>
    <mergeCell ref="IM4:IM5"/>
    <mergeCell ref="IN4:IN5"/>
    <mergeCell ref="IO4:IO5"/>
    <mergeCell ref="IP4:IP5"/>
    <mergeCell ref="DP9:DU10"/>
    <mergeCell ref="DP11:DP13"/>
    <mergeCell ref="DR11:DR13"/>
    <mergeCell ref="DA20:DB20"/>
    <mergeCell ref="CG24:CP25"/>
    <mergeCell ref="CB24:CF25"/>
    <mergeCell ref="CN26:CP26"/>
    <mergeCell ref="CX26:CZ26"/>
    <mergeCell ref="CQ24:CZ25"/>
    <mergeCell ref="DB25:DC26"/>
    <mergeCell ref="DD25:DE25"/>
    <mergeCell ref="DB24:DE24"/>
    <mergeCell ref="DI9:DN11"/>
  </mergeCells>
  <phoneticPr fontId="0" type="noConversion"/>
  <conditionalFormatting sqref="CD28:CD45">
    <cfRule type="expression" dxfId="1001" priority="296">
      <formula>AND(NOT($BK28),NOT($BR28))</formula>
    </cfRule>
  </conditionalFormatting>
  <conditionalFormatting sqref="DM54:DM85 DT54:DT85">
    <cfRule type="cellIs" dxfId="1000" priority="500" stopIfTrue="1" operator="notEqual">
      <formula>DN54</formula>
    </cfRule>
  </conditionalFormatting>
  <conditionalFormatting sqref="DD28:DD45">
    <cfRule type="cellIs" dxfId="999" priority="513" operator="greaterThan">
      <formula>EY68</formula>
    </cfRule>
    <cfRule type="expression" dxfId="998" priority="514">
      <formula>AND(ISBLANK(DD28),EY68&gt;0)</formula>
    </cfRule>
  </conditionalFormatting>
  <conditionalFormatting sqref="DE28:DE45">
    <cfRule type="cellIs" dxfId="997" priority="515" operator="lessThan">
      <formula>EX68</formula>
    </cfRule>
    <cfRule type="expression" dxfId="996" priority="516">
      <formula>AND(ISBLANK(DE28),EX68&lt;&gt;"")</formula>
    </cfRule>
  </conditionalFormatting>
  <conditionalFormatting sqref="A28:B45">
    <cfRule type="expression" dxfId="995" priority="518">
      <formula>AND(NOT($BK$1),$B28=0,OR($BJ$1="",$BJ$1="M"))</formula>
    </cfRule>
  </conditionalFormatting>
  <conditionalFormatting sqref="FQ54:FR85">
    <cfRule type="cellIs" dxfId="994" priority="593" stopIfTrue="1" operator="lessThan">
      <formula>0</formula>
    </cfRule>
  </conditionalFormatting>
  <conditionalFormatting sqref="DI14">
    <cfRule type="expression" dxfId="993" priority="520">
      <formula>UPPER(#REF!)="X"</formula>
    </cfRule>
  </conditionalFormatting>
  <conditionalFormatting sqref="DJ14">
    <cfRule type="expression" dxfId="992" priority="521">
      <formula>OR(UPPER(#REF!)="X",UPPER(#REF!="X"))</formula>
    </cfRule>
  </conditionalFormatting>
  <conditionalFormatting sqref="DK14">
    <cfRule type="expression" dxfId="991" priority="550">
      <formula>OR(UPPER(#REF!)="X",UPPER(#REF!="X"))</formula>
    </cfRule>
  </conditionalFormatting>
  <conditionalFormatting sqref="Q2:T4 AU2:AX4">
    <cfRule type="cellIs" dxfId="990" priority="597" stopIfTrue="1" operator="equal">
      <formula>""</formula>
    </cfRule>
  </conditionalFormatting>
  <conditionalFormatting sqref="M7">
    <cfRule type="expression" dxfId="989" priority="598" stopIfTrue="1">
      <formula>OR(ISBLANK($M$7),$M$7="")</formula>
    </cfRule>
    <cfRule type="expression" dxfId="988" priority="599" stopIfTrue="1">
      <formula>NOT(OR(COUNTIF(masterFinishList, $M$7) &gt; 0, COUNTIF($M$7, "Other:*") &gt; 0))</formula>
    </cfRule>
  </conditionalFormatting>
  <conditionalFormatting sqref="DA20">
    <cfRule type="expression" dxfId="987" priority="600" stopIfTrue="1">
      <formula>NOT(ISBLANK($DA$20))</formula>
    </cfRule>
  </conditionalFormatting>
  <conditionalFormatting sqref="C28:C45">
    <cfRule type="expression" dxfId="986" priority="123">
      <formula>AND(NOT($BK28),NOT(BR28))</formula>
    </cfRule>
  </conditionalFormatting>
  <conditionalFormatting sqref="U28:U45">
    <cfRule type="expression" dxfId="985" priority="143">
      <formula>AND(NOT($BK28),BV28="No")</formula>
    </cfRule>
  </conditionalFormatting>
  <conditionalFormatting sqref="V28:V45">
    <cfRule type="expression" dxfId="984" priority="293">
      <formula>AND(NOT($BK28),BV28="No")</formula>
    </cfRule>
  </conditionalFormatting>
  <conditionalFormatting sqref="S28:S45">
    <cfRule type="expression" dxfId="983" priority="119">
      <formula>AND(NOT($BK28),BT28="No")</formula>
    </cfRule>
  </conditionalFormatting>
  <conditionalFormatting sqref="T28:T45">
    <cfRule type="expression" dxfId="982" priority="120">
      <formula>AND(NOT($BK28),BT28="No")</formula>
    </cfRule>
  </conditionalFormatting>
  <conditionalFormatting sqref="W28:W45">
    <cfRule type="expression" dxfId="981" priority="36">
      <formula>$W28=0</formula>
    </cfRule>
  </conditionalFormatting>
  <conditionalFormatting sqref="DI15:DI45">
    <cfRule type="expression" dxfId="980" priority="579">
      <formula>FM54="X"</formula>
    </cfRule>
  </conditionalFormatting>
  <conditionalFormatting sqref="DJ15:DJ45">
    <cfRule type="expression" dxfId="979" priority="594">
      <formula>FM54="X"</formula>
    </cfRule>
  </conditionalFormatting>
  <conditionalFormatting sqref="DK15:DK45">
    <cfRule type="expression" dxfId="978" priority="595">
      <formula>FM54="X"</formula>
    </cfRule>
  </conditionalFormatting>
  <conditionalFormatting sqref="DH14:DH45">
    <cfRule type="expression" dxfId="977" priority="15">
      <formula>NOT($FQ14)</formula>
    </cfRule>
    <cfRule type="expression" dxfId="976" priority="596">
      <formula>FJ54="G"</formula>
    </cfRule>
  </conditionalFormatting>
  <conditionalFormatting sqref="DT14:DU45">
    <cfRule type="expression" dxfId="975" priority="977">
      <formula>GD54=0</formula>
    </cfRule>
  </conditionalFormatting>
  <conditionalFormatting sqref="AR87:AS87 AR14:AS45">
    <cfRule type="expression" dxfId="974" priority="979">
      <formula>AND(NOT($BZ14),$FF54)</formula>
    </cfRule>
  </conditionalFormatting>
  <conditionalFormatting sqref="AV87:AW87 AV14:AW45">
    <cfRule type="expression" dxfId="973" priority="980">
      <formula>AND(NOT($BZ14),$FG54)</formula>
    </cfRule>
  </conditionalFormatting>
  <conditionalFormatting sqref="AZ87:BA87 AZ14:BA45">
    <cfRule type="expression" dxfId="972" priority="981">
      <formula>AND(NOT($BZ14),$FH54)</formula>
    </cfRule>
  </conditionalFormatting>
  <conditionalFormatting sqref="BD87:BE87 BD14:BE45">
    <cfRule type="expression" dxfId="971" priority="982">
      <formula>AND(NOT($BZ14),$FI54)</formula>
    </cfRule>
  </conditionalFormatting>
  <conditionalFormatting sqref="DW14:DW45">
    <cfRule type="expression" dxfId="970" priority="986">
      <formula>FF54</formula>
    </cfRule>
  </conditionalFormatting>
  <conditionalFormatting sqref="EA14:EA45">
    <cfRule type="expression" dxfId="969" priority="987">
      <formula>FG54</formula>
    </cfRule>
  </conditionalFormatting>
  <conditionalFormatting sqref="EE14:EE45">
    <cfRule type="expression" dxfId="968" priority="988">
      <formula>FH54</formula>
    </cfRule>
  </conditionalFormatting>
  <conditionalFormatting sqref="EI14:EI45">
    <cfRule type="expression" dxfId="967" priority="989">
      <formula>FI54</formula>
    </cfRule>
  </conditionalFormatting>
  <conditionalFormatting sqref="AD87:AE87 DJ14:DK45 AD14:AE45">
    <cfRule type="expression" dxfId="966" priority="1005">
      <formula>AND(NOT($BZ14),FIND("A",$GK54))</formula>
    </cfRule>
  </conditionalFormatting>
  <conditionalFormatting sqref="AI87:AJ87 DM14:DN45 AI14:AJ45">
    <cfRule type="expression" dxfId="965" priority="1006">
      <formula>AND(NOT($BZ14),FIND("B",$GK54))</formula>
    </cfRule>
  </conditionalFormatting>
  <conditionalFormatting sqref="DL14:DL45">
    <cfRule type="expression" dxfId="964" priority="4">
      <formula>AND(NOT(ISBLANK($DH14)),ISBLANK($DL14))</formula>
    </cfRule>
    <cfRule type="expression" dxfId="963" priority="88">
      <formula>FIND("B",$GK54)</formula>
    </cfRule>
  </conditionalFormatting>
  <conditionalFormatting sqref="DI14:DI45">
    <cfRule type="expression" dxfId="962" priority="1013">
      <formula>NOT($EY14)</formula>
    </cfRule>
  </conditionalFormatting>
  <conditionalFormatting sqref="AC14:AC45">
    <cfRule type="expression" dxfId="961" priority="1020">
      <formula>AND(NOT($BZ14),NOT($EY14))</formula>
    </cfRule>
  </conditionalFormatting>
  <conditionalFormatting sqref="AM14:AM45">
    <cfRule type="expression" dxfId="960" priority="83">
      <formula>AND(NOT($BZ14),AM14&lt;&gt;EZ14)</formula>
    </cfRule>
  </conditionalFormatting>
  <conditionalFormatting sqref="DQ14:DQ45">
    <cfRule type="expression" dxfId="959" priority="82">
      <formula>DQ14&lt;&gt;EZ14</formula>
    </cfRule>
  </conditionalFormatting>
  <conditionalFormatting sqref="DB28:DC45">
    <cfRule type="expression" dxfId="958" priority="81">
      <formula>AND(NOT($BK28),LEN($Z28)&gt;27)</formula>
    </cfRule>
  </conditionalFormatting>
  <conditionalFormatting sqref="FF14:FF45">
    <cfRule type="expression" dxfId="957" priority="89">
      <formula>$FC14=0</formula>
    </cfRule>
  </conditionalFormatting>
  <conditionalFormatting sqref="AD14:AJ45">
    <cfRule type="expression" dxfId="956" priority="80">
      <formula>AND(NOT($BZ14),NOT($FA14))</formula>
    </cfRule>
  </conditionalFormatting>
  <conditionalFormatting sqref="A87">
    <cfRule type="expression" dxfId="955" priority="27" stopIfTrue="1">
      <formula>AND(NOT($BK$1),$B87=0,OR($BJ$1="",$BJ$1="M"))</formula>
    </cfRule>
  </conditionalFormatting>
  <conditionalFormatting sqref="C87">
    <cfRule type="expression" dxfId="954" priority="24" stopIfTrue="1">
      <formula>AND(NOT($BK87),NOT(BR87))</formula>
    </cfRule>
  </conditionalFormatting>
  <conditionalFormatting sqref="U87">
    <cfRule type="expression" dxfId="953" priority="25" stopIfTrue="1">
      <formula>AND(NOT($BK87),BV87="No")</formula>
    </cfRule>
  </conditionalFormatting>
  <conditionalFormatting sqref="V87">
    <cfRule type="expression" dxfId="952" priority="26" stopIfTrue="1">
      <formula>AND(NOT($BK87),BV87="No")</formula>
    </cfRule>
  </conditionalFormatting>
  <conditionalFormatting sqref="S87">
    <cfRule type="expression" dxfId="951" priority="22" stopIfTrue="1">
      <formula>AND(NOT($BK87),BT87="No")</formula>
    </cfRule>
  </conditionalFormatting>
  <conditionalFormatting sqref="T87">
    <cfRule type="expression" dxfId="950" priority="23" stopIfTrue="1">
      <formula>AND(NOT($BK87),BT87="No")</formula>
    </cfRule>
  </conditionalFormatting>
  <conditionalFormatting sqref="W87">
    <cfRule type="expression" dxfId="949" priority="16">
      <formula>$W87=0</formula>
    </cfRule>
  </conditionalFormatting>
  <conditionalFormatting sqref="AC87">
    <cfRule type="expression" dxfId="948" priority="34">
      <formula>AND(NOT($BZ87),NOT($EY87))</formula>
    </cfRule>
  </conditionalFormatting>
  <conditionalFormatting sqref="AM87">
    <cfRule type="expression" dxfId="947" priority="21">
      <formula>AND(NOT($BZ87),AM87&lt;&gt;EZ87)</formula>
    </cfRule>
  </conditionalFormatting>
  <conditionalFormatting sqref="AD87:AJ87">
    <cfRule type="expression" dxfId="946" priority="20">
      <formula>AND(NOT($BZ87),NOT($FA87))</formula>
    </cfRule>
  </conditionalFormatting>
  <conditionalFormatting sqref="A87 CB28:DA45 C87:AA87">
    <cfRule type="expression" dxfId="945" priority="17">
      <formula>$FN28</formula>
    </cfRule>
  </conditionalFormatting>
  <conditionalFormatting sqref="AB87:BG87">
    <cfRule type="expression" dxfId="944" priority="19">
      <formula>$CA87</formula>
    </cfRule>
  </conditionalFormatting>
  <conditionalFormatting sqref="Z87">
    <cfRule type="expression" dxfId="943" priority="18">
      <formula>AND(NOT($BK87),LEN($Z87)&gt;27)</formula>
    </cfRule>
  </conditionalFormatting>
  <conditionalFormatting sqref="DH14:EK45 AB14:BG45">
    <cfRule type="expression" dxfId="942" priority="1208">
      <formula>$FP14</formula>
    </cfRule>
  </conditionalFormatting>
  <conditionalFormatting sqref="A28:Y45 AA28:AA45">
    <cfRule type="expression" dxfId="941" priority="1215">
      <formula>$FN28</formula>
    </cfRule>
  </conditionalFormatting>
  <conditionalFormatting sqref="CB28:CB45">
    <cfRule type="expression" dxfId="940" priority="5">
      <formula>NOT($FO28)</formula>
    </cfRule>
  </conditionalFormatting>
  <conditionalFormatting sqref="A28:A45">
    <cfRule type="expression" dxfId="939" priority="13">
      <formula>NOT($FO28)</formula>
    </cfRule>
  </conditionalFormatting>
  <conditionalFormatting sqref="AB14:AB45">
    <cfRule type="expression" dxfId="938" priority="12">
      <formula>NOT($FQ14)</formula>
    </cfRule>
  </conditionalFormatting>
  <conditionalFormatting sqref="Z28:Z45">
    <cfRule type="expression" dxfId="937" priority="7">
      <formula>$FN28</formula>
    </cfRule>
  </conditionalFormatting>
  <conditionalFormatting sqref="Z28:Z45">
    <cfRule type="expression" dxfId="936" priority="8">
      <formula>AND(NOT($BK28),LEN($Z28)&gt;27)</formula>
    </cfRule>
  </conditionalFormatting>
  <conditionalFormatting sqref="GA28:GB45">
    <cfRule type="expression" dxfId="935" priority="6" stopIfTrue="1">
      <formula>$GM28&gt;=0.125</formula>
    </cfRule>
  </conditionalFormatting>
  <conditionalFormatting sqref="CB28:CC45">
    <cfRule type="expression" dxfId="934" priority="14">
      <formula>AND(NOT($BK$1),$B28=0,OR($BJ$1="",$BJ$1="M"))</formula>
    </cfRule>
  </conditionalFormatting>
  <conditionalFormatting sqref="DB28:DE45">
    <cfRule type="expression" dxfId="933" priority="1621">
      <formula>$FN28</formula>
    </cfRule>
  </conditionalFormatting>
  <conditionalFormatting sqref="CJ28:CJ45">
    <cfRule type="expression" dxfId="932" priority="1641">
      <formula>AND(NOT($BK28),OR($CC68="M",$CC68="C",$CC68="G"))</formula>
    </cfRule>
    <cfRule type="expression" dxfId="931" priority="1642">
      <formula>AND(NOT($BK28),AND(OR($CC68="B",$CC68="G"),CJ28="",CK28=""))</formula>
    </cfRule>
    <cfRule type="expression" dxfId="930" priority="1643">
      <formula>AND(NOT($BK28),EG68="ERR")</formula>
    </cfRule>
  </conditionalFormatting>
  <conditionalFormatting sqref="CK28:CK45">
    <cfRule type="expression" dxfId="929" priority="1644">
      <formula>AND(NOT($BK28),OR($CC68="M",$CC68="C",$CC68="G"))</formula>
    </cfRule>
    <cfRule type="expression" dxfId="928" priority="1645">
      <formula>AND(NOT($BK28),AND(OR($CC68="B",$CC68="G"),CJ28="",CK28=""))</formula>
    </cfRule>
    <cfRule type="expression" dxfId="927" priority="1646">
      <formula>AND(NOT($BK28),EG68="ERR")</formula>
    </cfRule>
  </conditionalFormatting>
  <conditionalFormatting sqref="CH28:CH45">
    <cfRule type="expression" dxfId="926" priority="1655">
      <formula>AND(NOT($BK28),OR($CC68="M",$CC68="C"))</formula>
    </cfRule>
    <cfRule type="expression" dxfId="925" priority="1656">
      <formula>AND(NOT($BK28),AND(CH28="",CI28="",OR($CC68="B",$CC68="G")))</formula>
    </cfRule>
    <cfRule type="expression" dxfId="924" priority="1657">
      <formula>AND(NOT($BK28),(CH28/2)/COS(RADIANS(CL28))+CD68-DC68&lt;$FB$4)</formula>
    </cfRule>
  </conditionalFormatting>
  <conditionalFormatting sqref="CI28:CI45">
    <cfRule type="expression" dxfId="923" priority="1658">
      <formula>AND(NOT($BK28),OR($CC68="M",$CC68="C"))</formula>
    </cfRule>
    <cfRule type="expression" dxfId="922" priority="1659">
      <formula>AND(NOT($BK28),AND(CH28="",CI28="",OR($CC68="B",$CC68="G")))</formula>
    </cfRule>
    <cfRule type="expression" dxfId="921" priority="1660">
      <formula>AND(NOT($BK28),(CI28/2)/COS(RADIANS(CL28))+CD68-DC68&lt;$FB$4)</formula>
    </cfRule>
  </conditionalFormatting>
  <conditionalFormatting sqref="CT28:CT45">
    <cfRule type="expression" dxfId="920" priority="1679">
      <formula>AND(NOT($BK28),OR($CL68="M",$CL68="C",$CL68="G"))</formula>
    </cfRule>
    <cfRule type="expression" dxfId="919" priority="1680">
      <formula>AND(NOT($BK28),AND(OR($CL68="B",$CL68="G"),CT28="",CU28=""))</formula>
    </cfRule>
    <cfRule type="expression" dxfId="918" priority="1681">
      <formula>AND(NOT($BK28),EJ68="ERR")</formula>
    </cfRule>
  </conditionalFormatting>
  <conditionalFormatting sqref="CU28:CU45">
    <cfRule type="expression" dxfId="917" priority="1682">
      <formula>AND(NOT($BK28),OR($CL68="M",$CL68="C",$CL68="G"))</formula>
    </cfRule>
    <cfRule type="expression" dxfId="916" priority="1683">
      <formula>AND(NOT($BK28),AND(OR($CL68="B",$CL68="G"),CT28="",CU28=""))</formula>
    </cfRule>
    <cfRule type="expression" dxfId="915" priority="1684">
      <formula>AND(NOT($BK28),EJ68="ERR")</formula>
    </cfRule>
  </conditionalFormatting>
  <conditionalFormatting sqref="CR28:CR45">
    <cfRule type="expression" dxfId="914" priority="1687">
      <formula>AND(NOT($BK28),OR($CL68="M",$CL68="C"))</formula>
    </cfRule>
    <cfRule type="expression" dxfId="913" priority="1688">
      <formula>AND(NOT($BK28),AND(CR28="",CS28="",OR($CL68="B",$CL68="G")))</formula>
    </cfRule>
    <cfRule type="expression" dxfId="912" priority="1689">
      <formula>AND(NOT($BK28),(CR28/2)/COS(RADIANS(CV28))+CM68-DI68&lt;$FB$4)</formula>
    </cfRule>
  </conditionalFormatting>
  <conditionalFormatting sqref="CS28:CS45">
    <cfRule type="expression" dxfId="911" priority="1690">
      <formula>AND(NOT($BK28),OR($CL68="M",$CL68="C"))</formula>
    </cfRule>
    <cfRule type="expression" dxfId="910" priority="1691">
      <formula>AND(NOT($BK28),AND(CR28="",CS28="",OR($CL68="B",$CL68="G")))</formula>
    </cfRule>
    <cfRule type="expression" dxfId="909" priority="1692">
      <formula>AND(NOT($BK28),(CS28/2)/COS(RADIANS(CV28))+CM68-DI68&lt;$FB$4)</formula>
    </cfRule>
  </conditionalFormatting>
  <conditionalFormatting sqref="CW28:CW45 CM28:CM45">
    <cfRule type="expression" dxfId="908" priority="1716">
      <formula>AND(NOT($BK28),AND(ISBLANK(CM28),AND(NOT(ISBLANK(CL28)),$DA28&lt;&gt;0)))</formula>
    </cfRule>
  </conditionalFormatting>
  <conditionalFormatting sqref="CO28:CO45">
    <cfRule type="expression" dxfId="907" priority="1896">
      <formula>ET28&lt;&gt;""</formula>
    </cfRule>
  </conditionalFormatting>
  <conditionalFormatting sqref="CY28:CY45">
    <cfRule type="expression" dxfId="906" priority="1897">
      <formula>EU28&lt;&gt;""</formula>
    </cfRule>
  </conditionalFormatting>
  <conditionalFormatting sqref="DC28:DC45">
    <cfRule type="expression" dxfId="905" priority="1898">
      <formula>OR(EN28&lt;&gt;"",EO28&lt;&gt;"",EP28&lt;&gt;"",EQ28&lt;&gt;"",ER28&lt;&gt;"",ES28&lt;&gt;"",ET28&lt;&gt;"",EU28&lt;&gt;"")</formula>
    </cfRule>
  </conditionalFormatting>
  <conditionalFormatting sqref="CG28:CG45">
    <cfRule type="expression" dxfId="904" priority="1899">
      <formula>AND(NOT($BK28),ISERROR(CC68))</formula>
    </cfRule>
    <cfRule type="expression" dxfId="903" priority="1900">
      <formula>AND(NOT($BK28),OR(ISERROR(CC68),CC68="", ET28&lt;&gt;""))</formula>
    </cfRule>
  </conditionalFormatting>
  <conditionalFormatting sqref="CQ28:CQ45">
    <cfRule type="expression" dxfId="902" priority="1901">
      <formula>AND(NOT($BK28),ISERROR(CL68))</formula>
    </cfRule>
    <cfRule type="expression" dxfId="901" priority="1902">
      <formula>AND(NOT($BK28),OR(CL68="", EU28&lt;&gt;""))</formula>
    </cfRule>
  </conditionalFormatting>
  <conditionalFormatting sqref="GA48:GB48">
    <cfRule type="expression" dxfId="900" priority="3" stopIfTrue="1">
      <formula>$GM48&gt;=0.125</formula>
    </cfRule>
  </conditionalFormatting>
  <conditionalFormatting sqref="B87">
    <cfRule type="expression" dxfId="899" priority="1">
      <formula>AND(NOT($BK$1),$B87=0,OR($BJ$1="",$BJ$1="M"))</formula>
    </cfRule>
  </conditionalFormatting>
  <conditionalFormatting sqref="B87">
    <cfRule type="expression" dxfId="898" priority="2">
      <formula>$FN87</formula>
    </cfRule>
  </conditionalFormatting>
  <conditionalFormatting sqref="D28:E45">
    <cfRule type="expression" dxfId="897" priority="1903" stopIfTrue="1">
      <formula xml:space="preserve"> AND($GM28 &gt;= 0.125, $GL28 &gt; 0)</formula>
    </cfRule>
  </conditionalFormatting>
  <dataValidations count="19">
    <dataValidation type="list" allowBlank="1" showInputMessage="1" sqref="M7:S7 DA20:DB20" xr:uid="{00000000-0002-0000-0A00-000000000000}">
      <formula1>masterFinishList</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00000000-0002-0000-0A00-000001000000}">
      <formula1>0</formula1>
    </dataValidation>
    <dataValidation type="whole" operator="greaterThanOrEqual" allowBlank="1" showErrorMessage="1" errorTitle="Error" error="&quot;Number of Panels&quot; can only be whole numbers." sqref="DL14:DL45 AF87 AF14:AF45" xr:uid="{00000000-0002-0000-0A00-000002000000}">
      <formula1>0</formula1>
    </dataValidation>
    <dataValidation type="custom" allowBlank="1" showErrorMessage="1" errorTitle="Error" error="Value must  be either a whole number OR the string &quot;P&quot;." sqref="DV14:DV45 BD87 ED14:ED45 EH14:EH45 AZ87 AR87 AV87 DZ14:DZ45 BD14:BD45 AZ14:AZ45 AV14:AV45 AR14:AR45" xr:uid="{00000000-0002-0000-0A00-000003000000}">
      <formula1>IF(ISERROR(INT(AR14)),AR14="P",INT(AR14)=AR14)</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00000000-0002-0000-0A00-000004000000}">
      <formula1>0</formula1>
      <formula2>11.875</formula2>
    </dataValidation>
    <dataValidation type="decimal" operator="greaterThanOrEqual" allowBlank="1" showInputMessage="1" showErrorMessage="1" errorTitle="Dimensional Error" error="&quot;Inches&quot; must be a number." sqref="CH28:CK45 CR28:CU45" xr:uid="{00000000-0002-0000-0A00-000005000000}">
      <formula1>0</formula1>
    </dataValidation>
    <dataValidation type="decimal" operator="notEqual" allowBlank="1" showInputMessage="1" showErrorMessage="1" errorTitle="Input Error" error="Enter + or - Numbers Only._x000a_Do NOT use &quot;&lt;&quot; or &quot;&gt;&quot;." sqref="X28:Y45 X87:Y87" xr:uid="{00000000-0002-0000-0A00-000006000000}">
      <formula1>0</formula1>
    </dataValidation>
    <dataValidation type="decimal" operator="lessThanOrEqual" allowBlank="1" showInputMessage="1" showErrorMessage="1" errorTitle="BL Over-Ride Error!" error="Base Length can't be past Girder Overall Length!  See section for Maximum Over-Ride Dimension." sqref="CO28:CO45" xr:uid="{00000000-0002-0000-0A00-000008000000}">
      <formula1>$CD68</formula1>
    </dataValidation>
    <dataValidation type="decimal" operator="lessThanOrEqual" allowBlank="1" showInputMessage="1" showErrorMessage="1" errorTitle="BL Over-Ride Error!" error="Base Length can't be past Girder Overall Length!  See section for Maximum Over-Ride Dimension." sqref="CY28:CY45" xr:uid="{00000000-0002-0000-0A00-00000A000000}">
      <formula1>$CM68</formula1>
    </dataValidation>
    <dataValidation type="list" allowBlank="1" showInputMessage="1" showErrorMessage="1" errorTitle="Input Error" error="The Only Valid Entries For This Column is &quot;N&quot;, &quot;F&quot; or &quot;B&quot;." sqref="AL14:AL45 AC14:AC45 AY14:AY45 BC14:BC45 BG14:BG45 AU14:AU45" xr:uid="{00000000-0002-0000-0A00-00000B000000}">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A00-00000C000000}">
      <formula1>9</formula1>
      <formula2>17</formula2>
    </dataValidation>
    <dataValidation type="decimal" operator="greaterThanOrEqual" allowBlank="1" showInputMessage="1" showErrorMessage="1" errorTitle="Input Error" error="Enter a numeric value greater than 1/2&quot;." sqref="AP14:AQ45" xr:uid="{00000000-0002-0000-0A00-00000D000000}">
      <formula1>0.75</formula1>
    </dataValidation>
    <dataValidation type="decimal" allowBlank="1" showInputMessage="1" showErrorMessage="1" errorTitle="Input Error" error="Numeric Values Only!" sqref="GC28:GD45 GC48:GD48 CN28:CN45 CX28:CX45" xr:uid="{C431BA13-A52E-4BEF-955C-9DE68F42E0F3}">
      <formula1>-1200</formula1>
      <formula2>1200</formula2>
    </dataValidation>
    <dataValidation type="whole" operator="greaterThanOrEqual" allowBlank="1" showInputMessage="1" showErrorMessage="1" errorTitle="Input Error" error="Positive Integers Only!" sqref="GA28:GA45 GA48" xr:uid="{22D9E5CE-F492-43B1-9EB9-7CDF1E21AFC0}">
      <formula1>0</formula1>
    </dataValidation>
    <dataValidation allowBlank="1" showInputMessage="1" showErrorMessage="1" errorTitle="Input Error" error="Numbers from 0&quot; to 11 7/8&quot; only!" sqref="GB28:GB45 GB48" xr:uid="{0B25C1C4-FC96-4ED9-8B54-20757BBD0015}"/>
    <dataValidation type="decimal" operator="greaterThan" allowBlank="1" showInputMessage="1" showErrorMessage="1" errorTitle="Input Error" error="Positive Numeric Values Only!" sqref="CP28:CP45 CZ28:CZ45" xr:uid="{FA712648-45F9-4FEF-BCAB-71847183FB70}">
      <formula1>0</formula1>
    </dataValidation>
    <dataValidation type="whole" operator="notBetween" allowBlank="1" showInputMessage="1" showErrorMessage="1" sqref="B87" xr:uid="{16CD44ED-F011-4FD2-BA96-5F94A838DADB}">
      <formula1>-10001</formula1>
      <formula2>-10000</formula2>
    </dataValidation>
    <dataValidation type="whole" operator="greaterThan" allowBlank="1" showInputMessage="1" showErrorMessage="1" errorTitle="Quantity Error" error="Value must be an integer greater than -1000." sqref="B28:B45 CC28:CC45" xr:uid="{38B9E6FA-B51F-4A73-BA12-0B5B6C59828E}">
      <formula1>-1001</formula1>
    </dataValidation>
    <dataValidation type="decimal" allowBlank="1" showInputMessage="1" showErrorMessage="1" error="Load must be blank or a number." sqref="DO14:DO45" xr:uid="{7791F205-8496-4F7F-B353-EA2B138CBAD7}">
      <formula1>0</formula1>
      <formula2>99</formula2>
    </dataValidation>
  </dataValidations>
  <printOptions horizontalCentered="1"/>
  <pageMargins left="0.3" right="0.3" top="0.5" bottom="0.5" header="0" footer="0.25"/>
  <pageSetup scale="70"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indexed="42"/>
  </sheetPr>
  <dimension ref="A1:AAD111"/>
  <sheetViews>
    <sheetView showGridLines="0" topLeftCell="A2" zoomScaleNormal="100" zoomScaleSheetLayoutView="75" workbookViewId="0">
      <selection activeCell="A14" sqref="A14"/>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48" t="str">
        <f>IF(BJ1="","",VLOOKUP(BJ1,'Job Info.'!X:AA,4,FALSE))</f>
        <v>Master</v>
      </c>
      <c r="R1" s="1848"/>
      <c r="S1" s="1848"/>
      <c r="T1" s="1848"/>
      <c r="U1" s="382"/>
      <c r="V1" s="375"/>
      <c r="W1" s="2083" t="s">
        <v>95</v>
      </c>
      <c r="X1" s="2083"/>
      <c r="Y1" s="2083"/>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1848" t="str">
        <f>Q1</f>
        <v>Master</v>
      </c>
      <c r="AV1" s="1848"/>
      <c r="AW1" s="1848"/>
      <c r="AX1" s="1848"/>
      <c r="AY1" s="382"/>
      <c r="AZ1" s="382"/>
      <c r="BA1" s="2083" t="s">
        <v>95</v>
      </c>
      <c r="BB1" s="2083"/>
      <c r="BC1" s="2083"/>
      <c r="BD1" s="1851" t="str">
        <f ca="1">'Job Info.'!D12</f>
        <v>775-428-0600</v>
      </c>
      <c r="BE1" s="1851"/>
      <c r="BF1" s="1851"/>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0</v>
      </c>
      <c r="HB1" s="1178"/>
      <c r="HC1" s="1178"/>
      <c r="HD1" s="1178"/>
      <c r="HE1" s="1178"/>
      <c r="HF1" s="1178"/>
      <c r="HG1" s="1178"/>
      <c r="HH1" s="1178"/>
      <c r="HI1" s="1178"/>
      <c r="HJ1" s="1179"/>
      <c r="HK1" s="1179"/>
      <c r="HL1" s="1179"/>
      <c r="HM1" s="1180"/>
      <c r="HN1" s="1181"/>
      <c r="HO1" s="1179"/>
      <c r="HP1" s="1179"/>
      <c r="HQ1" s="1179"/>
      <c r="HR1" s="1179"/>
      <c r="HS1" s="1179"/>
      <c r="HT1" s="1179"/>
      <c r="HU1" s="1179"/>
      <c r="HV1" s="1179"/>
      <c r="HW1" s="1179"/>
      <c r="HX1" s="1179"/>
      <c r="HY1" s="1179"/>
      <c r="HZ1" s="1179"/>
      <c r="IA1" s="1179"/>
      <c r="IB1" s="1179"/>
      <c r="IC1" s="1179"/>
      <c r="ID1" s="1179"/>
      <c r="IE1" s="1179"/>
      <c r="IF1" s="1179"/>
      <c r="IG1" s="1179"/>
      <c r="IH1" s="1178"/>
      <c r="II1" s="1178"/>
      <c r="IJ1" s="1178"/>
      <c r="IK1" s="1178"/>
      <c r="IL1" s="1178"/>
      <c r="IM1" s="1178"/>
      <c r="IN1" s="1178"/>
      <c r="IO1" s="1178"/>
      <c r="IP1" s="1178"/>
      <c r="IQ1" s="1178"/>
      <c r="IR1" s="1178"/>
      <c r="IS1" s="1178"/>
      <c r="IT1" s="1178"/>
      <c r="IU1" s="1178"/>
      <c r="IV1" s="1178"/>
      <c r="IW1" s="1178"/>
      <c r="IX1" s="1178"/>
      <c r="IY1" s="1178"/>
      <c r="IZ1" s="1178"/>
      <c r="JA1" s="1178"/>
      <c r="JB1" s="1178"/>
      <c r="JC1" s="1178"/>
      <c r="JD1" s="1178"/>
      <c r="JE1" s="1178"/>
      <c r="JF1" s="1178"/>
      <c r="JG1" s="1178"/>
      <c r="JH1" s="1178"/>
      <c r="JI1" s="1178"/>
      <c r="JJ1" s="1178"/>
      <c r="JK1" s="1178"/>
      <c r="JL1" s="1178"/>
      <c r="JM1" s="1178"/>
      <c r="JN1" s="1178"/>
      <c r="JO1" s="1178"/>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53" t="str">
        <f>IF(BJ1="","",IF(VLOOKUP(BJ1,'Job Info.'!X:Z,2,FALSE),"Released for Fabrication",""))</f>
        <v/>
      </c>
      <c r="R2" s="1854"/>
      <c r="S2" s="1854"/>
      <c r="T2" s="1855"/>
      <c r="U2" s="382"/>
      <c r="V2" s="375"/>
      <c r="W2" s="2083" t="s">
        <v>96</v>
      </c>
      <c r="X2" s="2083"/>
      <c r="Y2" s="2083"/>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53" t="str">
        <f>Q2</f>
        <v/>
      </c>
      <c r="AV2" s="1854"/>
      <c r="AW2" s="1854"/>
      <c r="AX2" s="1855"/>
      <c r="AY2" s="382"/>
      <c r="AZ2" s="382"/>
      <c r="BA2" s="2083" t="s">
        <v>96</v>
      </c>
      <c r="BB2" s="2083"/>
      <c r="BC2" s="2083"/>
      <c r="BD2" s="1851" t="str">
        <f ca="1">'Job Info.'!D13</f>
        <v>775-867-2140</v>
      </c>
      <c r="BE2" s="1851"/>
      <c r="BF2" s="1851"/>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8"/>
      <c r="HB2" s="1178"/>
      <c r="HC2" s="1178"/>
      <c r="HD2" s="1178"/>
      <c r="HE2" s="1178"/>
      <c r="HF2" s="1178"/>
      <c r="HG2" s="1178"/>
      <c r="HH2" s="1178"/>
      <c r="HI2" s="1178"/>
      <c r="HJ2" s="1179"/>
      <c r="HK2" s="1179"/>
      <c r="HL2" s="1179"/>
      <c r="HM2" s="1180"/>
      <c r="HN2" s="1181"/>
      <c r="HO2" s="1179"/>
      <c r="HP2" s="1179"/>
      <c r="HQ2" s="1179"/>
      <c r="HR2" s="1179"/>
      <c r="HS2" s="1179"/>
      <c r="HT2" s="1179"/>
      <c r="HU2" s="1179"/>
      <c r="HV2" s="1179"/>
      <c r="HW2" s="1179"/>
      <c r="HX2" s="1179"/>
      <c r="HY2" s="1179"/>
      <c r="HZ2" s="1179"/>
      <c r="IA2" s="1179"/>
      <c r="IB2" s="1179"/>
      <c r="IC2" s="1179"/>
      <c r="ID2" s="1179"/>
      <c r="IE2" s="1179"/>
      <c r="IF2" s="1179"/>
      <c r="IG2" s="1179"/>
      <c r="IH2" s="1178"/>
      <c r="II2" s="1178"/>
      <c r="IJ2" s="1178"/>
      <c r="IK2" s="1178"/>
      <c r="IL2" s="1178"/>
      <c r="IM2" s="1178"/>
      <c r="IN2" s="1178"/>
      <c r="IO2" s="1178"/>
      <c r="IP2" s="1178"/>
      <c r="IQ2" s="1178"/>
      <c r="IR2" s="1178"/>
      <c r="IS2" s="1178"/>
      <c r="IT2" s="1178"/>
      <c r="IU2" s="1178"/>
      <c r="IV2" s="1178"/>
      <c r="IW2" s="1178"/>
      <c r="IX2" s="1178"/>
      <c r="IY2" s="1178"/>
      <c r="IZ2" s="1178"/>
      <c r="JA2" s="1178"/>
      <c r="JB2" s="1178"/>
      <c r="JC2" s="1178"/>
      <c r="JD2" s="1178"/>
      <c r="JE2" s="1178"/>
      <c r="JF2" s="1178"/>
      <c r="JG2" s="1178"/>
      <c r="JH2" s="1178"/>
      <c r="JI2" s="1178"/>
      <c r="JJ2" s="1178"/>
      <c r="JK2" s="1178"/>
      <c r="JL2" s="1178"/>
      <c r="JM2" s="1178"/>
      <c r="JN2" s="1178"/>
      <c r="JO2" s="1178"/>
    </row>
    <row r="3" spans="1:276" s="117" customFormat="1" ht="12.95" customHeight="1" thickBot="1" x14ac:dyDescent="0.3">
      <c r="A3" s="382"/>
      <c r="B3" s="382"/>
      <c r="C3" s="382"/>
      <c r="D3" s="382"/>
      <c r="E3" s="382"/>
      <c r="F3" s="382"/>
      <c r="G3" s="382"/>
      <c r="H3" s="382"/>
      <c r="I3" s="382"/>
      <c r="J3" s="382"/>
      <c r="K3" s="382"/>
      <c r="L3" s="382"/>
      <c r="M3" s="382"/>
      <c r="N3" s="382"/>
      <c r="O3" s="382"/>
      <c r="P3" s="382"/>
      <c r="Q3" s="1856"/>
      <c r="R3" s="1857"/>
      <c r="S3" s="1857"/>
      <c r="T3" s="1858"/>
      <c r="U3" s="382"/>
      <c r="V3" s="375"/>
      <c r="W3" s="2083" t="s">
        <v>98</v>
      </c>
      <c r="X3" s="2083"/>
      <c r="Y3" s="2083"/>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56"/>
      <c r="AV3" s="1857"/>
      <c r="AW3" s="1857"/>
      <c r="AX3" s="1858"/>
      <c r="AY3" s="382"/>
      <c r="AZ3" s="382"/>
      <c r="BA3" s="2083" t="s">
        <v>98</v>
      </c>
      <c r="BB3" s="2083"/>
      <c r="BC3" s="2083"/>
      <c r="BD3" s="1851" t="str">
        <f ca="1">'Job Info.'!D14</f>
        <v>775-867-2169</v>
      </c>
      <c r="BE3" s="1851"/>
      <c r="BF3" s="1851"/>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2014" t="s">
        <v>1107</v>
      </c>
      <c r="FH3" s="2015"/>
      <c r="FI3" s="2016"/>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8"/>
      <c r="HB3" s="1178"/>
      <c r="HC3" s="1179"/>
      <c r="HD3" s="1178"/>
      <c r="HE3" s="1178"/>
      <c r="HF3" s="1178"/>
      <c r="HG3" s="1178"/>
      <c r="HH3" s="1178"/>
      <c r="HI3" s="1178"/>
      <c r="HJ3" s="1179"/>
      <c r="HK3" s="1179"/>
      <c r="HL3" s="1179"/>
      <c r="HM3" s="1180"/>
      <c r="HN3" s="1181"/>
      <c r="HO3" s="1179"/>
      <c r="HP3" s="1179"/>
      <c r="HQ3" s="1179"/>
      <c r="HR3" s="1179"/>
      <c r="HS3" s="1179"/>
      <c r="HT3" s="1179"/>
      <c r="HU3" s="1179"/>
      <c r="HV3" s="1179"/>
      <c r="HW3" s="1179"/>
      <c r="HX3" s="1179"/>
      <c r="HY3" s="1179"/>
      <c r="HZ3" s="1179"/>
      <c r="IA3" s="1179"/>
      <c r="IB3" s="1179"/>
      <c r="IC3" s="1179"/>
      <c r="ID3" s="1179"/>
      <c r="IE3" s="1179"/>
      <c r="IF3" s="1179"/>
      <c r="IG3" s="1179"/>
      <c r="IH3" s="1178"/>
      <c r="II3" s="1178"/>
      <c r="IJ3" s="1178"/>
      <c r="IK3" s="1178"/>
      <c r="IL3" s="1178"/>
      <c r="IM3" s="1178"/>
      <c r="IN3" s="1178"/>
      <c r="IO3" s="1178"/>
      <c r="IP3" s="1178"/>
      <c r="IQ3" s="1178"/>
      <c r="IR3" s="1178"/>
      <c r="IS3" s="1178"/>
      <c r="IT3" s="1178"/>
      <c r="IU3" s="1178"/>
      <c r="IV3" s="1178"/>
      <c r="IW3" s="1178"/>
      <c r="IX3" s="1178"/>
      <c r="IY3" s="1178"/>
      <c r="IZ3" s="1178"/>
      <c r="JA3" s="1178"/>
      <c r="JB3" s="1178"/>
      <c r="JC3" s="1178"/>
      <c r="JD3" s="1178"/>
      <c r="JE3" s="1178"/>
      <c r="JF3" s="1178"/>
      <c r="JG3" s="1178"/>
      <c r="JH3" s="1178"/>
      <c r="JI3" s="1178"/>
      <c r="JJ3" s="1178"/>
      <c r="JK3" s="1178"/>
      <c r="JL3" s="1178"/>
      <c r="JM3" s="1178"/>
      <c r="JN3" s="1178"/>
      <c r="JO3" s="117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59" t="str">
        <f>IF(BJ1="","",IF(VLOOKUP(BJ1,'Job Info.'!X:Z,2,FALSE),VLOOKUP(BJ1,'Job Info.'!X:Z,3,FALSE),""))</f>
        <v/>
      </c>
      <c r="R4" s="1860"/>
      <c r="S4" s="1860"/>
      <c r="T4" s="1861"/>
      <c r="U4" s="374"/>
      <c r="V4" s="375"/>
      <c r="W4" s="2083" t="s">
        <v>97</v>
      </c>
      <c r="X4" s="2083"/>
      <c r="Y4" s="2083"/>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1859" t="str">
        <f>Q4</f>
        <v/>
      </c>
      <c r="AV4" s="2298"/>
      <c r="AW4" s="2298"/>
      <c r="AX4" s="2299"/>
      <c r="AY4" s="382"/>
      <c r="AZ4" s="382"/>
      <c r="BA4" s="2083" t="s">
        <v>97</v>
      </c>
      <c r="BB4" s="2083"/>
      <c r="BC4" s="2083"/>
      <c r="BD4" s="1851" t="str">
        <f ca="1">'Job Info.'!D15</f>
        <v>775-867-2060</v>
      </c>
      <c r="BE4" s="1851"/>
      <c r="BF4" s="1851"/>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1939"/>
      <c r="DB4" s="1940"/>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8"/>
      <c r="HB4" s="1178"/>
      <c r="HC4" s="1179"/>
      <c r="HD4" s="1178"/>
      <c r="HE4" s="1178"/>
      <c r="HF4" s="1178"/>
      <c r="HG4" s="1178"/>
      <c r="HH4" s="1178"/>
      <c r="HI4" s="1178"/>
      <c r="HJ4" s="1179"/>
      <c r="HK4" s="1179"/>
      <c r="HL4" s="1179"/>
      <c r="HM4" s="1180"/>
      <c r="HN4" s="1181"/>
      <c r="HO4" s="1179"/>
      <c r="HP4" s="1179"/>
      <c r="HQ4" s="1179"/>
      <c r="HR4" s="1179"/>
      <c r="HS4" s="1179"/>
      <c r="HT4" s="1179"/>
      <c r="HU4" s="1179"/>
      <c r="HV4" s="1179"/>
      <c r="HW4" s="1179"/>
      <c r="HX4" s="1179"/>
      <c r="HY4" s="1179"/>
      <c r="HZ4" s="1179"/>
      <c r="IA4" s="1179"/>
      <c r="IB4" s="1179"/>
      <c r="IC4" s="1179"/>
      <c r="ID4" s="1179"/>
      <c r="IE4" s="1179"/>
      <c r="IF4" s="1179"/>
      <c r="IG4" s="1179"/>
      <c r="IH4" s="1178"/>
      <c r="II4" s="1178"/>
      <c r="IJ4" s="1178"/>
      <c r="IK4" s="1178"/>
      <c r="IL4" s="1178"/>
      <c r="IM4" s="1178"/>
      <c r="IN4" s="1178"/>
      <c r="IO4" s="1178"/>
      <c r="IP4" s="1178"/>
      <c r="IQ4" s="1178"/>
      <c r="IR4" s="1178"/>
      <c r="IS4" s="1178"/>
      <c r="IT4" s="1178"/>
      <c r="IU4" s="1178"/>
      <c r="IV4" s="1178"/>
      <c r="IW4" s="1178"/>
      <c r="IX4" s="1178"/>
      <c r="IY4" s="1178"/>
      <c r="IZ4" s="1178"/>
      <c r="JA4" s="1178"/>
      <c r="JB4" s="1178"/>
      <c r="JC4" s="1178"/>
      <c r="JD4" s="1178"/>
      <c r="JE4" s="1178"/>
      <c r="JF4" s="1178"/>
      <c r="JG4" s="1178"/>
      <c r="JH4" s="1178"/>
      <c r="JI4" s="1178"/>
      <c r="JJ4" s="1178"/>
      <c r="JK4" s="1178"/>
      <c r="JL4" s="1178"/>
      <c r="JM4" s="1178"/>
      <c r="JN4" s="1178"/>
      <c r="JO4" s="1178"/>
    </row>
    <row r="5" spans="1:276" s="117" customFormat="1" ht="12.95" customHeight="1" thickTop="1" thickBot="1" x14ac:dyDescent="0.25">
      <c r="A5" s="2078" t="str">
        <f ca="1">'Job Info.'!D11</f>
        <v>8200 Woolery Way | Fallon, NV 89406 | www.newmill.com</v>
      </c>
      <c r="B5" s="2079"/>
      <c r="C5" s="2079"/>
      <c r="D5" s="2079"/>
      <c r="E5" s="2079"/>
      <c r="F5" s="2079"/>
      <c r="G5" s="2079"/>
      <c r="H5" s="2079"/>
      <c r="I5" s="2079"/>
      <c r="J5" s="2079"/>
      <c r="K5" s="2079"/>
      <c r="L5" s="2079"/>
      <c r="M5" s="374"/>
      <c r="N5" s="374"/>
      <c r="O5" s="374"/>
      <c r="P5" s="374"/>
      <c r="Q5" s="374"/>
      <c r="R5" s="374"/>
      <c r="S5" s="374"/>
      <c r="T5" s="374"/>
      <c r="U5" s="374"/>
      <c r="V5" s="374"/>
      <c r="W5" s="374"/>
      <c r="X5" s="374"/>
      <c r="Y5" s="1089"/>
      <c r="Z5" s="1089"/>
      <c r="AA5" s="374"/>
      <c r="AB5" s="2100" t="str">
        <f ca="1">'Job Info.'!D11</f>
        <v>8200 Woolery Way | Fallon, NV 89406 | www.newmill.com</v>
      </c>
      <c r="AC5" s="2300"/>
      <c r="AD5" s="2300"/>
      <c r="AE5" s="2300"/>
      <c r="AF5" s="2300"/>
      <c r="AG5" s="2300"/>
      <c r="AH5" s="2300"/>
      <c r="AI5" s="2300"/>
      <c r="AJ5" s="2300"/>
      <c r="AK5" s="2300"/>
      <c r="AL5" s="2300"/>
      <c r="AM5" s="2300"/>
      <c r="AN5" s="2300"/>
      <c r="AO5" s="2300"/>
      <c r="AP5" s="2300"/>
      <c r="AQ5" s="2300"/>
      <c r="AR5" s="374"/>
      <c r="AS5" s="374"/>
      <c r="AT5" s="374"/>
      <c r="AU5" s="374"/>
      <c r="AV5" s="374"/>
      <c r="AW5" s="374"/>
      <c r="AX5" s="374"/>
      <c r="AY5" s="374"/>
      <c r="AZ5" s="374"/>
      <c r="BA5" s="374"/>
      <c r="BB5" s="374"/>
      <c r="BC5" s="374"/>
      <c r="BD5" s="374"/>
      <c r="BE5" s="374"/>
      <c r="BF5" s="374"/>
      <c r="BG5" s="374"/>
      <c r="BH5" s="261"/>
      <c r="BI5" s="245"/>
      <c r="CA5" s="246"/>
      <c r="CB5" s="1622">
        <f>G_A!CB21</f>
        <v>6</v>
      </c>
      <c r="CC5" s="1622">
        <f>G_A!CC21</f>
        <v>4</v>
      </c>
      <c r="CD5" s="1622">
        <f>G_A!CD21</f>
        <v>15</v>
      </c>
      <c r="CE5" s="1622">
        <f>G_A!CE21</f>
        <v>4</v>
      </c>
      <c r="CF5" s="1622">
        <f>G_A!CF21</f>
        <v>5</v>
      </c>
      <c r="CG5" s="1622">
        <f>G_A!CG21</f>
        <v>3</v>
      </c>
      <c r="CH5" s="1622">
        <f>G_A!CH21</f>
        <v>4.57</v>
      </c>
      <c r="CI5" s="1622">
        <f>G_A!CI21</f>
        <v>4.57</v>
      </c>
      <c r="CJ5" s="1622">
        <f>G_A!CJ21</f>
        <v>4.57</v>
      </c>
      <c r="CK5" s="1622">
        <f>G_A!CK21</f>
        <v>4.57</v>
      </c>
      <c r="CL5" s="1622">
        <f>G_A!CL21</f>
        <v>4</v>
      </c>
      <c r="CM5" s="1622">
        <f>G_A!CM21</f>
        <v>5</v>
      </c>
      <c r="CN5" s="1622">
        <f>G_A!CN21</f>
        <v>5.29</v>
      </c>
      <c r="CO5" s="1622">
        <f>G_A!CO21</f>
        <v>5.29</v>
      </c>
      <c r="CP5" s="1622">
        <f>G_A!CP21</f>
        <v>4</v>
      </c>
      <c r="CQ5" s="1622">
        <f>G_A!CQ21</f>
        <v>3</v>
      </c>
      <c r="CR5" s="1622">
        <f>G_A!CR21</f>
        <v>4.57</v>
      </c>
      <c r="CS5" s="1622">
        <f>G_A!CS21</f>
        <v>4.57</v>
      </c>
      <c r="CT5" s="1622">
        <f>G_A!CT21</f>
        <v>4.57</v>
      </c>
      <c r="CU5" s="1622">
        <f>G_A!CU21</f>
        <v>4.57</v>
      </c>
      <c r="CV5" s="1622">
        <f>G_A!CV21</f>
        <v>4</v>
      </c>
      <c r="CW5" s="1622">
        <f>G_A!CW21</f>
        <v>5</v>
      </c>
      <c r="CX5" s="1622">
        <f>G_A!CX21</f>
        <v>5.29</v>
      </c>
      <c r="CY5" s="1622">
        <f>G_A!CY21</f>
        <v>5.29</v>
      </c>
      <c r="CZ5" s="1622">
        <f>G_A!CZ21</f>
        <v>4</v>
      </c>
      <c r="DA5" s="1622">
        <f>G_A!DA21</f>
        <v>5</v>
      </c>
      <c r="DB5" s="1622">
        <f>G_A!DB21</f>
        <v>15</v>
      </c>
      <c r="DC5" s="1622">
        <f>G_A!DC21</f>
        <v>21.57</v>
      </c>
      <c r="DD5" s="1622">
        <f>G_A!DD21</f>
        <v>4</v>
      </c>
      <c r="DE5" s="1622">
        <f>G_A!DE21</f>
        <v>4</v>
      </c>
      <c r="DF5" s="951"/>
      <c r="DG5" s="951"/>
      <c r="DH5" s="1622">
        <f>G_A!DH5</f>
        <v>5</v>
      </c>
      <c r="DI5" s="1622">
        <f>G_A!DI5</f>
        <v>4</v>
      </c>
      <c r="DJ5" s="1622">
        <f>G_A!DJ5</f>
        <v>3</v>
      </c>
      <c r="DK5" s="1622">
        <f>G_A!DK5</f>
        <v>5</v>
      </c>
      <c r="DL5" s="1622">
        <f>G_A!DL5</f>
        <v>2</v>
      </c>
      <c r="DM5" s="1622">
        <f>G_A!DM5</f>
        <v>3</v>
      </c>
      <c r="DN5" s="1622">
        <f>G_A!DN5</f>
        <v>5</v>
      </c>
      <c r="DO5" s="1622">
        <f>G_A!DO5</f>
        <v>3</v>
      </c>
      <c r="DP5" s="1622">
        <f>G_A!DP5</f>
        <v>4</v>
      </c>
      <c r="DQ5" s="1622">
        <f>G_A!DQ5</f>
        <v>4.57</v>
      </c>
      <c r="DR5" s="1622">
        <f>G_A!DR5</f>
        <v>3.57</v>
      </c>
      <c r="DS5" s="1622">
        <f>G_A!DS5</f>
        <v>3.57</v>
      </c>
      <c r="DT5" s="1622">
        <f>G_A!DT5</f>
        <v>3.57</v>
      </c>
      <c r="DU5" s="1622">
        <f>G_A!DU5</f>
        <v>3.57</v>
      </c>
      <c r="DV5" s="1622">
        <f>G_A!DV5</f>
        <v>4</v>
      </c>
      <c r="DW5" s="1622">
        <f>G_A!DW5</f>
        <v>5</v>
      </c>
      <c r="DX5" s="1622">
        <f>G_A!DX5</f>
        <v>3</v>
      </c>
      <c r="DY5" s="1622">
        <f>G_A!DY5</f>
        <v>2.29</v>
      </c>
      <c r="DZ5" s="1622">
        <f>G_A!DZ5</f>
        <v>4</v>
      </c>
      <c r="EA5" s="1622">
        <f>G_A!EA5</f>
        <v>5</v>
      </c>
      <c r="EB5" s="1622">
        <f>G_A!EB5</f>
        <v>3</v>
      </c>
      <c r="EC5" s="1622">
        <f>G_A!EC5</f>
        <v>2.29</v>
      </c>
      <c r="ED5" s="1622">
        <f>G_A!ED5</f>
        <v>4</v>
      </c>
      <c r="EE5" s="1622">
        <f>G_A!EE5</f>
        <v>5</v>
      </c>
      <c r="EF5" s="1622">
        <f>G_A!EF5</f>
        <v>3</v>
      </c>
      <c r="EG5" s="1622">
        <f>G_A!EG5</f>
        <v>2.29</v>
      </c>
      <c r="EH5" s="1622">
        <f>G_A!EH5</f>
        <v>4</v>
      </c>
      <c r="EI5" s="1622">
        <f>G_A!EI5</f>
        <v>5</v>
      </c>
      <c r="EJ5" s="1622">
        <f>G_A!EJ5</f>
        <v>3</v>
      </c>
      <c r="EK5" s="1622">
        <f>G_A!EK5</f>
        <v>2.29</v>
      </c>
      <c r="EL5" s="1622">
        <f>G_A!EL5</f>
        <v>8</v>
      </c>
      <c r="EM5" s="1622">
        <f>G_A!EM5</f>
        <v>8</v>
      </c>
      <c r="EN5" s="1622">
        <f>G_A!EN5</f>
        <v>10</v>
      </c>
      <c r="EO5" s="1622">
        <f>G_A!EO5</f>
        <v>6</v>
      </c>
      <c r="EP5" s="1622">
        <f>G_A!EP5</f>
        <v>4.71</v>
      </c>
      <c r="EQ5" s="1622">
        <f>G_A!EQ5</f>
        <v>4.71</v>
      </c>
      <c r="ER5" s="1622">
        <f>G_A!ER5</f>
        <v>3.57</v>
      </c>
      <c r="ES5" s="1622">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2"/>
      <c r="HB5" s="1183"/>
      <c r="HC5" s="1183"/>
      <c r="HD5" s="1183"/>
      <c r="HE5" s="1183"/>
      <c r="HF5" s="1183"/>
      <c r="HG5" s="1183"/>
      <c r="HH5" s="1183"/>
      <c r="HI5" s="1183"/>
      <c r="HJ5" s="1183"/>
      <c r="HK5" s="1183"/>
      <c r="HL5" s="1183"/>
      <c r="HM5" s="1183"/>
      <c r="HN5" s="1183"/>
      <c r="HO5" s="1183"/>
      <c r="HP5" s="1183"/>
      <c r="HQ5" s="1183"/>
      <c r="HR5" s="1183"/>
      <c r="HS5" s="1183"/>
      <c r="HT5" s="1183"/>
      <c r="HU5" s="1183"/>
      <c r="HV5" s="1183"/>
      <c r="HW5" s="1183"/>
      <c r="HX5" s="1183"/>
      <c r="HY5" s="1179"/>
      <c r="HZ5" s="1179"/>
      <c r="IA5" s="1179"/>
      <c r="IB5" s="1179"/>
      <c r="IC5" s="1179"/>
      <c r="ID5" s="1179"/>
      <c r="IE5" s="1179"/>
      <c r="IF5" s="1179"/>
      <c r="IG5" s="1179"/>
      <c r="IH5" s="1178"/>
      <c r="II5" s="1178"/>
      <c r="IJ5" s="1178"/>
      <c r="IK5" s="1178"/>
      <c r="IL5" s="1178"/>
      <c r="IM5" s="1178"/>
      <c r="IN5" s="1178"/>
      <c r="IO5" s="1178"/>
      <c r="IP5" s="1178"/>
      <c r="IQ5" s="1178"/>
      <c r="IR5" s="1178"/>
      <c r="IS5" s="1178"/>
      <c r="IT5" s="1178"/>
      <c r="IU5" s="1178"/>
      <c r="IV5" s="1178"/>
      <c r="IW5" s="1178"/>
      <c r="IX5" s="1178"/>
      <c r="IY5" s="1178"/>
      <c r="IZ5" s="1178"/>
      <c r="JA5" s="1178"/>
      <c r="JB5" s="1178"/>
      <c r="JC5" s="1178"/>
      <c r="JD5" s="1178"/>
      <c r="JE5" s="1178"/>
      <c r="JF5" s="1178"/>
      <c r="JG5" s="1178"/>
      <c r="JH5" s="1178"/>
      <c r="JI5" s="1178"/>
      <c r="JJ5" s="1178"/>
      <c r="JK5" s="1178"/>
      <c r="JL5" s="1178"/>
      <c r="JM5" s="1178"/>
      <c r="JN5" s="1178"/>
      <c r="JO5" s="1178"/>
    </row>
    <row r="6" spans="1:276" s="117" customFormat="1" ht="12.95" customHeight="1" thickTop="1" thickBot="1" x14ac:dyDescent="0.25">
      <c r="A6" s="374"/>
      <c r="B6" s="374"/>
      <c r="C6" s="374"/>
      <c r="D6" s="374"/>
      <c r="E6" s="374"/>
      <c r="F6" s="374"/>
      <c r="G6" s="374"/>
      <c r="H6" s="374"/>
      <c r="I6" s="374"/>
      <c r="J6" s="374"/>
      <c r="K6" s="374"/>
      <c r="L6" s="374"/>
      <c r="M6" s="2082" t="str">
        <f>IF(NOT(ISERROR(FIND("galv",LOWER($M$7)))),"**USE STEEL TAGS**  **NO A490 BOLTS**","")</f>
        <v/>
      </c>
      <c r="N6" s="1947"/>
      <c r="O6" s="1947"/>
      <c r="P6" s="1947"/>
      <c r="Q6" s="1947"/>
      <c r="R6" s="1947"/>
      <c r="S6" s="1947"/>
      <c r="T6" s="1947"/>
      <c r="U6" s="1092"/>
      <c r="V6" s="2076" t="s">
        <v>20</v>
      </c>
      <c r="W6" s="2076"/>
      <c r="X6" s="1832">
        <f>IF(ISBLANK('Job Info.'!D8),"",'Job Info.'!D8)</f>
        <v>45048</v>
      </c>
      <c r="Y6" s="1832"/>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076" t="s">
        <v>20</v>
      </c>
      <c r="BA6" s="2076"/>
      <c r="BB6" s="1832">
        <f>X6</f>
        <v>45048</v>
      </c>
      <c r="BC6" s="1832"/>
      <c r="BD6" s="1832"/>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296" t="s">
        <v>639</v>
      </c>
      <c r="DI6" s="1943"/>
      <c r="DJ6" s="1943"/>
      <c r="DK6" s="1943"/>
      <c r="DL6" s="1943"/>
      <c r="DM6" s="1943"/>
      <c r="DN6" s="1943"/>
      <c r="DO6" s="1943"/>
      <c r="DP6" s="1943"/>
      <c r="DQ6" s="1943"/>
      <c r="DR6" s="1943"/>
      <c r="DS6" s="1943"/>
      <c r="DT6" s="1943"/>
      <c r="DU6" s="1943"/>
      <c r="DV6" s="1943"/>
      <c r="DW6" s="1943"/>
      <c r="DX6" s="1943"/>
      <c r="DY6" s="1943"/>
      <c r="DZ6" s="1943"/>
      <c r="EA6" s="1943"/>
      <c r="EB6" s="1943"/>
      <c r="EC6" s="1943"/>
      <c r="ED6" s="1943"/>
      <c r="EE6" s="1943"/>
      <c r="EF6" s="1943"/>
      <c r="EG6" s="1943"/>
      <c r="EH6" s="1943"/>
      <c r="EI6" s="1943"/>
      <c r="EJ6" s="1943"/>
      <c r="EK6" s="1944"/>
      <c r="EL6" s="203"/>
      <c r="EM6" s="203"/>
      <c r="EN6" s="203"/>
      <c r="EO6" s="927"/>
      <c r="EP6" s="927"/>
      <c r="EQ6" s="927"/>
      <c r="ER6" s="927"/>
      <c r="ES6" s="927"/>
      <c r="ET6" s="924"/>
      <c r="EU6" s="924"/>
      <c r="EV6" s="293"/>
      <c r="EW6" s="117" t="s">
        <v>1207</v>
      </c>
      <c r="EX6" s="117">
        <v>0.5</v>
      </c>
      <c r="FQ6" s="488"/>
      <c r="GA6" s="241"/>
      <c r="GB6" s="241"/>
      <c r="GC6" s="241"/>
      <c r="GD6" s="241"/>
      <c r="GE6" s="241"/>
      <c r="GF6" s="241"/>
      <c r="GG6" s="241"/>
      <c r="GH6" s="241"/>
      <c r="GI6" s="241"/>
      <c r="GJ6" s="241"/>
      <c r="GK6" s="245"/>
      <c r="HA6" s="1183"/>
      <c r="HB6" s="1183"/>
      <c r="HC6" s="1183"/>
      <c r="HD6" s="1183"/>
      <c r="HE6" s="1183"/>
      <c r="HF6" s="1183"/>
      <c r="HG6" s="1183"/>
      <c r="HH6" s="1183"/>
      <c r="HI6" s="1183"/>
      <c r="HJ6" s="1183"/>
      <c r="HK6" s="1183"/>
      <c r="HL6" s="1183"/>
      <c r="HM6" s="1183"/>
      <c r="HN6" s="1183"/>
      <c r="HO6" s="1183"/>
      <c r="HP6" s="1183"/>
      <c r="HQ6" s="1183"/>
      <c r="HR6" s="1183"/>
      <c r="HS6" s="1183"/>
      <c r="HT6" s="1183"/>
      <c r="HU6" s="1183"/>
      <c r="HV6" s="1183"/>
      <c r="HW6" s="1183"/>
      <c r="HX6" s="1183"/>
      <c r="HY6" s="1184"/>
      <c r="HZ6" s="1179"/>
      <c r="IA6" s="1179"/>
      <c r="IB6" s="1179"/>
      <c r="IC6" s="1179"/>
      <c r="ID6" s="1179"/>
      <c r="IE6" s="1179"/>
      <c r="IF6" s="1179"/>
      <c r="IG6" s="1179"/>
      <c r="IH6" s="1178"/>
      <c r="II6" s="1178"/>
      <c r="IJ6" s="1178"/>
      <c r="IK6" s="1178"/>
      <c r="IL6" s="1178"/>
      <c r="IM6" s="1178"/>
      <c r="IN6" s="1178"/>
      <c r="IO6" s="1178"/>
      <c r="IP6" s="1178"/>
      <c r="IQ6" s="1178"/>
      <c r="IR6" s="1178"/>
      <c r="IS6" s="1178"/>
      <c r="IT6" s="1178"/>
      <c r="IU6" s="1178"/>
      <c r="IV6" s="1178"/>
      <c r="IW6" s="1178"/>
      <c r="IX6" s="1178"/>
      <c r="IY6" s="1178"/>
      <c r="IZ6" s="1178"/>
      <c r="JA6" s="1178"/>
      <c r="JB6" s="1178"/>
      <c r="JC6" s="1178"/>
      <c r="JD6" s="1178"/>
      <c r="JE6" s="1178"/>
      <c r="JF6" s="1178"/>
      <c r="JG6" s="1178"/>
      <c r="JH6" s="1178"/>
      <c r="JI6" s="1178"/>
      <c r="JJ6" s="1178"/>
      <c r="JK6" s="1178"/>
      <c r="JL6" s="1178"/>
      <c r="JM6" s="1178"/>
      <c r="JN6" s="1178"/>
      <c r="JO6" s="1178"/>
    </row>
    <row r="7" spans="1:276" s="117" customFormat="1" ht="12.95" customHeight="1" thickTop="1" x14ac:dyDescent="0.2">
      <c r="A7" s="1091" t="s">
        <v>37</v>
      </c>
      <c r="B7" s="374"/>
      <c r="C7" s="374"/>
      <c r="D7" s="374"/>
      <c r="E7" s="374"/>
      <c r="F7" s="374"/>
      <c r="G7" s="374"/>
      <c r="H7" s="374"/>
      <c r="I7" s="374"/>
      <c r="J7" s="374"/>
      <c r="K7" s="2076" t="s">
        <v>26</v>
      </c>
      <c r="L7" s="2077"/>
      <c r="M7" s="2081" t="str">
        <f>IF(ISBLANK(DA4),"",DA4)</f>
        <v/>
      </c>
      <c r="N7" s="1940"/>
      <c r="O7" s="1940"/>
      <c r="P7" s="1940"/>
      <c r="Q7" s="1940"/>
      <c r="R7" s="1940"/>
      <c r="S7" s="1940"/>
      <c r="T7"/>
      <c r="U7" s="1092"/>
      <c r="V7" s="2076" t="s">
        <v>21</v>
      </c>
      <c r="W7" s="2076"/>
      <c r="X7" s="1175" t="str">
        <f>CONCATENATE(BI7, " of ",IF(ISBLANK('Job Info.'!D9),"",'Job Info.'!D9))</f>
        <v xml:space="preserve">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076" t="s">
        <v>21</v>
      </c>
      <c r="BA7" s="2076"/>
      <c r="BB7" s="1099" t="str">
        <f>CONCATENATE(IF(ISBLANK(BI7),"",BI7+1), " of ",IF(ISBLANK('Job Info.'!D9),"",'Job Info.'!D9))</f>
        <v xml:space="preserve"> of 19</v>
      </c>
      <c r="BC7" s="658"/>
      <c r="BD7" s="658"/>
      <c r="BE7" s="374"/>
      <c r="BF7" s="374"/>
      <c r="BG7" s="374"/>
      <c r="BH7" s="261"/>
      <c r="BI7" s="1083"/>
      <c r="CA7" s="246"/>
      <c r="CB7" s="2034" t="s">
        <v>638</v>
      </c>
      <c r="CC7" s="2035"/>
      <c r="CD7" s="2035"/>
      <c r="CE7" s="2035"/>
      <c r="CF7" s="2035"/>
      <c r="CG7" s="2035"/>
      <c r="CH7" s="2035"/>
      <c r="CI7" s="2035"/>
      <c r="CJ7" s="2035"/>
      <c r="CK7" s="2035"/>
      <c r="CL7" s="2035"/>
      <c r="CM7" s="2035"/>
      <c r="CN7" s="2035"/>
      <c r="CO7" s="2035"/>
      <c r="CP7" s="2035"/>
      <c r="CQ7" s="2035"/>
      <c r="CR7" s="2035"/>
      <c r="CS7" s="2035"/>
      <c r="CT7" s="2035"/>
      <c r="CU7" s="2035"/>
      <c r="CV7" s="2035"/>
      <c r="CW7" s="2035"/>
      <c r="CX7" s="2035"/>
      <c r="CY7" s="2035"/>
      <c r="CZ7" s="1943"/>
      <c r="DA7" s="1943"/>
      <c r="DB7" s="1943"/>
      <c r="DC7" s="1943"/>
      <c r="DD7" s="1943"/>
      <c r="DE7" s="1944"/>
      <c r="DF7" s="244"/>
      <c r="DG7" s="244"/>
      <c r="DH7" s="1964"/>
      <c r="DI7" s="1947"/>
      <c r="DJ7" s="1947"/>
      <c r="DK7" s="1947"/>
      <c r="DL7" s="1947"/>
      <c r="DM7" s="1947"/>
      <c r="DN7" s="1947"/>
      <c r="DO7" s="1947"/>
      <c r="DP7" s="1947"/>
      <c r="DQ7" s="1947"/>
      <c r="DR7" s="1947"/>
      <c r="DS7" s="1947"/>
      <c r="DT7" s="1947"/>
      <c r="DU7" s="1947"/>
      <c r="DV7" s="1947"/>
      <c r="DW7" s="1947"/>
      <c r="DX7" s="1947"/>
      <c r="DY7" s="1947"/>
      <c r="DZ7" s="1947"/>
      <c r="EA7" s="1947"/>
      <c r="EB7" s="1947"/>
      <c r="EC7" s="1947"/>
      <c r="ED7" s="1947"/>
      <c r="EE7" s="1947"/>
      <c r="EF7" s="1947"/>
      <c r="EG7" s="1947"/>
      <c r="EH7" s="1947"/>
      <c r="EI7" s="1947"/>
      <c r="EJ7" s="1947"/>
      <c r="EK7" s="1948"/>
      <c r="EL7" s="244"/>
      <c r="EM7" s="244"/>
      <c r="EN7" s="203"/>
      <c r="EO7" s="924"/>
      <c r="EP7" s="927"/>
      <c r="EQ7" s="927"/>
      <c r="ER7" s="927"/>
      <c r="ES7" s="924"/>
      <c r="ET7" s="924"/>
      <c r="EU7" s="924"/>
      <c r="EV7" s="293"/>
      <c r="GA7" s="241"/>
      <c r="GB7" s="241"/>
      <c r="GC7" s="241"/>
      <c r="GD7" s="241"/>
      <c r="GE7" s="241"/>
      <c r="GF7" s="241"/>
      <c r="GG7" s="241"/>
      <c r="GH7" s="241"/>
      <c r="GI7" s="241"/>
      <c r="GJ7" s="241"/>
      <c r="GK7" s="245"/>
      <c r="HA7" s="1185"/>
      <c r="HB7" s="1185"/>
      <c r="HC7" s="1185"/>
      <c r="HD7" s="1185"/>
      <c r="HE7" s="1185"/>
      <c r="HF7" s="1185"/>
      <c r="HG7" s="1185"/>
      <c r="HH7" s="1185"/>
      <c r="HI7" s="1185"/>
      <c r="HJ7" s="1185"/>
      <c r="HK7" s="1185"/>
      <c r="HL7" s="1185"/>
      <c r="HM7" s="1185"/>
      <c r="HN7" s="1185"/>
      <c r="HO7" s="1185"/>
      <c r="HP7" s="1185"/>
      <c r="HQ7" s="1185"/>
      <c r="HR7" s="1185"/>
      <c r="HS7" s="1185"/>
      <c r="HT7" s="1185"/>
      <c r="HU7" s="1185"/>
      <c r="HV7" s="1185"/>
      <c r="HW7" s="1185"/>
      <c r="HX7" s="1185"/>
      <c r="HY7" s="1186"/>
      <c r="HZ7" s="1179"/>
      <c r="IA7" s="1179"/>
      <c r="IB7" s="1179"/>
      <c r="IC7" s="1179"/>
      <c r="ID7" s="1179"/>
      <c r="IE7" s="1179"/>
      <c r="IF7" s="1179"/>
      <c r="IG7" s="1179"/>
      <c r="IH7" s="1178"/>
      <c r="II7" s="1178"/>
      <c r="IJ7" s="1178"/>
      <c r="IK7" s="1178"/>
      <c r="IL7" s="1178"/>
      <c r="IM7" s="1178"/>
      <c r="IN7" s="1178"/>
      <c r="IO7" s="1178"/>
      <c r="IP7" s="1178"/>
      <c r="IQ7" s="1178"/>
      <c r="IR7" s="1178"/>
      <c r="IS7" s="1178"/>
      <c r="IT7" s="1178"/>
      <c r="IU7" s="1178"/>
      <c r="IV7" s="1178"/>
      <c r="IW7" s="1178"/>
      <c r="IX7" s="1178"/>
      <c r="IY7" s="1178"/>
      <c r="IZ7" s="1178"/>
      <c r="JA7" s="1178"/>
      <c r="JB7" s="1178"/>
      <c r="JC7" s="1178"/>
      <c r="JD7" s="1178"/>
      <c r="JE7" s="1178"/>
      <c r="JF7" s="1178"/>
      <c r="JG7" s="1178"/>
      <c r="JH7" s="1178"/>
      <c r="JI7" s="1178"/>
      <c r="JJ7" s="1178"/>
      <c r="JK7" s="1178"/>
      <c r="JL7" s="1178"/>
      <c r="JM7" s="1178"/>
      <c r="JN7" s="1178"/>
      <c r="JO7" s="1178"/>
    </row>
    <row r="8" spans="1:276" s="117" customFormat="1" ht="2.85" customHeight="1" thickBot="1" x14ac:dyDescent="0.25">
      <c r="A8" s="2301"/>
      <c r="B8" s="2301"/>
      <c r="C8" s="2301"/>
      <c r="D8" s="2301"/>
      <c r="E8" s="2301"/>
      <c r="F8" s="2301"/>
      <c r="G8" s="2301"/>
      <c r="H8" s="2301"/>
      <c r="I8" s="2301"/>
      <c r="J8" s="2301"/>
      <c r="K8" s="2301"/>
      <c r="L8" s="2301"/>
      <c r="M8" s="2301"/>
      <c r="N8" s="2301"/>
      <c r="O8" s="2301"/>
      <c r="P8" s="2301"/>
      <c r="Q8" s="2301"/>
      <c r="R8" s="2301"/>
      <c r="S8" s="2301"/>
      <c r="T8" s="2301"/>
      <c r="U8" s="2301"/>
      <c r="V8" s="2301"/>
      <c r="W8" s="2301"/>
      <c r="X8" s="2301"/>
      <c r="Y8" s="2301"/>
      <c r="Z8" s="2301"/>
      <c r="AA8" s="2301"/>
      <c r="AB8" s="2080"/>
      <c r="AC8" s="2080"/>
      <c r="AD8" s="2080"/>
      <c r="AE8" s="2080"/>
      <c r="AF8" s="2080"/>
      <c r="AG8" s="2080"/>
      <c r="AH8" s="2080"/>
      <c r="AI8" s="2080"/>
      <c r="AJ8" s="2080"/>
      <c r="AK8" s="2080"/>
      <c r="AL8" s="2080"/>
      <c r="AM8" s="2080"/>
      <c r="AN8" s="2080"/>
      <c r="AO8" s="2080"/>
      <c r="AP8" s="2080"/>
      <c r="AQ8" s="2080"/>
      <c r="AR8" s="2080"/>
      <c r="AS8" s="2080"/>
      <c r="AT8" s="2080"/>
      <c r="AU8" s="2080"/>
      <c r="AV8" s="2080"/>
      <c r="AW8" s="2080"/>
      <c r="AX8" s="2080"/>
      <c r="AY8" s="2080"/>
      <c r="AZ8" s="2080"/>
      <c r="BA8" s="2080"/>
      <c r="BB8" s="2080"/>
      <c r="BC8" s="2080"/>
      <c r="BD8" s="2080"/>
      <c r="BE8" s="2080"/>
      <c r="BF8" s="2080"/>
      <c r="BG8" s="2080"/>
      <c r="BH8" s="261"/>
      <c r="BI8" s="245"/>
      <c r="CA8" s="246"/>
      <c r="CB8" s="2037"/>
      <c r="CC8" s="2038"/>
      <c r="CD8" s="2038"/>
      <c r="CE8" s="2038"/>
      <c r="CF8" s="2038"/>
      <c r="CG8" s="2038"/>
      <c r="CH8" s="2038"/>
      <c r="CI8" s="2038"/>
      <c r="CJ8" s="2038"/>
      <c r="CK8" s="2038"/>
      <c r="CL8" s="2038"/>
      <c r="CM8" s="2038"/>
      <c r="CN8" s="2038"/>
      <c r="CO8" s="2038"/>
      <c r="CP8" s="2038"/>
      <c r="CQ8" s="2038"/>
      <c r="CR8" s="2038"/>
      <c r="CS8" s="2038"/>
      <c r="CT8" s="2038"/>
      <c r="CU8" s="2038"/>
      <c r="CV8" s="2038"/>
      <c r="CW8" s="2038"/>
      <c r="CX8" s="2038"/>
      <c r="CY8" s="2038"/>
      <c r="CZ8" s="1947"/>
      <c r="DA8" s="1947"/>
      <c r="DB8" s="1947"/>
      <c r="DC8" s="1947"/>
      <c r="DD8" s="1947"/>
      <c r="DE8" s="1948"/>
      <c r="DF8" s="141"/>
      <c r="DG8" s="141"/>
      <c r="DH8" s="2297"/>
      <c r="DI8" s="1961"/>
      <c r="DJ8" s="1961"/>
      <c r="DK8" s="1961"/>
      <c r="DL8" s="1961"/>
      <c r="DM8" s="1961"/>
      <c r="DN8" s="1961"/>
      <c r="DO8" s="1961"/>
      <c r="DP8" s="1961"/>
      <c r="DQ8" s="1961"/>
      <c r="DR8" s="1961"/>
      <c r="DS8" s="1961"/>
      <c r="DT8" s="1961"/>
      <c r="DU8" s="1961"/>
      <c r="DV8" s="1961"/>
      <c r="DW8" s="1961"/>
      <c r="DX8" s="1961"/>
      <c r="DY8" s="1961"/>
      <c r="DZ8" s="1961"/>
      <c r="EA8" s="1961"/>
      <c r="EB8" s="1961"/>
      <c r="EC8" s="1961"/>
      <c r="ED8" s="1961"/>
      <c r="EE8" s="1961"/>
      <c r="EF8" s="1961"/>
      <c r="EG8" s="1961"/>
      <c r="EH8" s="1961"/>
      <c r="EI8" s="1961"/>
      <c r="EJ8" s="1961"/>
      <c r="EK8" s="1962"/>
      <c r="EL8" s="244"/>
      <c r="EM8" s="244"/>
      <c r="EN8" s="203"/>
      <c r="EO8" s="244"/>
      <c r="EP8" s="203"/>
      <c r="EQ8" s="203"/>
      <c r="ER8" s="203"/>
      <c r="ES8" s="244"/>
      <c r="ET8" s="244"/>
      <c r="EU8" s="244"/>
      <c r="EV8" s="246"/>
      <c r="GA8" s="241"/>
      <c r="GB8" s="241"/>
      <c r="GC8" s="241"/>
      <c r="GD8" s="241"/>
      <c r="GE8" s="241"/>
      <c r="GF8" s="241"/>
      <c r="GG8" s="241"/>
      <c r="GH8" s="241"/>
      <c r="GI8" s="241"/>
      <c r="GJ8" s="241"/>
      <c r="GK8" s="245"/>
      <c r="HA8" s="1187"/>
      <c r="HB8" s="1187"/>
      <c r="HC8" s="1187"/>
      <c r="HD8" s="1188"/>
      <c r="HE8" s="1189"/>
      <c r="HF8" s="1187"/>
      <c r="HG8" s="1187"/>
      <c r="HH8" s="1187"/>
      <c r="HI8" s="1187"/>
      <c r="HJ8" s="1187"/>
      <c r="HK8" s="1187"/>
      <c r="HL8" s="1187"/>
      <c r="HM8" s="1187"/>
      <c r="HN8" s="1187"/>
      <c r="HO8" s="1187"/>
      <c r="HP8" s="1187"/>
      <c r="HQ8" s="1187"/>
      <c r="HR8" s="1187"/>
      <c r="HS8" s="1187"/>
      <c r="HT8" s="1187"/>
      <c r="HU8" s="1187"/>
      <c r="HV8" s="1187"/>
      <c r="HW8" s="1187"/>
      <c r="HX8" s="1187"/>
      <c r="HY8" s="1186"/>
      <c r="HZ8" s="1179"/>
      <c r="IA8" s="1179"/>
      <c r="IB8" s="1179"/>
      <c r="IC8" s="1179"/>
      <c r="ID8" s="1179"/>
      <c r="IE8" s="1179"/>
      <c r="IF8" s="1179"/>
      <c r="IG8" s="1179"/>
      <c r="IH8" s="1178"/>
      <c r="II8" s="1178"/>
      <c r="IJ8" s="1178"/>
      <c r="IK8" s="1178"/>
      <c r="IL8" s="1178"/>
      <c r="IM8" s="1178"/>
      <c r="IN8" s="1178"/>
      <c r="IO8" s="1178"/>
      <c r="IP8" s="1178"/>
      <c r="IQ8" s="1178"/>
      <c r="IR8" s="1178"/>
      <c r="IS8" s="1178"/>
      <c r="IT8" s="1178"/>
      <c r="IU8" s="1178"/>
      <c r="IV8" s="1178"/>
      <c r="IW8" s="1178"/>
      <c r="IX8" s="1178"/>
      <c r="IY8" s="1178"/>
      <c r="IZ8" s="1178"/>
      <c r="JA8" s="1178"/>
      <c r="JB8" s="1178"/>
      <c r="JC8" s="1178"/>
      <c r="JD8" s="1178"/>
      <c r="JE8" s="1178"/>
      <c r="JF8" s="1178"/>
      <c r="JG8" s="1178"/>
      <c r="JH8" s="1178"/>
      <c r="JI8" s="1178"/>
      <c r="JJ8" s="1178"/>
      <c r="JK8" s="1178"/>
      <c r="JL8" s="1178"/>
      <c r="JM8" s="1178"/>
      <c r="JN8" s="1178"/>
      <c r="JO8" s="1178"/>
    </row>
    <row r="9" spans="1:276" s="117" customFormat="1" ht="12.2" customHeight="1" thickTop="1" thickBot="1" x14ac:dyDescent="0.25">
      <c r="A9" s="1917" t="s">
        <v>1</v>
      </c>
      <c r="B9" s="1873"/>
      <c r="C9" s="1824" t="str">
        <f>IF(ISBLANK('Job Info.'!D3),"",'Job Info.'!D3)</f>
        <v>MINDEN UPS BLDG 1</v>
      </c>
      <c r="D9" s="1824"/>
      <c r="E9" s="1824"/>
      <c r="F9" s="1824"/>
      <c r="G9" s="1824"/>
      <c r="H9" s="1824"/>
      <c r="I9" s="1824"/>
      <c r="J9" s="1824"/>
      <c r="K9" s="1824"/>
      <c r="L9" s="1824"/>
      <c r="M9" s="1824"/>
      <c r="N9" s="1824"/>
      <c r="O9" s="1824"/>
      <c r="P9" s="1825"/>
      <c r="Q9" s="1917" t="s">
        <v>2</v>
      </c>
      <c r="R9" s="1873"/>
      <c r="S9" s="1873"/>
      <c r="T9" s="1825" t="str">
        <f>IF(ISBLANK('Job Info.'!D5),"",'Job Info.'!D5)</f>
        <v>NN22-0071</v>
      </c>
      <c r="U9" s="2101"/>
      <c r="V9" s="2101"/>
      <c r="W9" s="2101"/>
      <c r="X9" s="2101"/>
      <c r="Y9" s="2101"/>
      <c r="Z9" s="2101"/>
      <c r="AA9" s="2101"/>
      <c r="AB9" s="2075" t="s">
        <v>1</v>
      </c>
      <c r="AC9" s="2302"/>
      <c r="AD9" s="2303"/>
      <c r="AE9" s="1824" t="str">
        <f>C9</f>
        <v>MINDEN UPS BLDG 1</v>
      </c>
      <c r="AF9" s="1824"/>
      <c r="AG9" s="1824"/>
      <c r="AH9" s="1824"/>
      <c r="AI9" s="1824"/>
      <c r="AJ9" s="1824"/>
      <c r="AK9" s="1824"/>
      <c r="AL9" s="1824"/>
      <c r="AM9" s="1824"/>
      <c r="AN9" s="1824"/>
      <c r="AO9" s="1824"/>
      <c r="AP9" s="1824"/>
      <c r="AQ9" s="1824"/>
      <c r="AR9" s="1824"/>
      <c r="AS9" s="1824"/>
      <c r="AT9" s="1825"/>
      <c r="AU9" s="1917" t="s">
        <v>2</v>
      </c>
      <c r="AV9" s="1873"/>
      <c r="AW9" s="1873"/>
      <c r="AX9" s="1825" t="str">
        <f>T9</f>
        <v>NN22-0071</v>
      </c>
      <c r="AY9" s="2101"/>
      <c r="AZ9" s="2101"/>
      <c r="BA9" s="2101"/>
      <c r="BB9" s="2101"/>
      <c r="BC9" s="2101"/>
      <c r="BD9" s="2101"/>
      <c r="BE9" s="2101"/>
      <c r="BF9" s="2101"/>
      <c r="BG9" s="2101"/>
      <c r="BH9" s="1416"/>
      <c r="BI9" s="245"/>
      <c r="CA9" s="246"/>
      <c r="CB9" s="2037"/>
      <c r="CC9" s="2038"/>
      <c r="CD9" s="2038"/>
      <c r="CE9" s="2038"/>
      <c r="CF9" s="2038"/>
      <c r="CG9" s="2038"/>
      <c r="CH9" s="2038"/>
      <c r="CI9" s="2038"/>
      <c r="CJ9" s="2038"/>
      <c r="CK9" s="2038"/>
      <c r="CL9" s="2038"/>
      <c r="CM9" s="2038"/>
      <c r="CN9" s="2038"/>
      <c r="CO9" s="2038"/>
      <c r="CP9" s="2038"/>
      <c r="CQ9" s="2038"/>
      <c r="CR9" s="2038"/>
      <c r="CS9" s="2038"/>
      <c r="CT9" s="2038"/>
      <c r="CU9" s="2038"/>
      <c r="CV9" s="2038"/>
      <c r="CW9" s="2038"/>
      <c r="CX9" s="2038"/>
      <c r="CY9" s="2038"/>
      <c r="CZ9" s="1947"/>
      <c r="DA9" s="1947"/>
      <c r="DB9" s="1947"/>
      <c r="DC9" s="1947"/>
      <c r="DD9" s="1947"/>
      <c r="DE9" s="1948"/>
      <c r="DF9" s="141"/>
      <c r="DG9" s="141"/>
      <c r="DH9" s="2020" t="s">
        <v>613</v>
      </c>
      <c r="DI9" s="1930" t="s">
        <v>640</v>
      </c>
      <c r="DJ9" s="1943"/>
      <c r="DK9" s="1943"/>
      <c r="DL9" s="1943"/>
      <c r="DM9" s="1943"/>
      <c r="DN9" s="1970"/>
      <c r="DO9" s="2017" t="s">
        <v>1287</v>
      </c>
      <c r="DP9" s="1930" t="s">
        <v>641</v>
      </c>
      <c r="DQ9" s="1931"/>
      <c r="DR9" s="1931"/>
      <c r="DS9" s="1931"/>
      <c r="DT9" s="1931"/>
      <c r="DU9" s="1932"/>
      <c r="DV9" s="2209" t="s">
        <v>610</v>
      </c>
      <c r="DW9" s="1931"/>
      <c r="DX9" s="1931"/>
      <c r="DY9" s="1931"/>
      <c r="DZ9" s="1931"/>
      <c r="EA9" s="1931"/>
      <c r="EB9" s="1931"/>
      <c r="EC9" s="1931"/>
      <c r="ED9" s="1931"/>
      <c r="EE9" s="1931"/>
      <c r="EF9" s="1931"/>
      <c r="EG9" s="1931"/>
      <c r="EH9" s="1931"/>
      <c r="EI9" s="1931"/>
      <c r="EJ9" s="1931"/>
      <c r="EK9" s="1932"/>
      <c r="EL9" s="244"/>
      <c r="EM9" s="244"/>
      <c r="EN9" s="203"/>
      <c r="EO9" s="924"/>
      <c r="EP9" s="927"/>
      <c r="EQ9" s="241"/>
      <c r="ER9" s="241"/>
      <c r="ES9" s="241"/>
      <c r="ET9" s="2120" t="s">
        <v>615</v>
      </c>
      <c r="EU9" s="2312"/>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7"/>
      <c r="HB9" s="1187"/>
      <c r="HC9" s="1187"/>
      <c r="HD9" s="1188"/>
      <c r="HE9" s="1189"/>
      <c r="HF9" s="1187"/>
      <c r="HG9" s="1187"/>
      <c r="HH9" s="1187"/>
      <c r="HI9" s="1187"/>
      <c r="HJ9" s="1187"/>
      <c r="HK9" s="1187"/>
      <c r="HL9" s="1187"/>
      <c r="HM9" s="1187"/>
      <c r="HN9" s="1187"/>
      <c r="HO9" s="1187"/>
      <c r="HP9" s="1187"/>
      <c r="HQ9" s="1187"/>
      <c r="HR9" s="1187"/>
      <c r="HS9" s="1187"/>
      <c r="HT9" s="1187"/>
      <c r="HU9" s="1187"/>
      <c r="HV9" s="1187"/>
      <c r="HW9" s="1187"/>
      <c r="HX9" s="1187"/>
      <c r="HY9" s="1186"/>
      <c r="HZ9" s="1190"/>
      <c r="IA9" s="1190"/>
      <c r="IB9" s="1190"/>
      <c r="IC9" s="1190"/>
      <c r="ID9" s="1190"/>
      <c r="IE9" s="1190"/>
      <c r="IF9" s="1190"/>
      <c r="IG9" s="1190"/>
      <c r="IH9" s="1190"/>
      <c r="II9" s="1190"/>
      <c r="IJ9" s="1190"/>
      <c r="IK9" s="1190"/>
      <c r="IL9" s="1190"/>
      <c r="IM9" s="1190"/>
      <c r="IN9" s="1190"/>
      <c r="IO9" s="1190"/>
      <c r="IP9" s="1190"/>
      <c r="IQ9" s="1190"/>
      <c r="IR9" s="1190"/>
      <c r="IS9" s="1190"/>
      <c r="IT9" s="1190"/>
      <c r="IU9" s="1190"/>
      <c r="IV9" s="1190"/>
      <c r="IW9" s="1190"/>
      <c r="IX9" s="1190"/>
      <c r="IY9" s="1190"/>
      <c r="IZ9" s="1190"/>
      <c r="JA9" s="1190"/>
      <c r="JB9" s="1190"/>
      <c r="JC9" s="1190"/>
      <c r="JD9" s="1190"/>
      <c r="JE9" s="1178"/>
      <c r="JF9" s="1178"/>
      <c r="JG9" s="1178"/>
      <c r="JH9" s="1178"/>
      <c r="JI9" s="1178"/>
      <c r="JJ9" s="1178"/>
      <c r="JK9" s="1178"/>
      <c r="JL9" s="1178"/>
      <c r="JM9" s="1178"/>
      <c r="JN9" s="1178"/>
      <c r="JO9" s="1178"/>
    </row>
    <row r="10" spans="1:276" s="117" customFormat="1" ht="12.2" customHeight="1" thickTop="1" thickBot="1" x14ac:dyDescent="0.25">
      <c r="A10" s="1917" t="s">
        <v>3</v>
      </c>
      <c r="B10" s="1873"/>
      <c r="C10" s="1824" t="str">
        <f>IF(ISBLANK('Job Info.'!D4),"",'Job Info.'!D4)</f>
        <v>MINDEN, NV</v>
      </c>
      <c r="D10" s="1824"/>
      <c r="E10" s="1824"/>
      <c r="F10" s="1824"/>
      <c r="G10" s="1824"/>
      <c r="H10" s="1824"/>
      <c r="I10" s="1824"/>
      <c r="J10" s="1824"/>
      <c r="K10" s="1824"/>
      <c r="L10" s="1824"/>
      <c r="M10" s="1824"/>
      <c r="N10" s="1824"/>
      <c r="O10" s="1824"/>
      <c r="P10" s="1825"/>
      <c r="Q10" s="1917" t="s">
        <v>22</v>
      </c>
      <c r="R10" s="1873"/>
      <c r="S10" s="1873"/>
      <c r="T10" s="1824" t="str">
        <f>IF(ISBLANK('Job Info.'!D6),"",'Job Info.'!D6)</f>
        <v>JMM</v>
      </c>
      <c r="U10" s="1824"/>
      <c r="V10" s="1824"/>
      <c r="W10" s="1825"/>
      <c r="X10" s="1917" t="s">
        <v>23</v>
      </c>
      <c r="Y10" s="1873"/>
      <c r="Z10" s="1825" t="str">
        <f>IF(ISBLANK('Job Info.'!D7),"",'Job Info.'!D7)</f>
        <v>NR</v>
      </c>
      <c r="AA10" s="2101"/>
      <c r="AB10" s="2075" t="s">
        <v>3</v>
      </c>
      <c r="AC10" s="2302"/>
      <c r="AD10" s="2303"/>
      <c r="AE10" s="1824" t="str">
        <f>C10</f>
        <v>MINDEN, NV</v>
      </c>
      <c r="AF10" s="1824"/>
      <c r="AG10" s="1824"/>
      <c r="AH10" s="1824"/>
      <c r="AI10" s="1824"/>
      <c r="AJ10" s="1824"/>
      <c r="AK10" s="1824"/>
      <c r="AL10" s="1824"/>
      <c r="AM10" s="1824"/>
      <c r="AN10" s="1824"/>
      <c r="AO10" s="1824"/>
      <c r="AP10" s="1824"/>
      <c r="AQ10" s="1824"/>
      <c r="AR10" s="1824"/>
      <c r="AS10" s="1824"/>
      <c r="AT10" s="1825"/>
      <c r="AU10" s="1917" t="s">
        <v>22</v>
      </c>
      <c r="AV10" s="1873"/>
      <c r="AW10" s="1873"/>
      <c r="AX10" s="1824" t="str">
        <f>T10</f>
        <v>JMM</v>
      </c>
      <c r="AY10" s="1824"/>
      <c r="AZ10" s="1824"/>
      <c r="BA10" s="1825"/>
      <c r="BB10" s="1917" t="s">
        <v>23</v>
      </c>
      <c r="BC10" s="1873"/>
      <c r="BD10" s="1873"/>
      <c r="BE10" s="1825" t="str">
        <f>Z10</f>
        <v>NR</v>
      </c>
      <c r="BF10" s="2101"/>
      <c r="BG10" s="2101"/>
      <c r="BH10" s="1416"/>
      <c r="BI10" s="245"/>
      <c r="CA10" s="246"/>
      <c r="CB10" s="1949"/>
      <c r="CC10" s="1947"/>
      <c r="CD10" s="1947"/>
      <c r="CE10" s="1947"/>
      <c r="CF10" s="1948"/>
      <c r="CG10" s="1941" t="s">
        <v>469</v>
      </c>
      <c r="CH10" s="1942"/>
      <c r="CI10" s="1942"/>
      <c r="CJ10" s="1942"/>
      <c r="CK10" s="1942"/>
      <c r="CL10" s="1942"/>
      <c r="CM10" s="1942"/>
      <c r="CN10" s="1943"/>
      <c r="CO10" s="1943"/>
      <c r="CP10" s="1944"/>
      <c r="CQ10" s="1941" t="s">
        <v>470</v>
      </c>
      <c r="CR10" s="1942"/>
      <c r="CS10" s="1942"/>
      <c r="CT10" s="1942"/>
      <c r="CU10" s="1942"/>
      <c r="CV10" s="1942"/>
      <c r="CW10" s="1942"/>
      <c r="CX10" s="1943"/>
      <c r="CY10" s="1943"/>
      <c r="CZ10" s="1944"/>
      <c r="DA10" s="2274"/>
      <c r="DB10" s="1968"/>
      <c r="DC10" s="1968"/>
      <c r="DD10" s="1968"/>
      <c r="DE10" s="1969"/>
      <c r="DF10" s="141"/>
      <c r="DG10" s="141"/>
      <c r="DH10" s="2021"/>
      <c r="DI10" s="1971"/>
      <c r="DJ10" s="1947"/>
      <c r="DK10" s="1947"/>
      <c r="DL10" s="1947"/>
      <c r="DM10" s="1947"/>
      <c r="DN10" s="1972"/>
      <c r="DO10" s="2018"/>
      <c r="DP10" s="1933"/>
      <c r="DQ10" s="1884"/>
      <c r="DR10" s="1884"/>
      <c r="DS10" s="1884"/>
      <c r="DT10" s="1884"/>
      <c r="DU10" s="1934"/>
      <c r="DV10" s="2187"/>
      <c r="DW10" s="1884"/>
      <c r="DX10" s="1884"/>
      <c r="DY10" s="1884"/>
      <c r="DZ10" s="1884"/>
      <c r="EA10" s="1884"/>
      <c r="EB10" s="1884"/>
      <c r="EC10" s="1884"/>
      <c r="ED10" s="1884"/>
      <c r="EE10" s="1884"/>
      <c r="EF10" s="1884"/>
      <c r="EG10" s="1884"/>
      <c r="EH10" s="1884"/>
      <c r="EI10" s="1884"/>
      <c r="EJ10" s="1884"/>
      <c r="EK10" s="1934"/>
      <c r="EL10" s="241"/>
      <c r="EM10" s="241"/>
      <c r="EN10" s="241"/>
      <c r="EO10" s="241"/>
      <c r="EP10" s="241"/>
      <c r="EQ10" s="241"/>
      <c r="ER10" s="241"/>
      <c r="ES10" s="241"/>
      <c r="ET10" s="2313"/>
      <c r="EU10" s="2314"/>
      <c r="FW10" s="245"/>
      <c r="FX10" s="245"/>
      <c r="FY10" s="245"/>
      <c r="FZ10" s="245"/>
      <c r="GA10" s="2261" t="s">
        <v>1140</v>
      </c>
      <c r="GB10" s="2286"/>
      <c r="GC10" s="2286"/>
      <c r="GD10" s="2286"/>
      <c r="GE10" s="2286"/>
      <c r="GF10" s="2286"/>
      <c r="GG10" s="1947"/>
      <c r="GH10" s="1947"/>
      <c r="GI10" s="1947"/>
      <c r="GJ10" s="1947"/>
      <c r="GK10" s="245"/>
      <c r="HA10" s="1187"/>
      <c r="HB10" s="1187"/>
      <c r="HC10" s="1187"/>
      <c r="HD10" s="1188"/>
      <c r="HE10" s="1189"/>
      <c r="HF10" s="1191"/>
      <c r="HG10" s="1192"/>
      <c r="HH10" s="1192"/>
      <c r="HI10" s="1192"/>
      <c r="HJ10" s="1192"/>
      <c r="HK10" s="1192"/>
      <c r="HL10" s="1192"/>
      <c r="HM10" s="1191"/>
      <c r="HN10" s="1192"/>
      <c r="HO10" s="1192"/>
      <c r="HP10" s="1192"/>
      <c r="HQ10" s="1192"/>
      <c r="HR10" s="1192"/>
      <c r="HS10" s="1192"/>
      <c r="HT10" s="1187"/>
      <c r="HU10" s="1187"/>
      <c r="HV10" s="1187"/>
      <c r="HW10" s="1187"/>
      <c r="HX10" s="1187"/>
      <c r="HY10" s="1186"/>
      <c r="HZ10" s="1179"/>
      <c r="IA10" s="1179"/>
      <c r="IB10" s="1179"/>
      <c r="IC10" s="1179"/>
      <c r="ID10" s="1179"/>
      <c r="IE10" s="1179"/>
      <c r="IF10" s="1179"/>
      <c r="IG10" s="1179"/>
      <c r="IH10" s="1178"/>
      <c r="II10" s="1178"/>
      <c r="IJ10" s="1178"/>
      <c r="IK10" s="1178"/>
      <c r="IL10" s="1178"/>
      <c r="IM10" s="1178"/>
      <c r="IN10" s="1178"/>
      <c r="IO10" s="1178"/>
      <c r="IP10" s="1178"/>
      <c r="IQ10" s="1178"/>
      <c r="IR10" s="1178"/>
      <c r="IS10" s="1178"/>
      <c r="IT10" s="1178"/>
      <c r="IU10" s="1178"/>
      <c r="IV10" s="1178"/>
      <c r="IW10" s="1178"/>
      <c r="IX10" s="1178"/>
      <c r="IY10" s="1178"/>
      <c r="IZ10" s="1178"/>
      <c r="JA10" s="1178"/>
      <c r="JB10" s="1178"/>
      <c r="JC10" s="1178"/>
      <c r="JD10" s="1178"/>
      <c r="JE10" s="1178"/>
      <c r="JF10" s="1178"/>
      <c r="JG10" s="1178"/>
      <c r="JH10" s="1178"/>
      <c r="JI10" s="1178"/>
      <c r="JJ10" s="1178"/>
      <c r="JK10" s="1178"/>
      <c r="JL10" s="1178"/>
      <c r="JM10" s="1178"/>
      <c r="JN10" s="1178"/>
      <c r="JO10" s="1178"/>
    </row>
    <row r="11" spans="1:276" ht="3.95" customHeight="1" thickTop="1" thickBot="1" x14ac:dyDescent="0.25">
      <c r="A11" s="2126"/>
      <c r="B11" s="2126"/>
      <c r="C11" s="2126"/>
      <c r="D11" s="2126"/>
      <c r="E11" s="2126"/>
      <c r="F11" s="2126"/>
      <c r="G11" s="2126"/>
      <c r="H11" s="2126"/>
      <c r="I11" s="2126"/>
      <c r="J11" s="2126"/>
      <c r="K11" s="2126"/>
      <c r="L11" s="2126"/>
      <c r="M11" s="2126"/>
      <c r="N11" s="2126"/>
      <c r="O11" s="2126"/>
      <c r="P11" s="2126"/>
      <c r="Q11" s="2126"/>
      <c r="R11" s="2126"/>
      <c r="S11" s="2126"/>
      <c r="T11" s="2126"/>
      <c r="U11" s="2126"/>
      <c r="V11" s="2126"/>
      <c r="W11" s="2126"/>
      <c r="X11" s="2126"/>
      <c r="Y11" s="2126"/>
      <c r="Z11" s="2126"/>
      <c r="AA11" s="2126"/>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1950"/>
      <c r="CC11" s="1951"/>
      <c r="CD11" s="1951"/>
      <c r="CE11" s="1951"/>
      <c r="CF11" s="1952"/>
      <c r="CG11" s="1945"/>
      <c r="CH11" s="1946"/>
      <c r="CI11" s="1946"/>
      <c r="CJ11" s="1946"/>
      <c r="CK11" s="1946"/>
      <c r="CL11" s="1946"/>
      <c r="CM11" s="1946"/>
      <c r="CN11" s="1947"/>
      <c r="CO11" s="1947"/>
      <c r="CP11" s="1948"/>
      <c r="CQ11" s="1959"/>
      <c r="CR11" s="1960"/>
      <c r="CS11" s="1960"/>
      <c r="CT11" s="1960"/>
      <c r="CU11" s="1960"/>
      <c r="CV11" s="1960"/>
      <c r="CW11" s="1960"/>
      <c r="CX11" s="1961"/>
      <c r="CY11" s="1961"/>
      <c r="CZ11" s="1962"/>
      <c r="DA11" s="1576"/>
      <c r="DB11" s="1963"/>
      <c r="DC11" s="1944"/>
      <c r="DD11" s="1965"/>
      <c r="DE11" s="1966"/>
      <c r="DF11" s="141"/>
      <c r="DG11" s="141"/>
      <c r="DH11" s="2021"/>
      <c r="DI11" s="1971"/>
      <c r="DJ11" s="1947"/>
      <c r="DK11" s="1947"/>
      <c r="DL11" s="1947"/>
      <c r="DM11" s="1947"/>
      <c r="DN11" s="1972"/>
      <c r="DO11" s="2018"/>
      <c r="DP11" s="2275" t="s">
        <v>601</v>
      </c>
      <c r="DQ11" s="1555"/>
      <c r="DR11" s="1937" t="s">
        <v>603</v>
      </c>
      <c r="DS11" s="1555"/>
      <c r="DT11" s="1555"/>
      <c r="DU11" s="1555"/>
      <c r="DV11" s="2187"/>
      <c r="DW11" s="1884"/>
      <c r="DX11" s="1884"/>
      <c r="DY11" s="1884"/>
      <c r="DZ11" s="1884"/>
      <c r="EA11" s="1884"/>
      <c r="EB11" s="1884"/>
      <c r="EC11" s="1884"/>
      <c r="ED11" s="1884"/>
      <c r="EE11" s="1884"/>
      <c r="EF11" s="1884"/>
      <c r="EG11" s="1884"/>
      <c r="EH11" s="1884"/>
      <c r="EI11" s="1884"/>
      <c r="EJ11" s="1884"/>
      <c r="EK11" s="1934"/>
      <c r="EL11" s="141"/>
      <c r="EM11" s="141"/>
      <c r="EN11" s="928"/>
      <c r="EO11" s="141"/>
      <c r="EP11" s="141"/>
      <c r="EQ11" s="141"/>
      <c r="ER11" s="241"/>
      <c r="ES11" s="241"/>
      <c r="ET11" s="2313"/>
      <c r="EU11" s="2314"/>
      <c r="FW11" s="2"/>
      <c r="FX11" s="2"/>
      <c r="FY11" s="2"/>
      <c r="FZ11" s="2"/>
      <c r="GA11" s="2287"/>
      <c r="GB11" s="2287"/>
      <c r="GC11" s="2287"/>
      <c r="GD11" s="2287"/>
      <c r="GE11" s="2287"/>
      <c r="GF11" s="2287"/>
      <c r="GG11" s="1951"/>
      <c r="GH11" s="1951"/>
      <c r="GI11" s="1951"/>
      <c r="GJ11" s="1951"/>
      <c r="GK11" s="2"/>
      <c r="HA11" s="1187"/>
      <c r="HB11" s="1187"/>
      <c r="HC11" s="1187"/>
      <c r="HD11" s="1188"/>
      <c r="HE11" s="1189"/>
      <c r="HF11" s="1192"/>
      <c r="HG11" s="1192"/>
      <c r="HH11" s="1192"/>
      <c r="HI11" s="1192"/>
      <c r="HJ11" s="1192"/>
      <c r="HK11" s="1192"/>
      <c r="HL11" s="1192"/>
      <c r="HM11" s="1192"/>
      <c r="HN11" s="1192"/>
      <c r="HO11" s="1192"/>
      <c r="HP11" s="1192"/>
      <c r="HQ11" s="1192"/>
      <c r="HR11" s="1192"/>
      <c r="HS11" s="1192"/>
      <c r="HT11" s="1187"/>
      <c r="HU11" s="1187"/>
      <c r="HV11" s="1187"/>
      <c r="HW11" s="1187"/>
      <c r="HX11" s="1187"/>
      <c r="HY11" s="1186"/>
      <c r="HZ11" s="1187"/>
      <c r="IA11" s="1187"/>
      <c r="IB11" s="1187"/>
      <c r="IC11" s="1187"/>
      <c r="ID11" s="1187"/>
      <c r="IE11" s="1187"/>
      <c r="IF11" s="1187"/>
      <c r="IG11" s="1187"/>
      <c r="IH11" s="1193"/>
      <c r="II11" s="1193"/>
      <c r="IJ11" s="1193"/>
      <c r="IK11" s="1193"/>
      <c r="IL11" s="1193"/>
      <c r="IM11" s="1193"/>
      <c r="IN11" s="1193"/>
      <c r="IO11" s="1193"/>
      <c r="IP11" s="1193"/>
      <c r="IQ11" s="1193"/>
      <c r="IR11" s="1193"/>
      <c r="IS11" s="1193"/>
      <c r="IT11" s="1193"/>
      <c r="IU11" s="1193"/>
      <c r="IV11" s="1193"/>
      <c r="IW11" s="1193"/>
      <c r="IX11" s="1193"/>
      <c r="IY11" s="1193"/>
      <c r="IZ11" s="1193"/>
      <c r="JA11" s="1193"/>
      <c r="JB11" s="1193"/>
      <c r="JC11" s="1193"/>
      <c r="JD11" s="1193"/>
      <c r="JE11" s="1193"/>
      <c r="JF11" s="1193"/>
      <c r="JG11" s="1193"/>
      <c r="JH11" s="1193"/>
      <c r="JI11" s="1193"/>
      <c r="JJ11" s="1193"/>
      <c r="JK11" s="1193"/>
      <c r="JL11" s="1193"/>
      <c r="JM11" s="1193"/>
      <c r="JN11" s="1193"/>
      <c r="JO11" s="1193"/>
    </row>
    <row r="12" spans="1:276" ht="12" customHeight="1" thickTop="1" thickBot="1" x14ac:dyDescent="0.3">
      <c r="A12" s="2084" t="s">
        <v>40</v>
      </c>
      <c r="B12" s="2085" t="s">
        <v>130</v>
      </c>
      <c r="C12" s="2085" t="s">
        <v>31</v>
      </c>
      <c r="D12" s="2085" t="s">
        <v>25</v>
      </c>
      <c r="E12" s="2089"/>
      <c r="F12" s="2095" t="s">
        <v>88</v>
      </c>
      <c r="G12" s="1985" t="s">
        <v>9</v>
      </c>
      <c r="H12" s="2093"/>
      <c r="I12" s="2093"/>
      <c r="J12" s="2093" t="s">
        <v>10</v>
      </c>
      <c r="K12" s="2093"/>
      <c r="L12" s="1983"/>
      <c r="M12" s="2087" t="s">
        <v>11</v>
      </c>
      <c r="N12" s="2088"/>
      <c r="O12" s="2090" t="s">
        <v>12</v>
      </c>
      <c r="P12" s="2091"/>
      <c r="Q12" s="2091" t="s">
        <v>13</v>
      </c>
      <c r="R12" s="2102"/>
      <c r="S12" s="2092" t="s">
        <v>14</v>
      </c>
      <c r="T12" s="2093"/>
      <c r="U12" s="2093"/>
      <c r="V12" s="2093"/>
      <c r="W12" s="2094"/>
      <c r="X12" s="1985" t="s">
        <v>111</v>
      </c>
      <c r="Y12" s="1983"/>
      <c r="Z12" s="1116" t="s">
        <v>15</v>
      </c>
      <c r="AA12" s="2304" t="s">
        <v>939</v>
      </c>
      <c r="AB12" s="2084" t="s">
        <v>40</v>
      </c>
      <c r="AC12" s="1977" t="s">
        <v>62</v>
      </c>
      <c r="AD12" s="1979" t="s">
        <v>32</v>
      </c>
      <c r="AE12" s="1980"/>
      <c r="AF12" s="1983" t="s">
        <v>34</v>
      </c>
      <c r="AG12" s="1984"/>
      <c r="AH12" s="1985"/>
      <c r="AI12" s="1979" t="s">
        <v>35</v>
      </c>
      <c r="AJ12" s="1980"/>
      <c r="AK12" s="1986" t="s">
        <v>63</v>
      </c>
      <c r="AL12" s="1988" t="s">
        <v>737</v>
      </c>
      <c r="AM12" s="1989"/>
      <c r="AN12" s="1989"/>
      <c r="AO12" s="1989"/>
      <c r="AP12" s="1989"/>
      <c r="AQ12" s="1990"/>
      <c r="AR12" s="2294" t="s">
        <v>82</v>
      </c>
      <c r="AS12" s="2295"/>
      <c r="AT12" s="2295"/>
      <c r="AU12" s="2295"/>
      <c r="AV12" s="2295"/>
      <c r="AW12" s="2295"/>
      <c r="AX12" s="2295"/>
      <c r="AY12" s="2295"/>
      <c r="AZ12" s="2295"/>
      <c r="BA12" s="2295"/>
      <c r="BB12" s="2295"/>
      <c r="BC12" s="2295"/>
      <c r="BD12" s="2295"/>
      <c r="BE12" s="2295"/>
      <c r="BF12" s="2295"/>
      <c r="BG12" s="2295"/>
      <c r="BH12" s="1416"/>
      <c r="BJ12" s="117"/>
      <c r="BK12" s="117"/>
      <c r="BL12" s="117"/>
      <c r="BM12" s="117"/>
      <c r="BN12" s="117"/>
      <c r="BO12" s="117"/>
      <c r="BW12" s="2306" t="s">
        <v>630</v>
      </c>
      <c r="BX12" s="2307"/>
      <c r="BY12" s="2307"/>
      <c r="BZ12" s="2308"/>
      <c r="CA12" s="105"/>
      <c r="CB12" s="2143" t="s">
        <v>613</v>
      </c>
      <c r="CC12" s="2074" t="s">
        <v>130</v>
      </c>
      <c r="CD12" s="2145" t="s">
        <v>478</v>
      </c>
      <c r="CE12" s="2068" t="s">
        <v>1291</v>
      </c>
      <c r="CF12" s="2069"/>
      <c r="CG12" s="2236" t="s">
        <v>1292</v>
      </c>
      <c r="CH12" s="2238" t="s">
        <v>595</v>
      </c>
      <c r="CI12" s="2239"/>
      <c r="CJ12" s="2238" t="s">
        <v>596</v>
      </c>
      <c r="CK12" s="2239"/>
      <c r="CL12" s="2254" t="s">
        <v>488</v>
      </c>
      <c r="CM12" s="2256" t="s">
        <v>790</v>
      </c>
      <c r="CN12" s="1953" t="s">
        <v>1276</v>
      </c>
      <c r="CO12" s="1954"/>
      <c r="CP12" s="1955"/>
      <c r="CQ12" s="2242" t="s">
        <v>1292</v>
      </c>
      <c r="CR12" s="2244" t="s">
        <v>595</v>
      </c>
      <c r="CS12" s="2245"/>
      <c r="CT12" s="2244" t="s">
        <v>596</v>
      </c>
      <c r="CU12" s="2245"/>
      <c r="CV12" s="2072" t="s">
        <v>488</v>
      </c>
      <c r="CW12" s="2252" t="s">
        <v>790</v>
      </c>
      <c r="CX12" s="1956" t="s">
        <v>1276</v>
      </c>
      <c r="CY12" s="1957"/>
      <c r="CZ12" s="1958"/>
      <c r="DA12" s="2234" t="s">
        <v>806</v>
      </c>
      <c r="DB12" s="1964"/>
      <c r="DC12" s="1948"/>
      <c r="DD12" s="2249" t="s">
        <v>1284</v>
      </c>
      <c r="DE12" s="2251" t="s">
        <v>1285</v>
      </c>
      <c r="DF12" s="141"/>
      <c r="DG12" s="141"/>
      <c r="DH12" s="2021"/>
      <c r="DI12" s="2027" t="s">
        <v>1289</v>
      </c>
      <c r="DJ12" s="1999" t="s">
        <v>32</v>
      </c>
      <c r="DK12" s="2000"/>
      <c r="DL12" s="2003" t="s">
        <v>34</v>
      </c>
      <c r="DM12" s="2005" t="s">
        <v>489</v>
      </c>
      <c r="DN12" s="2006"/>
      <c r="DO12" s="2018"/>
      <c r="DP12" s="2275"/>
      <c r="DQ12" s="2029" t="s">
        <v>602</v>
      </c>
      <c r="DR12" s="1937"/>
      <c r="DS12" s="2029" t="s">
        <v>604</v>
      </c>
      <c r="DT12" s="2031" t="s">
        <v>605</v>
      </c>
      <c r="DU12" s="2032"/>
      <c r="DV12" s="2292" t="s">
        <v>598</v>
      </c>
      <c r="DW12" s="2293"/>
      <c r="DX12" s="2023" t="s">
        <v>1287</v>
      </c>
      <c r="DY12" s="2025" t="s">
        <v>1288</v>
      </c>
      <c r="DZ12" s="2292" t="s">
        <v>598</v>
      </c>
      <c r="EA12" s="2293"/>
      <c r="EB12" s="2023" t="s">
        <v>1287</v>
      </c>
      <c r="EC12" s="2025" t="s">
        <v>1288</v>
      </c>
      <c r="ED12" s="2292" t="s">
        <v>598</v>
      </c>
      <c r="EE12" s="2293"/>
      <c r="EF12" s="2023" t="s">
        <v>1287</v>
      </c>
      <c r="EG12" s="2025" t="s">
        <v>1288</v>
      </c>
      <c r="EH12" s="2292" t="s">
        <v>598</v>
      </c>
      <c r="EI12" s="2293"/>
      <c r="EJ12" s="2023" t="s">
        <v>1287</v>
      </c>
      <c r="EK12" s="2210" t="s">
        <v>1288</v>
      </c>
      <c r="EL12" s="241"/>
      <c r="EM12" s="2212" t="s">
        <v>789</v>
      </c>
      <c r="EN12" s="2259" t="s">
        <v>588</v>
      </c>
      <c r="EO12" s="2260"/>
      <c r="EP12" s="2260"/>
      <c r="EQ12" s="2212" t="s">
        <v>589</v>
      </c>
      <c r="ER12" s="2247" t="s">
        <v>786</v>
      </c>
      <c r="ES12" s="2248"/>
      <c r="ET12" s="2315"/>
      <c r="EU12" s="2316"/>
      <c r="FW12" s="2"/>
      <c r="FX12" s="2"/>
      <c r="FY12" s="2"/>
      <c r="FZ12" s="2"/>
      <c r="GA12" s="2134" t="s">
        <v>708</v>
      </c>
      <c r="GB12" s="2135"/>
      <c r="GC12" s="2134" t="s">
        <v>558</v>
      </c>
      <c r="GD12" s="2135"/>
      <c r="GE12" s="2136" t="s">
        <v>711</v>
      </c>
      <c r="GF12" s="2138" t="s">
        <v>632</v>
      </c>
      <c r="GG12" s="2134" t="s">
        <v>1142</v>
      </c>
      <c r="GH12" s="2135"/>
      <c r="GI12" s="2134" t="s">
        <v>1141</v>
      </c>
      <c r="GJ12" s="2135"/>
      <c r="GK12" s="2139" t="s">
        <v>712</v>
      </c>
      <c r="GL12" s="2139" t="s">
        <v>713</v>
      </c>
      <c r="GM12" s="2139" t="s">
        <v>714</v>
      </c>
      <c r="HA12" s="2191" t="s">
        <v>632</v>
      </c>
      <c r="HB12" s="2193" t="s">
        <v>1134</v>
      </c>
      <c r="HC12" s="2193" t="s">
        <v>1159</v>
      </c>
      <c r="HD12" s="2193" t="str">
        <f>IF($HA$1,"Bay Length","Overall Length")</f>
        <v>Overall Length</v>
      </c>
      <c r="HE12" s="2208"/>
      <c r="HF12" s="2193" t="str">
        <f>IF($HA$1,"L Sect #","TC Width")</f>
        <v>TC Width</v>
      </c>
      <c r="HG12" s="2201" t="str">
        <f>IF($HA$1,"L Min Sup Wid","TCXL Feet")</f>
        <v>TCXL Feet</v>
      </c>
      <c r="HH12" s="2201" t="str">
        <f>IF($HA$1,"L Max Sup Wid","TCXL Inch")</f>
        <v>TCXL Inch</v>
      </c>
      <c r="HI12" s="2201" t="str">
        <f>IF($HA$1,"L Min Flg Ga","TCXL Type")</f>
        <v>TCXL Type</v>
      </c>
      <c r="HJ12" s="2201" t="str">
        <f>IF($HA$1,"L Max Flg Ga","TCXR Feet")</f>
        <v>TCXR Feet</v>
      </c>
      <c r="HK12" s="2201" t="str">
        <f>IF($HA$1,"L Skew","TCXR Inch")</f>
        <v>TCXR Inch</v>
      </c>
      <c r="HL12" s="2201" t="str">
        <f>IF($HA$1,"L Brg Slp","TCXR Type")</f>
        <v>TCXR Type</v>
      </c>
      <c r="HM12" s="2193" t="str">
        <f>IF($HA$1,"R Sect #","BDL")</f>
        <v>BDL</v>
      </c>
      <c r="HN12" s="2201" t="str">
        <f>IF($HA$1,"R Min Sup Wid","BDR")</f>
        <v>BDR</v>
      </c>
      <c r="HO12" s="2201" t="str">
        <f>IF($HA$1,"R Max Sup Wid","BCXL Feet")</f>
        <v>BCXL Feet</v>
      </c>
      <c r="HP12" s="2201" t="str">
        <f>IF($HA$1,"R Min Flg Ga","BCXL Inch")</f>
        <v>BCXL Inch</v>
      </c>
      <c r="HQ12" s="2201" t="str">
        <f>IF($HA$1,"R Max Flg Ga","BCXR Feet")</f>
        <v>BCXR Feet</v>
      </c>
      <c r="HR12" s="2201" t="str">
        <f>IF($HA$1,"R Skew","BCXR Inch")</f>
        <v>BCXR Inch</v>
      </c>
      <c r="HS12" s="2201" t="str">
        <f>IF($HA$1,"R Brg Slp","HL Feet")</f>
        <v>HL Feet</v>
      </c>
      <c r="HT12" s="2201" t="str">
        <f>IF($HA$1,"TC Slope","HL Inch")</f>
        <v>HL Inch</v>
      </c>
      <c r="HU12" s="2201" t="str">
        <f>IF($HA$1,"Load Notes","HR Feet")</f>
        <v>HR Feet</v>
      </c>
      <c r="HV12" s="2201" t="str">
        <f>IF($HA$1,"Spcl Notes","HR Inch")</f>
        <v>HR Inch</v>
      </c>
      <c r="HW12" s="2201" t="str">
        <f>IF($HA$1,"# KB","Slot Ga")</f>
        <v>Slot Ga</v>
      </c>
      <c r="HX12" s="2201" t="str">
        <f>IF($HA$1,"TC Width","L Seat Slp")</f>
        <v>L Seat Slp</v>
      </c>
      <c r="HY12" s="2201" t="str">
        <f>IF($HA$1,"TCL Override","R Seat Slp")</f>
        <v>R Seat Slp</v>
      </c>
      <c r="HZ12" s="2201" t="str">
        <f>IF($HA$1,"TCR Override","Load Notes")</f>
        <v>Load Notes</v>
      </c>
      <c r="IA12" s="2201" t="str">
        <f>IF($HA$1,"L-BL Override","Spcl Notes")</f>
        <v>Spcl Notes</v>
      </c>
      <c r="IB12" s="2262" t="str">
        <f>IF($HA$1,"R-BL Override","# KB")</f>
        <v># KB</v>
      </c>
      <c r="IC12" s="2201" t="str">
        <f>IF($HA$1,"BDL Override","-")</f>
        <v>-</v>
      </c>
      <c r="ID12" s="2310" t="str">
        <f>IF($HA$1,"BDR Override","-")</f>
        <v>-</v>
      </c>
      <c r="IE12" s="2184" t="s">
        <v>632</v>
      </c>
      <c r="IF12" s="2114" t="s">
        <v>1161</v>
      </c>
      <c r="IG12" s="2114" t="s">
        <v>1162</v>
      </c>
      <c r="IH12" s="2114" t="s">
        <v>1163</v>
      </c>
      <c r="II12" s="2114" t="s">
        <v>1164</v>
      </c>
      <c r="IJ12" s="2114" t="s">
        <v>1166</v>
      </c>
      <c r="IK12" s="2114" t="s">
        <v>1165</v>
      </c>
      <c r="IL12" s="2114" t="str">
        <f>IF($HA$1,"Load (Kip)","Panel ""B"" Feet")</f>
        <v>Panel "B" Feet</v>
      </c>
      <c r="IM12" s="2114" t="str">
        <f>IF($HA$1,"OSHA N/F/B","Panel ""B"" Inch")</f>
        <v>Panel "B" Inch</v>
      </c>
      <c r="IN12" s="2114" t="str">
        <f>IF($HA$1,"Girder TC Ga","Load (Kip)")</f>
        <v>Load (Kip)</v>
      </c>
      <c r="IO12" s="2114" t="str">
        <f>IF($HA$1,"Jst Hole (x/16)","OSHA N/F/B")</f>
        <v>OSHA N/F/B</v>
      </c>
      <c r="IP12" s="2114" t="str">
        <f>IF($HA$1,"Joist Gage","Girder TC Gage")</f>
        <v>Girder TC Gage</v>
      </c>
      <c r="IQ12" s="2114" t="str">
        <f>IF($HA$1,"TC Hole L","Girder TC Hole (x/16)")</f>
        <v>Girder TC Hole (x/16)</v>
      </c>
      <c r="IR12" s="2114" t="str">
        <f>IF($HA$1,"TC Hole R","Joist Gage")</f>
        <v>Joist Gage</v>
      </c>
      <c r="IS12" s="2114" t="str">
        <f>IF($HA$1,"Add Jst#1 Feet","TCHoleL")</f>
        <v>TCHoleL</v>
      </c>
      <c r="IT12" s="2114" t="str">
        <f>IF($HA$1,"Add Jst#1 Inch","TC Hole R")</f>
        <v>TC Hole R</v>
      </c>
      <c r="IU12" s="2114" t="str">
        <f>IF($HA$1,"Add Jst#1 Load","Add Jst#1 Feet")</f>
        <v>Add Jst#1 Feet</v>
      </c>
      <c r="IV12" s="2114" t="str">
        <f>IF($HA$1,"Add Jst#1 Bolt N/F/B","Add Jst#1 inch")</f>
        <v>Add Jst#1 inch</v>
      </c>
      <c r="IW12" s="2114" t="str">
        <f>IF($HA$1,"Add Jst#2 Feet","Add Jst#1 Load")</f>
        <v>Add Jst#1 Load</v>
      </c>
      <c r="IX12" s="2114" t="str">
        <f>IF($HA$1,"Add Jst#2 Inch","Add Jst#1 Bolt N/F/B")</f>
        <v>Add Jst#1 Bolt N/F/B</v>
      </c>
      <c r="IY12" s="2114" t="str">
        <f>IF($HA$1,"Add Jst#2 Load","Add Jst#2 Feet")</f>
        <v>Add Jst#2 Feet</v>
      </c>
      <c r="IZ12" s="2114" t="str">
        <f>IF($HA$1,"Add Jst#2 Bolt N/F/B","Add Jst#2 inch")</f>
        <v>Add Jst#2 inch</v>
      </c>
      <c r="JA12" s="2114" t="str">
        <f>IF($HA$1,"Add Jst#3 Feet","Add Jst#2 Load")</f>
        <v>Add Jst#2 Load</v>
      </c>
      <c r="JB12" s="2114" t="str">
        <f>IF($HA$1,"Add Jst#3 Inch","Add Jst#2 Bolt N/F/B")</f>
        <v>Add Jst#2 Bolt N/F/B</v>
      </c>
      <c r="JC12" s="2114" t="str">
        <f>IF($HA$1,"Add Jst#3 Load","Add Jst#3 Feet")</f>
        <v>Add Jst#3 Feet</v>
      </c>
      <c r="JD12" s="2114" t="str">
        <f>IF($HA$1,"Add Jst#3 Bolt N/F/B","Add Jst#3 inch")</f>
        <v>Add Jst#3 inch</v>
      </c>
      <c r="JE12" s="2114" t="str">
        <f>IF($HA$1,"Add Jst#4 Feet","Add Jst#3 Load")</f>
        <v>Add Jst#3 Load</v>
      </c>
      <c r="JF12" s="2114" t="str">
        <f>IF($HA$1,"Add Jst#4 Inch","Add Jst#3 Bolt N/F/B")</f>
        <v>Add Jst#3 Bolt N/F/B</v>
      </c>
      <c r="JG12" s="2114" t="str">
        <f>IF($HA$1,"Add Jst#4 Load","Add Jst#4 Feet")</f>
        <v>Add Jst#4 Feet</v>
      </c>
      <c r="JH12" s="2114" t="str">
        <f>IF($HA$1,"Add Jst#4 Bolt N/F/B","Add Jst#4 inch")</f>
        <v>Add Jst#4 inch</v>
      </c>
      <c r="JI12" s="2114" t="str">
        <f>IF($HA$1,"-","Add Jst#4 Load")</f>
        <v>Add Jst#4 Load</v>
      </c>
      <c r="JJ12" s="2114" t="str">
        <f>IF($HA$1,"-","Add Jst#4 Bolt N/F/B")</f>
        <v>Add Jst#4 Bolt N/F/B</v>
      </c>
      <c r="JK12" s="2270" t="str">
        <f>IF($HA$1,"# Rows Req'd","# Rows Req'd")</f>
        <v># Rows Req'd</v>
      </c>
      <c r="JL12" s="2272" t="s">
        <v>1168</v>
      </c>
      <c r="JM12" s="1193"/>
      <c r="JN12" s="1193"/>
      <c r="JO12" s="1193"/>
    </row>
    <row r="13" spans="1:276" ht="21" customHeight="1" thickTop="1" thickBot="1" x14ac:dyDescent="0.3">
      <c r="A13" s="2084"/>
      <c r="B13" s="2085"/>
      <c r="C13" s="2085"/>
      <c r="D13" s="2085"/>
      <c r="E13" s="2089"/>
      <c r="F13" s="2095"/>
      <c r="G13" s="1993" t="s">
        <v>16</v>
      </c>
      <c r="H13" s="2086"/>
      <c r="I13" s="1102" t="s">
        <v>732</v>
      </c>
      <c r="J13" s="2086" t="s">
        <v>16</v>
      </c>
      <c r="K13" s="2086"/>
      <c r="L13" s="1065" t="s">
        <v>732</v>
      </c>
      <c r="M13" s="1106" t="s">
        <v>18</v>
      </c>
      <c r="N13" s="461" t="s">
        <v>19</v>
      </c>
      <c r="O13" s="2090"/>
      <c r="P13" s="2091"/>
      <c r="Q13" s="2091"/>
      <c r="R13" s="2102"/>
      <c r="S13" s="1996" t="s">
        <v>80</v>
      </c>
      <c r="T13" s="2086"/>
      <c r="U13" s="2086" t="s">
        <v>81</v>
      </c>
      <c r="V13" s="2086"/>
      <c r="W13" s="461" t="s">
        <v>27</v>
      </c>
      <c r="X13" s="1101" t="s">
        <v>112</v>
      </c>
      <c r="Y13" s="1065" t="s">
        <v>113</v>
      </c>
      <c r="Z13" s="1117" t="s">
        <v>57</v>
      </c>
      <c r="AA13" s="2305"/>
      <c r="AB13" s="2084"/>
      <c r="AC13" s="1978"/>
      <c r="AD13" s="1981"/>
      <c r="AE13" s="1982"/>
      <c r="AF13" s="1102" t="s">
        <v>33</v>
      </c>
      <c r="AG13" s="2086" t="s">
        <v>16</v>
      </c>
      <c r="AH13" s="2086"/>
      <c r="AI13" s="1981"/>
      <c r="AJ13" s="1982"/>
      <c r="AK13" s="1987"/>
      <c r="AL13" s="1118" t="s">
        <v>738</v>
      </c>
      <c r="AM13" s="1103" t="s">
        <v>735</v>
      </c>
      <c r="AN13" s="1103" t="s">
        <v>736</v>
      </c>
      <c r="AO13" s="1104" t="s">
        <v>60</v>
      </c>
      <c r="AP13" s="1105" t="s">
        <v>739</v>
      </c>
      <c r="AQ13" s="1119" t="s">
        <v>740</v>
      </c>
      <c r="AR13" s="1994" t="s">
        <v>58</v>
      </c>
      <c r="AS13" s="1993"/>
      <c r="AT13" s="1120" t="s">
        <v>63</v>
      </c>
      <c r="AU13" s="1121" t="s">
        <v>59</v>
      </c>
      <c r="AV13" s="1995" t="s">
        <v>58</v>
      </c>
      <c r="AW13" s="1996"/>
      <c r="AX13" s="1120" t="s">
        <v>63</v>
      </c>
      <c r="AY13" s="1121" t="s">
        <v>59</v>
      </c>
      <c r="AZ13" s="1995" t="s">
        <v>58</v>
      </c>
      <c r="BA13" s="1996"/>
      <c r="BB13" s="1120" t="s">
        <v>63</v>
      </c>
      <c r="BC13" s="1121" t="s">
        <v>59</v>
      </c>
      <c r="BD13" s="1995" t="s">
        <v>58</v>
      </c>
      <c r="BE13" s="1996"/>
      <c r="BF13" s="1120" t="s">
        <v>63</v>
      </c>
      <c r="BG13" s="1121" t="s">
        <v>59</v>
      </c>
      <c r="BH13" s="1416"/>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144"/>
      <c r="CC13" s="2073"/>
      <c r="CD13" s="2146"/>
      <c r="CE13" s="2070"/>
      <c r="CF13" s="2071"/>
      <c r="CG13" s="2237"/>
      <c r="CH13" s="2240"/>
      <c r="CI13" s="2241"/>
      <c r="CJ13" s="2240"/>
      <c r="CK13" s="2241"/>
      <c r="CL13" s="2255"/>
      <c r="CM13" s="2257"/>
      <c r="CN13" s="1546" t="s">
        <v>1283</v>
      </c>
      <c r="CO13" s="1547" t="s">
        <v>1278</v>
      </c>
      <c r="CP13" s="1548" t="s">
        <v>501</v>
      </c>
      <c r="CQ13" s="2243"/>
      <c r="CR13" s="2146"/>
      <c r="CS13" s="2246"/>
      <c r="CT13" s="2146"/>
      <c r="CU13" s="2246"/>
      <c r="CV13" s="2073"/>
      <c r="CW13" s="2253"/>
      <c r="CX13" s="1546" t="s">
        <v>1283</v>
      </c>
      <c r="CY13" s="1547" t="s">
        <v>1278</v>
      </c>
      <c r="CZ13" s="1548" t="s">
        <v>501</v>
      </c>
      <c r="DA13" s="2235"/>
      <c r="DB13" s="431" t="s">
        <v>418</v>
      </c>
      <c r="DC13" s="432" t="s">
        <v>553</v>
      </c>
      <c r="DD13" s="2250"/>
      <c r="DE13" s="2250"/>
      <c r="DF13" s="141"/>
      <c r="DG13" s="141"/>
      <c r="DH13" s="2022"/>
      <c r="DI13" s="2028"/>
      <c r="DJ13" s="2001"/>
      <c r="DK13" s="2002"/>
      <c r="DL13" s="2004"/>
      <c r="DM13" s="2007"/>
      <c r="DN13" s="2008"/>
      <c r="DO13" s="2019"/>
      <c r="DP13" s="2276"/>
      <c r="DQ13" s="2030"/>
      <c r="DR13" s="1938"/>
      <c r="DS13" s="2030"/>
      <c r="DT13" s="1602" t="s">
        <v>606</v>
      </c>
      <c r="DU13" s="1603" t="s">
        <v>607</v>
      </c>
      <c r="DV13" s="1580" t="s">
        <v>633</v>
      </c>
      <c r="DW13" s="1581" t="s">
        <v>608</v>
      </c>
      <c r="DX13" s="2024"/>
      <c r="DY13" s="2026"/>
      <c r="DZ13" s="1580" t="s">
        <v>633</v>
      </c>
      <c r="EA13" s="1581" t="s">
        <v>608</v>
      </c>
      <c r="EB13" s="2024"/>
      <c r="EC13" s="2026"/>
      <c r="ED13" s="1580" t="s">
        <v>633</v>
      </c>
      <c r="EE13" s="1581" t="s">
        <v>608</v>
      </c>
      <c r="EF13" s="2024"/>
      <c r="EG13" s="2026"/>
      <c r="EH13" s="1580" t="s">
        <v>633</v>
      </c>
      <c r="EI13" s="1581" t="s">
        <v>608</v>
      </c>
      <c r="EJ13" s="2024"/>
      <c r="EK13" s="2211"/>
      <c r="EL13" s="241"/>
      <c r="EM13" s="2258"/>
      <c r="EN13" s="522" t="s">
        <v>585</v>
      </c>
      <c r="EO13" s="433" t="s">
        <v>586</v>
      </c>
      <c r="EP13" s="434" t="s">
        <v>587</v>
      </c>
      <c r="EQ13" s="2258"/>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W13" s="2"/>
      <c r="FX13" s="2"/>
      <c r="FZ13" s="2"/>
      <c r="GA13" s="542" t="s">
        <v>709</v>
      </c>
      <c r="GB13" s="543" t="s">
        <v>710</v>
      </c>
      <c r="GC13" s="542" t="s">
        <v>606</v>
      </c>
      <c r="GD13" s="543" t="s">
        <v>607</v>
      </c>
      <c r="GE13" s="2137"/>
      <c r="GF13" s="2137"/>
      <c r="GG13" s="542" t="s">
        <v>709</v>
      </c>
      <c r="GH13" s="543" t="s">
        <v>710</v>
      </c>
      <c r="GI13" s="542" t="s">
        <v>709</v>
      </c>
      <c r="GJ13" s="543" t="s">
        <v>710</v>
      </c>
      <c r="GK13" s="2140"/>
      <c r="GL13" s="2140"/>
      <c r="GM13" s="2140"/>
      <c r="HA13" s="2289"/>
      <c r="HB13" s="2277"/>
      <c r="HC13" s="2277"/>
      <c r="HD13" s="2277"/>
      <c r="HE13" s="2277"/>
      <c r="HF13" s="2277"/>
      <c r="HG13" s="2277"/>
      <c r="HH13" s="2277"/>
      <c r="HI13" s="2277"/>
      <c r="HJ13" s="2277"/>
      <c r="HK13" s="2277"/>
      <c r="HL13" s="2277"/>
      <c r="HM13" s="2277"/>
      <c r="HN13" s="2277"/>
      <c r="HO13" s="2277"/>
      <c r="HP13" s="2277"/>
      <c r="HQ13" s="2277"/>
      <c r="HR13" s="2277"/>
      <c r="HS13" s="2277"/>
      <c r="HT13" s="2277"/>
      <c r="HU13" s="2277"/>
      <c r="HV13" s="2277"/>
      <c r="HW13" s="2277"/>
      <c r="HX13" s="2277"/>
      <c r="HY13" s="2277"/>
      <c r="HZ13" s="2277"/>
      <c r="IA13" s="2277"/>
      <c r="IB13" s="2309"/>
      <c r="IC13" s="2277"/>
      <c r="ID13" s="2311"/>
      <c r="IE13" s="2185"/>
      <c r="IF13" s="2115"/>
      <c r="IG13" s="2115"/>
      <c r="IH13" s="2115"/>
      <c r="II13" s="2115"/>
      <c r="IJ13" s="2115"/>
      <c r="IK13" s="2115"/>
      <c r="IL13" s="2115"/>
      <c r="IM13" s="2115"/>
      <c r="IN13" s="2115"/>
      <c r="IO13" s="2115"/>
      <c r="IP13" s="2115"/>
      <c r="IQ13" s="2115"/>
      <c r="IR13" s="2115"/>
      <c r="IS13" s="2115"/>
      <c r="IT13" s="2115"/>
      <c r="IU13" s="2115"/>
      <c r="IV13" s="2115"/>
      <c r="IW13" s="2115"/>
      <c r="IX13" s="2115"/>
      <c r="IY13" s="2115"/>
      <c r="IZ13" s="2115"/>
      <c r="JA13" s="2115"/>
      <c r="JB13" s="2115"/>
      <c r="JC13" s="2115"/>
      <c r="JD13" s="2115"/>
      <c r="JE13" s="2115"/>
      <c r="JF13" s="2115"/>
      <c r="JG13" s="2115"/>
      <c r="JH13" s="2115"/>
      <c r="JI13" s="2115"/>
      <c r="JJ13" s="2115"/>
      <c r="JK13" s="2271"/>
      <c r="JL13" s="2273"/>
      <c r="JM13" s="1193"/>
      <c r="JN13" s="1193"/>
      <c r="JO13" s="1193"/>
    </row>
    <row r="14" spans="1:276" ht="12.6" customHeight="1" thickTop="1" x14ac:dyDescent="0.25">
      <c r="A14" s="1733" t="str">
        <f t="shared" ref="A14:A45" si="0">IF(ISBLANK(CB14),"",CB14)</f>
        <v/>
      </c>
      <c r="B14" s="1766" t="str">
        <f t="shared" ref="B14:B45" si="1">IF(ISBLANK(CC14),"",CC14)</f>
        <v/>
      </c>
      <c r="C14" s="1767" t="str">
        <f t="shared" ref="C14:C45" si="2">IF(ISBLANK(CD14),"",CD14)</f>
        <v/>
      </c>
      <c r="D14" s="1735" t="str">
        <f t="shared" ref="D14:D45" si="3">IF(CV54="","",TRUNC(CV54/12))</f>
        <v/>
      </c>
      <c r="E14" s="1768" t="str">
        <f t="shared" ref="E14:E45" si="4">IF(CV54="","",CV54-(D14*12))</f>
        <v/>
      </c>
      <c r="F14" s="1769" t="str">
        <f t="shared" ref="F14:F45" si="5">IF(ISBLANK(DE14),"",DE14)</f>
        <v/>
      </c>
      <c r="G14" s="1743" t="str">
        <f t="shared" ref="G14:G45" si="6">IF(DD54=0,"",TRUNC(DD54/12))</f>
        <v/>
      </c>
      <c r="H14" s="1736" t="str">
        <f t="shared" ref="H14:H45" si="7">IF(DD54=0,"",DD54-(G14*12))</f>
        <v/>
      </c>
      <c r="I14" s="1734" t="str">
        <f t="shared" ref="I14:I45" si="8">IF(DD54=0,"",CE54)</f>
        <v/>
      </c>
      <c r="J14" s="1735" t="str">
        <f t="shared" ref="J14:J45" si="9">IF(DJ54=0,"",TRUNC(DJ54/12))</f>
        <v/>
      </c>
      <c r="K14" s="1736" t="str">
        <f t="shared" ref="K14:K45" si="10">IF(DJ54=0,"",DJ54-(J14*12))</f>
        <v/>
      </c>
      <c r="L14" s="1770" t="str">
        <f t="shared" ref="L14:L45" si="11">IF(DJ54=0,"",CN54)</f>
        <v/>
      </c>
      <c r="M14" s="1741" t="str">
        <f t="shared" ref="M14:N45" si="12">IF(CW54="","",CW54)</f>
        <v/>
      </c>
      <c r="N14" s="1771" t="str">
        <f t="shared" si="12"/>
        <v/>
      </c>
      <c r="O14" s="1743" t="str">
        <f t="shared" ref="O14:O45" si="13">IF(DZ54="","",IF(AND(DZ54&gt;-12,DZ54&lt;0),-0.000001,TRUNC(DZ54/12)))</f>
        <v/>
      </c>
      <c r="P14" s="1736" t="str">
        <f t="shared" ref="P14:P45" si="14">IF(DZ54="","",IF(AND(DZ54&lt;0,DZ54-(O14*12)=0),-0.00001,DZ54-(O14*12)))</f>
        <v/>
      </c>
      <c r="Q14" s="1735" t="str">
        <f t="shared" ref="Q14:Q45" si="15">IF(EA54="","",IF(AND(EA54&gt;-12,EA54&lt;0),-0.000001,TRUNC(EA54/12)))</f>
        <v/>
      </c>
      <c r="R14" s="1768" t="str">
        <f t="shared" ref="R14:R45" si="16">IF(EA54="","",IF(AND(EA54&lt;0,EA54-(Q14*12)=0),-0.00001,EA54-(Q14*12)))</f>
        <v/>
      </c>
      <c r="S14" s="1772" t="str">
        <f t="shared" ref="S14:S45" si="17">IF(DR54="","",IF(DR54="ERR",TRUNC(DQ54/12),TRUNC(DR54/12)))</f>
        <v/>
      </c>
      <c r="T14" s="1736" t="str">
        <f t="shared" ref="T14:T45" si="18">IF(DR54="","",IF(DR54="ERR",DQ54-(S14*12),DR54-(S14*12)))</f>
        <v/>
      </c>
      <c r="U14" s="1735" t="str">
        <f t="shared" ref="U14:U45" si="19">IF(DY54="","",IF(DY54="ERR",TRUNC(DX54/12),TRUNC(DY54/12)))</f>
        <v/>
      </c>
      <c r="V14" s="1736" t="str">
        <f t="shared" ref="V14:V45" si="20">IF(DY54="","",IF(DY54="ERR",DX54-(U14*12),DY54-(U14*12)))</f>
        <v/>
      </c>
      <c r="W14" s="1771">
        <f t="shared" ref="W14:W45" si="21">IF(EC54="",0,EC54)</f>
        <v>0</v>
      </c>
      <c r="X14" s="1773" t="str">
        <f t="shared" ref="X14:X45" si="22">IF(EN54="","",EN54)</f>
        <v/>
      </c>
      <c r="Y14" s="1774" t="str">
        <f t="shared" ref="Y14:Y45" si="23">IF(ES54="","",ES54)</f>
        <v/>
      </c>
      <c r="Z14" s="1717" t="str">
        <f t="shared" ref="Z14:Z45" si="24">CONCATENATE(IF(DC14="","",CONCATENATE("[",SUBSTITUTE(DC14," ",""),"] ")),IF(DB14="","",CONCATENATE("(",SUBSTITUTE(DB14," ",""),")")))</f>
        <v/>
      </c>
      <c r="AA14" s="1775" t="str">
        <f t="shared" ref="AA14:AA45" si="25">IF(ISBLANK(DD14),"",DD14)</f>
        <v/>
      </c>
      <c r="AB14" s="1733" t="str">
        <f t="shared" ref="AB14:AB45" si="26">IF(ISBLANK(DH14),"",DH14)</f>
        <v/>
      </c>
      <c r="AC14" s="1734" t="str">
        <f t="shared" ref="AC14:AC45" si="27">IF(ISBLANK(DI14),"",UPPER(DI14))</f>
        <v/>
      </c>
      <c r="AD14" s="1735" t="str">
        <f t="shared" ref="AD14:AD45" si="28">IF(ISERROR(FV54),"",IF(FV54="","",TRUNC(FV54/12)))</f>
        <v/>
      </c>
      <c r="AE14" s="1736" t="str">
        <f t="shared" ref="AE14:AE45" si="29">IF(ISERROR(FV54),"",IF(FV54="","",FV54-(AD14*12)))</f>
        <v/>
      </c>
      <c r="AF14" s="1734" t="str">
        <f t="shared" ref="AF14:AF45" si="30">IF(ISERROR(FO54),"",IF(FO54="","",FO54))</f>
        <v/>
      </c>
      <c r="AG14" s="1735" t="str">
        <f t="shared" ref="AG14:AG45" si="31">IF(ISERROR(FX54),"",IF(FX54="","",TRUNC(FX54/12)))</f>
        <v/>
      </c>
      <c r="AH14" s="1736" t="str">
        <f t="shared" ref="AH14:AH45" si="32">IF(ISERROR(FX54),"",IF(FX54="","",FX54-(AG14*12)))</f>
        <v/>
      </c>
      <c r="AI14" s="1735" t="str">
        <f t="shared" ref="AI14:AI45" si="33">IF(ISERROR(FZ54),"",IF(FZ54="","",TRUNC(FZ54/12)))</f>
        <v/>
      </c>
      <c r="AJ14" s="1736" t="str">
        <f t="shared" ref="AJ14:AJ45" si="34">IF(ISERROR(FZ54),"",IF(FZ54="","",FZ54-(AI14*12)))</f>
        <v/>
      </c>
      <c r="AK14" s="1737" t="str">
        <f t="shared" ref="AK14:AO45" si="35">IF(ISBLANK(DO14),"",DO14)</f>
        <v/>
      </c>
      <c r="AL14" s="1738" t="str">
        <f t="shared" ref="AL14:AL45" si="36">IF(ISBLANK(DP14),"",UPPER(DP14))</f>
        <v/>
      </c>
      <c r="AM14" s="1739" t="str">
        <f t="shared" si="35"/>
        <v/>
      </c>
      <c r="AN14" s="1734" t="str">
        <f t="shared" si="35"/>
        <v/>
      </c>
      <c r="AO14" s="1771" t="str">
        <f t="shared" si="35"/>
        <v/>
      </c>
      <c r="AP14" s="1741" t="str">
        <f t="shared" ref="AP14:AP45" si="37">IF(ISERROR(GD54),"ERR",IF(OR(GD54="",GD54=0),"",GD54))</f>
        <v/>
      </c>
      <c r="AQ14" s="1742" t="str">
        <f t="shared" ref="AQ14:AQ45" si="38">IF(ISERROR(GE54),"ERR",IF(OR(GE54="",GE54=0),"",GE54))</f>
        <v/>
      </c>
      <c r="AR14" s="1743" t="str">
        <f t="shared" ref="AR14:AR45" si="39">IF(ISERROR(GF54),"ERR",IF(GF54="","",IF(ISTEXT(GF54),"P",TRUNC(GF54/12))))</f>
        <v/>
      </c>
      <c r="AS14" s="1736" t="str">
        <f t="shared" ref="AS14:AS45" si="40">IF(ISERROR(GF54),"",IF(GF54="","",IF(AR14="P",GF54,GF54-(AR14*12))))</f>
        <v/>
      </c>
      <c r="AT14" s="1744" t="str">
        <f t="shared" ref="AT14:AT45" si="41">IF(ISBLANK(DX14),"",DX14)</f>
        <v/>
      </c>
      <c r="AU14" s="1746" t="str">
        <f t="shared" ref="AU14:AU45" si="42">IF(ISBLANK(DY14),"",UPPER(DY14))</f>
        <v/>
      </c>
      <c r="AV14" s="1772" t="str">
        <f t="shared" ref="AV14:AV45" si="43">IF(ISERROR(GG54),"ERR",IF(GG54="","",IF(ISTEXT(GG54),"P",TRUNC(GG54/12))))</f>
        <v/>
      </c>
      <c r="AW14" s="1736" t="str">
        <f t="shared" ref="AW14:AW45" si="44">IF(ISERROR(GG54),"",IF(GG54="","",IF(AV14="P",GG54,GG54-(AV14*12))))</f>
        <v/>
      </c>
      <c r="AX14" s="1744" t="str">
        <f t="shared" ref="AX14:AX45" si="45">IF(ISBLANK(EB14),"",EB14)</f>
        <v/>
      </c>
      <c r="AY14" s="1746" t="str">
        <f t="shared" ref="AY14:AY45" si="46">IF(ISBLANK(EC14),"",UPPER(EC14))</f>
        <v/>
      </c>
      <c r="AZ14" s="1772" t="str">
        <f t="shared" ref="AZ14:AZ45" si="47">IF(ISERROR(GH54),"ERR",IF(GH54="","",IF(ISTEXT(GH54),"P",TRUNC(GH54/12))))</f>
        <v/>
      </c>
      <c r="BA14" s="1736" t="str">
        <f t="shared" ref="BA14:BA45" si="48">IF(ISERROR(GH54),"",IF(GH54="","",IF(AZ14="P",GH54,GH54-(AZ14*12))))</f>
        <v/>
      </c>
      <c r="BB14" s="1744" t="str">
        <f t="shared" ref="BB14:BB45" si="49">IF(ISBLANK(EF14),"",EF14)</f>
        <v/>
      </c>
      <c r="BC14" s="1746" t="str">
        <f t="shared" ref="BC14:BC45" si="50">IF(ISBLANK(EG14),"",UPPER(EG14))</f>
        <v/>
      </c>
      <c r="BD14" s="1772" t="str">
        <f t="shared" ref="BD14:BD45" si="51">IF(ISERROR(GI54),"ERR",IF(GI54="","",IF(ISTEXT(GI54),"P",TRUNC(GI54/12))))</f>
        <v/>
      </c>
      <c r="BE14" s="1736" t="str">
        <f t="shared" ref="BE14:BE45" si="52">IF(ISERROR(GI54),"",IF(GI54="","",IF(BD14="P",GI54,GI54-(BD14*12))))</f>
        <v/>
      </c>
      <c r="BF14" s="1744" t="str">
        <f t="shared" ref="BF14:BF45" si="53">IF(ISBLANK(EJ14),"",EJ14)</f>
        <v/>
      </c>
      <c r="BG14" s="1746" t="str">
        <f t="shared" ref="BG14:BG45" si="54">IF(ISBLANK(EK14),"",UPPER(EK14))</f>
        <v/>
      </c>
      <c r="BH14" s="1416"/>
      <c r="BJ14" s="995" t="str">
        <f>IF(OR(ISBLANK(A14),A14=""),"",A14)</f>
        <v/>
      </c>
      <c r="BK14" s="993" t="b">
        <f t="shared" ref="BK14:BK45" si="55">IF($BK$1,IF(BJ14=BJ13,BK13,IF(AND(BJ14&lt;&gt;"",OR(B14=0,B14="")),TRUE,FALSE)),FALSE)</f>
        <v>0</v>
      </c>
      <c r="BL14" s="989" t="b">
        <v>0</v>
      </c>
      <c r="BM14" s="989">
        <f t="shared" ref="BM14:BM45" si="56">IF(C14="",0,VALUE(IF(BN14="","",LEFT(C14,SEARCH(BN14,C14)-1))))</f>
        <v>0</v>
      </c>
      <c r="BN14" s="989">
        <f t="shared" ref="BN14:BN45" si="57">IF(C14="",0,IF(NOT(ISERROR(SEARCH("VG",C14))),"VG",IF(NOT(ISERROR(SEARCH("BG",C14))),"BG",IF(NOT(ISERROR(SEARCH("G",C14))),"G"))))</f>
        <v>0</v>
      </c>
      <c r="BO14" s="989">
        <f t="shared" ref="BO14:BO45" si="58">IF(C14="",0,VALUE(MID(C14,SEARCH(BN14,C14)+LEN(BN14),SEARCH("N",C14)-SEARCH(BN14,C14)-LEN(BN14))))</f>
        <v>0</v>
      </c>
      <c r="BP14" s="989">
        <f t="shared" ref="BP14:BP45" si="59">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0</v>
      </c>
      <c r="BQ14" s="989">
        <f t="shared" ref="BQ14:BQ45" si="60">IF(ISERROR(SEARCH("F",C14)),IF(C14="",0,IF(SEARCH("K",C14)=LEN(C14),0,VALUE(MID(C14,SEARCH("K",C14)+1,LEN(C14))))),IF(C14="",0,IF(SEARCH("F",C14)=LEN(C14),0,VALUE(MID(C14,SEARCH("F",C14)+1,LEN(C14))))))</f>
        <v>0</v>
      </c>
      <c r="BR14" s="989" t="b">
        <f t="shared" ref="BR14:BR45" si="61">IF(OR(ISERROR(BM14),ISERROR(BN14),ISERROR(BO14),ISERROR(BP14),ISERROR(BQ14)),FALSE,TRUE)</f>
        <v>1</v>
      </c>
      <c r="BS14" s="1302">
        <f t="shared" ref="BS14:BS45" si="62">6+IF(LEFT(I14,1)="R",IF(ISNUMBER(G14),G14*12,0)+IF(ISNUMBER(H14),H14,0),0)</f>
        <v>6</v>
      </c>
      <c r="BT14" s="990" t="str">
        <f t="shared" ref="BT14:BT45" si="63">IF(IF(ISNUMBER(S14),S14*12,0)+IF(ISNUMBER(T14),T14,0)&gt;0,IF(AND(IF(ISNUMBER(S14),S14*12,0)+IF(ISNUMBER(T14),T14,0)&gt;=$FE$4/2+$EX$6,IF(ISNUMBER(S14),S14*12,0)+IF(ISNUMBER(T14),T14,0)&lt;=(BS14-($FE$4/2+$EX$6))+IF(I14="X",2,0)),"Yes","No"),"No")</f>
        <v>No</v>
      </c>
      <c r="BU14" s="1302">
        <f t="shared" ref="BU14:BU45" si="64">6+IF(LEFT(L14,1)="R",IF(ISNUMBER(J14),J14*12,0)+IF(ISNUMBER(K14),K14,0),0)</f>
        <v>6</v>
      </c>
      <c r="BV14" s="990" t="str">
        <f t="shared" ref="BV14:BV45" si="65">IF(IF(ISNUMBER(U14),U14*12,0)+IF(ISNUMBER(V14),V14,0)&gt;0,IF(AND(IF(ISNUMBER(U14),U14*12,0)+IF(ISNUMBER(V14),V14,0)&gt;=$FE$4/2+$EX$6,IF(ISNUMBER(U14),U14*12,0)+IF(ISNUMBER(V14),V14,0)&lt;=(BU14-($FE$4/2+$EX$6))+IF(L14="X",2,0)),"Yes","No"),"No")</f>
        <v>No</v>
      </c>
      <c r="BW14" s="991">
        <f t="shared" ref="BW14:BW45" si="66">IF(AB14="",0,1)+IF(AC14="",0,1)+IF(AD14="",0,1)+IF(AE14="",0,1)+IF(AF14="",0,1)+IF(AG14="",0,1)+IF(AH14="",0,1)+IF(AI14="",0,1)+IF(AJ14="",0,1)+IF(AK14="",0,1)+IF(AL14="",0,1)+IF(AM14="",0,1)+IF(AN14="",0,1)+IF(AO14="",0,1)+IF(AP14="",0,1)+IF(AQ14="",0,1)+IF(AR14="",0,1)+IF(AS14="",0,1)+IF(AT14="",0,1)+IF(AU14="",0,1)+IF(AV14="",0,1)+IF(AW14="",0,1)+IF(AX14="",0,1)+IF(AY14="",0,1)+IF(AZ14="",0,1)+IF(BA14="",0,1)+IF(BB14="",0,1)+IF(BC14="",0,1)+IF(BD14="",0,1)+IF(BE14="",0,1)+IF(BF14="",0,1)+IF(BG14="",0,1)</f>
        <v>0</v>
      </c>
      <c r="BX14" s="991" t="str">
        <f t="shared" ref="BX14:BX45" si="67">IF(AND(AB14="",BW14&gt;0),BX13,IF(ISBLANK(AB14),"",AB14))</f>
        <v/>
      </c>
      <c r="BY14" s="991" t="b">
        <f t="shared" ref="BY14:BY45" si="68">IF(ISERROR(VLOOKUP(BX14,$BJ$14:$BL$45,3,FALSE)),FALSE,VLOOKUP(BX14,$BJ$14:$BL$45,3,FALSE))</f>
        <v>0</v>
      </c>
      <c r="BZ14" s="991" t="b">
        <f>IF($BK$1,IF(BX14="",FALSE,IF(ISERROR(VLOOKUP(BX14,$A$14:$B$45,2,FALSE)),FALSE,IF(VLOOKUP(BX14,$A$14:$B$45,2,FALSE)=0,TRUE,FALSE))))</f>
        <v>0</v>
      </c>
      <c r="CB14" s="672"/>
      <c r="CC14" s="1683"/>
      <c r="CD14" s="696"/>
      <c r="CE14" s="697"/>
      <c r="CF14" s="698"/>
      <c r="CG14" s="664"/>
      <c r="CH14" s="709"/>
      <c r="CI14" s="710"/>
      <c r="CJ14" s="709"/>
      <c r="CK14" s="710"/>
      <c r="CL14" s="711"/>
      <c r="CM14" s="742"/>
      <c r="CN14" s="1613"/>
      <c r="CO14" s="1614"/>
      <c r="CP14" s="1615"/>
      <c r="CQ14" s="664"/>
      <c r="CR14" s="709"/>
      <c r="CS14" s="710"/>
      <c r="CT14" s="709"/>
      <c r="CU14" s="710"/>
      <c r="CV14" s="711"/>
      <c r="CW14" s="742"/>
      <c r="CX14" s="1613"/>
      <c r="CY14" s="1614"/>
      <c r="CZ14" s="1615"/>
      <c r="DA14" s="712"/>
      <c r="DB14" s="702"/>
      <c r="DC14" s="703"/>
      <c r="DD14" s="723"/>
      <c r="DE14" s="724"/>
      <c r="DF14" s="141"/>
      <c r="DG14" s="141"/>
      <c r="DH14" s="672"/>
      <c r="DI14" s="665"/>
      <c r="DJ14" s="690"/>
      <c r="DK14" s="1330"/>
      <c r="DL14" s="666"/>
      <c r="DM14" s="691"/>
      <c r="DN14" s="1333"/>
      <c r="DO14" s="667"/>
      <c r="DP14" s="668"/>
      <c r="DQ14" s="1418"/>
      <c r="DR14" s="669"/>
      <c r="DS14" s="1418"/>
      <c r="DT14" s="1421"/>
      <c r="DU14" s="1422"/>
      <c r="DV14" s="678"/>
      <c r="DW14" s="1336"/>
      <c r="DX14" s="679"/>
      <c r="DY14" s="674"/>
      <c r="DZ14" s="678"/>
      <c r="EA14" s="1336"/>
      <c r="EB14" s="679"/>
      <c r="EC14" s="674"/>
      <c r="ED14" s="678"/>
      <c r="EE14" s="1336"/>
      <c r="EF14" s="679"/>
      <c r="EG14" s="674"/>
      <c r="EH14" s="678"/>
      <c r="EI14" s="1336"/>
      <c r="EJ14" s="679"/>
      <c r="EK14" s="680"/>
      <c r="EL14" s="241"/>
      <c r="EM14" s="1629" t="str">
        <f t="shared" ref="EM14:EM45" si="69">IF(ISBLANK(CB14),"",CB14)</f>
        <v/>
      </c>
      <c r="EN14" s="1425" t="str">
        <f t="shared" ref="EN14:EN45" si="70">IF(DQ54=DR54,"",CONCATENATE(IF(CL14&lt;0,"NS ","FS "),IF(DR54="ERR","Slot Only",CONCATENATE("Slot @ ",DQ54))))</f>
        <v/>
      </c>
      <c r="EO14" s="1426" t="str">
        <f t="shared" ref="EO14:EO45" si="71">IF(DX54=DY54,"",CONCATENATE(IF(CV14&lt;0,"FS ","NS "),IF(DY54="ERR","Slot Only",CONCATENATE("Slot @ ",DX54))))</f>
        <v/>
      </c>
      <c r="EP14" s="1427" t="str">
        <f t="shared" ref="EP14:EP45" si="72">IF(EC54="","",IF(CI54&lt;&gt;EC54,CONCATENATE("LE slots @ ",CI54," Ga."),IF(CR54&lt;&gt;EC54,CONCATENATE("RE slots @ ",CR54," Ga."),"")))</f>
        <v/>
      </c>
      <c r="EQ14" s="1433" t="str">
        <f t="shared" ref="EQ14:EQ45" si="73">IF(AND(ET14&lt;&gt;"",CL14&lt;&gt;"",EU14&lt;&gt;"",CV14&lt;&gt;""),"BE",IF(AND(ET14&lt;&gt;"",CL14&lt;&gt;""),"LE",IF(AND(EU14&lt;&gt;"",CV14&lt;&gt;""),"RE","")))</f>
        <v/>
      </c>
      <c r="ER14" s="1436" t="str">
        <f t="shared" ref="ER14:ER45" si="74">IF(ISBLANK(CO14),"",IF(CEILING(DB54,0.125)&lt;=DC54+$FA$4,"",CEILING(DB54,0.125)))</f>
        <v/>
      </c>
      <c r="ES14" s="1437" t="str">
        <f t="shared" ref="ES14:ES45" si="75">IF(ISBLANK(CY14),"",IF(CEILING(DH54,0.125)&lt;=DI54+$FA$4,"",CEILING(DH54,0.125)))</f>
        <v/>
      </c>
      <c r="ET14" s="1438" t="str">
        <f t="shared" ref="ET14:ET45" si="76">IF(CG14="","",IF($FB$4&gt;EV54,EV54,""))</f>
        <v/>
      </c>
      <c r="EU14" s="1439"/>
      <c r="EX14" s="503" t="str">
        <f>CONCATENATE(BX14,AC14)</f>
        <v/>
      </c>
      <c r="EY14" s="940" t="str">
        <f t="shared" ref="EY14:EY45" si="77">IF(OR(ISBLANK(AB14),AB14=""),"",VLOOKUP(LEFT(EX14,LEN(EX14)-1),$BJ$14:$BO$45,6,FALSE)=SUMIF($EX$14:$EX$45,EX14,$AF$14:$AF$45)+2)</f>
        <v/>
      </c>
      <c r="EZ14" s="940" t="str">
        <f>IF(AB14="","",IF(VLOOKUP(BX14,$A$14:$F$45,6,FALSE)="",0,HLOOKUP(VLOOKUP(BX14,$A$14:$F$45,6,FALSE),$FG$4:$FI$5,2,TRUE)))</f>
        <v/>
      </c>
      <c r="FA14" s="958" t="str">
        <f ca="1">IF(FB15="","",FB14=FF14)</f>
        <v/>
      </c>
      <c r="FB14" s="134" t="str">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
      </c>
      <c r="FC14" s="134">
        <f t="shared" ref="FC14:FC45" si="78">IF(ISNUMBER(AD14),AD14,0)*12+IF(ISNUMBER(AE14),AE14,0)</f>
        <v>0</v>
      </c>
      <c r="FD14" s="134">
        <f t="shared" ref="FD14:FD45" si="79">IF(ISNUMBER(AF14),AF14,0)*(IF(ISNUMBER(AG14),AG14,0)*12+IF(ISNUMBER(AH14),AH14,0))</f>
        <v>0</v>
      </c>
      <c r="FE14" s="134">
        <f t="shared" ref="FE14:FE45" si="80">IF(ISNUMBER(AI14),AI14,0)*12+IF(ISNUMBER(AJ14),AJ14,0)</f>
        <v>0</v>
      </c>
      <c r="FF14" s="134">
        <f ca="1">SUM(FC14:FE14)+IF(FE14=0,FF15,0)</f>
        <v>0</v>
      </c>
      <c r="FN14" s="754" t="b">
        <v>0</v>
      </c>
      <c r="FO14" s="754" t="b">
        <f t="shared" ref="FO14:FO45" si="81">NOT(ISERROR(VLOOKUP(A14,$AB$14:$AB$45,1,FALSE)))</f>
        <v>1</v>
      </c>
      <c r="FP14" s="754" t="b">
        <v>0</v>
      </c>
      <c r="FQ14" s="754" t="b">
        <f>NOT(ISERROR(VLOOKUP(AB14,$A$14:$A$45,1,FALSE)))</f>
        <v>1</v>
      </c>
      <c r="FW14" s="2"/>
      <c r="FX14" s="2"/>
      <c r="FZ14" s="2"/>
      <c r="GA14" s="1761" t="str">
        <f t="shared" ref="GA14:GA45" si="82">IF(GF14="","",CE14)</f>
        <v/>
      </c>
      <c r="GB14" s="1762" t="str">
        <f t="shared" ref="GB14:GB45" si="83">IF(GF14="","",CF14)</f>
        <v/>
      </c>
      <c r="GC14" s="1763" t="str">
        <f t="shared" ref="GC14:GC45" si="84">IF(GF14="","",IF(CD54="",0,CD54))</f>
        <v/>
      </c>
      <c r="GD14" s="1764" t="str">
        <f t="shared" ref="GD14:GD45" si="85">IF(GF14="","",IF(CM54="",0,CM54))</f>
        <v/>
      </c>
      <c r="GE14" s="1765" t="str">
        <f t="shared" ref="GE14:GE45" si="86">IF(GF14="","",IF(ISBLANK(DA14),IF(X14=Y14,0,MAX(ABS(X14),ABS(Y14))*IF(X14&lt;0,-1,1)),DA14))</f>
        <v/>
      </c>
      <c r="GF14" s="582" t="str">
        <f t="shared" ref="GF14:GF45" si="87">IF(A14=0,"",A14)</f>
        <v/>
      </c>
      <c r="GG14" s="692"/>
      <c r="GH14" s="1134"/>
      <c r="GI14" s="692"/>
      <c r="GJ14" s="1134"/>
      <c r="GK14" s="1640">
        <f t="shared" ref="GK14:GK45" si="88">IF(D14="",0,D14*12+E14)</f>
        <v>0</v>
      </c>
      <c r="GL14" s="1640" t="e">
        <f t="shared" ref="GL14:GL45" si="89">(GA14*12+GB14+GC14+GD14)/COS(ATAN(ABS(GE14/12)))</f>
        <v>#VALUE!</v>
      </c>
      <c r="GM14" s="1641" t="e">
        <f>IF(ABS(GK14-GL14)&gt;='Job Info.'!$L$22,ABS(GK14-GL14),0)</f>
        <v>#VALUE!</v>
      </c>
      <c r="HA14" s="1241"/>
      <c r="HB14" s="1242"/>
      <c r="HC14" s="1242"/>
      <c r="HD14" s="1243"/>
      <c r="HE14" s="1244"/>
      <c r="HF14" s="1242"/>
      <c r="HG14" s="1242"/>
      <c r="HH14" s="1242"/>
      <c r="HI14" s="1242"/>
      <c r="HJ14" s="1242"/>
      <c r="HK14" s="1242"/>
      <c r="HL14" s="1242"/>
      <c r="HM14" s="1242"/>
      <c r="HN14" s="1242"/>
      <c r="HO14" s="1242"/>
      <c r="HP14" s="1242"/>
      <c r="HQ14" s="1242"/>
      <c r="HR14" s="1242"/>
      <c r="HS14" s="1242"/>
      <c r="HT14" s="1242"/>
      <c r="HU14" s="1242"/>
      <c r="HV14" s="1242"/>
      <c r="HW14" s="1242"/>
      <c r="HX14" s="1242"/>
      <c r="HY14" s="1246"/>
      <c r="HZ14" s="1246"/>
      <c r="IA14" s="1246"/>
      <c r="IB14" s="1246"/>
      <c r="IC14" s="1246"/>
      <c r="ID14" s="1261"/>
      <c r="IE14" s="1256"/>
      <c r="IF14" s="1257"/>
      <c r="IG14" s="1258"/>
      <c r="IH14" s="1259"/>
      <c r="II14" s="1257"/>
      <c r="IJ14" s="1258"/>
      <c r="IK14" s="1259"/>
      <c r="IL14" s="1257"/>
      <c r="IM14" s="1257"/>
      <c r="IN14" s="1257"/>
      <c r="IO14" s="1257"/>
      <c r="IP14" s="1257"/>
      <c r="IQ14" s="1257"/>
      <c r="IR14" s="1257"/>
      <c r="IS14" s="1258"/>
      <c r="IT14" s="1259"/>
      <c r="IU14" s="1257"/>
      <c r="IV14" s="1257"/>
      <c r="IW14" s="1258"/>
      <c r="IX14" s="1259"/>
      <c r="IY14" s="1257"/>
      <c r="IZ14" s="1257"/>
      <c r="JA14" s="1258"/>
      <c r="JB14" s="1259"/>
      <c r="JC14" s="1257"/>
      <c r="JD14" s="1257"/>
      <c r="JE14" s="1258"/>
      <c r="JF14" s="1259"/>
      <c r="JG14" s="1257"/>
      <c r="JH14" s="1257"/>
      <c r="JI14" s="1257"/>
      <c r="JJ14" s="1260"/>
      <c r="JK14" s="1257"/>
      <c r="JL14" s="1170">
        <f>IF(JK14="",0,1)</f>
        <v>0</v>
      </c>
      <c r="JM14" s="1193"/>
      <c r="JN14" s="1193"/>
      <c r="JO14" s="1193"/>
    </row>
    <row r="15" spans="1:276" ht="12.6" customHeight="1" x14ac:dyDescent="0.25">
      <c r="A15" s="1448" t="str">
        <f t="shared" si="0"/>
        <v/>
      </c>
      <c r="B15" s="1681" t="str">
        <f t="shared" si="1"/>
        <v/>
      </c>
      <c r="C15" s="1449" t="str">
        <f t="shared" si="2"/>
        <v/>
      </c>
      <c r="D15" s="1705" t="str">
        <f t="shared" si="3"/>
        <v/>
      </c>
      <c r="E15" s="1706" t="str">
        <f t="shared" si="4"/>
        <v/>
      </c>
      <c r="F15" s="1707" t="str">
        <f t="shared" si="5"/>
        <v/>
      </c>
      <c r="G15" s="1708" t="str">
        <f t="shared" si="6"/>
        <v/>
      </c>
      <c r="H15" s="1709" t="str">
        <f t="shared" si="7"/>
        <v/>
      </c>
      <c r="I15" s="1710" t="str">
        <f t="shared" si="8"/>
        <v/>
      </c>
      <c r="J15" s="1705" t="str">
        <f t="shared" si="9"/>
        <v/>
      </c>
      <c r="K15" s="1709" t="str">
        <f t="shared" si="10"/>
        <v/>
      </c>
      <c r="L15" s="1711" t="str">
        <f t="shared" si="11"/>
        <v/>
      </c>
      <c r="M15" s="1712" t="str">
        <f t="shared" si="12"/>
        <v/>
      </c>
      <c r="N15" s="1713" t="str">
        <f t="shared" si="12"/>
        <v/>
      </c>
      <c r="O15" s="1708" t="str">
        <f t="shared" si="13"/>
        <v/>
      </c>
      <c r="P15" s="1709" t="str">
        <f t="shared" si="14"/>
        <v/>
      </c>
      <c r="Q15" s="1705" t="str">
        <f t="shared" si="15"/>
        <v/>
      </c>
      <c r="R15" s="1706" t="str">
        <f t="shared" si="16"/>
        <v/>
      </c>
      <c r="S15" s="1714" t="str">
        <f t="shared" si="17"/>
        <v/>
      </c>
      <c r="T15" s="1709" t="str">
        <f t="shared" si="18"/>
        <v/>
      </c>
      <c r="U15" s="1705" t="str">
        <f t="shared" si="19"/>
        <v/>
      </c>
      <c r="V15" s="1709" t="str">
        <f t="shared" si="20"/>
        <v/>
      </c>
      <c r="W15" s="1713">
        <f t="shared" si="21"/>
        <v>0</v>
      </c>
      <c r="X15" s="1715" t="str">
        <f t="shared" si="22"/>
        <v/>
      </c>
      <c r="Y15" s="1716" t="str">
        <f t="shared" si="23"/>
        <v/>
      </c>
      <c r="Z15" s="1717" t="str">
        <f t="shared" si="24"/>
        <v/>
      </c>
      <c r="AA15" s="1776" t="str">
        <f t="shared" si="25"/>
        <v/>
      </c>
      <c r="AB15" s="1448" t="str">
        <f t="shared" si="26"/>
        <v/>
      </c>
      <c r="AC15" s="1710" t="str">
        <f t="shared" si="27"/>
        <v/>
      </c>
      <c r="AD15" s="1705" t="str">
        <f t="shared" ca="1" si="28"/>
        <v/>
      </c>
      <c r="AE15" s="1709" t="str">
        <f t="shared" ca="1" si="29"/>
        <v/>
      </c>
      <c r="AF15" s="1710" t="str">
        <f t="shared" ca="1" si="30"/>
        <v/>
      </c>
      <c r="AG15" s="1705" t="str">
        <f t="shared" ca="1" si="31"/>
        <v/>
      </c>
      <c r="AH15" s="1709" t="str">
        <f t="shared" ca="1" si="32"/>
        <v/>
      </c>
      <c r="AI15" s="1705" t="str">
        <f t="shared" ca="1" si="33"/>
        <v/>
      </c>
      <c r="AJ15" s="1709" t="str">
        <f t="shared" ca="1" si="34"/>
        <v/>
      </c>
      <c r="AK15" s="1747" t="str">
        <f t="shared" si="35"/>
        <v/>
      </c>
      <c r="AL15" s="1748" t="str">
        <f t="shared" si="36"/>
        <v/>
      </c>
      <c r="AM15" s="1749" t="str">
        <f t="shared" si="35"/>
        <v/>
      </c>
      <c r="AN15" s="1710" t="str">
        <f t="shared" si="35"/>
        <v/>
      </c>
      <c r="AO15" s="1713" t="str">
        <f t="shared" si="35"/>
        <v/>
      </c>
      <c r="AP15" s="1712" t="str">
        <f t="shared" si="37"/>
        <v/>
      </c>
      <c r="AQ15" s="1751" t="str">
        <f t="shared" si="38"/>
        <v/>
      </c>
      <c r="AR15" s="1708" t="str">
        <f t="shared" si="39"/>
        <v/>
      </c>
      <c r="AS15" s="1709" t="str">
        <f t="shared" si="40"/>
        <v/>
      </c>
      <c r="AT15" s="1752" t="str">
        <f t="shared" si="41"/>
        <v/>
      </c>
      <c r="AU15" s="1753" t="str">
        <f t="shared" si="42"/>
        <v/>
      </c>
      <c r="AV15" s="1714" t="str">
        <f t="shared" si="43"/>
        <v/>
      </c>
      <c r="AW15" s="1709" t="str">
        <f t="shared" si="44"/>
        <v/>
      </c>
      <c r="AX15" s="1752" t="str">
        <f t="shared" si="45"/>
        <v/>
      </c>
      <c r="AY15" s="1753" t="str">
        <f t="shared" si="46"/>
        <v/>
      </c>
      <c r="AZ15" s="1714" t="str">
        <f t="shared" si="47"/>
        <v/>
      </c>
      <c r="BA15" s="1709" t="str">
        <f t="shared" si="48"/>
        <v/>
      </c>
      <c r="BB15" s="1752" t="str">
        <f t="shared" si="49"/>
        <v/>
      </c>
      <c r="BC15" s="1753" t="str">
        <f t="shared" si="50"/>
        <v/>
      </c>
      <c r="BD15" s="1714" t="str">
        <f t="shared" si="51"/>
        <v/>
      </c>
      <c r="BE15" s="1709" t="str">
        <f t="shared" si="52"/>
        <v/>
      </c>
      <c r="BF15" s="1752" t="str">
        <f t="shared" si="53"/>
        <v/>
      </c>
      <c r="BG15" s="1753" t="str">
        <f t="shared" si="54"/>
        <v/>
      </c>
      <c r="BH15" s="1416"/>
      <c r="BJ15" s="995" t="str">
        <f>IF(AND(OR(ISBLANK(A15),A15=""),Z15&lt;&gt;""),BJ14,IF(OR(ISBLANK(A15),A15=""),"",A15))</f>
        <v/>
      </c>
      <c r="BK15" s="993" t="b">
        <f t="shared" si="55"/>
        <v>0</v>
      </c>
      <c r="BL15" s="989" t="b">
        <v>0</v>
      </c>
      <c r="BM15" s="989">
        <f t="shared" si="56"/>
        <v>0</v>
      </c>
      <c r="BN15" s="989">
        <f t="shared" si="57"/>
        <v>0</v>
      </c>
      <c r="BO15" s="989">
        <f t="shared" si="58"/>
        <v>0</v>
      </c>
      <c r="BP15" s="989">
        <f t="shared" si="59"/>
        <v>0</v>
      </c>
      <c r="BQ15" s="989">
        <f t="shared" si="60"/>
        <v>0</v>
      </c>
      <c r="BR15" s="989" t="b">
        <f t="shared" si="61"/>
        <v>1</v>
      </c>
      <c r="BS15" s="1302">
        <f t="shared" si="62"/>
        <v>6</v>
      </c>
      <c r="BT15" s="990" t="str">
        <f t="shared" si="63"/>
        <v>No</v>
      </c>
      <c r="BU15" s="1302">
        <f t="shared" si="64"/>
        <v>6</v>
      </c>
      <c r="BV15" s="990" t="str">
        <f t="shared" si="65"/>
        <v>No</v>
      </c>
      <c r="BW15" s="991">
        <f t="shared" ca="1" si="66"/>
        <v>0</v>
      </c>
      <c r="BX15" s="991" t="str">
        <f t="shared" ca="1" si="67"/>
        <v/>
      </c>
      <c r="BY15" s="991" t="b">
        <f t="shared" ca="1" si="68"/>
        <v>0</v>
      </c>
      <c r="BZ15" s="991" t="b">
        <f t="shared" ref="BZ15:BZ45" si="90">IF($BK$1,IF(BX15="",FALSE,IF(ISERROR(VLOOKUP(BX15,$A$14:$B$45,2,FALSE)),FALSE,IF(VLOOKUP(BX15,$A$14:$B$45,2,FALSE)=0,TRUE,FALSE))))</f>
        <v>0</v>
      </c>
      <c r="CB15" s="672"/>
      <c r="CC15" s="1684"/>
      <c r="CD15" s="699"/>
      <c r="CE15" s="700"/>
      <c r="CF15" s="701"/>
      <c r="CG15" s="672"/>
      <c r="CH15" s="713"/>
      <c r="CI15" s="714"/>
      <c r="CJ15" s="713"/>
      <c r="CK15" s="714"/>
      <c r="CL15" s="715"/>
      <c r="CM15" s="743"/>
      <c r="CN15" s="738"/>
      <c r="CO15" s="1551"/>
      <c r="CP15" s="910"/>
      <c r="CQ15" s="672"/>
      <c r="CR15" s="713"/>
      <c r="CS15" s="714"/>
      <c r="CT15" s="713"/>
      <c r="CU15" s="714"/>
      <c r="CV15" s="715"/>
      <c r="CW15" s="743"/>
      <c r="CX15" s="738"/>
      <c r="CY15" s="1551"/>
      <c r="CZ15" s="910"/>
      <c r="DA15" s="717"/>
      <c r="DB15" s="702"/>
      <c r="DC15" s="703"/>
      <c r="DD15" s="725"/>
      <c r="DE15" s="726"/>
      <c r="DF15" s="141"/>
      <c r="DG15" s="141"/>
      <c r="DH15" s="672"/>
      <c r="DI15" s="673"/>
      <c r="DJ15" s="692"/>
      <c r="DK15" s="1331"/>
      <c r="DL15" s="674"/>
      <c r="DM15" s="693"/>
      <c r="DN15" s="1334"/>
      <c r="DO15" s="675"/>
      <c r="DP15" s="676"/>
      <c r="DQ15" s="1419"/>
      <c r="DR15" s="677"/>
      <c r="DS15" s="1419"/>
      <c r="DT15" s="1421"/>
      <c r="DU15" s="1422"/>
      <c r="DV15" s="678"/>
      <c r="DW15" s="1336"/>
      <c r="DX15" s="679"/>
      <c r="DY15" s="674"/>
      <c r="DZ15" s="678"/>
      <c r="EA15" s="1336"/>
      <c r="EB15" s="679"/>
      <c r="EC15" s="674"/>
      <c r="ED15" s="678"/>
      <c r="EE15" s="1336"/>
      <c r="EF15" s="679"/>
      <c r="EG15" s="674"/>
      <c r="EH15" s="678"/>
      <c r="EI15" s="1336"/>
      <c r="EJ15" s="679"/>
      <c r="EK15" s="680"/>
      <c r="EL15" s="241"/>
      <c r="EM15" s="1631" t="str">
        <f t="shared" si="69"/>
        <v/>
      </c>
      <c r="EN15" s="1428" t="str">
        <f t="shared" si="70"/>
        <v/>
      </c>
      <c r="EO15" s="1429" t="str">
        <f t="shared" si="71"/>
        <v/>
      </c>
      <c r="EP15" s="1430" t="str">
        <f t="shared" si="72"/>
        <v/>
      </c>
      <c r="EQ15" s="1434" t="str">
        <f t="shared" si="73"/>
        <v/>
      </c>
      <c r="ER15" s="1440" t="str">
        <f t="shared" si="74"/>
        <v/>
      </c>
      <c r="ES15" s="1441" t="str">
        <f t="shared" si="75"/>
        <v/>
      </c>
      <c r="ET15" s="1442" t="str">
        <f t="shared" si="76"/>
        <v/>
      </c>
      <c r="EU15" s="1443" t="str">
        <f t="shared" ref="EU15:EU45" si="91">IF(CQ15="","",IF($FB$4&gt;EW55,EW55,""))</f>
        <v/>
      </c>
      <c r="EX15" s="503" t="str">
        <f t="shared" ref="EX15:EX45" ca="1" si="92">IF(AND(AC15="",BX15=BX14),EX14,CONCATENATE(BX15,AC15))</f>
        <v/>
      </c>
      <c r="EY15" s="940" t="str">
        <f t="shared" si="77"/>
        <v/>
      </c>
      <c r="EZ15" s="940" t="str">
        <f t="shared" ref="EZ15:EZ45" si="93">IF(AB15="","",IF(VLOOKUP(BX15,$A$14:$F$45,6,FALSE)="",0,HLOOKUP(VLOOKUP(BX15,$A$14:$F$45,6,FALSE),$FG$4:$FI$5,2,TRUE)))</f>
        <v/>
      </c>
      <c r="FA15" s="958" t="str">
        <f ca="1">IF(FB15="","",IF(FC15=0,FA14,FB15=FF15))</f>
        <v/>
      </c>
      <c r="FB15" s="134" t="str">
        <f t="shared" ref="FB15:FB45" ca="1" si="94">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
      </c>
      <c r="FC15" s="134">
        <f t="shared" ca="1" si="78"/>
        <v>0</v>
      </c>
      <c r="FD15" s="134">
        <f t="shared" ca="1" si="79"/>
        <v>0</v>
      </c>
      <c r="FE15" s="134">
        <f t="shared" ca="1" si="80"/>
        <v>0</v>
      </c>
      <c r="FF15" s="134">
        <f t="shared" ref="FF15:FF45" ca="1" si="95">SUM(FC15:FE15)+IF(FE15=0,FF16,0)</f>
        <v>0</v>
      </c>
      <c r="FN15" s="754" t="b">
        <v>0</v>
      </c>
      <c r="FO15" s="754" t="b">
        <f t="shared" si="81"/>
        <v>1</v>
      </c>
      <c r="FP15" s="754" t="b">
        <v>0</v>
      </c>
      <c r="FQ15" s="754" t="b">
        <f t="shared" ref="FQ15:FQ45" si="96">NOT(ISERROR(VLOOKUP(AB15,$A$14:$A$45,1,FALSE)))</f>
        <v>1</v>
      </c>
      <c r="FW15" s="2"/>
      <c r="FX15" s="2"/>
      <c r="FZ15" s="2"/>
      <c r="GA15" s="1761" t="str">
        <f t="shared" si="82"/>
        <v/>
      </c>
      <c r="GB15" s="1762" t="str">
        <f t="shared" si="83"/>
        <v/>
      </c>
      <c r="GC15" s="1763" t="str">
        <f t="shared" si="84"/>
        <v/>
      </c>
      <c r="GD15" s="1764" t="str">
        <f t="shared" si="85"/>
        <v/>
      </c>
      <c r="GE15" s="1765" t="str">
        <f t="shared" si="86"/>
        <v/>
      </c>
      <c r="GF15" s="582" t="str">
        <f t="shared" si="87"/>
        <v/>
      </c>
      <c r="GG15" s="692"/>
      <c r="GH15" s="1135"/>
      <c r="GI15" s="692"/>
      <c r="GJ15" s="1135"/>
      <c r="GK15" s="1640">
        <f t="shared" si="88"/>
        <v>0</v>
      </c>
      <c r="GL15" s="1640" t="e">
        <f t="shared" si="89"/>
        <v>#VALUE!</v>
      </c>
      <c r="GM15" s="1641" t="e">
        <f>IF(ABS(GK15-GL15)&gt;='Job Info.'!$L$22,ABS(GK15-GL15),0)</f>
        <v>#VALUE!</v>
      </c>
      <c r="HA15" s="1241"/>
      <c r="HB15" s="1242"/>
      <c r="HC15" s="1242"/>
      <c r="HD15" s="1243"/>
      <c r="HE15" s="1244"/>
      <c r="HF15" s="1242"/>
      <c r="HG15" s="1242"/>
      <c r="HH15" s="1242"/>
      <c r="HI15" s="1242"/>
      <c r="HJ15" s="1242"/>
      <c r="HK15" s="1242"/>
      <c r="HL15" s="1242"/>
      <c r="HM15" s="1242"/>
      <c r="HN15" s="1242"/>
      <c r="HO15" s="1242"/>
      <c r="HP15" s="1242"/>
      <c r="HQ15" s="1242"/>
      <c r="HR15" s="1242"/>
      <c r="HS15" s="1242"/>
      <c r="HT15" s="1242"/>
      <c r="HU15" s="1242"/>
      <c r="HV15" s="1242"/>
      <c r="HW15" s="1242"/>
      <c r="HX15" s="1242"/>
      <c r="HY15" s="1246"/>
      <c r="HZ15" s="1246"/>
      <c r="IA15" s="1246"/>
      <c r="IB15" s="1246"/>
      <c r="IC15" s="1246"/>
      <c r="ID15" s="1261"/>
      <c r="IE15" s="1241"/>
      <c r="IF15" s="1242"/>
      <c r="IG15" s="1243"/>
      <c r="IH15" s="1244"/>
      <c r="II15" s="1242"/>
      <c r="IJ15" s="1243"/>
      <c r="IK15" s="1244"/>
      <c r="IL15" s="1242"/>
      <c r="IM15" s="1242"/>
      <c r="IN15" s="1242"/>
      <c r="IO15" s="1242"/>
      <c r="IP15" s="1242"/>
      <c r="IQ15" s="1242"/>
      <c r="IR15" s="1242"/>
      <c r="IS15" s="1243"/>
      <c r="IT15" s="1244"/>
      <c r="IU15" s="1242"/>
      <c r="IV15" s="1242"/>
      <c r="IW15" s="1243"/>
      <c r="IX15" s="1244"/>
      <c r="IY15" s="1242"/>
      <c r="IZ15" s="1242"/>
      <c r="JA15" s="1243"/>
      <c r="JB15" s="1244"/>
      <c r="JC15" s="1242"/>
      <c r="JD15" s="1242"/>
      <c r="JE15" s="1243"/>
      <c r="JF15" s="1244"/>
      <c r="JG15" s="1242"/>
      <c r="JH15" s="1242"/>
      <c r="JI15" s="1242"/>
      <c r="JJ15" s="1245"/>
      <c r="JK15" s="1242"/>
      <c r="JL15" s="1171">
        <f ca="1">IF(ISBLANK(JK15),IF(JL14=0,0,IF(VALUE(OFFSET(JK15,JL14*-1,0))&lt;JL14+1,0,JL14+1)),1)</f>
        <v>0</v>
      </c>
    </row>
    <row r="16" spans="1:276" ht="12.6" customHeight="1" x14ac:dyDescent="0.25">
      <c r="A16" s="1448" t="str">
        <f t="shared" si="0"/>
        <v/>
      </c>
      <c r="B16" s="1681" t="str">
        <f t="shared" si="1"/>
        <v/>
      </c>
      <c r="C16" s="1449" t="str">
        <f t="shared" si="2"/>
        <v/>
      </c>
      <c r="D16" s="1705" t="str">
        <f t="shared" si="3"/>
        <v/>
      </c>
      <c r="E16" s="1706" t="str">
        <f t="shared" si="4"/>
        <v/>
      </c>
      <c r="F16" s="1707" t="str">
        <f t="shared" si="5"/>
        <v/>
      </c>
      <c r="G16" s="1708" t="str">
        <f t="shared" si="6"/>
        <v/>
      </c>
      <c r="H16" s="1709" t="str">
        <f t="shared" si="7"/>
        <v/>
      </c>
      <c r="I16" s="1710" t="str">
        <f t="shared" si="8"/>
        <v/>
      </c>
      <c r="J16" s="1705" t="str">
        <f t="shared" si="9"/>
        <v/>
      </c>
      <c r="K16" s="1709" t="str">
        <f t="shared" si="10"/>
        <v/>
      </c>
      <c r="L16" s="1711" t="str">
        <f t="shared" si="11"/>
        <v/>
      </c>
      <c r="M16" s="1712" t="str">
        <f t="shared" si="12"/>
        <v/>
      </c>
      <c r="N16" s="1713" t="str">
        <f t="shared" si="12"/>
        <v/>
      </c>
      <c r="O16" s="1708" t="str">
        <f t="shared" si="13"/>
        <v/>
      </c>
      <c r="P16" s="1709" t="str">
        <f t="shared" si="14"/>
        <v/>
      </c>
      <c r="Q16" s="1705" t="str">
        <f t="shared" si="15"/>
        <v/>
      </c>
      <c r="R16" s="1706" t="str">
        <f t="shared" si="16"/>
        <v/>
      </c>
      <c r="S16" s="1714" t="str">
        <f t="shared" si="17"/>
        <v/>
      </c>
      <c r="T16" s="1709" t="str">
        <f t="shared" si="18"/>
        <v/>
      </c>
      <c r="U16" s="1705" t="str">
        <f t="shared" si="19"/>
        <v/>
      </c>
      <c r="V16" s="1709" t="str">
        <f t="shared" si="20"/>
        <v/>
      </c>
      <c r="W16" s="1713">
        <f t="shared" si="21"/>
        <v>0</v>
      </c>
      <c r="X16" s="1715" t="str">
        <f t="shared" si="22"/>
        <v/>
      </c>
      <c r="Y16" s="1716" t="str">
        <f t="shared" si="23"/>
        <v/>
      </c>
      <c r="Z16" s="1717" t="str">
        <f t="shared" si="24"/>
        <v/>
      </c>
      <c r="AA16" s="1776" t="str">
        <f t="shared" si="25"/>
        <v/>
      </c>
      <c r="AB16" s="1448" t="str">
        <f t="shared" si="26"/>
        <v/>
      </c>
      <c r="AC16" s="1710" t="str">
        <f t="shared" si="27"/>
        <v/>
      </c>
      <c r="AD16" s="1705" t="str">
        <f t="shared" ca="1" si="28"/>
        <v/>
      </c>
      <c r="AE16" s="1709" t="str">
        <f t="shared" ca="1" si="29"/>
        <v/>
      </c>
      <c r="AF16" s="1710" t="str">
        <f t="shared" ca="1" si="30"/>
        <v/>
      </c>
      <c r="AG16" s="1705" t="str">
        <f t="shared" ca="1" si="31"/>
        <v/>
      </c>
      <c r="AH16" s="1709" t="str">
        <f t="shared" ca="1" si="32"/>
        <v/>
      </c>
      <c r="AI16" s="1705" t="str">
        <f t="shared" ca="1" si="33"/>
        <v/>
      </c>
      <c r="AJ16" s="1709" t="str">
        <f t="shared" ca="1" si="34"/>
        <v/>
      </c>
      <c r="AK16" s="1747" t="str">
        <f t="shared" si="35"/>
        <v/>
      </c>
      <c r="AL16" s="1748" t="str">
        <f t="shared" si="36"/>
        <v/>
      </c>
      <c r="AM16" s="1749" t="str">
        <f t="shared" si="35"/>
        <v/>
      </c>
      <c r="AN16" s="1710" t="str">
        <f t="shared" si="35"/>
        <v/>
      </c>
      <c r="AO16" s="1713" t="str">
        <f t="shared" si="35"/>
        <v/>
      </c>
      <c r="AP16" s="1712" t="str">
        <f t="shared" si="37"/>
        <v/>
      </c>
      <c r="AQ16" s="1751" t="str">
        <f t="shared" si="38"/>
        <v/>
      </c>
      <c r="AR16" s="1708" t="str">
        <f t="shared" si="39"/>
        <v/>
      </c>
      <c r="AS16" s="1709" t="str">
        <f t="shared" si="40"/>
        <v/>
      </c>
      <c r="AT16" s="1752" t="str">
        <f t="shared" si="41"/>
        <v/>
      </c>
      <c r="AU16" s="1753" t="str">
        <f t="shared" si="42"/>
        <v/>
      </c>
      <c r="AV16" s="1714" t="str">
        <f t="shared" si="43"/>
        <v/>
      </c>
      <c r="AW16" s="1709" t="str">
        <f t="shared" si="44"/>
        <v/>
      </c>
      <c r="AX16" s="1752" t="str">
        <f t="shared" si="45"/>
        <v/>
      </c>
      <c r="AY16" s="1753" t="str">
        <f t="shared" si="46"/>
        <v/>
      </c>
      <c r="AZ16" s="1714" t="str">
        <f t="shared" si="47"/>
        <v/>
      </c>
      <c r="BA16" s="1709" t="str">
        <f t="shared" si="48"/>
        <v/>
      </c>
      <c r="BB16" s="1752" t="str">
        <f t="shared" si="49"/>
        <v/>
      </c>
      <c r="BC16" s="1753" t="str">
        <f t="shared" si="50"/>
        <v/>
      </c>
      <c r="BD16" s="1714" t="str">
        <f t="shared" si="51"/>
        <v/>
      </c>
      <c r="BE16" s="1709" t="str">
        <f t="shared" si="52"/>
        <v/>
      </c>
      <c r="BF16" s="1752" t="str">
        <f t="shared" si="53"/>
        <v/>
      </c>
      <c r="BG16" s="1753" t="str">
        <f t="shared" si="54"/>
        <v/>
      </c>
      <c r="BH16" s="1416"/>
      <c r="BJ16" s="995" t="str">
        <f t="shared" ref="BJ16:BJ45" si="97">IF(AND(OR(ISBLANK(A16),A16=""),Z16&lt;&gt;""),BJ15,IF(OR(ISBLANK(A16),A16=""),"",A16))</f>
        <v/>
      </c>
      <c r="BK16" s="993" t="b">
        <f t="shared" si="55"/>
        <v>0</v>
      </c>
      <c r="BL16" s="989" t="b">
        <v>0</v>
      </c>
      <c r="BM16" s="989">
        <f t="shared" si="56"/>
        <v>0</v>
      </c>
      <c r="BN16" s="989">
        <f t="shared" si="57"/>
        <v>0</v>
      </c>
      <c r="BO16" s="989">
        <f t="shared" si="58"/>
        <v>0</v>
      </c>
      <c r="BP16" s="989">
        <f t="shared" si="59"/>
        <v>0</v>
      </c>
      <c r="BQ16" s="989">
        <f t="shared" si="60"/>
        <v>0</v>
      </c>
      <c r="BR16" s="989" t="b">
        <f t="shared" si="61"/>
        <v>1</v>
      </c>
      <c r="BS16" s="1302">
        <f t="shared" si="62"/>
        <v>6</v>
      </c>
      <c r="BT16" s="990" t="str">
        <f t="shared" si="63"/>
        <v>No</v>
      </c>
      <c r="BU16" s="1302">
        <f t="shared" si="64"/>
        <v>6</v>
      </c>
      <c r="BV16" s="990" t="str">
        <f t="shared" si="65"/>
        <v>No</v>
      </c>
      <c r="BW16" s="991">
        <f t="shared" ca="1" si="66"/>
        <v>0</v>
      </c>
      <c r="BX16" s="991" t="str">
        <f t="shared" ca="1" si="67"/>
        <v/>
      </c>
      <c r="BY16" s="991" t="b">
        <f t="shared" ca="1" si="68"/>
        <v>0</v>
      </c>
      <c r="BZ16" s="991" t="b">
        <f t="shared" si="90"/>
        <v>0</v>
      </c>
      <c r="CB16" s="672"/>
      <c r="CC16" s="1684"/>
      <c r="CD16" s="699"/>
      <c r="CE16" s="700"/>
      <c r="CF16" s="701"/>
      <c r="CG16" s="672"/>
      <c r="CH16" s="713"/>
      <c r="CI16" s="714"/>
      <c r="CJ16" s="713"/>
      <c r="CK16" s="714"/>
      <c r="CL16" s="715"/>
      <c r="CM16" s="743"/>
      <c r="CN16" s="738"/>
      <c r="CO16" s="1551"/>
      <c r="CP16" s="910"/>
      <c r="CQ16" s="672"/>
      <c r="CR16" s="713"/>
      <c r="CS16" s="714"/>
      <c r="CT16" s="713"/>
      <c r="CU16" s="714"/>
      <c r="CV16" s="715"/>
      <c r="CW16" s="743"/>
      <c r="CX16" s="738"/>
      <c r="CY16" s="1551"/>
      <c r="CZ16" s="910"/>
      <c r="DA16" s="717"/>
      <c r="DB16" s="702"/>
      <c r="DC16" s="703"/>
      <c r="DD16" s="725"/>
      <c r="DE16" s="726"/>
      <c r="DF16" s="141"/>
      <c r="DG16" s="141"/>
      <c r="DH16" s="672"/>
      <c r="DI16" s="673"/>
      <c r="DJ16" s="692"/>
      <c r="DK16" s="1331"/>
      <c r="DL16" s="674"/>
      <c r="DM16" s="693"/>
      <c r="DN16" s="1334"/>
      <c r="DO16" s="675"/>
      <c r="DP16" s="676"/>
      <c r="DQ16" s="1419"/>
      <c r="DR16" s="677"/>
      <c r="DS16" s="1419"/>
      <c r="DT16" s="1421"/>
      <c r="DU16" s="1422"/>
      <c r="DV16" s="678"/>
      <c r="DW16" s="1336"/>
      <c r="DX16" s="679"/>
      <c r="DY16" s="674"/>
      <c r="DZ16" s="678"/>
      <c r="EA16" s="1336"/>
      <c r="EB16" s="679"/>
      <c r="EC16" s="674"/>
      <c r="ED16" s="678"/>
      <c r="EE16" s="1336"/>
      <c r="EF16" s="679"/>
      <c r="EG16" s="674"/>
      <c r="EH16" s="678"/>
      <c r="EI16" s="1336"/>
      <c r="EJ16" s="679"/>
      <c r="EK16" s="680"/>
      <c r="EL16" s="241"/>
      <c r="EM16" s="1631" t="str">
        <f t="shared" si="69"/>
        <v/>
      </c>
      <c r="EN16" s="1428" t="str">
        <f t="shared" si="70"/>
        <v/>
      </c>
      <c r="EO16" s="1429" t="str">
        <f t="shared" si="71"/>
        <v/>
      </c>
      <c r="EP16" s="1430" t="str">
        <f t="shared" si="72"/>
        <v/>
      </c>
      <c r="EQ16" s="1434" t="str">
        <f t="shared" si="73"/>
        <v/>
      </c>
      <c r="ER16" s="1440" t="str">
        <f t="shared" si="74"/>
        <v/>
      </c>
      <c r="ES16" s="1441" t="str">
        <f t="shared" si="75"/>
        <v/>
      </c>
      <c r="ET16" s="1442" t="str">
        <f t="shared" si="76"/>
        <v/>
      </c>
      <c r="EU16" s="1443" t="str">
        <f t="shared" si="91"/>
        <v/>
      </c>
      <c r="EX16" s="503" t="str">
        <f t="shared" ca="1" si="92"/>
        <v/>
      </c>
      <c r="EY16" s="940" t="str">
        <f t="shared" si="77"/>
        <v/>
      </c>
      <c r="EZ16" s="940" t="str">
        <f t="shared" si="93"/>
        <v/>
      </c>
      <c r="FA16" s="958" t="str">
        <f t="shared" ref="FA16:FA45" ca="1" si="98">IF(FB16="","",IF(FC16=0,FA15,FB16=FF16))</f>
        <v/>
      </c>
      <c r="FB16" s="134" t="str">
        <f t="shared" ca="1" si="94"/>
        <v/>
      </c>
      <c r="FC16" s="134">
        <f t="shared" ca="1" si="78"/>
        <v>0</v>
      </c>
      <c r="FD16" s="134">
        <f t="shared" ca="1" si="79"/>
        <v>0</v>
      </c>
      <c r="FE16" s="134">
        <f t="shared" ca="1" si="80"/>
        <v>0</v>
      </c>
      <c r="FF16" s="134">
        <f t="shared" ca="1" si="95"/>
        <v>0</v>
      </c>
      <c r="FN16" s="754" t="b">
        <v>0</v>
      </c>
      <c r="FO16" s="754" t="b">
        <f t="shared" si="81"/>
        <v>1</v>
      </c>
      <c r="FP16" s="754" t="b">
        <v>0</v>
      </c>
      <c r="FQ16" s="754" t="b">
        <f t="shared" si="96"/>
        <v>1</v>
      </c>
      <c r="FW16" s="2"/>
      <c r="FX16" s="2"/>
      <c r="FZ16" s="2"/>
      <c r="GA16" s="1761" t="str">
        <f t="shared" si="82"/>
        <v/>
      </c>
      <c r="GB16" s="1762" t="str">
        <f t="shared" si="83"/>
        <v/>
      </c>
      <c r="GC16" s="1763" t="str">
        <f t="shared" si="84"/>
        <v/>
      </c>
      <c r="GD16" s="1764" t="str">
        <f t="shared" si="85"/>
        <v/>
      </c>
      <c r="GE16" s="1765" t="str">
        <f t="shared" si="86"/>
        <v/>
      </c>
      <c r="GF16" s="582" t="str">
        <f t="shared" si="87"/>
        <v/>
      </c>
      <c r="GG16" s="692"/>
      <c r="GH16" s="1135"/>
      <c r="GI16" s="692"/>
      <c r="GJ16" s="1135"/>
      <c r="GK16" s="1640">
        <f t="shared" si="88"/>
        <v>0</v>
      </c>
      <c r="GL16" s="1640" t="e">
        <f t="shared" si="89"/>
        <v>#VALUE!</v>
      </c>
      <c r="GM16" s="1641" t="e">
        <f>IF(ABS(GK16-GL16)&gt;='Job Info.'!$L$22,ABS(GK16-GL16),0)</f>
        <v>#VALUE!</v>
      </c>
      <c r="GO16" s="140"/>
      <c r="GP16" s="140"/>
      <c r="GZ16" s="140"/>
      <c r="HA16" s="1241"/>
      <c r="HB16" s="1242"/>
      <c r="HC16" s="1242"/>
      <c r="HD16" s="1243"/>
      <c r="HE16" s="1244"/>
      <c r="HF16" s="1242"/>
      <c r="HG16" s="1242"/>
      <c r="HH16" s="1242"/>
      <c r="HI16" s="1242"/>
      <c r="HJ16" s="1242"/>
      <c r="HK16" s="1242"/>
      <c r="HL16" s="1242"/>
      <c r="HM16" s="1242"/>
      <c r="HN16" s="1242"/>
      <c r="HO16" s="1242"/>
      <c r="HP16" s="1242"/>
      <c r="HQ16" s="1242"/>
      <c r="HR16" s="1242"/>
      <c r="HS16" s="1242"/>
      <c r="HT16" s="1242"/>
      <c r="HU16" s="1242"/>
      <c r="HV16" s="1242"/>
      <c r="HW16" s="1242"/>
      <c r="HX16" s="1242"/>
      <c r="HY16" s="1246"/>
      <c r="HZ16" s="1246"/>
      <c r="IA16" s="1246"/>
      <c r="IB16" s="1246"/>
      <c r="IC16" s="1246"/>
      <c r="ID16" s="1261"/>
      <c r="IE16" s="1241"/>
      <c r="IF16" s="1242"/>
      <c r="IG16" s="1243"/>
      <c r="IH16" s="1244"/>
      <c r="II16" s="1242"/>
      <c r="IJ16" s="1243"/>
      <c r="IK16" s="1244"/>
      <c r="IL16" s="1242"/>
      <c r="IM16" s="1242"/>
      <c r="IN16" s="1242"/>
      <c r="IO16" s="1242"/>
      <c r="IP16" s="1242"/>
      <c r="IQ16" s="1242"/>
      <c r="IR16" s="1242"/>
      <c r="IS16" s="1243"/>
      <c r="IT16" s="1244"/>
      <c r="IU16" s="1242"/>
      <c r="IV16" s="1242"/>
      <c r="IW16" s="1243"/>
      <c r="IX16" s="1244"/>
      <c r="IY16" s="1242"/>
      <c r="IZ16" s="1242"/>
      <c r="JA16" s="1243"/>
      <c r="JB16" s="1244"/>
      <c r="JC16" s="1242"/>
      <c r="JD16" s="1242"/>
      <c r="JE16" s="1243"/>
      <c r="JF16" s="1244"/>
      <c r="JG16" s="1242"/>
      <c r="JH16" s="1242"/>
      <c r="JI16" s="1242"/>
      <c r="JJ16" s="1245"/>
      <c r="JK16" s="1242"/>
      <c r="JL16" s="1171">
        <f t="shared" ref="JL16:JL45" ca="1" si="99">IF(ISBLANK(JK16),IF(JL15=0,0,IF(VALUE(OFFSET(JK16,JL15*-1,0))&lt;JL15+1,0,JL15+1)),1)</f>
        <v>0</v>
      </c>
    </row>
    <row r="17" spans="1:272" ht="12.6" customHeight="1" x14ac:dyDescent="0.25">
      <c r="A17" s="1448" t="str">
        <f t="shared" si="0"/>
        <v/>
      </c>
      <c r="B17" s="1681" t="str">
        <f t="shared" si="1"/>
        <v/>
      </c>
      <c r="C17" s="1449" t="str">
        <f t="shared" si="2"/>
        <v/>
      </c>
      <c r="D17" s="1705" t="str">
        <f t="shared" si="3"/>
        <v/>
      </c>
      <c r="E17" s="1706" t="str">
        <f t="shared" si="4"/>
        <v/>
      </c>
      <c r="F17" s="1707" t="str">
        <f t="shared" si="5"/>
        <v/>
      </c>
      <c r="G17" s="1708" t="str">
        <f t="shared" si="6"/>
        <v/>
      </c>
      <c r="H17" s="1709" t="str">
        <f t="shared" si="7"/>
        <v/>
      </c>
      <c r="I17" s="1710" t="str">
        <f t="shared" si="8"/>
        <v/>
      </c>
      <c r="J17" s="1705" t="str">
        <f t="shared" si="9"/>
        <v/>
      </c>
      <c r="K17" s="1709" t="str">
        <f t="shared" si="10"/>
        <v/>
      </c>
      <c r="L17" s="1711" t="str">
        <f t="shared" si="11"/>
        <v/>
      </c>
      <c r="M17" s="1712" t="str">
        <f t="shared" si="12"/>
        <v/>
      </c>
      <c r="N17" s="1713" t="str">
        <f t="shared" si="12"/>
        <v/>
      </c>
      <c r="O17" s="1708" t="str">
        <f t="shared" si="13"/>
        <v/>
      </c>
      <c r="P17" s="1709" t="str">
        <f t="shared" si="14"/>
        <v/>
      </c>
      <c r="Q17" s="1705" t="str">
        <f t="shared" si="15"/>
        <v/>
      </c>
      <c r="R17" s="1706" t="str">
        <f t="shared" si="16"/>
        <v/>
      </c>
      <c r="S17" s="1714" t="str">
        <f t="shared" si="17"/>
        <v/>
      </c>
      <c r="T17" s="1709" t="str">
        <f t="shared" si="18"/>
        <v/>
      </c>
      <c r="U17" s="1705" t="str">
        <f t="shared" si="19"/>
        <v/>
      </c>
      <c r="V17" s="1709" t="str">
        <f t="shared" si="20"/>
        <v/>
      </c>
      <c r="W17" s="1713">
        <f t="shared" si="21"/>
        <v>0</v>
      </c>
      <c r="X17" s="1715" t="str">
        <f t="shared" si="22"/>
        <v/>
      </c>
      <c r="Y17" s="1716" t="str">
        <f t="shared" si="23"/>
        <v/>
      </c>
      <c r="Z17" s="1717" t="str">
        <f t="shared" si="24"/>
        <v/>
      </c>
      <c r="AA17" s="1776" t="str">
        <f t="shared" si="25"/>
        <v/>
      </c>
      <c r="AB17" s="1448" t="str">
        <f t="shared" si="26"/>
        <v/>
      </c>
      <c r="AC17" s="1710" t="str">
        <f t="shared" si="27"/>
        <v/>
      </c>
      <c r="AD17" s="1705" t="str">
        <f t="shared" ca="1" si="28"/>
        <v/>
      </c>
      <c r="AE17" s="1709" t="str">
        <f t="shared" ca="1" si="29"/>
        <v/>
      </c>
      <c r="AF17" s="1710" t="str">
        <f t="shared" ca="1" si="30"/>
        <v/>
      </c>
      <c r="AG17" s="1705" t="str">
        <f t="shared" ca="1" si="31"/>
        <v/>
      </c>
      <c r="AH17" s="1709" t="str">
        <f t="shared" ca="1" si="32"/>
        <v/>
      </c>
      <c r="AI17" s="1705" t="str">
        <f t="shared" ca="1" si="33"/>
        <v/>
      </c>
      <c r="AJ17" s="1709" t="str">
        <f t="shared" ca="1" si="34"/>
        <v/>
      </c>
      <c r="AK17" s="1747" t="str">
        <f t="shared" si="35"/>
        <v/>
      </c>
      <c r="AL17" s="1748" t="str">
        <f t="shared" si="36"/>
        <v/>
      </c>
      <c r="AM17" s="1749" t="str">
        <f t="shared" si="35"/>
        <v/>
      </c>
      <c r="AN17" s="1710" t="str">
        <f t="shared" si="35"/>
        <v/>
      </c>
      <c r="AO17" s="1713" t="str">
        <f t="shared" si="35"/>
        <v/>
      </c>
      <c r="AP17" s="1712" t="str">
        <f t="shared" si="37"/>
        <v/>
      </c>
      <c r="AQ17" s="1751" t="str">
        <f t="shared" si="38"/>
        <v/>
      </c>
      <c r="AR17" s="1708" t="str">
        <f t="shared" si="39"/>
        <v/>
      </c>
      <c r="AS17" s="1709" t="str">
        <f t="shared" si="40"/>
        <v/>
      </c>
      <c r="AT17" s="1752" t="str">
        <f t="shared" si="41"/>
        <v/>
      </c>
      <c r="AU17" s="1753" t="str">
        <f t="shared" si="42"/>
        <v/>
      </c>
      <c r="AV17" s="1714" t="str">
        <f t="shared" si="43"/>
        <v/>
      </c>
      <c r="AW17" s="1709" t="str">
        <f t="shared" si="44"/>
        <v/>
      </c>
      <c r="AX17" s="1752" t="str">
        <f t="shared" si="45"/>
        <v/>
      </c>
      <c r="AY17" s="1753" t="str">
        <f t="shared" si="46"/>
        <v/>
      </c>
      <c r="AZ17" s="1714" t="str">
        <f t="shared" si="47"/>
        <v/>
      </c>
      <c r="BA17" s="1709" t="str">
        <f t="shared" si="48"/>
        <v/>
      </c>
      <c r="BB17" s="1752" t="str">
        <f t="shared" si="49"/>
        <v/>
      </c>
      <c r="BC17" s="1753" t="str">
        <f t="shared" si="50"/>
        <v/>
      </c>
      <c r="BD17" s="1714" t="str">
        <f t="shared" si="51"/>
        <v/>
      </c>
      <c r="BE17" s="1709" t="str">
        <f t="shared" si="52"/>
        <v/>
      </c>
      <c r="BF17" s="1752" t="str">
        <f t="shared" si="53"/>
        <v/>
      </c>
      <c r="BG17" s="1753" t="str">
        <f t="shared" si="54"/>
        <v/>
      </c>
      <c r="BH17" s="1416"/>
      <c r="BJ17" s="995" t="str">
        <f t="shared" si="97"/>
        <v/>
      </c>
      <c r="BK17" s="993" t="b">
        <f t="shared" si="55"/>
        <v>0</v>
      </c>
      <c r="BL17" s="989" t="b">
        <v>0</v>
      </c>
      <c r="BM17" s="989">
        <f t="shared" si="56"/>
        <v>0</v>
      </c>
      <c r="BN17" s="989">
        <f t="shared" si="57"/>
        <v>0</v>
      </c>
      <c r="BO17" s="989">
        <f t="shared" si="58"/>
        <v>0</v>
      </c>
      <c r="BP17" s="989">
        <f t="shared" si="59"/>
        <v>0</v>
      </c>
      <c r="BQ17" s="989">
        <f t="shared" si="60"/>
        <v>0</v>
      </c>
      <c r="BR17" s="989" t="b">
        <f t="shared" si="61"/>
        <v>1</v>
      </c>
      <c r="BS17" s="1302">
        <f t="shared" si="62"/>
        <v>6</v>
      </c>
      <c r="BT17" s="990" t="str">
        <f t="shared" si="63"/>
        <v>No</v>
      </c>
      <c r="BU17" s="1302">
        <f t="shared" si="64"/>
        <v>6</v>
      </c>
      <c r="BV17" s="990" t="str">
        <f t="shared" si="65"/>
        <v>No</v>
      </c>
      <c r="BW17" s="991">
        <f t="shared" ca="1" si="66"/>
        <v>0</v>
      </c>
      <c r="BX17" s="991" t="str">
        <f t="shared" ca="1" si="67"/>
        <v/>
      </c>
      <c r="BY17" s="991" t="b">
        <f t="shared" ca="1" si="68"/>
        <v>0</v>
      </c>
      <c r="BZ17" s="991" t="b">
        <f t="shared" si="90"/>
        <v>0</v>
      </c>
      <c r="CB17" s="672"/>
      <c r="CC17" s="1684"/>
      <c r="CD17" s="699"/>
      <c r="CE17" s="700"/>
      <c r="CF17" s="701"/>
      <c r="CG17" s="672"/>
      <c r="CH17" s="713"/>
      <c r="CI17" s="714"/>
      <c r="CJ17" s="713"/>
      <c r="CK17" s="714"/>
      <c r="CL17" s="715"/>
      <c r="CM17" s="743"/>
      <c r="CN17" s="738"/>
      <c r="CO17" s="1551"/>
      <c r="CP17" s="910"/>
      <c r="CQ17" s="672"/>
      <c r="CR17" s="713"/>
      <c r="CS17" s="714"/>
      <c r="CT17" s="713"/>
      <c r="CU17" s="714"/>
      <c r="CV17" s="715"/>
      <c r="CW17" s="743"/>
      <c r="CX17" s="738"/>
      <c r="CY17" s="1551"/>
      <c r="CZ17" s="910"/>
      <c r="DA17" s="717"/>
      <c r="DB17" s="702"/>
      <c r="DC17" s="703"/>
      <c r="DD17" s="725"/>
      <c r="DE17" s="726"/>
      <c r="DF17" s="141"/>
      <c r="DG17" s="141"/>
      <c r="DH17" s="672"/>
      <c r="DI17" s="673"/>
      <c r="DJ17" s="692"/>
      <c r="DK17" s="1331"/>
      <c r="DL17" s="674"/>
      <c r="DM17" s="693"/>
      <c r="DN17" s="1334"/>
      <c r="DO17" s="675"/>
      <c r="DP17" s="676"/>
      <c r="DQ17" s="1419"/>
      <c r="DR17" s="677"/>
      <c r="DS17" s="1419"/>
      <c r="DT17" s="1421"/>
      <c r="DU17" s="1422"/>
      <c r="DV17" s="678"/>
      <c r="DW17" s="1336"/>
      <c r="DX17" s="679"/>
      <c r="DY17" s="674"/>
      <c r="DZ17" s="678"/>
      <c r="EA17" s="1336"/>
      <c r="EB17" s="679"/>
      <c r="EC17" s="674"/>
      <c r="ED17" s="678"/>
      <c r="EE17" s="1336"/>
      <c r="EF17" s="679"/>
      <c r="EG17" s="674"/>
      <c r="EH17" s="678"/>
      <c r="EI17" s="1336"/>
      <c r="EJ17" s="679"/>
      <c r="EK17" s="680"/>
      <c r="EL17" s="241"/>
      <c r="EM17" s="1631" t="str">
        <f t="shared" si="69"/>
        <v/>
      </c>
      <c r="EN17" s="1428" t="str">
        <f t="shared" si="70"/>
        <v/>
      </c>
      <c r="EO17" s="1429" t="str">
        <f t="shared" si="71"/>
        <v/>
      </c>
      <c r="EP17" s="1430" t="str">
        <f t="shared" si="72"/>
        <v/>
      </c>
      <c r="EQ17" s="1434" t="str">
        <f t="shared" si="73"/>
        <v/>
      </c>
      <c r="ER17" s="1440" t="str">
        <f t="shared" si="74"/>
        <v/>
      </c>
      <c r="ES17" s="1441" t="str">
        <f t="shared" si="75"/>
        <v/>
      </c>
      <c r="ET17" s="1442" t="str">
        <f t="shared" si="76"/>
        <v/>
      </c>
      <c r="EU17" s="1443" t="str">
        <f t="shared" si="91"/>
        <v/>
      </c>
      <c r="EX17" s="503" t="str">
        <f t="shared" ca="1" si="92"/>
        <v/>
      </c>
      <c r="EY17" s="940" t="str">
        <f t="shared" si="77"/>
        <v/>
      </c>
      <c r="EZ17" s="940" t="str">
        <f t="shared" si="93"/>
        <v/>
      </c>
      <c r="FA17" s="958" t="str">
        <f t="shared" ca="1" si="98"/>
        <v/>
      </c>
      <c r="FB17" s="134" t="str">
        <f t="shared" ca="1" si="94"/>
        <v/>
      </c>
      <c r="FC17" s="134">
        <f t="shared" ca="1" si="78"/>
        <v>0</v>
      </c>
      <c r="FD17" s="134">
        <f t="shared" ca="1" si="79"/>
        <v>0</v>
      </c>
      <c r="FE17" s="134">
        <f t="shared" ca="1" si="80"/>
        <v>0</v>
      </c>
      <c r="FF17" s="134">
        <f t="shared" ca="1" si="95"/>
        <v>0</v>
      </c>
      <c r="FN17" s="754" t="b">
        <v>0</v>
      </c>
      <c r="FO17" s="754" t="b">
        <f t="shared" si="81"/>
        <v>1</v>
      </c>
      <c r="FP17" s="754" t="b">
        <v>0</v>
      </c>
      <c r="FQ17" s="754" t="b">
        <f t="shared" si="96"/>
        <v>1</v>
      </c>
      <c r="FW17" s="2"/>
      <c r="FX17" s="2"/>
      <c r="FZ17" s="2"/>
      <c r="GA17" s="1761" t="str">
        <f t="shared" si="82"/>
        <v/>
      </c>
      <c r="GB17" s="1762" t="str">
        <f t="shared" si="83"/>
        <v/>
      </c>
      <c r="GC17" s="1763" t="str">
        <f t="shared" si="84"/>
        <v/>
      </c>
      <c r="GD17" s="1764" t="str">
        <f t="shared" si="85"/>
        <v/>
      </c>
      <c r="GE17" s="1765" t="str">
        <f t="shared" si="86"/>
        <v/>
      </c>
      <c r="GF17" s="582" t="str">
        <f t="shared" si="87"/>
        <v/>
      </c>
      <c r="GG17" s="692"/>
      <c r="GH17" s="1135"/>
      <c r="GI17" s="692"/>
      <c r="GJ17" s="1135"/>
      <c r="GK17" s="1640">
        <f t="shared" si="88"/>
        <v>0</v>
      </c>
      <c r="GL17" s="1640" t="e">
        <f t="shared" si="89"/>
        <v>#VALUE!</v>
      </c>
      <c r="GM17" s="1641" t="e">
        <f>IF(ABS(GK17-GL17)&gt;='Job Info.'!$L$22,ABS(GK17-GL17),0)</f>
        <v>#VALUE!</v>
      </c>
      <c r="HA17" s="1241"/>
      <c r="HB17" s="1242"/>
      <c r="HC17" s="1242"/>
      <c r="HD17" s="1243"/>
      <c r="HE17" s="1244"/>
      <c r="HF17" s="1242"/>
      <c r="HG17" s="1242"/>
      <c r="HH17" s="1242"/>
      <c r="HI17" s="1242"/>
      <c r="HJ17" s="1242"/>
      <c r="HK17" s="1242"/>
      <c r="HL17" s="1242"/>
      <c r="HM17" s="1242"/>
      <c r="HN17" s="1242"/>
      <c r="HO17" s="1242"/>
      <c r="HP17" s="1242"/>
      <c r="HQ17" s="1242"/>
      <c r="HR17" s="1242"/>
      <c r="HS17" s="1242"/>
      <c r="HT17" s="1242"/>
      <c r="HU17" s="1242"/>
      <c r="HV17" s="1242"/>
      <c r="HW17" s="1242"/>
      <c r="HX17" s="1242"/>
      <c r="HY17" s="1246"/>
      <c r="HZ17" s="1246"/>
      <c r="IA17" s="1246"/>
      <c r="IB17" s="1246"/>
      <c r="IC17" s="1246"/>
      <c r="ID17" s="1261"/>
      <c r="IE17" s="1241"/>
      <c r="IF17" s="1242"/>
      <c r="IG17" s="1243"/>
      <c r="IH17" s="1244"/>
      <c r="II17" s="1242"/>
      <c r="IJ17" s="1243"/>
      <c r="IK17" s="1244"/>
      <c r="IL17" s="1242"/>
      <c r="IM17" s="1242"/>
      <c r="IN17" s="1242"/>
      <c r="IO17" s="1242"/>
      <c r="IP17" s="1242"/>
      <c r="IQ17" s="1242"/>
      <c r="IR17" s="1242"/>
      <c r="IS17" s="1243"/>
      <c r="IT17" s="1244"/>
      <c r="IU17" s="1242"/>
      <c r="IV17" s="1242"/>
      <c r="IW17" s="1243"/>
      <c r="IX17" s="1244"/>
      <c r="IY17" s="1242"/>
      <c r="IZ17" s="1242"/>
      <c r="JA17" s="1243"/>
      <c r="JB17" s="1244"/>
      <c r="JC17" s="1242"/>
      <c r="JD17" s="1242"/>
      <c r="JE17" s="1243"/>
      <c r="JF17" s="1244"/>
      <c r="JG17" s="1242"/>
      <c r="JH17" s="1242"/>
      <c r="JI17" s="1242"/>
      <c r="JJ17" s="1245"/>
      <c r="JK17" s="1242"/>
      <c r="JL17" s="1171">
        <f t="shared" ca="1" si="99"/>
        <v>0</v>
      </c>
    </row>
    <row r="18" spans="1:272" ht="12.6" customHeight="1" x14ac:dyDescent="0.25">
      <c r="A18" s="1448" t="str">
        <f t="shared" si="0"/>
        <v/>
      </c>
      <c r="B18" s="1681" t="str">
        <f t="shared" si="1"/>
        <v/>
      </c>
      <c r="C18" s="1449" t="str">
        <f t="shared" si="2"/>
        <v/>
      </c>
      <c r="D18" s="1705" t="str">
        <f t="shared" si="3"/>
        <v/>
      </c>
      <c r="E18" s="1706" t="str">
        <f t="shared" si="4"/>
        <v/>
      </c>
      <c r="F18" s="1707" t="str">
        <f t="shared" si="5"/>
        <v/>
      </c>
      <c r="G18" s="1708" t="str">
        <f t="shared" si="6"/>
        <v/>
      </c>
      <c r="H18" s="1709" t="str">
        <f t="shared" si="7"/>
        <v/>
      </c>
      <c r="I18" s="1710" t="str">
        <f t="shared" si="8"/>
        <v/>
      </c>
      <c r="J18" s="1705" t="str">
        <f t="shared" si="9"/>
        <v/>
      </c>
      <c r="K18" s="1709" t="str">
        <f t="shared" si="10"/>
        <v/>
      </c>
      <c r="L18" s="1711" t="str">
        <f t="shared" si="11"/>
        <v/>
      </c>
      <c r="M18" s="1712" t="str">
        <f t="shared" si="12"/>
        <v/>
      </c>
      <c r="N18" s="1713" t="str">
        <f t="shared" si="12"/>
        <v/>
      </c>
      <c r="O18" s="1708" t="str">
        <f t="shared" si="13"/>
        <v/>
      </c>
      <c r="P18" s="1709" t="str">
        <f t="shared" si="14"/>
        <v/>
      </c>
      <c r="Q18" s="1705" t="str">
        <f t="shared" si="15"/>
        <v/>
      </c>
      <c r="R18" s="1706" t="str">
        <f t="shared" si="16"/>
        <v/>
      </c>
      <c r="S18" s="1714" t="str">
        <f t="shared" si="17"/>
        <v/>
      </c>
      <c r="T18" s="1709" t="str">
        <f t="shared" si="18"/>
        <v/>
      </c>
      <c r="U18" s="1705" t="str">
        <f t="shared" si="19"/>
        <v/>
      </c>
      <c r="V18" s="1709" t="str">
        <f t="shared" si="20"/>
        <v/>
      </c>
      <c r="W18" s="1713">
        <f t="shared" si="21"/>
        <v>0</v>
      </c>
      <c r="X18" s="1715" t="str">
        <f t="shared" si="22"/>
        <v/>
      </c>
      <c r="Y18" s="1716" t="str">
        <f t="shared" si="23"/>
        <v/>
      </c>
      <c r="Z18" s="1717" t="str">
        <f t="shared" si="24"/>
        <v/>
      </c>
      <c r="AA18" s="1776" t="str">
        <f t="shared" si="25"/>
        <v/>
      </c>
      <c r="AB18" s="1448" t="str">
        <f t="shared" si="26"/>
        <v/>
      </c>
      <c r="AC18" s="1710" t="str">
        <f t="shared" si="27"/>
        <v/>
      </c>
      <c r="AD18" s="1705" t="str">
        <f t="shared" ca="1" si="28"/>
        <v/>
      </c>
      <c r="AE18" s="1709" t="str">
        <f t="shared" ca="1" si="29"/>
        <v/>
      </c>
      <c r="AF18" s="1710" t="str">
        <f t="shared" ca="1" si="30"/>
        <v/>
      </c>
      <c r="AG18" s="1705" t="str">
        <f t="shared" ca="1" si="31"/>
        <v/>
      </c>
      <c r="AH18" s="1709" t="str">
        <f t="shared" ca="1" si="32"/>
        <v/>
      </c>
      <c r="AI18" s="1705" t="str">
        <f t="shared" ca="1" si="33"/>
        <v/>
      </c>
      <c r="AJ18" s="1709" t="str">
        <f t="shared" ca="1" si="34"/>
        <v/>
      </c>
      <c r="AK18" s="1747" t="str">
        <f t="shared" si="35"/>
        <v/>
      </c>
      <c r="AL18" s="1748" t="str">
        <f t="shared" si="36"/>
        <v/>
      </c>
      <c r="AM18" s="1749" t="str">
        <f t="shared" si="35"/>
        <v/>
      </c>
      <c r="AN18" s="1710" t="str">
        <f t="shared" si="35"/>
        <v/>
      </c>
      <c r="AO18" s="1713" t="str">
        <f t="shared" si="35"/>
        <v/>
      </c>
      <c r="AP18" s="1712" t="str">
        <f t="shared" si="37"/>
        <v/>
      </c>
      <c r="AQ18" s="1751" t="str">
        <f t="shared" si="38"/>
        <v/>
      </c>
      <c r="AR18" s="1708" t="str">
        <f t="shared" si="39"/>
        <v/>
      </c>
      <c r="AS18" s="1709" t="str">
        <f t="shared" si="40"/>
        <v/>
      </c>
      <c r="AT18" s="1752" t="str">
        <f t="shared" si="41"/>
        <v/>
      </c>
      <c r="AU18" s="1753" t="str">
        <f t="shared" si="42"/>
        <v/>
      </c>
      <c r="AV18" s="1714" t="str">
        <f t="shared" si="43"/>
        <v/>
      </c>
      <c r="AW18" s="1709" t="str">
        <f t="shared" si="44"/>
        <v/>
      </c>
      <c r="AX18" s="1752" t="str">
        <f t="shared" si="45"/>
        <v/>
      </c>
      <c r="AY18" s="1753" t="str">
        <f t="shared" si="46"/>
        <v/>
      </c>
      <c r="AZ18" s="1714" t="str">
        <f t="shared" si="47"/>
        <v/>
      </c>
      <c r="BA18" s="1709" t="str">
        <f t="shared" si="48"/>
        <v/>
      </c>
      <c r="BB18" s="1752" t="str">
        <f t="shared" si="49"/>
        <v/>
      </c>
      <c r="BC18" s="1753" t="str">
        <f t="shared" si="50"/>
        <v/>
      </c>
      <c r="BD18" s="1714" t="str">
        <f t="shared" si="51"/>
        <v/>
      </c>
      <c r="BE18" s="1709" t="str">
        <f t="shared" si="52"/>
        <v/>
      </c>
      <c r="BF18" s="1752" t="str">
        <f t="shared" si="53"/>
        <v/>
      </c>
      <c r="BG18" s="1753" t="str">
        <f t="shared" si="54"/>
        <v/>
      </c>
      <c r="BH18" s="1416"/>
      <c r="BJ18" s="995" t="str">
        <f t="shared" si="97"/>
        <v/>
      </c>
      <c r="BK18" s="993" t="b">
        <f t="shared" si="55"/>
        <v>0</v>
      </c>
      <c r="BL18" s="989" t="b">
        <v>0</v>
      </c>
      <c r="BM18" s="989">
        <f t="shared" si="56"/>
        <v>0</v>
      </c>
      <c r="BN18" s="989">
        <f t="shared" si="57"/>
        <v>0</v>
      </c>
      <c r="BO18" s="989">
        <f t="shared" si="58"/>
        <v>0</v>
      </c>
      <c r="BP18" s="989">
        <f t="shared" si="59"/>
        <v>0</v>
      </c>
      <c r="BQ18" s="989">
        <f t="shared" si="60"/>
        <v>0</v>
      </c>
      <c r="BR18" s="989" t="b">
        <f t="shared" si="61"/>
        <v>1</v>
      </c>
      <c r="BS18" s="1302">
        <f t="shared" si="62"/>
        <v>6</v>
      </c>
      <c r="BT18" s="990" t="str">
        <f t="shared" si="63"/>
        <v>No</v>
      </c>
      <c r="BU18" s="1302">
        <f t="shared" si="64"/>
        <v>6</v>
      </c>
      <c r="BV18" s="990" t="str">
        <f t="shared" si="65"/>
        <v>No</v>
      </c>
      <c r="BW18" s="991">
        <f t="shared" ca="1" si="66"/>
        <v>0</v>
      </c>
      <c r="BX18" s="991" t="str">
        <f t="shared" ca="1" si="67"/>
        <v/>
      </c>
      <c r="BY18" s="991" t="b">
        <f t="shared" ca="1" si="68"/>
        <v>0</v>
      </c>
      <c r="BZ18" s="991" t="b">
        <f t="shared" si="90"/>
        <v>0</v>
      </c>
      <c r="CB18" s="672"/>
      <c r="CC18" s="1684"/>
      <c r="CD18" s="699"/>
      <c r="CE18" s="700"/>
      <c r="CF18" s="701"/>
      <c r="CG18" s="672"/>
      <c r="CH18" s="713"/>
      <c r="CI18" s="714"/>
      <c r="CJ18" s="713"/>
      <c r="CK18" s="714"/>
      <c r="CL18" s="715"/>
      <c r="CM18" s="743"/>
      <c r="CN18" s="738"/>
      <c r="CO18" s="1551"/>
      <c r="CP18" s="910"/>
      <c r="CQ18" s="672"/>
      <c r="CR18" s="713"/>
      <c r="CS18" s="714"/>
      <c r="CT18" s="713"/>
      <c r="CU18" s="714"/>
      <c r="CV18" s="715"/>
      <c r="CW18" s="743"/>
      <c r="CX18" s="738"/>
      <c r="CY18" s="1551"/>
      <c r="CZ18" s="910"/>
      <c r="DA18" s="717"/>
      <c r="DB18" s="702"/>
      <c r="DC18" s="703"/>
      <c r="DD18" s="725"/>
      <c r="DE18" s="726"/>
      <c r="DF18" s="141"/>
      <c r="DG18" s="141"/>
      <c r="DH18" s="672"/>
      <c r="DI18" s="673"/>
      <c r="DJ18" s="692"/>
      <c r="DK18" s="1331"/>
      <c r="DL18" s="674"/>
      <c r="DM18" s="693"/>
      <c r="DN18" s="1334"/>
      <c r="DO18" s="675"/>
      <c r="DP18" s="676"/>
      <c r="DQ18" s="1419"/>
      <c r="DR18" s="677"/>
      <c r="DS18" s="1419"/>
      <c r="DT18" s="1421"/>
      <c r="DU18" s="1422"/>
      <c r="DV18" s="678"/>
      <c r="DW18" s="1336"/>
      <c r="DX18" s="679"/>
      <c r="DY18" s="674"/>
      <c r="DZ18" s="678"/>
      <c r="EA18" s="1336"/>
      <c r="EB18" s="679"/>
      <c r="EC18" s="674"/>
      <c r="ED18" s="678"/>
      <c r="EE18" s="1336"/>
      <c r="EF18" s="679"/>
      <c r="EG18" s="674"/>
      <c r="EH18" s="678"/>
      <c r="EI18" s="1336"/>
      <c r="EJ18" s="679"/>
      <c r="EK18" s="680"/>
      <c r="EL18" s="241"/>
      <c r="EM18" s="1631" t="str">
        <f t="shared" si="69"/>
        <v/>
      </c>
      <c r="EN18" s="1428" t="str">
        <f t="shared" si="70"/>
        <v/>
      </c>
      <c r="EO18" s="1429" t="str">
        <f t="shared" si="71"/>
        <v/>
      </c>
      <c r="EP18" s="1430" t="str">
        <f t="shared" si="72"/>
        <v/>
      </c>
      <c r="EQ18" s="1434" t="str">
        <f t="shared" si="73"/>
        <v/>
      </c>
      <c r="ER18" s="1440" t="str">
        <f t="shared" si="74"/>
        <v/>
      </c>
      <c r="ES18" s="1441" t="str">
        <f t="shared" si="75"/>
        <v/>
      </c>
      <c r="ET18" s="1442" t="str">
        <f t="shared" si="76"/>
        <v/>
      </c>
      <c r="EU18" s="1443" t="str">
        <f t="shared" si="91"/>
        <v/>
      </c>
      <c r="EX18" s="503" t="str">
        <f t="shared" ca="1" si="92"/>
        <v/>
      </c>
      <c r="EY18" s="940" t="str">
        <f t="shared" si="77"/>
        <v/>
      </c>
      <c r="EZ18" s="940" t="str">
        <f t="shared" si="93"/>
        <v/>
      </c>
      <c r="FA18" s="958" t="str">
        <f t="shared" ca="1" si="98"/>
        <v/>
      </c>
      <c r="FB18" s="134" t="str">
        <f t="shared" ca="1" si="94"/>
        <v/>
      </c>
      <c r="FC18" s="134">
        <f t="shared" ca="1" si="78"/>
        <v>0</v>
      </c>
      <c r="FD18" s="134">
        <f t="shared" ca="1" si="79"/>
        <v>0</v>
      </c>
      <c r="FE18" s="134">
        <f t="shared" ca="1" si="80"/>
        <v>0</v>
      </c>
      <c r="FF18" s="134">
        <f t="shared" ca="1" si="95"/>
        <v>0</v>
      </c>
      <c r="FN18" s="754" t="b">
        <v>0</v>
      </c>
      <c r="FO18" s="754" t="b">
        <f t="shared" si="81"/>
        <v>1</v>
      </c>
      <c r="FP18" s="754" t="b">
        <v>0</v>
      </c>
      <c r="FQ18" s="754" t="b">
        <f t="shared" si="96"/>
        <v>1</v>
      </c>
      <c r="FW18" s="2"/>
      <c r="FX18" s="2"/>
      <c r="FZ18" s="2"/>
      <c r="GA18" s="1761" t="str">
        <f t="shared" si="82"/>
        <v/>
      </c>
      <c r="GB18" s="1762" t="str">
        <f t="shared" si="83"/>
        <v/>
      </c>
      <c r="GC18" s="1763" t="str">
        <f t="shared" si="84"/>
        <v/>
      </c>
      <c r="GD18" s="1764" t="str">
        <f t="shared" si="85"/>
        <v/>
      </c>
      <c r="GE18" s="1765" t="str">
        <f t="shared" si="86"/>
        <v/>
      </c>
      <c r="GF18" s="582" t="str">
        <f t="shared" si="87"/>
        <v/>
      </c>
      <c r="GG18" s="692"/>
      <c r="GH18" s="1135"/>
      <c r="GI18" s="692"/>
      <c r="GJ18" s="1135"/>
      <c r="GK18" s="1640">
        <f t="shared" si="88"/>
        <v>0</v>
      </c>
      <c r="GL18" s="1640" t="e">
        <f t="shared" si="89"/>
        <v>#VALUE!</v>
      </c>
      <c r="GM18" s="1641" t="e">
        <f>IF(ABS(GK18-GL18)&gt;='Job Info.'!$L$22,ABS(GK18-GL18),0)</f>
        <v>#VALUE!</v>
      </c>
      <c r="HA18" s="1241"/>
      <c r="HB18" s="1242"/>
      <c r="HC18" s="1242"/>
      <c r="HD18" s="1243"/>
      <c r="HE18" s="1244"/>
      <c r="HF18" s="1242"/>
      <c r="HG18" s="1242"/>
      <c r="HH18" s="1242"/>
      <c r="HI18" s="1242"/>
      <c r="HJ18" s="1242"/>
      <c r="HK18" s="1242"/>
      <c r="HL18" s="1242"/>
      <c r="HM18" s="1242"/>
      <c r="HN18" s="1242"/>
      <c r="HO18" s="1242"/>
      <c r="HP18" s="1242"/>
      <c r="HQ18" s="1242"/>
      <c r="HR18" s="1242"/>
      <c r="HS18" s="1242"/>
      <c r="HT18" s="1242"/>
      <c r="HU18" s="1242"/>
      <c r="HV18" s="1242"/>
      <c r="HW18" s="1242"/>
      <c r="HX18" s="1242"/>
      <c r="HY18" s="1246"/>
      <c r="HZ18" s="1246"/>
      <c r="IA18" s="1246"/>
      <c r="IB18" s="1246"/>
      <c r="IC18" s="1246"/>
      <c r="ID18" s="1261"/>
      <c r="IE18" s="1241"/>
      <c r="IF18" s="1242"/>
      <c r="IG18" s="1243"/>
      <c r="IH18" s="1244"/>
      <c r="II18" s="1242"/>
      <c r="IJ18" s="1243"/>
      <c r="IK18" s="1244"/>
      <c r="IL18" s="1242"/>
      <c r="IM18" s="1242"/>
      <c r="IN18" s="1242"/>
      <c r="IO18" s="1242"/>
      <c r="IP18" s="1242"/>
      <c r="IQ18" s="1242"/>
      <c r="IR18" s="1242"/>
      <c r="IS18" s="1243"/>
      <c r="IT18" s="1244"/>
      <c r="IU18" s="1242"/>
      <c r="IV18" s="1242"/>
      <c r="IW18" s="1243"/>
      <c r="IX18" s="1244"/>
      <c r="IY18" s="1242"/>
      <c r="IZ18" s="1242"/>
      <c r="JA18" s="1243"/>
      <c r="JB18" s="1244"/>
      <c r="JC18" s="1242"/>
      <c r="JD18" s="1242"/>
      <c r="JE18" s="1243"/>
      <c r="JF18" s="1244"/>
      <c r="JG18" s="1242"/>
      <c r="JH18" s="1242"/>
      <c r="JI18" s="1242"/>
      <c r="JJ18" s="1245"/>
      <c r="JK18" s="1242"/>
      <c r="JL18" s="1171">
        <f t="shared" ca="1" si="99"/>
        <v>0</v>
      </c>
    </row>
    <row r="19" spans="1:272" ht="12.6" customHeight="1" x14ac:dyDescent="0.25">
      <c r="A19" s="1448" t="str">
        <f t="shared" si="0"/>
        <v/>
      </c>
      <c r="B19" s="1681" t="str">
        <f t="shared" si="1"/>
        <v/>
      </c>
      <c r="C19" s="1449" t="str">
        <f t="shared" si="2"/>
        <v/>
      </c>
      <c r="D19" s="1705" t="str">
        <f t="shared" si="3"/>
        <v/>
      </c>
      <c r="E19" s="1706" t="str">
        <f t="shared" si="4"/>
        <v/>
      </c>
      <c r="F19" s="1707" t="str">
        <f t="shared" si="5"/>
        <v/>
      </c>
      <c r="G19" s="1708" t="str">
        <f t="shared" si="6"/>
        <v/>
      </c>
      <c r="H19" s="1709" t="str">
        <f t="shared" si="7"/>
        <v/>
      </c>
      <c r="I19" s="1710" t="str">
        <f t="shared" si="8"/>
        <v/>
      </c>
      <c r="J19" s="1705" t="str">
        <f t="shared" si="9"/>
        <v/>
      </c>
      <c r="K19" s="1709" t="str">
        <f t="shared" si="10"/>
        <v/>
      </c>
      <c r="L19" s="1711" t="str">
        <f t="shared" si="11"/>
        <v/>
      </c>
      <c r="M19" s="1712" t="str">
        <f t="shared" si="12"/>
        <v/>
      </c>
      <c r="N19" s="1713" t="str">
        <f t="shared" si="12"/>
        <v/>
      </c>
      <c r="O19" s="1708" t="str">
        <f t="shared" si="13"/>
        <v/>
      </c>
      <c r="P19" s="1709" t="str">
        <f t="shared" si="14"/>
        <v/>
      </c>
      <c r="Q19" s="1705" t="str">
        <f t="shared" si="15"/>
        <v/>
      </c>
      <c r="R19" s="1706" t="str">
        <f t="shared" si="16"/>
        <v/>
      </c>
      <c r="S19" s="1714" t="str">
        <f t="shared" si="17"/>
        <v/>
      </c>
      <c r="T19" s="1709" t="str">
        <f t="shared" si="18"/>
        <v/>
      </c>
      <c r="U19" s="1705" t="str">
        <f t="shared" si="19"/>
        <v/>
      </c>
      <c r="V19" s="1709" t="str">
        <f t="shared" si="20"/>
        <v/>
      </c>
      <c r="W19" s="1713">
        <f t="shared" si="21"/>
        <v>0</v>
      </c>
      <c r="X19" s="1715" t="str">
        <f t="shared" si="22"/>
        <v/>
      </c>
      <c r="Y19" s="1716" t="str">
        <f t="shared" si="23"/>
        <v/>
      </c>
      <c r="Z19" s="1717" t="str">
        <f t="shared" si="24"/>
        <v/>
      </c>
      <c r="AA19" s="1776" t="str">
        <f t="shared" si="25"/>
        <v/>
      </c>
      <c r="AB19" s="1448" t="str">
        <f t="shared" si="26"/>
        <v/>
      </c>
      <c r="AC19" s="1710" t="str">
        <f t="shared" si="27"/>
        <v/>
      </c>
      <c r="AD19" s="1705" t="str">
        <f t="shared" ca="1" si="28"/>
        <v/>
      </c>
      <c r="AE19" s="1709" t="str">
        <f t="shared" ca="1" si="29"/>
        <v/>
      </c>
      <c r="AF19" s="1710" t="str">
        <f t="shared" ca="1" si="30"/>
        <v/>
      </c>
      <c r="AG19" s="1705" t="str">
        <f t="shared" ca="1" si="31"/>
        <v/>
      </c>
      <c r="AH19" s="1709" t="str">
        <f t="shared" ca="1" si="32"/>
        <v/>
      </c>
      <c r="AI19" s="1705" t="str">
        <f t="shared" ca="1" si="33"/>
        <v/>
      </c>
      <c r="AJ19" s="1709" t="str">
        <f t="shared" ca="1" si="34"/>
        <v/>
      </c>
      <c r="AK19" s="1747" t="str">
        <f t="shared" si="35"/>
        <v/>
      </c>
      <c r="AL19" s="1748" t="str">
        <f t="shared" si="36"/>
        <v/>
      </c>
      <c r="AM19" s="1749" t="str">
        <f t="shared" si="35"/>
        <v/>
      </c>
      <c r="AN19" s="1710" t="str">
        <f t="shared" si="35"/>
        <v/>
      </c>
      <c r="AO19" s="1713" t="str">
        <f t="shared" si="35"/>
        <v/>
      </c>
      <c r="AP19" s="1712" t="str">
        <f t="shared" si="37"/>
        <v/>
      </c>
      <c r="AQ19" s="1751" t="str">
        <f t="shared" si="38"/>
        <v/>
      </c>
      <c r="AR19" s="1708" t="str">
        <f t="shared" si="39"/>
        <v/>
      </c>
      <c r="AS19" s="1709" t="str">
        <f t="shared" si="40"/>
        <v/>
      </c>
      <c r="AT19" s="1752" t="str">
        <f t="shared" si="41"/>
        <v/>
      </c>
      <c r="AU19" s="1753" t="str">
        <f t="shared" si="42"/>
        <v/>
      </c>
      <c r="AV19" s="1714" t="str">
        <f t="shared" si="43"/>
        <v/>
      </c>
      <c r="AW19" s="1709" t="str">
        <f t="shared" si="44"/>
        <v/>
      </c>
      <c r="AX19" s="1752" t="str">
        <f t="shared" si="45"/>
        <v/>
      </c>
      <c r="AY19" s="1753" t="str">
        <f t="shared" si="46"/>
        <v/>
      </c>
      <c r="AZ19" s="1714" t="str">
        <f t="shared" si="47"/>
        <v/>
      </c>
      <c r="BA19" s="1709" t="str">
        <f t="shared" si="48"/>
        <v/>
      </c>
      <c r="BB19" s="1752" t="str">
        <f t="shared" si="49"/>
        <v/>
      </c>
      <c r="BC19" s="1753" t="str">
        <f t="shared" si="50"/>
        <v/>
      </c>
      <c r="BD19" s="1714" t="str">
        <f t="shared" si="51"/>
        <v/>
      </c>
      <c r="BE19" s="1709" t="str">
        <f t="shared" si="52"/>
        <v/>
      </c>
      <c r="BF19" s="1752" t="str">
        <f t="shared" si="53"/>
        <v/>
      </c>
      <c r="BG19" s="1753" t="str">
        <f t="shared" si="54"/>
        <v/>
      </c>
      <c r="BH19" s="1416"/>
      <c r="BJ19" s="995" t="str">
        <f t="shared" si="97"/>
        <v/>
      </c>
      <c r="BK19" s="993" t="b">
        <f t="shared" si="55"/>
        <v>0</v>
      </c>
      <c r="BL19" s="989" t="b">
        <v>0</v>
      </c>
      <c r="BM19" s="989">
        <f t="shared" si="56"/>
        <v>0</v>
      </c>
      <c r="BN19" s="989">
        <f t="shared" si="57"/>
        <v>0</v>
      </c>
      <c r="BO19" s="989">
        <f t="shared" si="58"/>
        <v>0</v>
      </c>
      <c r="BP19" s="989">
        <f t="shared" si="59"/>
        <v>0</v>
      </c>
      <c r="BQ19" s="989">
        <f t="shared" si="60"/>
        <v>0</v>
      </c>
      <c r="BR19" s="989" t="b">
        <f t="shared" si="61"/>
        <v>1</v>
      </c>
      <c r="BS19" s="1302">
        <f t="shared" si="62"/>
        <v>6</v>
      </c>
      <c r="BT19" s="990" t="str">
        <f t="shared" si="63"/>
        <v>No</v>
      </c>
      <c r="BU19" s="1302">
        <f t="shared" si="64"/>
        <v>6</v>
      </c>
      <c r="BV19" s="990" t="str">
        <f t="shared" si="65"/>
        <v>No</v>
      </c>
      <c r="BW19" s="991">
        <f t="shared" ca="1" si="66"/>
        <v>0</v>
      </c>
      <c r="BX19" s="991" t="str">
        <f t="shared" ca="1" si="67"/>
        <v/>
      </c>
      <c r="BY19" s="991" t="b">
        <f t="shared" ca="1" si="68"/>
        <v>0</v>
      </c>
      <c r="BZ19" s="991" t="b">
        <f t="shared" si="90"/>
        <v>0</v>
      </c>
      <c r="CB19" s="672"/>
      <c r="CC19" s="1684"/>
      <c r="CD19" s="699"/>
      <c r="CE19" s="700"/>
      <c r="CF19" s="701"/>
      <c r="CG19" s="672"/>
      <c r="CH19" s="713"/>
      <c r="CI19" s="714"/>
      <c r="CJ19" s="713"/>
      <c r="CK19" s="714"/>
      <c r="CL19" s="715"/>
      <c r="CM19" s="743"/>
      <c r="CN19" s="738"/>
      <c r="CO19" s="1551"/>
      <c r="CP19" s="910"/>
      <c r="CQ19" s="672"/>
      <c r="CR19" s="713"/>
      <c r="CS19" s="714"/>
      <c r="CT19" s="713"/>
      <c r="CU19" s="714"/>
      <c r="CV19" s="715"/>
      <c r="CW19" s="743"/>
      <c r="CX19" s="738"/>
      <c r="CY19" s="1551"/>
      <c r="CZ19" s="910"/>
      <c r="DA19" s="717"/>
      <c r="DB19" s="702"/>
      <c r="DC19" s="703"/>
      <c r="DD19" s="725"/>
      <c r="DE19" s="726"/>
      <c r="DF19" s="141"/>
      <c r="DG19" s="141"/>
      <c r="DH19" s="672"/>
      <c r="DI19" s="673"/>
      <c r="DJ19" s="692"/>
      <c r="DK19" s="1331"/>
      <c r="DL19" s="674"/>
      <c r="DM19" s="693"/>
      <c r="DN19" s="1334"/>
      <c r="DO19" s="675"/>
      <c r="DP19" s="676"/>
      <c r="DQ19" s="1419"/>
      <c r="DR19" s="677"/>
      <c r="DS19" s="1419"/>
      <c r="DT19" s="1421"/>
      <c r="DU19" s="1422"/>
      <c r="DV19" s="678"/>
      <c r="DW19" s="1336"/>
      <c r="DX19" s="679"/>
      <c r="DY19" s="674"/>
      <c r="DZ19" s="678"/>
      <c r="EA19" s="1336"/>
      <c r="EB19" s="679"/>
      <c r="EC19" s="674"/>
      <c r="ED19" s="678"/>
      <c r="EE19" s="1336"/>
      <c r="EF19" s="679"/>
      <c r="EG19" s="674"/>
      <c r="EH19" s="678"/>
      <c r="EI19" s="1336"/>
      <c r="EJ19" s="679"/>
      <c r="EK19" s="680"/>
      <c r="EL19" s="241"/>
      <c r="EM19" s="1631" t="str">
        <f t="shared" si="69"/>
        <v/>
      </c>
      <c r="EN19" s="1428" t="str">
        <f t="shared" si="70"/>
        <v/>
      </c>
      <c r="EO19" s="1429" t="str">
        <f t="shared" si="71"/>
        <v/>
      </c>
      <c r="EP19" s="1430" t="str">
        <f t="shared" si="72"/>
        <v/>
      </c>
      <c r="EQ19" s="1434" t="str">
        <f t="shared" si="73"/>
        <v/>
      </c>
      <c r="ER19" s="1440" t="str">
        <f t="shared" si="74"/>
        <v/>
      </c>
      <c r="ES19" s="1441" t="str">
        <f t="shared" si="75"/>
        <v/>
      </c>
      <c r="ET19" s="1442" t="str">
        <f t="shared" si="76"/>
        <v/>
      </c>
      <c r="EU19" s="1443" t="str">
        <f t="shared" si="91"/>
        <v/>
      </c>
      <c r="EX19" s="503" t="str">
        <f t="shared" ca="1" si="92"/>
        <v/>
      </c>
      <c r="EY19" s="940" t="str">
        <f t="shared" si="77"/>
        <v/>
      </c>
      <c r="EZ19" s="940" t="str">
        <f t="shared" si="93"/>
        <v/>
      </c>
      <c r="FA19" s="958" t="str">
        <f t="shared" ca="1" si="98"/>
        <v/>
      </c>
      <c r="FB19" s="134" t="str">
        <f t="shared" ca="1" si="94"/>
        <v/>
      </c>
      <c r="FC19" s="134">
        <f t="shared" ca="1" si="78"/>
        <v>0</v>
      </c>
      <c r="FD19" s="134">
        <f t="shared" ca="1" si="79"/>
        <v>0</v>
      </c>
      <c r="FE19" s="134">
        <f t="shared" ca="1" si="80"/>
        <v>0</v>
      </c>
      <c r="FF19" s="134">
        <f t="shared" ca="1" si="95"/>
        <v>0</v>
      </c>
      <c r="FN19" s="754" t="b">
        <v>0</v>
      </c>
      <c r="FO19" s="754" t="b">
        <f t="shared" si="81"/>
        <v>1</v>
      </c>
      <c r="FP19" s="754" t="b">
        <v>0</v>
      </c>
      <c r="FQ19" s="754" t="b">
        <f t="shared" si="96"/>
        <v>1</v>
      </c>
      <c r="FW19" s="2"/>
      <c r="FX19" s="2"/>
      <c r="FZ19" s="2"/>
      <c r="GA19" s="1761" t="str">
        <f t="shared" si="82"/>
        <v/>
      </c>
      <c r="GB19" s="1762" t="str">
        <f t="shared" si="83"/>
        <v/>
      </c>
      <c r="GC19" s="1763" t="str">
        <f t="shared" si="84"/>
        <v/>
      </c>
      <c r="GD19" s="1764" t="str">
        <f t="shared" si="85"/>
        <v/>
      </c>
      <c r="GE19" s="1765" t="str">
        <f t="shared" si="86"/>
        <v/>
      </c>
      <c r="GF19" s="582" t="str">
        <f t="shared" si="87"/>
        <v/>
      </c>
      <c r="GG19" s="692"/>
      <c r="GH19" s="1135"/>
      <c r="GI19" s="692"/>
      <c r="GJ19" s="1135"/>
      <c r="GK19" s="1640">
        <f t="shared" si="88"/>
        <v>0</v>
      </c>
      <c r="GL19" s="1640" t="e">
        <f t="shared" si="89"/>
        <v>#VALUE!</v>
      </c>
      <c r="GM19" s="1641" t="e">
        <f>IF(ABS(GK19-GL19)&gt;='Job Info.'!$L$22,ABS(GK19-GL19),0)</f>
        <v>#VALUE!</v>
      </c>
      <c r="HA19" s="1241"/>
      <c r="HB19" s="1242"/>
      <c r="HC19" s="1242"/>
      <c r="HD19" s="1243"/>
      <c r="HE19" s="1244"/>
      <c r="HF19" s="1242"/>
      <c r="HG19" s="1242"/>
      <c r="HH19" s="1242"/>
      <c r="HI19" s="1242"/>
      <c r="HJ19" s="1242"/>
      <c r="HK19" s="1242"/>
      <c r="HL19" s="1242"/>
      <c r="HM19" s="1242"/>
      <c r="HN19" s="1242"/>
      <c r="HO19" s="1242"/>
      <c r="HP19" s="1242"/>
      <c r="HQ19" s="1242"/>
      <c r="HR19" s="1242"/>
      <c r="HS19" s="1242"/>
      <c r="HT19" s="1242"/>
      <c r="HU19" s="1242"/>
      <c r="HV19" s="1242"/>
      <c r="HW19" s="1242"/>
      <c r="HX19" s="1242"/>
      <c r="HY19" s="1246"/>
      <c r="HZ19" s="1246"/>
      <c r="IA19" s="1246"/>
      <c r="IB19" s="1246"/>
      <c r="IC19" s="1246"/>
      <c r="ID19" s="1261"/>
      <c r="IE19" s="1241"/>
      <c r="IF19" s="1242"/>
      <c r="IG19" s="1243"/>
      <c r="IH19" s="1244"/>
      <c r="II19" s="1242"/>
      <c r="IJ19" s="1243"/>
      <c r="IK19" s="1244"/>
      <c r="IL19" s="1242"/>
      <c r="IM19" s="1242"/>
      <c r="IN19" s="1242"/>
      <c r="IO19" s="1242"/>
      <c r="IP19" s="1242"/>
      <c r="IQ19" s="1242"/>
      <c r="IR19" s="1242"/>
      <c r="IS19" s="1243"/>
      <c r="IT19" s="1244"/>
      <c r="IU19" s="1242"/>
      <c r="IV19" s="1242"/>
      <c r="IW19" s="1243"/>
      <c r="IX19" s="1244"/>
      <c r="IY19" s="1242"/>
      <c r="IZ19" s="1242"/>
      <c r="JA19" s="1243"/>
      <c r="JB19" s="1244"/>
      <c r="JC19" s="1242"/>
      <c r="JD19" s="1242"/>
      <c r="JE19" s="1243"/>
      <c r="JF19" s="1244"/>
      <c r="JG19" s="1242"/>
      <c r="JH19" s="1242"/>
      <c r="JI19" s="1242"/>
      <c r="JJ19" s="1245"/>
      <c r="JK19" s="1242"/>
      <c r="JL19" s="1171">
        <f t="shared" ca="1" si="99"/>
        <v>0</v>
      </c>
    </row>
    <row r="20" spans="1:272" ht="12.6" customHeight="1" x14ac:dyDescent="0.25">
      <c r="A20" s="1448" t="str">
        <f t="shared" si="0"/>
        <v/>
      </c>
      <c r="B20" s="1681" t="str">
        <f t="shared" si="1"/>
        <v/>
      </c>
      <c r="C20" s="1449" t="str">
        <f t="shared" si="2"/>
        <v/>
      </c>
      <c r="D20" s="1705" t="str">
        <f t="shared" si="3"/>
        <v/>
      </c>
      <c r="E20" s="1706" t="str">
        <f t="shared" si="4"/>
        <v/>
      </c>
      <c r="F20" s="1707" t="str">
        <f t="shared" si="5"/>
        <v/>
      </c>
      <c r="G20" s="1708" t="str">
        <f t="shared" si="6"/>
        <v/>
      </c>
      <c r="H20" s="1709" t="str">
        <f t="shared" si="7"/>
        <v/>
      </c>
      <c r="I20" s="1710" t="str">
        <f t="shared" si="8"/>
        <v/>
      </c>
      <c r="J20" s="1705" t="str">
        <f t="shared" si="9"/>
        <v/>
      </c>
      <c r="K20" s="1709" t="str">
        <f t="shared" si="10"/>
        <v/>
      </c>
      <c r="L20" s="1711" t="str">
        <f t="shared" si="11"/>
        <v/>
      </c>
      <c r="M20" s="1712" t="str">
        <f t="shared" si="12"/>
        <v/>
      </c>
      <c r="N20" s="1713" t="str">
        <f t="shared" si="12"/>
        <v/>
      </c>
      <c r="O20" s="1708" t="str">
        <f t="shared" si="13"/>
        <v/>
      </c>
      <c r="P20" s="1709" t="str">
        <f t="shared" si="14"/>
        <v/>
      </c>
      <c r="Q20" s="1705" t="str">
        <f t="shared" si="15"/>
        <v/>
      </c>
      <c r="R20" s="1706" t="str">
        <f t="shared" si="16"/>
        <v/>
      </c>
      <c r="S20" s="1714" t="str">
        <f t="shared" si="17"/>
        <v/>
      </c>
      <c r="T20" s="1709" t="str">
        <f t="shared" si="18"/>
        <v/>
      </c>
      <c r="U20" s="1705" t="str">
        <f t="shared" si="19"/>
        <v/>
      </c>
      <c r="V20" s="1709" t="str">
        <f t="shared" si="20"/>
        <v/>
      </c>
      <c r="W20" s="1713">
        <f t="shared" si="21"/>
        <v>0</v>
      </c>
      <c r="X20" s="1715" t="str">
        <f t="shared" si="22"/>
        <v/>
      </c>
      <c r="Y20" s="1716" t="str">
        <f t="shared" si="23"/>
        <v/>
      </c>
      <c r="Z20" s="1717" t="str">
        <f t="shared" si="24"/>
        <v/>
      </c>
      <c r="AA20" s="1776" t="str">
        <f t="shared" si="25"/>
        <v/>
      </c>
      <c r="AB20" s="1448" t="str">
        <f t="shared" si="26"/>
        <v/>
      </c>
      <c r="AC20" s="1710" t="str">
        <f t="shared" si="27"/>
        <v/>
      </c>
      <c r="AD20" s="1705" t="str">
        <f t="shared" ca="1" si="28"/>
        <v/>
      </c>
      <c r="AE20" s="1709" t="str">
        <f t="shared" ca="1" si="29"/>
        <v/>
      </c>
      <c r="AF20" s="1710" t="str">
        <f t="shared" ca="1" si="30"/>
        <v/>
      </c>
      <c r="AG20" s="1705" t="str">
        <f t="shared" ca="1" si="31"/>
        <v/>
      </c>
      <c r="AH20" s="1709" t="str">
        <f t="shared" ca="1" si="32"/>
        <v/>
      </c>
      <c r="AI20" s="1705" t="str">
        <f t="shared" ca="1" si="33"/>
        <v/>
      </c>
      <c r="AJ20" s="1709" t="str">
        <f t="shared" ca="1" si="34"/>
        <v/>
      </c>
      <c r="AK20" s="1747" t="str">
        <f t="shared" si="35"/>
        <v/>
      </c>
      <c r="AL20" s="1748" t="str">
        <f t="shared" si="36"/>
        <v/>
      </c>
      <c r="AM20" s="1749" t="str">
        <f t="shared" si="35"/>
        <v/>
      </c>
      <c r="AN20" s="1710" t="str">
        <f t="shared" si="35"/>
        <v/>
      </c>
      <c r="AO20" s="1713" t="str">
        <f t="shared" si="35"/>
        <v/>
      </c>
      <c r="AP20" s="1712" t="str">
        <f t="shared" si="37"/>
        <v/>
      </c>
      <c r="AQ20" s="1751" t="str">
        <f t="shared" si="38"/>
        <v/>
      </c>
      <c r="AR20" s="1708" t="str">
        <f t="shared" si="39"/>
        <v/>
      </c>
      <c r="AS20" s="1709" t="str">
        <f t="shared" si="40"/>
        <v/>
      </c>
      <c r="AT20" s="1752" t="str">
        <f t="shared" si="41"/>
        <v/>
      </c>
      <c r="AU20" s="1753" t="str">
        <f t="shared" si="42"/>
        <v/>
      </c>
      <c r="AV20" s="1714" t="str">
        <f t="shared" si="43"/>
        <v/>
      </c>
      <c r="AW20" s="1709" t="str">
        <f t="shared" si="44"/>
        <v/>
      </c>
      <c r="AX20" s="1752" t="str">
        <f t="shared" si="45"/>
        <v/>
      </c>
      <c r="AY20" s="1753" t="str">
        <f t="shared" si="46"/>
        <v/>
      </c>
      <c r="AZ20" s="1714" t="str">
        <f t="shared" si="47"/>
        <v/>
      </c>
      <c r="BA20" s="1709" t="str">
        <f t="shared" si="48"/>
        <v/>
      </c>
      <c r="BB20" s="1752" t="str">
        <f t="shared" si="49"/>
        <v/>
      </c>
      <c r="BC20" s="1753" t="str">
        <f t="shared" si="50"/>
        <v/>
      </c>
      <c r="BD20" s="1714" t="str">
        <f t="shared" si="51"/>
        <v/>
      </c>
      <c r="BE20" s="1709" t="str">
        <f t="shared" si="52"/>
        <v/>
      </c>
      <c r="BF20" s="1752" t="str">
        <f t="shared" si="53"/>
        <v/>
      </c>
      <c r="BG20" s="1753" t="str">
        <f t="shared" si="54"/>
        <v/>
      </c>
      <c r="BH20" s="1416"/>
      <c r="BJ20" s="995" t="str">
        <f t="shared" si="97"/>
        <v/>
      </c>
      <c r="BK20" s="993" t="b">
        <f t="shared" si="55"/>
        <v>0</v>
      </c>
      <c r="BL20" s="989" t="b">
        <v>0</v>
      </c>
      <c r="BM20" s="989">
        <f t="shared" si="56"/>
        <v>0</v>
      </c>
      <c r="BN20" s="989">
        <f t="shared" si="57"/>
        <v>0</v>
      </c>
      <c r="BO20" s="989">
        <f t="shared" si="58"/>
        <v>0</v>
      </c>
      <c r="BP20" s="989">
        <f t="shared" si="59"/>
        <v>0</v>
      </c>
      <c r="BQ20" s="989">
        <f t="shared" si="60"/>
        <v>0</v>
      </c>
      <c r="BR20" s="989" t="b">
        <f t="shared" si="61"/>
        <v>1</v>
      </c>
      <c r="BS20" s="1302">
        <f t="shared" si="62"/>
        <v>6</v>
      </c>
      <c r="BT20" s="990" t="str">
        <f t="shared" si="63"/>
        <v>No</v>
      </c>
      <c r="BU20" s="1302">
        <f t="shared" si="64"/>
        <v>6</v>
      </c>
      <c r="BV20" s="990" t="str">
        <f t="shared" si="65"/>
        <v>No</v>
      </c>
      <c r="BW20" s="991">
        <f t="shared" ca="1" si="66"/>
        <v>0</v>
      </c>
      <c r="BX20" s="991" t="str">
        <f t="shared" ca="1" si="67"/>
        <v/>
      </c>
      <c r="BY20" s="991" t="b">
        <f t="shared" ca="1" si="68"/>
        <v>0</v>
      </c>
      <c r="BZ20" s="991" t="b">
        <f t="shared" si="90"/>
        <v>0</v>
      </c>
      <c r="CB20" s="672"/>
      <c r="CC20" s="1684"/>
      <c r="CD20" s="699"/>
      <c r="CE20" s="700"/>
      <c r="CF20" s="701"/>
      <c r="CG20" s="672"/>
      <c r="CH20" s="713"/>
      <c r="CI20" s="714"/>
      <c r="CJ20" s="713"/>
      <c r="CK20" s="714"/>
      <c r="CL20" s="715"/>
      <c r="CM20" s="743"/>
      <c r="CN20" s="738"/>
      <c r="CO20" s="1551"/>
      <c r="CP20" s="910"/>
      <c r="CQ20" s="672"/>
      <c r="CR20" s="713"/>
      <c r="CS20" s="714"/>
      <c r="CT20" s="713"/>
      <c r="CU20" s="714"/>
      <c r="CV20" s="715"/>
      <c r="CW20" s="743"/>
      <c r="CX20" s="738"/>
      <c r="CY20" s="1551"/>
      <c r="CZ20" s="910"/>
      <c r="DA20" s="717"/>
      <c r="DB20" s="702"/>
      <c r="DC20" s="703"/>
      <c r="DD20" s="725"/>
      <c r="DE20" s="726"/>
      <c r="DF20" s="141"/>
      <c r="DG20" s="141"/>
      <c r="DH20" s="672"/>
      <c r="DI20" s="673"/>
      <c r="DJ20" s="692"/>
      <c r="DK20" s="1331"/>
      <c r="DL20" s="674"/>
      <c r="DM20" s="693"/>
      <c r="DN20" s="1334"/>
      <c r="DO20" s="675"/>
      <c r="DP20" s="676"/>
      <c r="DQ20" s="1419"/>
      <c r="DR20" s="677"/>
      <c r="DS20" s="1419"/>
      <c r="DT20" s="1421"/>
      <c r="DU20" s="1422"/>
      <c r="DV20" s="678"/>
      <c r="DW20" s="1336"/>
      <c r="DX20" s="679"/>
      <c r="DY20" s="674"/>
      <c r="DZ20" s="678"/>
      <c r="EA20" s="1336"/>
      <c r="EB20" s="679"/>
      <c r="EC20" s="674"/>
      <c r="ED20" s="678"/>
      <c r="EE20" s="1336"/>
      <c r="EF20" s="679"/>
      <c r="EG20" s="674"/>
      <c r="EH20" s="678"/>
      <c r="EI20" s="1336"/>
      <c r="EJ20" s="679"/>
      <c r="EK20" s="680"/>
      <c r="EL20" s="241"/>
      <c r="EM20" s="1631" t="str">
        <f t="shared" si="69"/>
        <v/>
      </c>
      <c r="EN20" s="1428" t="str">
        <f t="shared" si="70"/>
        <v/>
      </c>
      <c r="EO20" s="1429" t="str">
        <f t="shared" si="71"/>
        <v/>
      </c>
      <c r="EP20" s="1430" t="str">
        <f t="shared" si="72"/>
        <v/>
      </c>
      <c r="EQ20" s="1434" t="str">
        <f t="shared" si="73"/>
        <v/>
      </c>
      <c r="ER20" s="1440" t="str">
        <f t="shared" si="74"/>
        <v/>
      </c>
      <c r="ES20" s="1441" t="str">
        <f t="shared" si="75"/>
        <v/>
      </c>
      <c r="ET20" s="1442" t="str">
        <f t="shared" si="76"/>
        <v/>
      </c>
      <c r="EU20" s="1443" t="str">
        <f t="shared" si="91"/>
        <v/>
      </c>
      <c r="EX20" s="503" t="str">
        <f t="shared" ca="1" si="92"/>
        <v/>
      </c>
      <c r="EY20" s="940" t="str">
        <f t="shared" si="77"/>
        <v/>
      </c>
      <c r="EZ20" s="940" t="str">
        <f t="shared" si="93"/>
        <v/>
      </c>
      <c r="FA20" s="958" t="str">
        <f t="shared" ca="1" si="98"/>
        <v/>
      </c>
      <c r="FB20" s="134" t="str">
        <f t="shared" ca="1" si="94"/>
        <v/>
      </c>
      <c r="FC20" s="134">
        <f t="shared" ca="1" si="78"/>
        <v>0</v>
      </c>
      <c r="FD20" s="134">
        <f t="shared" ca="1" si="79"/>
        <v>0</v>
      </c>
      <c r="FE20" s="134">
        <f t="shared" ca="1" si="80"/>
        <v>0</v>
      </c>
      <c r="FF20" s="134">
        <f t="shared" ca="1" si="95"/>
        <v>0</v>
      </c>
      <c r="FN20" s="754" t="b">
        <v>0</v>
      </c>
      <c r="FO20" s="754" t="b">
        <f t="shared" si="81"/>
        <v>1</v>
      </c>
      <c r="FP20" s="754" t="b">
        <v>0</v>
      </c>
      <c r="FQ20" s="754" t="b">
        <f t="shared" si="96"/>
        <v>1</v>
      </c>
      <c r="FW20" s="2"/>
      <c r="FX20" s="2"/>
      <c r="FZ20" s="2"/>
      <c r="GA20" s="1761" t="str">
        <f t="shared" si="82"/>
        <v/>
      </c>
      <c r="GB20" s="1762" t="str">
        <f t="shared" si="83"/>
        <v/>
      </c>
      <c r="GC20" s="1763" t="str">
        <f t="shared" si="84"/>
        <v/>
      </c>
      <c r="GD20" s="1764" t="str">
        <f t="shared" si="85"/>
        <v/>
      </c>
      <c r="GE20" s="1765" t="str">
        <f t="shared" si="86"/>
        <v/>
      </c>
      <c r="GF20" s="582" t="str">
        <f t="shared" si="87"/>
        <v/>
      </c>
      <c r="GG20" s="692"/>
      <c r="GH20" s="1135"/>
      <c r="GI20" s="692"/>
      <c r="GJ20" s="1135"/>
      <c r="GK20" s="1640">
        <f t="shared" si="88"/>
        <v>0</v>
      </c>
      <c r="GL20" s="1640" t="e">
        <f t="shared" si="89"/>
        <v>#VALUE!</v>
      </c>
      <c r="GM20" s="1641" t="e">
        <f>IF(ABS(GK20-GL20)&gt;='Job Info.'!$L$22,ABS(GK20-GL20),0)</f>
        <v>#VALUE!</v>
      </c>
      <c r="HA20" s="1241"/>
      <c r="HB20" s="1242"/>
      <c r="HC20" s="1242"/>
      <c r="HD20" s="1243"/>
      <c r="HE20" s="1244"/>
      <c r="HF20" s="1242"/>
      <c r="HG20" s="1242"/>
      <c r="HH20" s="1242"/>
      <c r="HI20" s="1242"/>
      <c r="HJ20" s="1242"/>
      <c r="HK20" s="1242"/>
      <c r="HL20" s="1242"/>
      <c r="HM20" s="1242"/>
      <c r="HN20" s="1242"/>
      <c r="HO20" s="1242"/>
      <c r="HP20" s="1242"/>
      <c r="HQ20" s="1242"/>
      <c r="HR20" s="1242"/>
      <c r="HS20" s="1242"/>
      <c r="HT20" s="1242"/>
      <c r="HU20" s="1242"/>
      <c r="HV20" s="1242"/>
      <c r="HW20" s="1242"/>
      <c r="HX20" s="1242"/>
      <c r="HY20" s="1246"/>
      <c r="HZ20" s="1246"/>
      <c r="IA20" s="1246"/>
      <c r="IB20" s="1246"/>
      <c r="IC20" s="1246"/>
      <c r="ID20" s="1261"/>
      <c r="IE20" s="1241"/>
      <c r="IF20" s="1242"/>
      <c r="IG20" s="1243"/>
      <c r="IH20" s="1244"/>
      <c r="II20" s="1242"/>
      <c r="IJ20" s="1243"/>
      <c r="IK20" s="1244"/>
      <c r="IL20" s="1242"/>
      <c r="IM20" s="1242"/>
      <c r="IN20" s="1242"/>
      <c r="IO20" s="1242"/>
      <c r="IP20" s="1242"/>
      <c r="IQ20" s="1242"/>
      <c r="IR20" s="1242"/>
      <c r="IS20" s="1243"/>
      <c r="IT20" s="1244"/>
      <c r="IU20" s="1242"/>
      <c r="IV20" s="1242"/>
      <c r="IW20" s="1243"/>
      <c r="IX20" s="1244"/>
      <c r="IY20" s="1242"/>
      <c r="IZ20" s="1242"/>
      <c r="JA20" s="1243"/>
      <c r="JB20" s="1244"/>
      <c r="JC20" s="1242"/>
      <c r="JD20" s="1242"/>
      <c r="JE20" s="1243"/>
      <c r="JF20" s="1244"/>
      <c r="JG20" s="1242"/>
      <c r="JH20" s="1242"/>
      <c r="JI20" s="1242"/>
      <c r="JJ20" s="1245"/>
      <c r="JK20" s="1242"/>
      <c r="JL20" s="1171">
        <f t="shared" ca="1" si="99"/>
        <v>0</v>
      </c>
    </row>
    <row r="21" spans="1:272" ht="12.6" customHeight="1" x14ac:dyDescent="0.25">
      <c r="A21" s="1448" t="str">
        <f t="shared" si="0"/>
        <v/>
      </c>
      <c r="B21" s="1681" t="str">
        <f t="shared" si="1"/>
        <v/>
      </c>
      <c r="C21" s="1449" t="str">
        <f t="shared" si="2"/>
        <v/>
      </c>
      <c r="D21" s="1705" t="str">
        <f t="shared" si="3"/>
        <v/>
      </c>
      <c r="E21" s="1706" t="str">
        <f t="shared" si="4"/>
        <v/>
      </c>
      <c r="F21" s="1707" t="str">
        <f t="shared" si="5"/>
        <v/>
      </c>
      <c r="G21" s="1708" t="str">
        <f t="shared" si="6"/>
        <v/>
      </c>
      <c r="H21" s="1709" t="str">
        <f t="shared" si="7"/>
        <v/>
      </c>
      <c r="I21" s="1710" t="str">
        <f t="shared" si="8"/>
        <v/>
      </c>
      <c r="J21" s="1705" t="str">
        <f t="shared" si="9"/>
        <v/>
      </c>
      <c r="K21" s="1709" t="str">
        <f t="shared" si="10"/>
        <v/>
      </c>
      <c r="L21" s="1711" t="str">
        <f t="shared" si="11"/>
        <v/>
      </c>
      <c r="M21" s="1712" t="str">
        <f t="shared" si="12"/>
        <v/>
      </c>
      <c r="N21" s="1713" t="str">
        <f t="shared" si="12"/>
        <v/>
      </c>
      <c r="O21" s="1708" t="str">
        <f t="shared" si="13"/>
        <v/>
      </c>
      <c r="P21" s="1709" t="str">
        <f t="shared" si="14"/>
        <v/>
      </c>
      <c r="Q21" s="1705" t="str">
        <f t="shared" si="15"/>
        <v/>
      </c>
      <c r="R21" s="1706" t="str">
        <f t="shared" si="16"/>
        <v/>
      </c>
      <c r="S21" s="1714" t="str">
        <f t="shared" si="17"/>
        <v/>
      </c>
      <c r="T21" s="1709" t="str">
        <f t="shared" si="18"/>
        <v/>
      </c>
      <c r="U21" s="1705" t="str">
        <f t="shared" si="19"/>
        <v/>
      </c>
      <c r="V21" s="1709" t="str">
        <f t="shared" si="20"/>
        <v/>
      </c>
      <c r="W21" s="1713">
        <f t="shared" si="21"/>
        <v>0</v>
      </c>
      <c r="X21" s="1715" t="str">
        <f t="shared" si="22"/>
        <v/>
      </c>
      <c r="Y21" s="1716" t="str">
        <f t="shared" si="23"/>
        <v/>
      </c>
      <c r="Z21" s="1717" t="str">
        <f t="shared" si="24"/>
        <v/>
      </c>
      <c r="AA21" s="1776" t="str">
        <f t="shared" si="25"/>
        <v/>
      </c>
      <c r="AB21" s="1448" t="str">
        <f t="shared" si="26"/>
        <v/>
      </c>
      <c r="AC21" s="1710" t="str">
        <f t="shared" si="27"/>
        <v/>
      </c>
      <c r="AD21" s="1705" t="str">
        <f t="shared" ca="1" si="28"/>
        <v/>
      </c>
      <c r="AE21" s="1709" t="str">
        <f t="shared" ca="1" si="29"/>
        <v/>
      </c>
      <c r="AF21" s="1710" t="str">
        <f t="shared" ca="1" si="30"/>
        <v/>
      </c>
      <c r="AG21" s="1705" t="str">
        <f t="shared" ca="1" si="31"/>
        <v/>
      </c>
      <c r="AH21" s="1709" t="str">
        <f t="shared" ca="1" si="32"/>
        <v/>
      </c>
      <c r="AI21" s="1705" t="str">
        <f t="shared" ca="1" si="33"/>
        <v/>
      </c>
      <c r="AJ21" s="1709" t="str">
        <f t="shared" ca="1" si="34"/>
        <v/>
      </c>
      <c r="AK21" s="1747" t="str">
        <f t="shared" si="35"/>
        <v/>
      </c>
      <c r="AL21" s="1748" t="str">
        <f t="shared" si="36"/>
        <v/>
      </c>
      <c r="AM21" s="1749" t="str">
        <f t="shared" si="35"/>
        <v/>
      </c>
      <c r="AN21" s="1710" t="str">
        <f t="shared" si="35"/>
        <v/>
      </c>
      <c r="AO21" s="1713" t="str">
        <f t="shared" si="35"/>
        <v/>
      </c>
      <c r="AP21" s="1712" t="str">
        <f t="shared" si="37"/>
        <v/>
      </c>
      <c r="AQ21" s="1751" t="str">
        <f t="shared" si="38"/>
        <v/>
      </c>
      <c r="AR21" s="1708" t="str">
        <f t="shared" si="39"/>
        <v/>
      </c>
      <c r="AS21" s="1709" t="str">
        <f t="shared" si="40"/>
        <v/>
      </c>
      <c r="AT21" s="1752" t="str">
        <f t="shared" si="41"/>
        <v/>
      </c>
      <c r="AU21" s="1753" t="str">
        <f t="shared" si="42"/>
        <v/>
      </c>
      <c r="AV21" s="1714" t="str">
        <f t="shared" si="43"/>
        <v/>
      </c>
      <c r="AW21" s="1709" t="str">
        <f t="shared" si="44"/>
        <v/>
      </c>
      <c r="AX21" s="1752" t="str">
        <f t="shared" si="45"/>
        <v/>
      </c>
      <c r="AY21" s="1753" t="str">
        <f t="shared" si="46"/>
        <v/>
      </c>
      <c r="AZ21" s="1714" t="str">
        <f t="shared" si="47"/>
        <v/>
      </c>
      <c r="BA21" s="1709" t="str">
        <f t="shared" si="48"/>
        <v/>
      </c>
      <c r="BB21" s="1752" t="str">
        <f t="shared" si="49"/>
        <v/>
      </c>
      <c r="BC21" s="1753" t="str">
        <f t="shared" si="50"/>
        <v/>
      </c>
      <c r="BD21" s="1714" t="str">
        <f t="shared" si="51"/>
        <v/>
      </c>
      <c r="BE21" s="1709" t="str">
        <f t="shared" si="52"/>
        <v/>
      </c>
      <c r="BF21" s="1752" t="str">
        <f t="shared" si="53"/>
        <v/>
      </c>
      <c r="BG21" s="1753" t="str">
        <f t="shared" si="54"/>
        <v/>
      </c>
      <c r="BH21" s="1416"/>
      <c r="BJ21" s="995" t="str">
        <f t="shared" si="97"/>
        <v/>
      </c>
      <c r="BK21" s="993" t="b">
        <f t="shared" si="55"/>
        <v>0</v>
      </c>
      <c r="BL21" s="989" t="b">
        <v>0</v>
      </c>
      <c r="BM21" s="989">
        <f t="shared" si="56"/>
        <v>0</v>
      </c>
      <c r="BN21" s="989">
        <f t="shared" si="57"/>
        <v>0</v>
      </c>
      <c r="BO21" s="989">
        <f t="shared" si="58"/>
        <v>0</v>
      </c>
      <c r="BP21" s="989">
        <f t="shared" si="59"/>
        <v>0</v>
      </c>
      <c r="BQ21" s="989">
        <f t="shared" si="60"/>
        <v>0</v>
      </c>
      <c r="BR21" s="989" t="b">
        <f t="shared" si="61"/>
        <v>1</v>
      </c>
      <c r="BS21" s="1302">
        <f t="shared" si="62"/>
        <v>6</v>
      </c>
      <c r="BT21" s="990" t="str">
        <f t="shared" si="63"/>
        <v>No</v>
      </c>
      <c r="BU21" s="1302">
        <f t="shared" si="64"/>
        <v>6</v>
      </c>
      <c r="BV21" s="990" t="str">
        <f t="shared" si="65"/>
        <v>No</v>
      </c>
      <c r="BW21" s="991">
        <f t="shared" ca="1" si="66"/>
        <v>0</v>
      </c>
      <c r="BX21" s="991" t="str">
        <f t="shared" ca="1" si="67"/>
        <v/>
      </c>
      <c r="BY21" s="991" t="b">
        <f t="shared" ca="1" si="68"/>
        <v>0</v>
      </c>
      <c r="BZ21" s="991" t="b">
        <f t="shared" si="90"/>
        <v>0</v>
      </c>
      <c r="CB21" s="672"/>
      <c r="CC21" s="1684"/>
      <c r="CD21" s="699"/>
      <c r="CE21" s="700"/>
      <c r="CF21" s="701"/>
      <c r="CG21" s="672"/>
      <c r="CH21" s="713"/>
      <c r="CI21" s="714"/>
      <c r="CJ21" s="713"/>
      <c r="CK21" s="714"/>
      <c r="CL21" s="715"/>
      <c r="CM21" s="743"/>
      <c r="CN21" s="738"/>
      <c r="CO21" s="1551"/>
      <c r="CP21" s="910"/>
      <c r="CQ21" s="672"/>
      <c r="CR21" s="713"/>
      <c r="CS21" s="714"/>
      <c r="CT21" s="713"/>
      <c r="CU21" s="714"/>
      <c r="CV21" s="715"/>
      <c r="CW21" s="743"/>
      <c r="CX21" s="738"/>
      <c r="CY21" s="1551"/>
      <c r="CZ21" s="910"/>
      <c r="DA21" s="717"/>
      <c r="DB21" s="702"/>
      <c r="DC21" s="703"/>
      <c r="DD21" s="725"/>
      <c r="DE21" s="726"/>
      <c r="DF21" s="141"/>
      <c r="DG21" s="141"/>
      <c r="DH21" s="672"/>
      <c r="DI21" s="673"/>
      <c r="DJ21" s="692"/>
      <c r="DK21" s="1331"/>
      <c r="DL21" s="674"/>
      <c r="DM21" s="693"/>
      <c r="DN21" s="1334"/>
      <c r="DO21" s="675"/>
      <c r="DP21" s="676"/>
      <c r="DQ21" s="1419"/>
      <c r="DR21" s="677"/>
      <c r="DS21" s="1419"/>
      <c r="DT21" s="1421"/>
      <c r="DU21" s="1422"/>
      <c r="DV21" s="678"/>
      <c r="DW21" s="1336"/>
      <c r="DX21" s="679"/>
      <c r="DY21" s="674"/>
      <c r="DZ21" s="678"/>
      <c r="EA21" s="1336"/>
      <c r="EB21" s="679"/>
      <c r="EC21" s="674"/>
      <c r="ED21" s="678"/>
      <c r="EE21" s="1336"/>
      <c r="EF21" s="679"/>
      <c r="EG21" s="674"/>
      <c r="EH21" s="678"/>
      <c r="EI21" s="1336"/>
      <c r="EJ21" s="679"/>
      <c r="EK21" s="680"/>
      <c r="EL21" s="241"/>
      <c r="EM21" s="1631" t="str">
        <f t="shared" si="69"/>
        <v/>
      </c>
      <c r="EN21" s="1428" t="str">
        <f t="shared" si="70"/>
        <v/>
      </c>
      <c r="EO21" s="1429" t="str">
        <f t="shared" si="71"/>
        <v/>
      </c>
      <c r="EP21" s="1430" t="str">
        <f t="shared" si="72"/>
        <v/>
      </c>
      <c r="EQ21" s="1434" t="str">
        <f t="shared" si="73"/>
        <v/>
      </c>
      <c r="ER21" s="1440" t="str">
        <f t="shared" si="74"/>
        <v/>
      </c>
      <c r="ES21" s="1441" t="str">
        <f t="shared" si="75"/>
        <v/>
      </c>
      <c r="ET21" s="1442" t="str">
        <f t="shared" si="76"/>
        <v/>
      </c>
      <c r="EU21" s="1443" t="str">
        <f t="shared" si="91"/>
        <v/>
      </c>
      <c r="EX21" s="503" t="str">
        <f t="shared" ca="1" si="92"/>
        <v/>
      </c>
      <c r="EY21" s="940" t="str">
        <f t="shared" si="77"/>
        <v/>
      </c>
      <c r="EZ21" s="940" t="str">
        <f t="shared" si="93"/>
        <v/>
      </c>
      <c r="FA21" s="958" t="str">
        <f t="shared" ca="1" si="98"/>
        <v/>
      </c>
      <c r="FB21" s="134" t="str">
        <f t="shared" ca="1" si="94"/>
        <v/>
      </c>
      <c r="FC21" s="134">
        <f t="shared" ca="1" si="78"/>
        <v>0</v>
      </c>
      <c r="FD21" s="134">
        <f t="shared" ca="1" si="79"/>
        <v>0</v>
      </c>
      <c r="FE21" s="134">
        <f t="shared" ca="1" si="80"/>
        <v>0</v>
      </c>
      <c r="FF21" s="134">
        <f t="shared" ca="1" si="95"/>
        <v>0</v>
      </c>
      <c r="FN21" s="754" t="b">
        <v>0</v>
      </c>
      <c r="FO21" s="754" t="b">
        <f t="shared" si="81"/>
        <v>1</v>
      </c>
      <c r="FP21" s="754" t="b">
        <v>0</v>
      </c>
      <c r="FQ21" s="754" t="b">
        <f t="shared" si="96"/>
        <v>1</v>
      </c>
      <c r="FW21" s="23"/>
      <c r="FX21" s="23"/>
      <c r="FZ21" s="23"/>
      <c r="GA21" s="1761" t="str">
        <f t="shared" si="82"/>
        <v/>
      </c>
      <c r="GB21" s="1762" t="str">
        <f t="shared" si="83"/>
        <v/>
      </c>
      <c r="GC21" s="1763" t="str">
        <f t="shared" si="84"/>
        <v/>
      </c>
      <c r="GD21" s="1764" t="str">
        <f t="shared" si="85"/>
        <v/>
      </c>
      <c r="GE21" s="1765" t="str">
        <f t="shared" si="86"/>
        <v/>
      </c>
      <c r="GF21" s="582" t="str">
        <f t="shared" si="87"/>
        <v/>
      </c>
      <c r="GG21" s="692"/>
      <c r="GH21" s="1135"/>
      <c r="GI21" s="692"/>
      <c r="GJ21" s="1135"/>
      <c r="GK21" s="1640">
        <f t="shared" si="88"/>
        <v>0</v>
      </c>
      <c r="GL21" s="1640" t="e">
        <f t="shared" si="89"/>
        <v>#VALUE!</v>
      </c>
      <c r="GM21" s="1641" t="e">
        <f>IF(ABS(GK21-GL21)&gt;='Job Info.'!$L$22,ABS(GK21-GL21),0)</f>
        <v>#VALUE!</v>
      </c>
      <c r="HA21" s="1241"/>
      <c r="HB21" s="1242"/>
      <c r="HC21" s="1242"/>
      <c r="HD21" s="1243"/>
      <c r="HE21" s="1244"/>
      <c r="HF21" s="1242"/>
      <c r="HG21" s="1242"/>
      <c r="HH21" s="1242"/>
      <c r="HI21" s="1242"/>
      <c r="HJ21" s="1242"/>
      <c r="HK21" s="1242"/>
      <c r="HL21" s="1242"/>
      <c r="HM21" s="1242"/>
      <c r="HN21" s="1242"/>
      <c r="HO21" s="1242"/>
      <c r="HP21" s="1242"/>
      <c r="HQ21" s="1242"/>
      <c r="HR21" s="1242"/>
      <c r="HS21" s="1242"/>
      <c r="HT21" s="1242"/>
      <c r="HU21" s="1242"/>
      <c r="HV21" s="1242"/>
      <c r="HW21" s="1242"/>
      <c r="HX21" s="1242"/>
      <c r="HY21" s="1246"/>
      <c r="HZ21" s="1246"/>
      <c r="IA21" s="1246"/>
      <c r="IB21" s="1246"/>
      <c r="IC21" s="1246"/>
      <c r="ID21" s="1261"/>
      <c r="IE21" s="1241"/>
      <c r="IF21" s="1242"/>
      <c r="IG21" s="1243"/>
      <c r="IH21" s="1244"/>
      <c r="II21" s="1242"/>
      <c r="IJ21" s="1243"/>
      <c r="IK21" s="1244"/>
      <c r="IL21" s="1242"/>
      <c r="IM21" s="1242"/>
      <c r="IN21" s="1242"/>
      <c r="IO21" s="1242"/>
      <c r="IP21" s="1242"/>
      <c r="IQ21" s="1242"/>
      <c r="IR21" s="1242"/>
      <c r="IS21" s="1243"/>
      <c r="IT21" s="1244"/>
      <c r="IU21" s="1242"/>
      <c r="IV21" s="1242"/>
      <c r="IW21" s="1243"/>
      <c r="IX21" s="1244"/>
      <c r="IY21" s="1242"/>
      <c r="IZ21" s="1242"/>
      <c r="JA21" s="1243"/>
      <c r="JB21" s="1244"/>
      <c r="JC21" s="1242"/>
      <c r="JD21" s="1242"/>
      <c r="JE21" s="1243"/>
      <c r="JF21" s="1244"/>
      <c r="JG21" s="1242"/>
      <c r="JH21" s="1242"/>
      <c r="JI21" s="1242"/>
      <c r="JJ21" s="1245"/>
      <c r="JK21" s="1242"/>
      <c r="JL21" s="1171">
        <f t="shared" ca="1" si="99"/>
        <v>0</v>
      </c>
    </row>
    <row r="22" spans="1:272" ht="12.6" customHeight="1" x14ac:dyDescent="0.25">
      <c r="A22" s="1448" t="str">
        <f t="shared" si="0"/>
        <v/>
      </c>
      <c r="B22" s="1681" t="str">
        <f t="shared" si="1"/>
        <v/>
      </c>
      <c r="C22" s="1449" t="str">
        <f t="shared" si="2"/>
        <v/>
      </c>
      <c r="D22" s="1705" t="str">
        <f t="shared" si="3"/>
        <v/>
      </c>
      <c r="E22" s="1706" t="str">
        <f t="shared" si="4"/>
        <v/>
      </c>
      <c r="F22" s="1707" t="str">
        <f t="shared" si="5"/>
        <v/>
      </c>
      <c r="G22" s="1708" t="str">
        <f t="shared" si="6"/>
        <v/>
      </c>
      <c r="H22" s="1709" t="str">
        <f t="shared" si="7"/>
        <v/>
      </c>
      <c r="I22" s="1710" t="str">
        <f t="shared" si="8"/>
        <v/>
      </c>
      <c r="J22" s="1705" t="str">
        <f t="shared" si="9"/>
        <v/>
      </c>
      <c r="K22" s="1709" t="str">
        <f t="shared" si="10"/>
        <v/>
      </c>
      <c r="L22" s="1711" t="str">
        <f t="shared" si="11"/>
        <v/>
      </c>
      <c r="M22" s="1712" t="str">
        <f t="shared" si="12"/>
        <v/>
      </c>
      <c r="N22" s="1713" t="str">
        <f t="shared" si="12"/>
        <v/>
      </c>
      <c r="O22" s="1708" t="str">
        <f t="shared" si="13"/>
        <v/>
      </c>
      <c r="P22" s="1709" t="str">
        <f t="shared" si="14"/>
        <v/>
      </c>
      <c r="Q22" s="1705" t="str">
        <f t="shared" si="15"/>
        <v/>
      </c>
      <c r="R22" s="1706" t="str">
        <f t="shared" si="16"/>
        <v/>
      </c>
      <c r="S22" s="1714" t="str">
        <f t="shared" si="17"/>
        <v/>
      </c>
      <c r="T22" s="1709" t="str">
        <f t="shared" si="18"/>
        <v/>
      </c>
      <c r="U22" s="1705" t="str">
        <f t="shared" si="19"/>
        <v/>
      </c>
      <c r="V22" s="1709" t="str">
        <f t="shared" si="20"/>
        <v/>
      </c>
      <c r="W22" s="1713">
        <f t="shared" si="21"/>
        <v>0</v>
      </c>
      <c r="X22" s="1715" t="str">
        <f t="shared" si="22"/>
        <v/>
      </c>
      <c r="Y22" s="1716" t="str">
        <f t="shared" si="23"/>
        <v/>
      </c>
      <c r="Z22" s="1717" t="str">
        <f t="shared" si="24"/>
        <v/>
      </c>
      <c r="AA22" s="1776" t="str">
        <f t="shared" si="25"/>
        <v/>
      </c>
      <c r="AB22" s="1448" t="str">
        <f t="shared" si="26"/>
        <v/>
      </c>
      <c r="AC22" s="1710" t="str">
        <f t="shared" si="27"/>
        <v/>
      </c>
      <c r="AD22" s="1705" t="str">
        <f t="shared" ca="1" si="28"/>
        <v/>
      </c>
      <c r="AE22" s="1709" t="str">
        <f t="shared" ca="1" si="29"/>
        <v/>
      </c>
      <c r="AF22" s="1710" t="str">
        <f t="shared" ca="1" si="30"/>
        <v/>
      </c>
      <c r="AG22" s="1705" t="str">
        <f t="shared" ca="1" si="31"/>
        <v/>
      </c>
      <c r="AH22" s="1709" t="str">
        <f t="shared" ca="1" si="32"/>
        <v/>
      </c>
      <c r="AI22" s="1705" t="str">
        <f t="shared" ca="1" si="33"/>
        <v/>
      </c>
      <c r="AJ22" s="1709" t="str">
        <f t="shared" ca="1" si="34"/>
        <v/>
      </c>
      <c r="AK22" s="1747" t="str">
        <f t="shared" si="35"/>
        <v/>
      </c>
      <c r="AL22" s="1748" t="str">
        <f t="shared" si="36"/>
        <v/>
      </c>
      <c r="AM22" s="1749" t="str">
        <f t="shared" si="35"/>
        <v/>
      </c>
      <c r="AN22" s="1710" t="str">
        <f t="shared" si="35"/>
        <v/>
      </c>
      <c r="AO22" s="1713" t="str">
        <f t="shared" si="35"/>
        <v/>
      </c>
      <c r="AP22" s="1712" t="str">
        <f t="shared" si="37"/>
        <v/>
      </c>
      <c r="AQ22" s="1751" t="str">
        <f t="shared" si="38"/>
        <v/>
      </c>
      <c r="AR22" s="1708" t="str">
        <f t="shared" si="39"/>
        <v/>
      </c>
      <c r="AS22" s="1709" t="str">
        <f t="shared" si="40"/>
        <v/>
      </c>
      <c r="AT22" s="1752" t="str">
        <f t="shared" si="41"/>
        <v/>
      </c>
      <c r="AU22" s="1753" t="str">
        <f t="shared" si="42"/>
        <v/>
      </c>
      <c r="AV22" s="1714" t="str">
        <f t="shared" si="43"/>
        <v/>
      </c>
      <c r="AW22" s="1709" t="str">
        <f t="shared" si="44"/>
        <v/>
      </c>
      <c r="AX22" s="1752" t="str">
        <f t="shared" si="45"/>
        <v/>
      </c>
      <c r="AY22" s="1753" t="str">
        <f t="shared" si="46"/>
        <v/>
      </c>
      <c r="AZ22" s="1714" t="str">
        <f t="shared" si="47"/>
        <v/>
      </c>
      <c r="BA22" s="1709" t="str">
        <f t="shared" si="48"/>
        <v/>
      </c>
      <c r="BB22" s="1752" t="str">
        <f t="shared" si="49"/>
        <v/>
      </c>
      <c r="BC22" s="1753" t="str">
        <f t="shared" si="50"/>
        <v/>
      </c>
      <c r="BD22" s="1714" t="str">
        <f t="shared" si="51"/>
        <v/>
      </c>
      <c r="BE22" s="1709" t="str">
        <f t="shared" si="52"/>
        <v/>
      </c>
      <c r="BF22" s="1752" t="str">
        <f t="shared" si="53"/>
        <v/>
      </c>
      <c r="BG22" s="1753" t="str">
        <f t="shared" si="54"/>
        <v/>
      </c>
      <c r="BH22" s="1416"/>
      <c r="BJ22" s="995" t="str">
        <f t="shared" si="97"/>
        <v/>
      </c>
      <c r="BK22" s="993" t="b">
        <f t="shared" si="55"/>
        <v>0</v>
      </c>
      <c r="BL22" s="989" t="b">
        <v>0</v>
      </c>
      <c r="BM22" s="989">
        <f t="shared" si="56"/>
        <v>0</v>
      </c>
      <c r="BN22" s="989">
        <f t="shared" si="57"/>
        <v>0</v>
      </c>
      <c r="BO22" s="989">
        <f t="shared" si="58"/>
        <v>0</v>
      </c>
      <c r="BP22" s="989">
        <f t="shared" si="59"/>
        <v>0</v>
      </c>
      <c r="BQ22" s="989">
        <f t="shared" si="60"/>
        <v>0</v>
      </c>
      <c r="BR22" s="989" t="b">
        <f t="shared" si="61"/>
        <v>1</v>
      </c>
      <c r="BS22" s="1302">
        <f t="shared" si="62"/>
        <v>6</v>
      </c>
      <c r="BT22" s="990" t="str">
        <f t="shared" si="63"/>
        <v>No</v>
      </c>
      <c r="BU22" s="1302">
        <f t="shared" si="64"/>
        <v>6</v>
      </c>
      <c r="BV22" s="990" t="str">
        <f t="shared" si="65"/>
        <v>No</v>
      </c>
      <c r="BW22" s="991">
        <f t="shared" ca="1" si="66"/>
        <v>0</v>
      </c>
      <c r="BX22" s="991" t="str">
        <f t="shared" ca="1" si="67"/>
        <v/>
      </c>
      <c r="BY22" s="991" t="b">
        <f t="shared" ca="1" si="68"/>
        <v>0</v>
      </c>
      <c r="BZ22" s="991" t="b">
        <f t="shared" si="90"/>
        <v>0</v>
      </c>
      <c r="CB22" s="672"/>
      <c r="CC22" s="1684"/>
      <c r="CD22" s="699"/>
      <c r="CE22" s="700"/>
      <c r="CF22" s="701"/>
      <c r="CG22" s="672"/>
      <c r="CH22" s="713"/>
      <c r="CI22" s="714"/>
      <c r="CJ22" s="713"/>
      <c r="CK22" s="714"/>
      <c r="CL22" s="715"/>
      <c r="CM22" s="743"/>
      <c r="CN22" s="738"/>
      <c r="CO22" s="1551"/>
      <c r="CP22" s="910"/>
      <c r="CQ22" s="672"/>
      <c r="CR22" s="713"/>
      <c r="CS22" s="714"/>
      <c r="CT22" s="713"/>
      <c r="CU22" s="714"/>
      <c r="CV22" s="715"/>
      <c r="CW22" s="743"/>
      <c r="CX22" s="738"/>
      <c r="CY22" s="1551"/>
      <c r="CZ22" s="910"/>
      <c r="DA22" s="717"/>
      <c r="DB22" s="702"/>
      <c r="DC22" s="703"/>
      <c r="DD22" s="725"/>
      <c r="DE22" s="726"/>
      <c r="DF22" s="141"/>
      <c r="DG22" s="141"/>
      <c r="DH22" s="672"/>
      <c r="DI22" s="673"/>
      <c r="DJ22" s="692"/>
      <c r="DK22" s="1331"/>
      <c r="DL22" s="674"/>
      <c r="DM22" s="693"/>
      <c r="DN22" s="1334"/>
      <c r="DO22" s="675"/>
      <c r="DP22" s="676"/>
      <c r="DQ22" s="1419"/>
      <c r="DR22" s="677"/>
      <c r="DS22" s="1419"/>
      <c r="DT22" s="1421"/>
      <c r="DU22" s="1422"/>
      <c r="DV22" s="678"/>
      <c r="DW22" s="1336"/>
      <c r="DX22" s="679"/>
      <c r="DY22" s="674"/>
      <c r="DZ22" s="678"/>
      <c r="EA22" s="1336"/>
      <c r="EB22" s="679"/>
      <c r="EC22" s="674"/>
      <c r="ED22" s="678"/>
      <c r="EE22" s="1336"/>
      <c r="EF22" s="679"/>
      <c r="EG22" s="674"/>
      <c r="EH22" s="678"/>
      <c r="EI22" s="1336"/>
      <c r="EJ22" s="679"/>
      <c r="EK22" s="680"/>
      <c r="EL22" s="241"/>
      <c r="EM22" s="1631" t="str">
        <f t="shared" si="69"/>
        <v/>
      </c>
      <c r="EN22" s="1428" t="str">
        <f t="shared" si="70"/>
        <v/>
      </c>
      <c r="EO22" s="1429" t="str">
        <f t="shared" si="71"/>
        <v/>
      </c>
      <c r="EP22" s="1430" t="str">
        <f t="shared" si="72"/>
        <v/>
      </c>
      <c r="EQ22" s="1434" t="str">
        <f t="shared" si="73"/>
        <v/>
      </c>
      <c r="ER22" s="1440" t="str">
        <f t="shared" si="74"/>
        <v/>
      </c>
      <c r="ES22" s="1441" t="str">
        <f t="shared" si="75"/>
        <v/>
      </c>
      <c r="ET22" s="1442" t="str">
        <f t="shared" si="76"/>
        <v/>
      </c>
      <c r="EU22" s="1443" t="str">
        <f t="shared" si="91"/>
        <v/>
      </c>
      <c r="EX22" s="503" t="str">
        <f t="shared" ca="1" si="92"/>
        <v/>
      </c>
      <c r="EY22" s="940" t="str">
        <f t="shared" si="77"/>
        <v/>
      </c>
      <c r="EZ22" s="940" t="str">
        <f t="shared" si="93"/>
        <v/>
      </c>
      <c r="FA22" s="958" t="str">
        <f t="shared" ca="1" si="98"/>
        <v/>
      </c>
      <c r="FB22" s="134" t="str">
        <f t="shared" ca="1" si="94"/>
        <v/>
      </c>
      <c r="FC22" s="134">
        <f t="shared" ca="1" si="78"/>
        <v>0</v>
      </c>
      <c r="FD22" s="134">
        <f t="shared" ca="1" si="79"/>
        <v>0</v>
      </c>
      <c r="FE22" s="134">
        <f t="shared" ca="1" si="80"/>
        <v>0</v>
      </c>
      <c r="FF22" s="134">
        <f t="shared" ca="1" si="95"/>
        <v>0</v>
      </c>
      <c r="FN22" s="754" t="b">
        <v>0</v>
      </c>
      <c r="FO22" s="754" t="b">
        <f t="shared" si="81"/>
        <v>1</v>
      </c>
      <c r="FP22" s="754" t="b">
        <v>0</v>
      </c>
      <c r="FQ22" s="754" t="b">
        <f t="shared" si="96"/>
        <v>1</v>
      </c>
      <c r="FW22" s="23"/>
      <c r="FX22" s="23"/>
      <c r="FZ22" s="23"/>
      <c r="GA22" s="1761" t="str">
        <f t="shared" si="82"/>
        <v/>
      </c>
      <c r="GB22" s="1762" t="str">
        <f t="shared" si="83"/>
        <v/>
      </c>
      <c r="GC22" s="1763" t="str">
        <f t="shared" si="84"/>
        <v/>
      </c>
      <c r="GD22" s="1764" t="str">
        <f t="shared" si="85"/>
        <v/>
      </c>
      <c r="GE22" s="1765" t="str">
        <f t="shared" si="86"/>
        <v/>
      </c>
      <c r="GF22" s="582" t="str">
        <f t="shared" si="87"/>
        <v/>
      </c>
      <c r="GG22" s="692"/>
      <c r="GH22" s="1135"/>
      <c r="GI22" s="692"/>
      <c r="GJ22" s="1135"/>
      <c r="GK22" s="1640">
        <f t="shared" si="88"/>
        <v>0</v>
      </c>
      <c r="GL22" s="1640" t="e">
        <f t="shared" si="89"/>
        <v>#VALUE!</v>
      </c>
      <c r="GM22" s="1641" t="e">
        <f>IF(ABS(GK22-GL22)&gt;='Job Info.'!$L$22,ABS(GK22-GL22),0)</f>
        <v>#VALUE!</v>
      </c>
      <c r="HA22" s="1241"/>
      <c r="HB22" s="1242"/>
      <c r="HC22" s="1242"/>
      <c r="HD22" s="1243"/>
      <c r="HE22" s="1244"/>
      <c r="HF22" s="1242"/>
      <c r="HG22" s="1242"/>
      <c r="HH22" s="1242"/>
      <c r="HI22" s="1242"/>
      <c r="HJ22" s="1242"/>
      <c r="HK22" s="1242"/>
      <c r="HL22" s="1242"/>
      <c r="HM22" s="1242"/>
      <c r="HN22" s="1242"/>
      <c r="HO22" s="1242"/>
      <c r="HP22" s="1242"/>
      <c r="HQ22" s="1242"/>
      <c r="HR22" s="1242"/>
      <c r="HS22" s="1242"/>
      <c r="HT22" s="1242"/>
      <c r="HU22" s="1242"/>
      <c r="HV22" s="1242"/>
      <c r="HW22" s="1242"/>
      <c r="HX22" s="1242"/>
      <c r="HY22" s="1246"/>
      <c r="HZ22" s="1246"/>
      <c r="IA22" s="1246"/>
      <c r="IB22" s="1246"/>
      <c r="IC22" s="1246"/>
      <c r="ID22" s="1261"/>
      <c r="IE22" s="1241"/>
      <c r="IF22" s="1242"/>
      <c r="IG22" s="1243"/>
      <c r="IH22" s="1244"/>
      <c r="II22" s="1242"/>
      <c r="IJ22" s="1243"/>
      <c r="IK22" s="1244"/>
      <c r="IL22" s="1242"/>
      <c r="IM22" s="1242"/>
      <c r="IN22" s="1242"/>
      <c r="IO22" s="1242"/>
      <c r="IP22" s="1242"/>
      <c r="IQ22" s="1242"/>
      <c r="IR22" s="1242"/>
      <c r="IS22" s="1243"/>
      <c r="IT22" s="1244"/>
      <c r="IU22" s="1242"/>
      <c r="IV22" s="1242"/>
      <c r="IW22" s="1243"/>
      <c r="IX22" s="1244"/>
      <c r="IY22" s="1242"/>
      <c r="IZ22" s="1242"/>
      <c r="JA22" s="1243"/>
      <c r="JB22" s="1244"/>
      <c r="JC22" s="1242"/>
      <c r="JD22" s="1242"/>
      <c r="JE22" s="1243"/>
      <c r="JF22" s="1244"/>
      <c r="JG22" s="1242"/>
      <c r="JH22" s="1242"/>
      <c r="JI22" s="1242"/>
      <c r="JJ22" s="1245"/>
      <c r="JK22" s="1242"/>
      <c r="JL22" s="1171">
        <f t="shared" ca="1" si="99"/>
        <v>0</v>
      </c>
    </row>
    <row r="23" spans="1:272" ht="12.6" customHeight="1" x14ac:dyDescent="0.25">
      <c r="A23" s="1448" t="str">
        <f t="shared" si="0"/>
        <v/>
      </c>
      <c r="B23" s="1681" t="str">
        <f t="shared" si="1"/>
        <v/>
      </c>
      <c r="C23" s="1449" t="str">
        <f t="shared" si="2"/>
        <v/>
      </c>
      <c r="D23" s="1705" t="str">
        <f t="shared" si="3"/>
        <v/>
      </c>
      <c r="E23" s="1706" t="str">
        <f t="shared" si="4"/>
        <v/>
      </c>
      <c r="F23" s="1707" t="str">
        <f t="shared" si="5"/>
        <v/>
      </c>
      <c r="G23" s="1708" t="str">
        <f t="shared" si="6"/>
        <v/>
      </c>
      <c r="H23" s="1709" t="str">
        <f t="shared" si="7"/>
        <v/>
      </c>
      <c r="I23" s="1710" t="str">
        <f t="shared" si="8"/>
        <v/>
      </c>
      <c r="J23" s="1705" t="str">
        <f t="shared" si="9"/>
        <v/>
      </c>
      <c r="K23" s="1709" t="str">
        <f t="shared" si="10"/>
        <v/>
      </c>
      <c r="L23" s="1711" t="str">
        <f t="shared" si="11"/>
        <v/>
      </c>
      <c r="M23" s="1712" t="str">
        <f t="shared" si="12"/>
        <v/>
      </c>
      <c r="N23" s="1713" t="str">
        <f t="shared" si="12"/>
        <v/>
      </c>
      <c r="O23" s="1708" t="str">
        <f t="shared" si="13"/>
        <v/>
      </c>
      <c r="P23" s="1709" t="str">
        <f t="shared" si="14"/>
        <v/>
      </c>
      <c r="Q23" s="1705" t="str">
        <f t="shared" si="15"/>
        <v/>
      </c>
      <c r="R23" s="1706" t="str">
        <f t="shared" si="16"/>
        <v/>
      </c>
      <c r="S23" s="1714" t="str">
        <f t="shared" si="17"/>
        <v/>
      </c>
      <c r="T23" s="1709" t="str">
        <f t="shared" si="18"/>
        <v/>
      </c>
      <c r="U23" s="1705" t="str">
        <f t="shared" si="19"/>
        <v/>
      </c>
      <c r="V23" s="1709" t="str">
        <f t="shared" si="20"/>
        <v/>
      </c>
      <c r="W23" s="1713">
        <f t="shared" si="21"/>
        <v>0</v>
      </c>
      <c r="X23" s="1715" t="str">
        <f t="shared" si="22"/>
        <v/>
      </c>
      <c r="Y23" s="1716" t="str">
        <f t="shared" si="23"/>
        <v/>
      </c>
      <c r="Z23" s="1717" t="str">
        <f t="shared" si="24"/>
        <v/>
      </c>
      <c r="AA23" s="1776" t="str">
        <f t="shared" si="25"/>
        <v/>
      </c>
      <c r="AB23" s="1448" t="str">
        <f t="shared" si="26"/>
        <v/>
      </c>
      <c r="AC23" s="1710" t="str">
        <f t="shared" si="27"/>
        <v/>
      </c>
      <c r="AD23" s="1705" t="str">
        <f t="shared" ca="1" si="28"/>
        <v/>
      </c>
      <c r="AE23" s="1709" t="str">
        <f t="shared" ca="1" si="29"/>
        <v/>
      </c>
      <c r="AF23" s="1710" t="str">
        <f t="shared" ca="1" si="30"/>
        <v/>
      </c>
      <c r="AG23" s="1705" t="str">
        <f t="shared" ca="1" si="31"/>
        <v/>
      </c>
      <c r="AH23" s="1709" t="str">
        <f t="shared" ca="1" si="32"/>
        <v/>
      </c>
      <c r="AI23" s="1705" t="str">
        <f t="shared" ca="1" si="33"/>
        <v/>
      </c>
      <c r="AJ23" s="1709" t="str">
        <f t="shared" ca="1" si="34"/>
        <v/>
      </c>
      <c r="AK23" s="1747" t="str">
        <f t="shared" si="35"/>
        <v/>
      </c>
      <c r="AL23" s="1748" t="str">
        <f t="shared" si="36"/>
        <v/>
      </c>
      <c r="AM23" s="1749" t="str">
        <f t="shared" si="35"/>
        <v/>
      </c>
      <c r="AN23" s="1710" t="str">
        <f t="shared" si="35"/>
        <v/>
      </c>
      <c r="AO23" s="1713" t="str">
        <f t="shared" si="35"/>
        <v/>
      </c>
      <c r="AP23" s="1712" t="str">
        <f t="shared" si="37"/>
        <v/>
      </c>
      <c r="AQ23" s="1751" t="str">
        <f t="shared" si="38"/>
        <v/>
      </c>
      <c r="AR23" s="1708" t="str">
        <f t="shared" si="39"/>
        <v/>
      </c>
      <c r="AS23" s="1709" t="str">
        <f t="shared" si="40"/>
        <v/>
      </c>
      <c r="AT23" s="1752" t="str">
        <f t="shared" si="41"/>
        <v/>
      </c>
      <c r="AU23" s="1753" t="str">
        <f t="shared" si="42"/>
        <v/>
      </c>
      <c r="AV23" s="1714" t="str">
        <f t="shared" si="43"/>
        <v/>
      </c>
      <c r="AW23" s="1709" t="str">
        <f t="shared" si="44"/>
        <v/>
      </c>
      <c r="AX23" s="1752" t="str">
        <f t="shared" si="45"/>
        <v/>
      </c>
      <c r="AY23" s="1753" t="str">
        <f t="shared" si="46"/>
        <v/>
      </c>
      <c r="AZ23" s="1714" t="str">
        <f t="shared" si="47"/>
        <v/>
      </c>
      <c r="BA23" s="1709" t="str">
        <f t="shared" si="48"/>
        <v/>
      </c>
      <c r="BB23" s="1752" t="str">
        <f t="shared" si="49"/>
        <v/>
      </c>
      <c r="BC23" s="1753" t="str">
        <f t="shared" si="50"/>
        <v/>
      </c>
      <c r="BD23" s="1714" t="str">
        <f t="shared" si="51"/>
        <v/>
      </c>
      <c r="BE23" s="1709" t="str">
        <f t="shared" si="52"/>
        <v/>
      </c>
      <c r="BF23" s="1752" t="str">
        <f t="shared" si="53"/>
        <v/>
      </c>
      <c r="BG23" s="1753" t="str">
        <f t="shared" si="54"/>
        <v/>
      </c>
      <c r="BH23" s="1416"/>
      <c r="BJ23" s="995" t="str">
        <f t="shared" si="97"/>
        <v/>
      </c>
      <c r="BK23" s="993" t="b">
        <f t="shared" si="55"/>
        <v>0</v>
      </c>
      <c r="BL23" s="989" t="b">
        <v>0</v>
      </c>
      <c r="BM23" s="989">
        <f t="shared" si="56"/>
        <v>0</v>
      </c>
      <c r="BN23" s="989">
        <f t="shared" si="57"/>
        <v>0</v>
      </c>
      <c r="BO23" s="989">
        <f t="shared" si="58"/>
        <v>0</v>
      </c>
      <c r="BP23" s="989">
        <f t="shared" si="59"/>
        <v>0</v>
      </c>
      <c r="BQ23" s="989">
        <f t="shared" si="60"/>
        <v>0</v>
      </c>
      <c r="BR23" s="989" t="b">
        <f t="shared" si="61"/>
        <v>1</v>
      </c>
      <c r="BS23" s="1302">
        <f t="shared" si="62"/>
        <v>6</v>
      </c>
      <c r="BT23" s="990" t="str">
        <f t="shared" si="63"/>
        <v>No</v>
      </c>
      <c r="BU23" s="1302">
        <f t="shared" si="64"/>
        <v>6</v>
      </c>
      <c r="BV23" s="990" t="str">
        <f t="shared" si="65"/>
        <v>No</v>
      </c>
      <c r="BW23" s="991">
        <f t="shared" ca="1" si="66"/>
        <v>0</v>
      </c>
      <c r="BX23" s="991" t="str">
        <f t="shared" ca="1" si="67"/>
        <v/>
      </c>
      <c r="BY23" s="991" t="b">
        <f t="shared" ca="1" si="68"/>
        <v>0</v>
      </c>
      <c r="BZ23" s="991" t="b">
        <f t="shared" si="90"/>
        <v>0</v>
      </c>
      <c r="CB23" s="672"/>
      <c r="CC23" s="1684"/>
      <c r="CD23" s="699"/>
      <c r="CE23" s="700"/>
      <c r="CF23" s="701"/>
      <c r="CG23" s="672"/>
      <c r="CH23" s="713"/>
      <c r="CI23" s="714"/>
      <c r="CJ23" s="713"/>
      <c r="CK23" s="714"/>
      <c r="CL23" s="715"/>
      <c r="CM23" s="743"/>
      <c r="CN23" s="738"/>
      <c r="CO23" s="1551"/>
      <c r="CP23" s="910"/>
      <c r="CQ23" s="672"/>
      <c r="CR23" s="713"/>
      <c r="CS23" s="714"/>
      <c r="CT23" s="713"/>
      <c r="CU23" s="714"/>
      <c r="CV23" s="715"/>
      <c r="CW23" s="743"/>
      <c r="CX23" s="738"/>
      <c r="CY23" s="1551"/>
      <c r="CZ23" s="910"/>
      <c r="DA23" s="717"/>
      <c r="DB23" s="702"/>
      <c r="DC23" s="703"/>
      <c r="DD23" s="725"/>
      <c r="DE23" s="726"/>
      <c r="DF23" s="141"/>
      <c r="DG23" s="141"/>
      <c r="DH23" s="672"/>
      <c r="DI23" s="673"/>
      <c r="DJ23" s="692"/>
      <c r="DK23" s="1331"/>
      <c r="DL23" s="674"/>
      <c r="DM23" s="693"/>
      <c r="DN23" s="1334"/>
      <c r="DO23" s="675"/>
      <c r="DP23" s="676"/>
      <c r="DQ23" s="1419"/>
      <c r="DR23" s="677"/>
      <c r="DS23" s="1419"/>
      <c r="DT23" s="1421"/>
      <c r="DU23" s="1422"/>
      <c r="DV23" s="678"/>
      <c r="DW23" s="1336"/>
      <c r="DX23" s="679"/>
      <c r="DY23" s="674"/>
      <c r="DZ23" s="678"/>
      <c r="EA23" s="1336"/>
      <c r="EB23" s="679"/>
      <c r="EC23" s="674"/>
      <c r="ED23" s="678"/>
      <c r="EE23" s="1336"/>
      <c r="EF23" s="679"/>
      <c r="EG23" s="674"/>
      <c r="EH23" s="678"/>
      <c r="EI23" s="1336"/>
      <c r="EJ23" s="679"/>
      <c r="EK23" s="680"/>
      <c r="EL23" s="241"/>
      <c r="EM23" s="1631" t="str">
        <f t="shared" si="69"/>
        <v/>
      </c>
      <c r="EN23" s="1428" t="str">
        <f t="shared" si="70"/>
        <v/>
      </c>
      <c r="EO23" s="1429" t="str">
        <f t="shared" si="71"/>
        <v/>
      </c>
      <c r="EP23" s="1430" t="str">
        <f t="shared" si="72"/>
        <v/>
      </c>
      <c r="EQ23" s="1434" t="str">
        <f t="shared" si="73"/>
        <v/>
      </c>
      <c r="ER23" s="1440" t="str">
        <f t="shared" si="74"/>
        <v/>
      </c>
      <c r="ES23" s="1441" t="str">
        <f t="shared" si="75"/>
        <v/>
      </c>
      <c r="ET23" s="1442" t="str">
        <f t="shared" si="76"/>
        <v/>
      </c>
      <c r="EU23" s="1443" t="str">
        <f t="shared" si="91"/>
        <v/>
      </c>
      <c r="EX23" s="503" t="str">
        <f t="shared" ca="1" si="92"/>
        <v/>
      </c>
      <c r="EY23" s="940" t="str">
        <f t="shared" si="77"/>
        <v/>
      </c>
      <c r="EZ23" s="940" t="str">
        <f t="shared" si="93"/>
        <v/>
      </c>
      <c r="FA23" s="958" t="str">
        <f t="shared" ca="1" si="98"/>
        <v/>
      </c>
      <c r="FB23" s="134" t="str">
        <f t="shared" ca="1" si="94"/>
        <v/>
      </c>
      <c r="FC23" s="134">
        <f t="shared" ca="1" si="78"/>
        <v>0</v>
      </c>
      <c r="FD23" s="134">
        <f t="shared" ca="1" si="79"/>
        <v>0</v>
      </c>
      <c r="FE23" s="134">
        <f t="shared" ca="1" si="80"/>
        <v>0</v>
      </c>
      <c r="FF23" s="134">
        <f t="shared" ca="1" si="95"/>
        <v>0</v>
      </c>
      <c r="FN23" s="754" t="b">
        <v>0</v>
      </c>
      <c r="FO23" s="754" t="b">
        <f t="shared" si="81"/>
        <v>1</v>
      </c>
      <c r="FP23" s="754" t="b">
        <v>0</v>
      </c>
      <c r="FQ23" s="754" t="b">
        <f t="shared" si="96"/>
        <v>1</v>
      </c>
      <c r="FW23" s="2"/>
      <c r="FX23" s="2"/>
      <c r="FZ23" s="2"/>
      <c r="GA23" s="1761" t="str">
        <f t="shared" si="82"/>
        <v/>
      </c>
      <c r="GB23" s="1762" t="str">
        <f t="shared" si="83"/>
        <v/>
      </c>
      <c r="GC23" s="1763" t="str">
        <f t="shared" si="84"/>
        <v/>
      </c>
      <c r="GD23" s="1764" t="str">
        <f t="shared" si="85"/>
        <v/>
      </c>
      <c r="GE23" s="1765" t="str">
        <f t="shared" si="86"/>
        <v/>
      </c>
      <c r="GF23" s="582" t="str">
        <f t="shared" si="87"/>
        <v/>
      </c>
      <c r="GG23" s="692"/>
      <c r="GH23" s="1135"/>
      <c r="GI23" s="692"/>
      <c r="GJ23" s="1135"/>
      <c r="GK23" s="1640">
        <f t="shared" si="88"/>
        <v>0</v>
      </c>
      <c r="GL23" s="1640" t="e">
        <f t="shared" si="89"/>
        <v>#VALUE!</v>
      </c>
      <c r="GM23" s="1641" t="e">
        <f>IF(ABS(GK23-GL23)&gt;='Job Info.'!$L$22,ABS(GK23-GL23),0)</f>
        <v>#VALUE!</v>
      </c>
      <c r="HA23" s="1241"/>
      <c r="HB23" s="1242"/>
      <c r="HC23" s="1242"/>
      <c r="HD23" s="1243"/>
      <c r="HE23" s="1244"/>
      <c r="HF23" s="1242"/>
      <c r="HG23" s="1242"/>
      <c r="HH23" s="1242"/>
      <c r="HI23" s="1242"/>
      <c r="HJ23" s="1242"/>
      <c r="HK23" s="1242"/>
      <c r="HL23" s="1242"/>
      <c r="HM23" s="1242"/>
      <c r="HN23" s="1242"/>
      <c r="HO23" s="1242"/>
      <c r="HP23" s="1242"/>
      <c r="HQ23" s="1242"/>
      <c r="HR23" s="1242"/>
      <c r="HS23" s="1242"/>
      <c r="HT23" s="1242"/>
      <c r="HU23" s="1242"/>
      <c r="HV23" s="1242"/>
      <c r="HW23" s="1242"/>
      <c r="HX23" s="1242"/>
      <c r="HY23" s="1246"/>
      <c r="HZ23" s="1246"/>
      <c r="IA23" s="1246"/>
      <c r="IB23" s="1246"/>
      <c r="IC23" s="1246"/>
      <c r="ID23" s="1261"/>
      <c r="IE23" s="1241"/>
      <c r="IF23" s="1242"/>
      <c r="IG23" s="1243"/>
      <c r="IH23" s="1244"/>
      <c r="II23" s="1242"/>
      <c r="IJ23" s="1243"/>
      <c r="IK23" s="1244"/>
      <c r="IL23" s="1242"/>
      <c r="IM23" s="1242"/>
      <c r="IN23" s="1242"/>
      <c r="IO23" s="1242"/>
      <c r="IP23" s="1242"/>
      <c r="IQ23" s="1242"/>
      <c r="IR23" s="1242"/>
      <c r="IS23" s="1243"/>
      <c r="IT23" s="1244"/>
      <c r="IU23" s="1242"/>
      <c r="IV23" s="1242"/>
      <c r="IW23" s="1243"/>
      <c r="IX23" s="1244"/>
      <c r="IY23" s="1242"/>
      <c r="IZ23" s="1242"/>
      <c r="JA23" s="1243"/>
      <c r="JB23" s="1244"/>
      <c r="JC23" s="1242"/>
      <c r="JD23" s="1242"/>
      <c r="JE23" s="1243"/>
      <c r="JF23" s="1244"/>
      <c r="JG23" s="1242"/>
      <c r="JH23" s="1242"/>
      <c r="JI23" s="1242"/>
      <c r="JJ23" s="1245"/>
      <c r="JK23" s="1242"/>
      <c r="JL23" s="1171">
        <f t="shared" ca="1" si="99"/>
        <v>0</v>
      </c>
    </row>
    <row r="24" spans="1:272" ht="12.6" customHeight="1" x14ac:dyDescent="0.25">
      <c r="A24" s="1448" t="str">
        <f t="shared" si="0"/>
        <v/>
      </c>
      <c r="B24" s="1681" t="str">
        <f t="shared" si="1"/>
        <v/>
      </c>
      <c r="C24" s="1449" t="str">
        <f t="shared" si="2"/>
        <v/>
      </c>
      <c r="D24" s="1705" t="str">
        <f t="shared" si="3"/>
        <v/>
      </c>
      <c r="E24" s="1706" t="str">
        <f t="shared" si="4"/>
        <v/>
      </c>
      <c r="F24" s="1707" t="str">
        <f t="shared" si="5"/>
        <v/>
      </c>
      <c r="G24" s="1708" t="str">
        <f t="shared" si="6"/>
        <v/>
      </c>
      <c r="H24" s="1709" t="str">
        <f t="shared" si="7"/>
        <v/>
      </c>
      <c r="I24" s="1710" t="str">
        <f t="shared" si="8"/>
        <v/>
      </c>
      <c r="J24" s="1705" t="str">
        <f t="shared" si="9"/>
        <v/>
      </c>
      <c r="K24" s="1709" t="str">
        <f t="shared" si="10"/>
        <v/>
      </c>
      <c r="L24" s="1711" t="str">
        <f t="shared" si="11"/>
        <v/>
      </c>
      <c r="M24" s="1712" t="str">
        <f t="shared" si="12"/>
        <v/>
      </c>
      <c r="N24" s="1713" t="str">
        <f t="shared" si="12"/>
        <v/>
      </c>
      <c r="O24" s="1708" t="str">
        <f t="shared" si="13"/>
        <v/>
      </c>
      <c r="P24" s="1709" t="str">
        <f t="shared" si="14"/>
        <v/>
      </c>
      <c r="Q24" s="1705" t="str">
        <f t="shared" si="15"/>
        <v/>
      </c>
      <c r="R24" s="1706" t="str">
        <f t="shared" si="16"/>
        <v/>
      </c>
      <c r="S24" s="1714" t="str">
        <f t="shared" si="17"/>
        <v/>
      </c>
      <c r="T24" s="1709" t="str">
        <f t="shared" si="18"/>
        <v/>
      </c>
      <c r="U24" s="1705" t="str">
        <f t="shared" si="19"/>
        <v/>
      </c>
      <c r="V24" s="1709" t="str">
        <f t="shared" si="20"/>
        <v/>
      </c>
      <c r="W24" s="1713">
        <f t="shared" si="21"/>
        <v>0</v>
      </c>
      <c r="X24" s="1715" t="str">
        <f t="shared" si="22"/>
        <v/>
      </c>
      <c r="Y24" s="1716" t="str">
        <f t="shared" si="23"/>
        <v/>
      </c>
      <c r="Z24" s="1717" t="str">
        <f t="shared" si="24"/>
        <v/>
      </c>
      <c r="AA24" s="1776" t="str">
        <f t="shared" si="25"/>
        <v/>
      </c>
      <c r="AB24" s="1448" t="str">
        <f t="shared" si="26"/>
        <v/>
      </c>
      <c r="AC24" s="1710" t="str">
        <f t="shared" si="27"/>
        <v/>
      </c>
      <c r="AD24" s="1705" t="str">
        <f t="shared" ca="1" si="28"/>
        <v/>
      </c>
      <c r="AE24" s="1709" t="str">
        <f t="shared" ca="1" si="29"/>
        <v/>
      </c>
      <c r="AF24" s="1710" t="str">
        <f t="shared" ca="1" si="30"/>
        <v/>
      </c>
      <c r="AG24" s="1705" t="str">
        <f t="shared" ca="1" si="31"/>
        <v/>
      </c>
      <c r="AH24" s="1709" t="str">
        <f t="shared" ca="1" si="32"/>
        <v/>
      </c>
      <c r="AI24" s="1705" t="str">
        <f t="shared" ca="1" si="33"/>
        <v/>
      </c>
      <c r="AJ24" s="1709" t="str">
        <f t="shared" ca="1" si="34"/>
        <v/>
      </c>
      <c r="AK24" s="1747" t="str">
        <f t="shared" si="35"/>
        <v/>
      </c>
      <c r="AL24" s="1748" t="str">
        <f t="shared" si="36"/>
        <v/>
      </c>
      <c r="AM24" s="1749" t="str">
        <f t="shared" si="35"/>
        <v/>
      </c>
      <c r="AN24" s="1710" t="str">
        <f t="shared" si="35"/>
        <v/>
      </c>
      <c r="AO24" s="1713" t="str">
        <f t="shared" si="35"/>
        <v/>
      </c>
      <c r="AP24" s="1712" t="str">
        <f t="shared" si="37"/>
        <v/>
      </c>
      <c r="AQ24" s="1751" t="str">
        <f t="shared" si="38"/>
        <v/>
      </c>
      <c r="AR24" s="1708" t="str">
        <f t="shared" si="39"/>
        <v/>
      </c>
      <c r="AS24" s="1709" t="str">
        <f t="shared" si="40"/>
        <v/>
      </c>
      <c r="AT24" s="1752" t="str">
        <f t="shared" si="41"/>
        <v/>
      </c>
      <c r="AU24" s="1753" t="str">
        <f t="shared" si="42"/>
        <v/>
      </c>
      <c r="AV24" s="1714" t="str">
        <f t="shared" si="43"/>
        <v/>
      </c>
      <c r="AW24" s="1709" t="str">
        <f t="shared" si="44"/>
        <v/>
      </c>
      <c r="AX24" s="1752" t="str">
        <f t="shared" si="45"/>
        <v/>
      </c>
      <c r="AY24" s="1753" t="str">
        <f t="shared" si="46"/>
        <v/>
      </c>
      <c r="AZ24" s="1714" t="str">
        <f t="shared" si="47"/>
        <v/>
      </c>
      <c r="BA24" s="1709" t="str">
        <f t="shared" si="48"/>
        <v/>
      </c>
      <c r="BB24" s="1752" t="str">
        <f t="shared" si="49"/>
        <v/>
      </c>
      <c r="BC24" s="1753" t="str">
        <f t="shared" si="50"/>
        <v/>
      </c>
      <c r="BD24" s="1714" t="str">
        <f t="shared" si="51"/>
        <v/>
      </c>
      <c r="BE24" s="1709" t="str">
        <f t="shared" si="52"/>
        <v/>
      </c>
      <c r="BF24" s="1752" t="str">
        <f t="shared" si="53"/>
        <v/>
      </c>
      <c r="BG24" s="1753" t="str">
        <f t="shared" si="54"/>
        <v/>
      </c>
      <c r="BH24" s="1416"/>
      <c r="BJ24" s="995" t="str">
        <f t="shared" si="97"/>
        <v/>
      </c>
      <c r="BK24" s="993" t="b">
        <f t="shared" si="55"/>
        <v>0</v>
      </c>
      <c r="BL24" s="989" t="b">
        <v>0</v>
      </c>
      <c r="BM24" s="989">
        <f t="shared" si="56"/>
        <v>0</v>
      </c>
      <c r="BN24" s="989">
        <f t="shared" si="57"/>
        <v>0</v>
      </c>
      <c r="BO24" s="989">
        <f t="shared" si="58"/>
        <v>0</v>
      </c>
      <c r="BP24" s="989">
        <f t="shared" si="59"/>
        <v>0</v>
      </c>
      <c r="BQ24" s="989">
        <f t="shared" si="60"/>
        <v>0</v>
      </c>
      <c r="BR24" s="989" t="b">
        <f t="shared" si="61"/>
        <v>1</v>
      </c>
      <c r="BS24" s="1302">
        <f t="shared" si="62"/>
        <v>6</v>
      </c>
      <c r="BT24" s="990" t="str">
        <f t="shared" si="63"/>
        <v>No</v>
      </c>
      <c r="BU24" s="1302">
        <f t="shared" si="64"/>
        <v>6</v>
      </c>
      <c r="BV24" s="990" t="str">
        <f t="shared" si="65"/>
        <v>No</v>
      </c>
      <c r="BW24" s="991">
        <f t="shared" ca="1" si="66"/>
        <v>0</v>
      </c>
      <c r="BX24" s="991" t="str">
        <f t="shared" ca="1" si="67"/>
        <v/>
      </c>
      <c r="BY24" s="991" t="b">
        <f t="shared" ca="1" si="68"/>
        <v>0</v>
      </c>
      <c r="BZ24" s="991" t="b">
        <f t="shared" si="90"/>
        <v>0</v>
      </c>
      <c r="CB24" s="672"/>
      <c r="CC24" s="1684"/>
      <c r="CD24" s="699"/>
      <c r="CE24" s="700"/>
      <c r="CF24" s="701"/>
      <c r="CG24" s="672"/>
      <c r="CH24" s="713"/>
      <c r="CI24" s="714"/>
      <c r="CJ24" s="713"/>
      <c r="CK24" s="714"/>
      <c r="CL24" s="715"/>
      <c r="CM24" s="743"/>
      <c r="CN24" s="738"/>
      <c r="CO24" s="1551"/>
      <c r="CP24" s="910"/>
      <c r="CQ24" s="672"/>
      <c r="CR24" s="713"/>
      <c r="CS24" s="714"/>
      <c r="CT24" s="713"/>
      <c r="CU24" s="714"/>
      <c r="CV24" s="715"/>
      <c r="CW24" s="743"/>
      <c r="CX24" s="738"/>
      <c r="CY24" s="1551"/>
      <c r="CZ24" s="910"/>
      <c r="DA24" s="717"/>
      <c r="DB24" s="702"/>
      <c r="DC24" s="703"/>
      <c r="DD24" s="725"/>
      <c r="DE24" s="726"/>
      <c r="DF24" s="141"/>
      <c r="DG24" s="141"/>
      <c r="DH24" s="672"/>
      <c r="DI24" s="673"/>
      <c r="DJ24" s="692"/>
      <c r="DK24" s="1331"/>
      <c r="DL24" s="674"/>
      <c r="DM24" s="693"/>
      <c r="DN24" s="1334"/>
      <c r="DO24" s="675"/>
      <c r="DP24" s="676"/>
      <c r="DQ24" s="1419"/>
      <c r="DR24" s="677"/>
      <c r="DS24" s="1419"/>
      <c r="DT24" s="1421"/>
      <c r="DU24" s="1422"/>
      <c r="DV24" s="678"/>
      <c r="DW24" s="1336"/>
      <c r="DX24" s="679"/>
      <c r="DY24" s="674"/>
      <c r="DZ24" s="678"/>
      <c r="EA24" s="1336"/>
      <c r="EB24" s="679"/>
      <c r="EC24" s="674"/>
      <c r="ED24" s="678"/>
      <c r="EE24" s="1336"/>
      <c r="EF24" s="679"/>
      <c r="EG24" s="674"/>
      <c r="EH24" s="678"/>
      <c r="EI24" s="1336"/>
      <c r="EJ24" s="679"/>
      <c r="EK24" s="680"/>
      <c r="EL24" s="241"/>
      <c r="EM24" s="1631" t="str">
        <f t="shared" si="69"/>
        <v/>
      </c>
      <c r="EN24" s="1428" t="str">
        <f t="shared" si="70"/>
        <v/>
      </c>
      <c r="EO24" s="1429" t="str">
        <f t="shared" si="71"/>
        <v/>
      </c>
      <c r="EP24" s="1430" t="str">
        <f t="shared" si="72"/>
        <v/>
      </c>
      <c r="EQ24" s="1434" t="str">
        <f t="shared" si="73"/>
        <v/>
      </c>
      <c r="ER24" s="1440" t="str">
        <f t="shared" si="74"/>
        <v/>
      </c>
      <c r="ES24" s="1441" t="str">
        <f t="shared" si="75"/>
        <v/>
      </c>
      <c r="ET24" s="1442" t="str">
        <f t="shared" si="76"/>
        <v/>
      </c>
      <c r="EU24" s="1443" t="str">
        <f t="shared" si="91"/>
        <v/>
      </c>
      <c r="EX24" s="503" t="str">
        <f t="shared" ca="1" si="92"/>
        <v/>
      </c>
      <c r="EY24" s="940" t="str">
        <f t="shared" si="77"/>
        <v/>
      </c>
      <c r="EZ24" s="940" t="str">
        <f t="shared" si="93"/>
        <v/>
      </c>
      <c r="FA24" s="958" t="str">
        <f t="shared" ca="1" si="98"/>
        <v/>
      </c>
      <c r="FB24" s="134" t="str">
        <f t="shared" ca="1" si="94"/>
        <v/>
      </c>
      <c r="FC24" s="134">
        <f t="shared" ca="1" si="78"/>
        <v>0</v>
      </c>
      <c r="FD24" s="134">
        <f t="shared" ca="1" si="79"/>
        <v>0</v>
      </c>
      <c r="FE24" s="134">
        <f t="shared" ca="1" si="80"/>
        <v>0</v>
      </c>
      <c r="FF24" s="134">
        <f t="shared" ca="1" si="95"/>
        <v>0</v>
      </c>
      <c r="FN24" s="754" t="b">
        <v>0</v>
      </c>
      <c r="FO24" s="754" t="b">
        <f t="shared" si="81"/>
        <v>1</v>
      </c>
      <c r="FP24" s="754" t="b">
        <v>0</v>
      </c>
      <c r="FQ24" s="754" t="b">
        <f t="shared" si="96"/>
        <v>1</v>
      </c>
      <c r="FW24" s="2"/>
      <c r="FX24" s="2"/>
      <c r="FZ24" s="2"/>
      <c r="GA24" s="1761" t="str">
        <f t="shared" si="82"/>
        <v/>
      </c>
      <c r="GB24" s="1762" t="str">
        <f t="shared" si="83"/>
        <v/>
      </c>
      <c r="GC24" s="1763" t="str">
        <f t="shared" si="84"/>
        <v/>
      </c>
      <c r="GD24" s="1764" t="str">
        <f t="shared" si="85"/>
        <v/>
      </c>
      <c r="GE24" s="1765" t="str">
        <f t="shared" si="86"/>
        <v/>
      </c>
      <c r="GF24" s="582" t="str">
        <f t="shared" si="87"/>
        <v/>
      </c>
      <c r="GG24" s="692"/>
      <c r="GH24" s="1135"/>
      <c r="GI24" s="692"/>
      <c r="GJ24" s="1135"/>
      <c r="GK24" s="1640">
        <f t="shared" si="88"/>
        <v>0</v>
      </c>
      <c r="GL24" s="1640" t="e">
        <f t="shared" si="89"/>
        <v>#VALUE!</v>
      </c>
      <c r="GM24" s="1641" t="e">
        <f>IF(ABS(GK24-GL24)&gt;='Job Info.'!$L$22,ABS(GK24-GL24),0)</f>
        <v>#VALUE!</v>
      </c>
      <c r="HA24" s="1241"/>
      <c r="HB24" s="1242"/>
      <c r="HC24" s="1242"/>
      <c r="HD24" s="1243"/>
      <c r="HE24" s="1244"/>
      <c r="HF24" s="1242"/>
      <c r="HG24" s="1242"/>
      <c r="HH24" s="1242"/>
      <c r="HI24" s="1242"/>
      <c r="HJ24" s="1242"/>
      <c r="HK24" s="1242"/>
      <c r="HL24" s="1242"/>
      <c r="HM24" s="1242"/>
      <c r="HN24" s="1242"/>
      <c r="HO24" s="1242"/>
      <c r="HP24" s="1242"/>
      <c r="HQ24" s="1242"/>
      <c r="HR24" s="1242"/>
      <c r="HS24" s="1242"/>
      <c r="HT24" s="1242"/>
      <c r="HU24" s="1242"/>
      <c r="HV24" s="1242"/>
      <c r="HW24" s="1242"/>
      <c r="HX24" s="1242"/>
      <c r="HY24" s="1246"/>
      <c r="HZ24" s="1246"/>
      <c r="IA24" s="1246"/>
      <c r="IB24" s="1246"/>
      <c r="IC24" s="1246"/>
      <c r="ID24" s="1261"/>
      <c r="IE24" s="1241"/>
      <c r="IF24" s="1242"/>
      <c r="IG24" s="1243"/>
      <c r="IH24" s="1244"/>
      <c r="II24" s="1242"/>
      <c r="IJ24" s="1243"/>
      <c r="IK24" s="1244"/>
      <c r="IL24" s="1242"/>
      <c r="IM24" s="1242"/>
      <c r="IN24" s="1242"/>
      <c r="IO24" s="1242"/>
      <c r="IP24" s="1242"/>
      <c r="IQ24" s="1242"/>
      <c r="IR24" s="1242"/>
      <c r="IS24" s="1243"/>
      <c r="IT24" s="1244"/>
      <c r="IU24" s="1242"/>
      <c r="IV24" s="1242"/>
      <c r="IW24" s="1243"/>
      <c r="IX24" s="1244"/>
      <c r="IY24" s="1242"/>
      <c r="IZ24" s="1242"/>
      <c r="JA24" s="1243"/>
      <c r="JB24" s="1244"/>
      <c r="JC24" s="1242"/>
      <c r="JD24" s="1242"/>
      <c r="JE24" s="1243"/>
      <c r="JF24" s="1244"/>
      <c r="JG24" s="1242"/>
      <c r="JH24" s="1242"/>
      <c r="JI24" s="1242"/>
      <c r="JJ24" s="1245"/>
      <c r="JK24" s="1242"/>
      <c r="JL24" s="1171">
        <f t="shared" ca="1" si="99"/>
        <v>0</v>
      </c>
    </row>
    <row r="25" spans="1:272" ht="12.6" customHeight="1" x14ac:dyDescent="0.25">
      <c r="A25" s="1448" t="str">
        <f t="shared" si="0"/>
        <v/>
      </c>
      <c r="B25" s="1681" t="str">
        <f t="shared" si="1"/>
        <v/>
      </c>
      <c r="C25" s="1449" t="str">
        <f t="shared" si="2"/>
        <v/>
      </c>
      <c r="D25" s="1705" t="str">
        <f t="shared" si="3"/>
        <v/>
      </c>
      <c r="E25" s="1706" t="str">
        <f t="shared" si="4"/>
        <v/>
      </c>
      <c r="F25" s="1707" t="str">
        <f t="shared" si="5"/>
        <v/>
      </c>
      <c r="G25" s="1708" t="str">
        <f t="shared" si="6"/>
        <v/>
      </c>
      <c r="H25" s="1709" t="str">
        <f t="shared" si="7"/>
        <v/>
      </c>
      <c r="I25" s="1710" t="str">
        <f t="shared" si="8"/>
        <v/>
      </c>
      <c r="J25" s="1705" t="str">
        <f t="shared" si="9"/>
        <v/>
      </c>
      <c r="K25" s="1709" t="str">
        <f t="shared" si="10"/>
        <v/>
      </c>
      <c r="L25" s="1711" t="str">
        <f t="shared" si="11"/>
        <v/>
      </c>
      <c r="M25" s="1712" t="str">
        <f t="shared" si="12"/>
        <v/>
      </c>
      <c r="N25" s="1713" t="str">
        <f t="shared" si="12"/>
        <v/>
      </c>
      <c r="O25" s="1708" t="str">
        <f t="shared" si="13"/>
        <v/>
      </c>
      <c r="P25" s="1709" t="str">
        <f t="shared" si="14"/>
        <v/>
      </c>
      <c r="Q25" s="1705" t="str">
        <f t="shared" si="15"/>
        <v/>
      </c>
      <c r="R25" s="1706" t="str">
        <f t="shared" si="16"/>
        <v/>
      </c>
      <c r="S25" s="1714" t="str">
        <f t="shared" si="17"/>
        <v/>
      </c>
      <c r="T25" s="1709" t="str">
        <f t="shared" si="18"/>
        <v/>
      </c>
      <c r="U25" s="1705" t="str">
        <f t="shared" si="19"/>
        <v/>
      </c>
      <c r="V25" s="1709" t="str">
        <f t="shared" si="20"/>
        <v/>
      </c>
      <c r="W25" s="1713">
        <f t="shared" si="21"/>
        <v>0</v>
      </c>
      <c r="X25" s="1715" t="str">
        <f t="shared" si="22"/>
        <v/>
      </c>
      <c r="Y25" s="1716" t="str">
        <f t="shared" si="23"/>
        <v/>
      </c>
      <c r="Z25" s="1717" t="str">
        <f t="shared" si="24"/>
        <v/>
      </c>
      <c r="AA25" s="1776" t="str">
        <f t="shared" si="25"/>
        <v/>
      </c>
      <c r="AB25" s="1448" t="str">
        <f t="shared" si="26"/>
        <v/>
      </c>
      <c r="AC25" s="1710" t="str">
        <f t="shared" si="27"/>
        <v/>
      </c>
      <c r="AD25" s="1705" t="str">
        <f t="shared" ca="1" si="28"/>
        <v/>
      </c>
      <c r="AE25" s="1709" t="str">
        <f t="shared" ca="1" si="29"/>
        <v/>
      </c>
      <c r="AF25" s="1710" t="str">
        <f t="shared" ca="1" si="30"/>
        <v/>
      </c>
      <c r="AG25" s="1705" t="str">
        <f t="shared" ca="1" si="31"/>
        <v/>
      </c>
      <c r="AH25" s="1709" t="str">
        <f t="shared" ca="1" si="32"/>
        <v/>
      </c>
      <c r="AI25" s="1705" t="str">
        <f t="shared" ca="1" si="33"/>
        <v/>
      </c>
      <c r="AJ25" s="1709" t="str">
        <f t="shared" ca="1" si="34"/>
        <v/>
      </c>
      <c r="AK25" s="1747" t="str">
        <f t="shared" si="35"/>
        <v/>
      </c>
      <c r="AL25" s="1748" t="str">
        <f t="shared" si="36"/>
        <v/>
      </c>
      <c r="AM25" s="1749" t="str">
        <f t="shared" si="35"/>
        <v/>
      </c>
      <c r="AN25" s="1710" t="str">
        <f t="shared" si="35"/>
        <v/>
      </c>
      <c r="AO25" s="1713" t="str">
        <f t="shared" si="35"/>
        <v/>
      </c>
      <c r="AP25" s="1712" t="str">
        <f t="shared" si="37"/>
        <v/>
      </c>
      <c r="AQ25" s="1751" t="str">
        <f t="shared" si="38"/>
        <v/>
      </c>
      <c r="AR25" s="1708" t="str">
        <f t="shared" si="39"/>
        <v/>
      </c>
      <c r="AS25" s="1709" t="str">
        <f t="shared" si="40"/>
        <v/>
      </c>
      <c r="AT25" s="1752" t="str">
        <f t="shared" si="41"/>
        <v/>
      </c>
      <c r="AU25" s="1753" t="str">
        <f t="shared" si="42"/>
        <v/>
      </c>
      <c r="AV25" s="1714" t="str">
        <f t="shared" si="43"/>
        <v/>
      </c>
      <c r="AW25" s="1709" t="str">
        <f t="shared" si="44"/>
        <v/>
      </c>
      <c r="AX25" s="1752" t="str">
        <f t="shared" si="45"/>
        <v/>
      </c>
      <c r="AY25" s="1753" t="str">
        <f t="shared" si="46"/>
        <v/>
      </c>
      <c r="AZ25" s="1714" t="str">
        <f t="shared" si="47"/>
        <v/>
      </c>
      <c r="BA25" s="1709" t="str">
        <f t="shared" si="48"/>
        <v/>
      </c>
      <c r="BB25" s="1752" t="str">
        <f t="shared" si="49"/>
        <v/>
      </c>
      <c r="BC25" s="1753" t="str">
        <f t="shared" si="50"/>
        <v/>
      </c>
      <c r="BD25" s="1714" t="str">
        <f t="shared" si="51"/>
        <v/>
      </c>
      <c r="BE25" s="1709" t="str">
        <f t="shared" si="52"/>
        <v/>
      </c>
      <c r="BF25" s="1752" t="str">
        <f t="shared" si="53"/>
        <v/>
      </c>
      <c r="BG25" s="1753" t="str">
        <f t="shared" si="54"/>
        <v/>
      </c>
      <c r="BH25" s="1416"/>
      <c r="BJ25" s="995" t="str">
        <f t="shared" si="97"/>
        <v/>
      </c>
      <c r="BK25" s="993" t="b">
        <f t="shared" si="55"/>
        <v>0</v>
      </c>
      <c r="BL25" s="989" t="b">
        <v>0</v>
      </c>
      <c r="BM25" s="989">
        <f t="shared" si="56"/>
        <v>0</v>
      </c>
      <c r="BN25" s="989">
        <f t="shared" si="57"/>
        <v>0</v>
      </c>
      <c r="BO25" s="989">
        <f t="shared" si="58"/>
        <v>0</v>
      </c>
      <c r="BP25" s="989">
        <f t="shared" si="59"/>
        <v>0</v>
      </c>
      <c r="BQ25" s="989">
        <f t="shared" si="60"/>
        <v>0</v>
      </c>
      <c r="BR25" s="989" t="b">
        <f t="shared" si="61"/>
        <v>1</v>
      </c>
      <c r="BS25" s="1302">
        <f t="shared" si="62"/>
        <v>6</v>
      </c>
      <c r="BT25" s="990" t="str">
        <f t="shared" si="63"/>
        <v>No</v>
      </c>
      <c r="BU25" s="1302">
        <f t="shared" si="64"/>
        <v>6</v>
      </c>
      <c r="BV25" s="990" t="str">
        <f t="shared" si="65"/>
        <v>No</v>
      </c>
      <c r="BW25" s="991">
        <f t="shared" ca="1" si="66"/>
        <v>0</v>
      </c>
      <c r="BX25" s="991" t="str">
        <f t="shared" ca="1" si="67"/>
        <v/>
      </c>
      <c r="BY25" s="991" t="b">
        <f t="shared" ca="1" si="68"/>
        <v>0</v>
      </c>
      <c r="BZ25" s="991" t="b">
        <f t="shared" si="90"/>
        <v>0</v>
      </c>
      <c r="CB25" s="672"/>
      <c r="CC25" s="1684"/>
      <c r="CD25" s="699"/>
      <c r="CE25" s="700"/>
      <c r="CF25" s="701"/>
      <c r="CG25" s="672"/>
      <c r="CH25" s="713"/>
      <c r="CI25" s="714"/>
      <c r="CJ25" s="713"/>
      <c r="CK25" s="714"/>
      <c r="CL25" s="715"/>
      <c r="CM25" s="743"/>
      <c r="CN25" s="738"/>
      <c r="CO25" s="1551"/>
      <c r="CP25" s="910"/>
      <c r="CQ25" s="672"/>
      <c r="CR25" s="713"/>
      <c r="CS25" s="714"/>
      <c r="CT25" s="713"/>
      <c r="CU25" s="714"/>
      <c r="CV25" s="715"/>
      <c r="CW25" s="743"/>
      <c r="CX25" s="738"/>
      <c r="CY25" s="1551"/>
      <c r="CZ25" s="910"/>
      <c r="DA25" s="717"/>
      <c r="DB25" s="702"/>
      <c r="DC25" s="703"/>
      <c r="DD25" s="725"/>
      <c r="DE25" s="726"/>
      <c r="DF25" s="141"/>
      <c r="DG25" s="141"/>
      <c r="DH25" s="672"/>
      <c r="DI25" s="673"/>
      <c r="DJ25" s="692"/>
      <c r="DK25" s="1331"/>
      <c r="DL25" s="674"/>
      <c r="DM25" s="693"/>
      <c r="DN25" s="1334"/>
      <c r="DO25" s="675"/>
      <c r="DP25" s="676"/>
      <c r="DQ25" s="1419"/>
      <c r="DR25" s="677"/>
      <c r="DS25" s="1419"/>
      <c r="DT25" s="1421"/>
      <c r="DU25" s="1422"/>
      <c r="DV25" s="678"/>
      <c r="DW25" s="1336"/>
      <c r="DX25" s="679"/>
      <c r="DY25" s="674"/>
      <c r="DZ25" s="678"/>
      <c r="EA25" s="1336"/>
      <c r="EB25" s="679"/>
      <c r="EC25" s="674"/>
      <c r="ED25" s="678"/>
      <c r="EE25" s="1336"/>
      <c r="EF25" s="679"/>
      <c r="EG25" s="674"/>
      <c r="EH25" s="678"/>
      <c r="EI25" s="1336"/>
      <c r="EJ25" s="679"/>
      <c r="EK25" s="680"/>
      <c r="EL25" s="241"/>
      <c r="EM25" s="1631" t="str">
        <f t="shared" si="69"/>
        <v/>
      </c>
      <c r="EN25" s="1428" t="str">
        <f t="shared" si="70"/>
        <v/>
      </c>
      <c r="EO25" s="1429" t="str">
        <f t="shared" si="71"/>
        <v/>
      </c>
      <c r="EP25" s="1430" t="str">
        <f t="shared" si="72"/>
        <v/>
      </c>
      <c r="EQ25" s="1434" t="str">
        <f t="shared" si="73"/>
        <v/>
      </c>
      <c r="ER25" s="1440" t="str">
        <f t="shared" si="74"/>
        <v/>
      </c>
      <c r="ES25" s="1441" t="str">
        <f t="shared" si="75"/>
        <v/>
      </c>
      <c r="ET25" s="1442" t="str">
        <f t="shared" si="76"/>
        <v/>
      </c>
      <c r="EU25" s="1443" t="str">
        <f t="shared" si="91"/>
        <v/>
      </c>
      <c r="EX25" s="503" t="str">
        <f t="shared" ca="1" si="92"/>
        <v/>
      </c>
      <c r="EY25" s="940" t="str">
        <f t="shared" si="77"/>
        <v/>
      </c>
      <c r="EZ25" s="940" t="str">
        <f t="shared" si="93"/>
        <v/>
      </c>
      <c r="FA25" s="958" t="str">
        <f t="shared" ca="1" si="98"/>
        <v/>
      </c>
      <c r="FB25" s="134" t="str">
        <f t="shared" ca="1" si="94"/>
        <v/>
      </c>
      <c r="FC25" s="134">
        <f t="shared" ca="1" si="78"/>
        <v>0</v>
      </c>
      <c r="FD25" s="134">
        <f t="shared" ca="1" si="79"/>
        <v>0</v>
      </c>
      <c r="FE25" s="134">
        <f t="shared" ca="1" si="80"/>
        <v>0</v>
      </c>
      <c r="FF25" s="134">
        <f t="shared" ca="1" si="95"/>
        <v>0</v>
      </c>
      <c r="FN25" s="754" t="b">
        <v>0</v>
      </c>
      <c r="FO25" s="754" t="b">
        <f t="shared" si="81"/>
        <v>1</v>
      </c>
      <c r="FP25" s="754" t="b">
        <v>0</v>
      </c>
      <c r="FQ25" s="754" t="b">
        <f t="shared" si="96"/>
        <v>1</v>
      </c>
      <c r="FW25" s="2"/>
      <c r="FX25" s="2"/>
      <c r="FZ25" s="2"/>
      <c r="GA25" s="1761" t="str">
        <f t="shared" si="82"/>
        <v/>
      </c>
      <c r="GB25" s="1762" t="str">
        <f t="shared" si="83"/>
        <v/>
      </c>
      <c r="GC25" s="1763" t="str">
        <f t="shared" si="84"/>
        <v/>
      </c>
      <c r="GD25" s="1764" t="str">
        <f t="shared" si="85"/>
        <v/>
      </c>
      <c r="GE25" s="1765" t="str">
        <f t="shared" si="86"/>
        <v/>
      </c>
      <c r="GF25" s="582" t="str">
        <f t="shared" si="87"/>
        <v/>
      </c>
      <c r="GG25" s="692"/>
      <c r="GH25" s="1135"/>
      <c r="GI25" s="692"/>
      <c r="GJ25" s="1135"/>
      <c r="GK25" s="1640">
        <f t="shared" si="88"/>
        <v>0</v>
      </c>
      <c r="GL25" s="1640" t="e">
        <f t="shared" si="89"/>
        <v>#VALUE!</v>
      </c>
      <c r="GM25" s="1641" t="e">
        <f>IF(ABS(GK25-GL25)&gt;='Job Info.'!$L$22,ABS(GK25-GL25),0)</f>
        <v>#VALUE!</v>
      </c>
      <c r="HA25" s="1241"/>
      <c r="HB25" s="1242"/>
      <c r="HC25" s="1242"/>
      <c r="HD25" s="1243"/>
      <c r="HE25" s="1244"/>
      <c r="HF25" s="1242"/>
      <c r="HG25" s="1242"/>
      <c r="HH25" s="1242"/>
      <c r="HI25" s="1242"/>
      <c r="HJ25" s="1242"/>
      <c r="HK25" s="1242"/>
      <c r="HL25" s="1242"/>
      <c r="HM25" s="1242"/>
      <c r="HN25" s="1242"/>
      <c r="HO25" s="1242"/>
      <c r="HP25" s="1242"/>
      <c r="HQ25" s="1242"/>
      <c r="HR25" s="1242"/>
      <c r="HS25" s="1242"/>
      <c r="HT25" s="1242"/>
      <c r="HU25" s="1242"/>
      <c r="HV25" s="1242"/>
      <c r="HW25" s="1242"/>
      <c r="HX25" s="1242"/>
      <c r="HY25" s="1246"/>
      <c r="HZ25" s="1246"/>
      <c r="IA25" s="1246"/>
      <c r="IB25" s="1246"/>
      <c r="IC25" s="1246"/>
      <c r="ID25" s="1261"/>
      <c r="IE25" s="1241"/>
      <c r="IF25" s="1242"/>
      <c r="IG25" s="1243"/>
      <c r="IH25" s="1244"/>
      <c r="II25" s="1242"/>
      <c r="IJ25" s="1243"/>
      <c r="IK25" s="1244"/>
      <c r="IL25" s="1242"/>
      <c r="IM25" s="1242"/>
      <c r="IN25" s="1242"/>
      <c r="IO25" s="1242"/>
      <c r="IP25" s="1242"/>
      <c r="IQ25" s="1242"/>
      <c r="IR25" s="1242"/>
      <c r="IS25" s="1243"/>
      <c r="IT25" s="1244"/>
      <c r="IU25" s="1242"/>
      <c r="IV25" s="1242"/>
      <c r="IW25" s="1243"/>
      <c r="IX25" s="1244"/>
      <c r="IY25" s="1242"/>
      <c r="IZ25" s="1242"/>
      <c r="JA25" s="1243"/>
      <c r="JB25" s="1244"/>
      <c r="JC25" s="1242"/>
      <c r="JD25" s="1242"/>
      <c r="JE25" s="1243"/>
      <c r="JF25" s="1244"/>
      <c r="JG25" s="1242"/>
      <c r="JH25" s="1242"/>
      <c r="JI25" s="1242"/>
      <c r="JJ25" s="1245"/>
      <c r="JK25" s="1242"/>
      <c r="JL25" s="1171">
        <f t="shared" ca="1" si="99"/>
        <v>0</v>
      </c>
    </row>
    <row r="26" spans="1:272" ht="12.6" customHeight="1" x14ac:dyDescent="0.25">
      <c r="A26" s="1448" t="str">
        <f t="shared" si="0"/>
        <v/>
      </c>
      <c r="B26" s="1681" t="str">
        <f t="shared" si="1"/>
        <v/>
      </c>
      <c r="C26" s="1449" t="str">
        <f t="shared" si="2"/>
        <v/>
      </c>
      <c r="D26" s="1705" t="str">
        <f t="shared" si="3"/>
        <v/>
      </c>
      <c r="E26" s="1706" t="str">
        <f t="shared" si="4"/>
        <v/>
      </c>
      <c r="F26" s="1707" t="str">
        <f t="shared" si="5"/>
        <v/>
      </c>
      <c r="G26" s="1708" t="str">
        <f t="shared" si="6"/>
        <v/>
      </c>
      <c r="H26" s="1709" t="str">
        <f t="shared" si="7"/>
        <v/>
      </c>
      <c r="I26" s="1710" t="str">
        <f t="shared" si="8"/>
        <v/>
      </c>
      <c r="J26" s="1705" t="str">
        <f t="shared" si="9"/>
        <v/>
      </c>
      <c r="K26" s="1709" t="str">
        <f t="shared" si="10"/>
        <v/>
      </c>
      <c r="L26" s="1711" t="str">
        <f t="shared" si="11"/>
        <v/>
      </c>
      <c r="M26" s="1712" t="str">
        <f t="shared" si="12"/>
        <v/>
      </c>
      <c r="N26" s="1713" t="str">
        <f t="shared" si="12"/>
        <v/>
      </c>
      <c r="O26" s="1708" t="str">
        <f t="shared" si="13"/>
        <v/>
      </c>
      <c r="P26" s="1709" t="str">
        <f t="shared" si="14"/>
        <v/>
      </c>
      <c r="Q26" s="1705" t="str">
        <f t="shared" si="15"/>
        <v/>
      </c>
      <c r="R26" s="1706" t="str">
        <f t="shared" si="16"/>
        <v/>
      </c>
      <c r="S26" s="1714" t="str">
        <f t="shared" si="17"/>
        <v/>
      </c>
      <c r="T26" s="1709" t="str">
        <f t="shared" si="18"/>
        <v/>
      </c>
      <c r="U26" s="1705" t="str">
        <f t="shared" si="19"/>
        <v/>
      </c>
      <c r="V26" s="1709" t="str">
        <f t="shared" si="20"/>
        <v/>
      </c>
      <c r="W26" s="1713">
        <f t="shared" si="21"/>
        <v>0</v>
      </c>
      <c r="X26" s="1715" t="str">
        <f t="shared" si="22"/>
        <v/>
      </c>
      <c r="Y26" s="1716" t="str">
        <f t="shared" si="23"/>
        <v/>
      </c>
      <c r="Z26" s="1717" t="str">
        <f t="shared" si="24"/>
        <v/>
      </c>
      <c r="AA26" s="1776" t="str">
        <f t="shared" si="25"/>
        <v/>
      </c>
      <c r="AB26" s="1448" t="str">
        <f t="shared" si="26"/>
        <v/>
      </c>
      <c r="AC26" s="1710" t="str">
        <f t="shared" si="27"/>
        <v/>
      </c>
      <c r="AD26" s="1705" t="str">
        <f t="shared" ca="1" si="28"/>
        <v/>
      </c>
      <c r="AE26" s="1709" t="str">
        <f t="shared" ca="1" si="29"/>
        <v/>
      </c>
      <c r="AF26" s="1710" t="str">
        <f t="shared" ca="1" si="30"/>
        <v/>
      </c>
      <c r="AG26" s="1705" t="str">
        <f t="shared" ca="1" si="31"/>
        <v/>
      </c>
      <c r="AH26" s="1709" t="str">
        <f t="shared" ca="1" si="32"/>
        <v/>
      </c>
      <c r="AI26" s="1705" t="str">
        <f t="shared" ca="1" si="33"/>
        <v/>
      </c>
      <c r="AJ26" s="1709" t="str">
        <f t="shared" ca="1" si="34"/>
        <v/>
      </c>
      <c r="AK26" s="1747" t="str">
        <f t="shared" si="35"/>
        <v/>
      </c>
      <c r="AL26" s="1748" t="str">
        <f t="shared" si="36"/>
        <v/>
      </c>
      <c r="AM26" s="1749" t="str">
        <f t="shared" si="35"/>
        <v/>
      </c>
      <c r="AN26" s="1710" t="str">
        <f t="shared" si="35"/>
        <v/>
      </c>
      <c r="AO26" s="1713" t="str">
        <f t="shared" si="35"/>
        <v/>
      </c>
      <c r="AP26" s="1712" t="str">
        <f t="shared" si="37"/>
        <v/>
      </c>
      <c r="AQ26" s="1751" t="str">
        <f t="shared" si="38"/>
        <v/>
      </c>
      <c r="AR26" s="1708" t="str">
        <f t="shared" si="39"/>
        <v/>
      </c>
      <c r="AS26" s="1709" t="str">
        <f t="shared" si="40"/>
        <v/>
      </c>
      <c r="AT26" s="1752" t="str">
        <f t="shared" si="41"/>
        <v/>
      </c>
      <c r="AU26" s="1753" t="str">
        <f t="shared" si="42"/>
        <v/>
      </c>
      <c r="AV26" s="1714" t="str">
        <f t="shared" si="43"/>
        <v/>
      </c>
      <c r="AW26" s="1709" t="str">
        <f t="shared" si="44"/>
        <v/>
      </c>
      <c r="AX26" s="1752" t="str">
        <f t="shared" si="45"/>
        <v/>
      </c>
      <c r="AY26" s="1753" t="str">
        <f t="shared" si="46"/>
        <v/>
      </c>
      <c r="AZ26" s="1714" t="str">
        <f t="shared" si="47"/>
        <v/>
      </c>
      <c r="BA26" s="1709" t="str">
        <f t="shared" si="48"/>
        <v/>
      </c>
      <c r="BB26" s="1752" t="str">
        <f t="shared" si="49"/>
        <v/>
      </c>
      <c r="BC26" s="1753" t="str">
        <f t="shared" si="50"/>
        <v/>
      </c>
      <c r="BD26" s="1714" t="str">
        <f t="shared" si="51"/>
        <v/>
      </c>
      <c r="BE26" s="1709" t="str">
        <f t="shared" si="52"/>
        <v/>
      </c>
      <c r="BF26" s="1752" t="str">
        <f t="shared" si="53"/>
        <v/>
      </c>
      <c r="BG26" s="1753" t="str">
        <f t="shared" si="54"/>
        <v/>
      </c>
      <c r="BH26" s="1416"/>
      <c r="BJ26" s="995" t="str">
        <f t="shared" si="97"/>
        <v/>
      </c>
      <c r="BK26" s="993" t="b">
        <f t="shared" si="55"/>
        <v>0</v>
      </c>
      <c r="BL26" s="989" t="b">
        <v>0</v>
      </c>
      <c r="BM26" s="989">
        <f t="shared" si="56"/>
        <v>0</v>
      </c>
      <c r="BN26" s="989">
        <f t="shared" si="57"/>
        <v>0</v>
      </c>
      <c r="BO26" s="989">
        <f t="shared" si="58"/>
        <v>0</v>
      </c>
      <c r="BP26" s="989">
        <f t="shared" si="59"/>
        <v>0</v>
      </c>
      <c r="BQ26" s="989">
        <f t="shared" si="60"/>
        <v>0</v>
      </c>
      <c r="BR26" s="989" t="b">
        <f t="shared" si="61"/>
        <v>1</v>
      </c>
      <c r="BS26" s="1302">
        <f t="shared" si="62"/>
        <v>6</v>
      </c>
      <c r="BT26" s="990" t="str">
        <f t="shared" si="63"/>
        <v>No</v>
      </c>
      <c r="BU26" s="1302">
        <f t="shared" si="64"/>
        <v>6</v>
      </c>
      <c r="BV26" s="990" t="str">
        <f t="shared" si="65"/>
        <v>No</v>
      </c>
      <c r="BW26" s="991">
        <f t="shared" ca="1" si="66"/>
        <v>0</v>
      </c>
      <c r="BX26" s="991" t="str">
        <f t="shared" ca="1" si="67"/>
        <v/>
      </c>
      <c r="BY26" s="991" t="b">
        <f t="shared" ca="1" si="68"/>
        <v>0</v>
      </c>
      <c r="BZ26" s="991" t="b">
        <f t="shared" si="90"/>
        <v>0</v>
      </c>
      <c r="CB26" s="672"/>
      <c r="CC26" s="1684"/>
      <c r="CD26" s="699"/>
      <c r="CE26" s="700"/>
      <c r="CF26" s="701"/>
      <c r="CG26" s="672"/>
      <c r="CH26" s="713"/>
      <c r="CI26" s="714"/>
      <c r="CJ26" s="713"/>
      <c r="CK26" s="714"/>
      <c r="CL26" s="715"/>
      <c r="CM26" s="743"/>
      <c r="CN26" s="738"/>
      <c r="CO26" s="1551"/>
      <c r="CP26" s="910"/>
      <c r="CQ26" s="672"/>
      <c r="CR26" s="713"/>
      <c r="CS26" s="714"/>
      <c r="CT26" s="713"/>
      <c r="CU26" s="714"/>
      <c r="CV26" s="715"/>
      <c r="CW26" s="743"/>
      <c r="CX26" s="738"/>
      <c r="CY26" s="1551"/>
      <c r="CZ26" s="910"/>
      <c r="DA26" s="717"/>
      <c r="DB26" s="702"/>
      <c r="DC26" s="703"/>
      <c r="DD26" s="725"/>
      <c r="DE26" s="726"/>
      <c r="DF26" s="141"/>
      <c r="DG26" s="141"/>
      <c r="DH26" s="672"/>
      <c r="DI26" s="673"/>
      <c r="DJ26" s="692"/>
      <c r="DK26" s="1331"/>
      <c r="DL26" s="674"/>
      <c r="DM26" s="693"/>
      <c r="DN26" s="1334"/>
      <c r="DO26" s="675"/>
      <c r="DP26" s="676"/>
      <c r="DQ26" s="1419"/>
      <c r="DR26" s="677"/>
      <c r="DS26" s="1419"/>
      <c r="DT26" s="1421"/>
      <c r="DU26" s="1422"/>
      <c r="DV26" s="678"/>
      <c r="DW26" s="1336"/>
      <c r="DX26" s="679"/>
      <c r="DY26" s="674"/>
      <c r="DZ26" s="678"/>
      <c r="EA26" s="1336"/>
      <c r="EB26" s="679"/>
      <c r="EC26" s="674"/>
      <c r="ED26" s="678"/>
      <c r="EE26" s="1336"/>
      <c r="EF26" s="679"/>
      <c r="EG26" s="674"/>
      <c r="EH26" s="678"/>
      <c r="EI26" s="1336"/>
      <c r="EJ26" s="679"/>
      <c r="EK26" s="680"/>
      <c r="EL26" s="241"/>
      <c r="EM26" s="1631" t="str">
        <f t="shared" si="69"/>
        <v/>
      </c>
      <c r="EN26" s="1428" t="str">
        <f t="shared" si="70"/>
        <v/>
      </c>
      <c r="EO26" s="1429" t="str">
        <f t="shared" si="71"/>
        <v/>
      </c>
      <c r="EP26" s="1430" t="str">
        <f t="shared" si="72"/>
        <v/>
      </c>
      <c r="EQ26" s="1434" t="str">
        <f t="shared" si="73"/>
        <v/>
      </c>
      <c r="ER26" s="1440" t="str">
        <f t="shared" si="74"/>
        <v/>
      </c>
      <c r="ES26" s="1441" t="str">
        <f t="shared" si="75"/>
        <v/>
      </c>
      <c r="ET26" s="1442" t="str">
        <f t="shared" si="76"/>
        <v/>
      </c>
      <c r="EU26" s="1443" t="str">
        <f t="shared" si="91"/>
        <v/>
      </c>
      <c r="EX26" s="503" t="str">
        <f t="shared" ca="1" si="92"/>
        <v/>
      </c>
      <c r="EY26" s="940" t="str">
        <f t="shared" si="77"/>
        <v/>
      </c>
      <c r="EZ26" s="940" t="str">
        <f t="shared" si="93"/>
        <v/>
      </c>
      <c r="FA26" s="958" t="str">
        <f t="shared" ca="1" si="98"/>
        <v/>
      </c>
      <c r="FB26" s="134" t="str">
        <f t="shared" ca="1" si="94"/>
        <v/>
      </c>
      <c r="FC26" s="134">
        <f t="shared" ca="1" si="78"/>
        <v>0</v>
      </c>
      <c r="FD26" s="134">
        <f t="shared" ca="1" si="79"/>
        <v>0</v>
      </c>
      <c r="FE26" s="134">
        <f t="shared" ca="1" si="80"/>
        <v>0</v>
      </c>
      <c r="FF26" s="134">
        <f t="shared" ca="1" si="95"/>
        <v>0</v>
      </c>
      <c r="FN26" s="754" t="b">
        <v>0</v>
      </c>
      <c r="FO26" s="754" t="b">
        <f t="shared" si="81"/>
        <v>1</v>
      </c>
      <c r="FP26" s="754" t="b">
        <v>0</v>
      </c>
      <c r="FQ26" s="754" t="b">
        <f t="shared" si="96"/>
        <v>1</v>
      </c>
      <c r="FW26" s="2"/>
      <c r="FX26" s="2"/>
      <c r="FZ26" s="2"/>
      <c r="GA26" s="1761" t="str">
        <f t="shared" si="82"/>
        <v/>
      </c>
      <c r="GB26" s="1762" t="str">
        <f t="shared" si="83"/>
        <v/>
      </c>
      <c r="GC26" s="1763" t="str">
        <f t="shared" si="84"/>
        <v/>
      </c>
      <c r="GD26" s="1764" t="str">
        <f t="shared" si="85"/>
        <v/>
      </c>
      <c r="GE26" s="1765" t="str">
        <f t="shared" si="86"/>
        <v/>
      </c>
      <c r="GF26" s="582" t="str">
        <f t="shared" si="87"/>
        <v/>
      </c>
      <c r="GG26" s="692"/>
      <c r="GH26" s="1135"/>
      <c r="GI26" s="692"/>
      <c r="GJ26" s="1135"/>
      <c r="GK26" s="1640">
        <f t="shared" si="88"/>
        <v>0</v>
      </c>
      <c r="GL26" s="1640" t="e">
        <f t="shared" si="89"/>
        <v>#VALUE!</v>
      </c>
      <c r="GM26" s="1641" t="e">
        <f>IF(ABS(GK26-GL26)&gt;='Job Info.'!$L$22,ABS(GK26-GL26),0)</f>
        <v>#VALUE!</v>
      </c>
      <c r="GZ26" s="145"/>
      <c r="HA26" s="1241"/>
      <c r="HB26" s="1242"/>
      <c r="HC26" s="1242"/>
      <c r="HD26" s="1243"/>
      <c r="HE26" s="1244"/>
      <c r="HF26" s="1242"/>
      <c r="HG26" s="1242"/>
      <c r="HH26" s="1242"/>
      <c r="HI26" s="1242"/>
      <c r="HJ26" s="1242"/>
      <c r="HK26" s="1242"/>
      <c r="HL26" s="1242"/>
      <c r="HM26" s="1242"/>
      <c r="HN26" s="1242"/>
      <c r="HO26" s="1242"/>
      <c r="HP26" s="1242"/>
      <c r="HQ26" s="1242"/>
      <c r="HR26" s="1242"/>
      <c r="HS26" s="1242"/>
      <c r="HT26" s="1242"/>
      <c r="HU26" s="1242"/>
      <c r="HV26" s="1242"/>
      <c r="HW26" s="1242"/>
      <c r="HX26" s="1242"/>
      <c r="HY26" s="1246"/>
      <c r="HZ26" s="1246"/>
      <c r="IA26" s="1246"/>
      <c r="IB26" s="1246"/>
      <c r="IC26" s="1246"/>
      <c r="ID26" s="1261"/>
      <c r="IE26" s="1241"/>
      <c r="IF26" s="1242"/>
      <c r="IG26" s="1243"/>
      <c r="IH26" s="1244"/>
      <c r="II26" s="1242"/>
      <c r="IJ26" s="1243"/>
      <c r="IK26" s="1244"/>
      <c r="IL26" s="1242"/>
      <c r="IM26" s="1242"/>
      <c r="IN26" s="1242"/>
      <c r="IO26" s="1242"/>
      <c r="IP26" s="1242"/>
      <c r="IQ26" s="1242"/>
      <c r="IR26" s="1242"/>
      <c r="IS26" s="1243"/>
      <c r="IT26" s="1244"/>
      <c r="IU26" s="1242"/>
      <c r="IV26" s="1242"/>
      <c r="IW26" s="1243"/>
      <c r="IX26" s="1244"/>
      <c r="IY26" s="1242"/>
      <c r="IZ26" s="1242"/>
      <c r="JA26" s="1243"/>
      <c r="JB26" s="1244"/>
      <c r="JC26" s="1242"/>
      <c r="JD26" s="1242"/>
      <c r="JE26" s="1243"/>
      <c r="JF26" s="1244"/>
      <c r="JG26" s="1242"/>
      <c r="JH26" s="1242"/>
      <c r="JI26" s="1242"/>
      <c r="JJ26" s="1245"/>
      <c r="JK26" s="1242"/>
      <c r="JL26" s="1171">
        <f t="shared" ca="1" si="99"/>
        <v>0</v>
      </c>
    </row>
    <row r="27" spans="1:272" ht="12.6" customHeight="1" x14ac:dyDescent="0.25">
      <c r="A27" s="1448" t="str">
        <f t="shared" si="0"/>
        <v/>
      </c>
      <c r="B27" s="1681" t="str">
        <f t="shared" si="1"/>
        <v/>
      </c>
      <c r="C27" s="1449" t="str">
        <f t="shared" si="2"/>
        <v/>
      </c>
      <c r="D27" s="1705" t="str">
        <f t="shared" si="3"/>
        <v/>
      </c>
      <c r="E27" s="1706" t="str">
        <f t="shared" si="4"/>
        <v/>
      </c>
      <c r="F27" s="1707" t="str">
        <f t="shared" si="5"/>
        <v/>
      </c>
      <c r="G27" s="1708" t="str">
        <f t="shared" si="6"/>
        <v/>
      </c>
      <c r="H27" s="1709" t="str">
        <f t="shared" si="7"/>
        <v/>
      </c>
      <c r="I27" s="1710" t="str">
        <f t="shared" si="8"/>
        <v/>
      </c>
      <c r="J27" s="1705" t="str">
        <f t="shared" si="9"/>
        <v/>
      </c>
      <c r="K27" s="1709" t="str">
        <f t="shared" si="10"/>
        <v/>
      </c>
      <c r="L27" s="1711" t="str">
        <f t="shared" si="11"/>
        <v/>
      </c>
      <c r="M27" s="1712" t="str">
        <f t="shared" si="12"/>
        <v/>
      </c>
      <c r="N27" s="1713" t="str">
        <f t="shared" si="12"/>
        <v/>
      </c>
      <c r="O27" s="1708" t="str">
        <f t="shared" si="13"/>
        <v/>
      </c>
      <c r="P27" s="1709" t="str">
        <f t="shared" si="14"/>
        <v/>
      </c>
      <c r="Q27" s="1705" t="str">
        <f t="shared" si="15"/>
        <v/>
      </c>
      <c r="R27" s="1706" t="str">
        <f t="shared" si="16"/>
        <v/>
      </c>
      <c r="S27" s="1714" t="str">
        <f t="shared" si="17"/>
        <v/>
      </c>
      <c r="T27" s="1709" t="str">
        <f t="shared" si="18"/>
        <v/>
      </c>
      <c r="U27" s="1705" t="str">
        <f t="shared" si="19"/>
        <v/>
      </c>
      <c r="V27" s="1709" t="str">
        <f t="shared" si="20"/>
        <v/>
      </c>
      <c r="W27" s="1713">
        <f t="shared" si="21"/>
        <v>0</v>
      </c>
      <c r="X27" s="1715" t="str">
        <f t="shared" si="22"/>
        <v/>
      </c>
      <c r="Y27" s="1716" t="str">
        <f t="shared" si="23"/>
        <v/>
      </c>
      <c r="Z27" s="1717" t="str">
        <f t="shared" si="24"/>
        <v/>
      </c>
      <c r="AA27" s="1776" t="str">
        <f t="shared" si="25"/>
        <v/>
      </c>
      <c r="AB27" s="1448" t="str">
        <f t="shared" si="26"/>
        <v/>
      </c>
      <c r="AC27" s="1710" t="str">
        <f t="shared" si="27"/>
        <v/>
      </c>
      <c r="AD27" s="1705" t="str">
        <f t="shared" ca="1" si="28"/>
        <v/>
      </c>
      <c r="AE27" s="1709" t="str">
        <f t="shared" ca="1" si="29"/>
        <v/>
      </c>
      <c r="AF27" s="1710" t="str">
        <f t="shared" ca="1" si="30"/>
        <v/>
      </c>
      <c r="AG27" s="1705" t="str">
        <f t="shared" ca="1" si="31"/>
        <v/>
      </c>
      <c r="AH27" s="1709" t="str">
        <f t="shared" ca="1" si="32"/>
        <v/>
      </c>
      <c r="AI27" s="1705" t="str">
        <f t="shared" ca="1" si="33"/>
        <v/>
      </c>
      <c r="AJ27" s="1709" t="str">
        <f t="shared" ca="1" si="34"/>
        <v/>
      </c>
      <c r="AK27" s="1747" t="str">
        <f t="shared" si="35"/>
        <v/>
      </c>
      <c r="AL27" s="1748" t="str">
        <f t="shared" si="36"/>
        <v/>
      </c>
      <c r="AM27" s="1749" t="str">
        <f t="shared" si="35"/>
        <v/>
      </c>
      <c r="AN27" s="1710" t="str">
        <f t="shared" si="35"/>
        <v/>
      </c>
      <c r="AO27" s="1713" t="str">
        <f t="shared" si="35"/>
        <v/>
      </c>
      <c r="AP27" s="1712" t="str">
        <f t="shared" si="37"/>
        <v/>
      </c>
      <c r="AQ27" s="1751" t="str">
        <f t="shared" si="38"/>
        <v/>
      </c>
      <c r="AR27" s="1708" t="str">
        <f t="shared" si="39"/>
        <v/>
      </c>
      <c r="AS27" s="1709" t="str">
        <f t="shared" si="40"/>
        <v/>
      </c>
      <c r="AT27" s="1752" t="str">
        <f t="shared" si="41"/>
        <v/>
      </c>
      <c r="AU27" s="1753" t="str">
        <f t="shared" si="42"/>
        <v/>
      </c>
      <c r="AV27" s="1714" t="str">
        <f t="shared" si="43"/>
        <v/>
      </c>
      <c r="AW27" s="1709" t="str">
        <f t="shared" si="44"/>
        <v/>
      </c>
      <c r="AX27" s="1752" t="str">
        <f t="shared" si="45"/>
        <v/>
      </c>
      <c r="AY27" s="1753" t="str">
        <f t="shared" si="46"/>
        <v/>
      </c>
      <c r="AZ27" s="1714" t="str">
        <f t="shared" si="47"/>
        <v/>
      </c>
      <c r="BA27" s="1709" t="str">
        <f t="shared" si="48"/>
        <v/>
      </c>
      <c r="BB27" s="1752" t="str">
        <f t="shared" si="49"/>
        <v/>
      </c>
      <c r="BC27" s="1753" t="str">
        <f t="shared" si="50"/>
        <v/>
      </c>
      <c r="BD27" s="1714" t="str">
        <f t="shared" si="51"/>
        <v/>
      </c>
      <c r="BE27" s="1709" t="str">
        <f t="shared" si="52"/>
        <v/>
      </c>
      <c r="BF27" s="1752" t="str">
        <f t="shared" si="53"/>
        <v/>
      </c>
      <c r="BG27" s="1753" t="str">
        <f t="shared" si="54"/>
        <v/>
      </c>
      <c r="BH27" s="1416"/>
      <c r="BJ27" s="995" t="str">
        <f t="shared" si="97"/>
        <v/>
      </c>
      <c r="BK27" s="993" t="b">
        <f t="shared" si="55"/>
        <v>0</v>
      </c>
      <c r="BL27" s="989" t="b">
        <v>0</v>
      </c>
      <c r="BM27" s="989">
        <f t="shared" si="56"/>
        <v>0</v>
      </c>
      <c r="BN27" s="989">
        <f t="shared" si="57"/>
        <v>0</v>
      </c>
      <c r="BO27" s="989">
        <f t="shared" si="58"/>
        <v>0</v>
      </c>
      <c r="BP27" s="989">
        <f t="shared" si="59"/>
        <v>0</v>
      </c>
      <c r="BQ27" s="989">
        <f t="shared" si="60"/>
        <v>0</v>
      </c>
      <c r="BR27" s="989" t="b">
        <f t="shared" si="61"/>
        <v>1</v>
      </c>
      <c r="BS27" s="1302">
        <f t="shared" si="62"/>
        <v>6</v>
      </c>
      <c r="BT27" s="990" t="str">
        <f t="shared" si="63"/>
        <v>No</v>
      </c>
      <c r="BU27" s="1302">
        <f t="shared" si="64"/>
        <v>6</v>
      </c>
      <c r="BV27" s="990" t="str">
        <f t="shared" si="65"/>
        <v>No</v>
      </c>
      <c r="BW27" s="991">
        <f t="shared" ca="1" si="66"/>
        <v>0</v>
      </c>
      <c r="BX27" s="991" t="str">
        <f t="shared" ca="1" si="67"/>
        <v/>
      </c>
      <c r="BY27" s="991" t="b">
        <f t="shared" ca="1" si="68"/>
        <v>0</v>
      </c>
      <c r="BZ27" s="991" t="b">
        <f t="shared" si="90"/>
        <v>0</v>
      </c>
      <c r="CB27" s="672"/>
      <c r="CC27" s="1684"/>
      <c r="CD27" s="699"/>
      <c r="CE27" s="700"/>
      <c r="CF27" s="701"/>
      <c r="CG27" s="672"/>
      <c r="CH27" s="713"/>
      <c r="CI27" s="714"/>
      <c r="CJ27" s="713"/>
      <c r="CK27" s="714"/>
      <c r="CL27" s="715"/>
      <c r="CM27" s="743"/>
      <c r="CN27" s="738"/>
      <c r="CO27" s="1551"/>
      <c r="CP27" s="910"/>
      <c r="CQ27" s="672"/>
      <c r="CR27" s="713"/>
      <c r="CS27" s="714"/>
      <c r="CT27" s="713"/>
      <c r="CU27" s="714"/>
      <c r="CV27" s="715"/>
      <c r="CW27" s="743"/>
      <c r="CX27" s="738"/>
      <c r="CY27" s="1551"/>
      <c r="CZ27" s="910"/>
      <c r="DA27" s="717"/>
      <c r="DB27" s="702"/>
      <c r="DC27" s="703"/>
      <c r="DD27" s="725"/>
      <c r="DE27" s="726"/>
      <c r="DF27" s="141"/>
      <c r="DG27" s="141"/>
      <c r="DH27" s="672"/>
      <c r="DI27" s="673"/>
      <c r="DJ27" s="692"/>
      <c r="DK27" s="1331"/>
      <c r="DL27" s="674"/>
      <c r="DM27" s="693"/>
      <c r="DN27" s="1334"/>
      <c r="DO27" s="675"/>
      <c r="DP27" s="676"/>
      <c r="DQ27" s="1419"/>
      <c r="DR27" s="677"/>
      <c r="DS27" s="1419"/>
      <c r="DT27" s="1421"/>
      <c r="DU27" s="1422"/>
      <c r="DV27" s="678"/>
      <c r="DW27" s="1336"/>
      <c r="DX27" s="679"/>
      <c r="DY27" s="674"/>
      <c r="DZ27" s="678"/>
      <c r="EA27" s="1336"/>
      <c r="EB27" s="679"/>
      <c r="EC27" s="674"/>
      <c r="ED27" s="678"/>
      <c r="EE27" s="1336"/>
      <c r="EF27" s="679"/>
      <c r="EG27" s="674"/>
      <c r="EH27" s="678"/>
      <c r="EI27" s="1336"/>
      <c r="EJ27" s="679"/>
      <c r="EK27" s="680"/>
      <c r="EL27" s="241"/>
      <c r="EM27" s="1631" t="str">
        <f t="shared" si="69"/>
        <v/>
      </c>
      <c r="EN27" s="1428" t="str">
        <f t="shared" si="70"/>
        <v/>
      </c>
      <c r="EO27" s="1429" t="str">
        <f t="shared" si="71"/>
        <v/>
      </c>
      <c r="EP27" s="1430" t="str">
        <f t="shared" si="72"/>
        <v/>
      </c>
      <c r="EQ27" s="1434" t="str">
        <f t="shared" si="73"/>
        <v/>
      </c>
      <c r="ER27" s="1440" t="str">
        <f t="shared" si="74"/>
        <v/>
      </c>
      <c r="ES27" s="1441" t="str">
        <f t="shared" si="75"/>
        <v/>
      </c>
      <c r="ET27" s="1442" t="str">
        <f t="shared" si="76"/>
        <v/>
      </c>
      <c r="EU27" s="1443" t="str">
        <f t="shared" si="91"/>
        <v/>
      </c>
      <c r="EX27" s="503" t="str">
        <f t="shared" ca="1" si="92"/>
        <v/>
      </c>
      <c r="EY27" s="940" t="str">
        <f t="shared" si="77"/>
        <v/>
      </c>
      <c r="EZ27" s="940" t="str">
        <f t="shared" si="93"/>
        <v/>
      </c>
      <c r="FA27" s="958" t="str">
        <f t="shared" ca="1" si="98"/>
        <v/>
      </c>
      <c r="FB27" s="134" t="str">
        <f t="shared" ca="1" si="94"/>
        <v/>
      </c>
      <c r="FC27" s="134">
        <f t="shared" ca="1" si="78"/>
        <v>0</v>
      </c>
      <c r="FD27" s="134">
        <f t="shared" ca="1" si="79"/>
        <v>0</v>
      </c>
      <c r="FE27" s="134">
        <f t="shared" ca="1" si="80"/>
        <v>0</v>
      </c>
      <c r="FF27" s="134">
        <f t="shared" ca="1" si="95"/>
        <v>0</v>
      </c>
      <c r="FN27" s="754" t="b">
        <v>0</v>
      </c>
      <c r="FO27" s="754" t="b">
        <f t="shared" si="81"/>
        <v>1</v>
      </c>
      <c r="FP27" s="754" t="b">
        <v>0</v>
      </c>
      <c r="FQ27" s="754" t="b">
        <f t="shared" si="96"/>
        <v>1</v>
      </c>
      <c r="FW27" s="2"/>
      <c r="FX27" s="2"/>
      <c r="FZ27" s="2"/>
      <c r="GA27" s="1761" t="str">
        <f t="shared" si="82"/>
        <v/>
      </c>
      <c r="GB27" s="1762" t="str">
        <f t="shared" si="83"/>
        <v/>
      </c>
      <c r="GC27" s="1763" t="str">
        <f t="shared" si="84"/>
        <v/>
      </c>
      <c r="GD27" s="1764" t="str">
        <f t="shared" si="85"/>
        <v/>
      </c>
      <c r="GE27" s="1765" t="str">
        <f t="shared" si="86"/>
        <v/>
      </c>
      <c r="GF27" s="582" t="str">
        <f t="shared" si="87"/>
        <v/>
      </c>
      <c r="GG27" s="692"/>
      <c r="GH27" s="1135"/>
      <c r="GI27" s="692"/>
      <c r="GJ27" s="1135"/>
      <c r="GK27" s="1640">
        <f t="shared" si="88"/>
        <v>0</v>
      </c>
      <c r="GL27" s="1640" t="e">
        <f t="shared" si="89"/>
        <v>#VALUE!</v>
      </c>
      <c r="GM27" s="1641" t="e">
        <f>IF(ABS(GK27-GL27)&gt;='Job Info.'!$L$22,ABS(GK27-GL27),0)</f>
        <v>#VALUE!</v>
      </c>
      <c r="GZ27" s="145"/>
      <c r="HA27" s="1241"/>
      <c r="HB27" s="1242"/>
      <c r="HC27" s="1242"/>
      <c r="HD27" s="1243"/>
      <c r="HE27" s="1244"/>
      <c r="HF27" s="1242"/>
      <c r="HG27" s="1242"/>
      <c r="HH27" s="1242"/>
      <c r="HI27" s="1242"/>
      <c r="HJ27" s="1242"/>
      <c r="HK27" s="1242"/>
      <c r="HL27" s="1242"/>
      <c r="HM27" s="1242"/>
      <c r="HN27" s="1242"/>
      <c r="HO27" s="1242"/>
      <c r="HP27" s="1242"/>
      <c r="HQ27" s="1242"/>
      <c r="HR27" s="1242"/>
      <c r="HS27" s="1242"/>
      <c r="HT27" s="1242"/>
      <c r="HU27" s="1242"/>
      <c r="HV27" s="1242"/>
      <c r="HW27" s="1242"/>
      <c r="HX27" s="1242"/>
      <c r="HY27" s="1246"/>
      <c r="HZ27" s="1246"/>
      <c r="IA27" s="1246"/>
      <c r="IB27" s="1246"/>
      <c r="IC27" s="1246"/>
      <c r="ID27" s="1261"/>
      <c r="IE27" s="1241"/>
      <c r="IF27" s="1242"/>
      <c r="IG27" s="1243"/>
      <c r="IH27" s="1244"/>
      <c r="II27" s="1242"/>
      <c r="IJ27" s="1243"/>
      <c r="IK27" s="1244"/>
      <c r="IL27" s="1242"/>
      <c r="IM27" s="1242"/>
      <c r="IN27" s="1242"/>
      <c r="IO27" s="1242"/>
      <c r="IP27" s="1242"/>
      <c r="IQ27" s="1242"/>
      <c r="IR27" s="1242"/>
      <c r="IS27" s="1243"/>
      <c r="IT27" s="1244"/>
      <c r="IU27" s="1242"/>
      <c r="IV27" s="1242"/>
      <c r="IW27" s="1243"/>
      <c r="IX27" s="1244"/>
      <c r="IY27" s="1242"/>
      <c r="IZ27" s="1242"/>
      <c r="JA27" s="1243"/>
      <c r="JB27" s="1244"/>
      <c r="JC27" s="1242"/>
      <c r="JD27" s="1242"/>
      <c r="JE27" s="1243"/>
      <c r="JF27" s="1244"/>
      <c r="JG27" s="1242"/>
      <c r="JH27" s="1242"/>
      <c r="JI27" s="1242"/>
      <c r="JJ27" s="1245"/>
      <c r="JK27" s="1242"/>
      <c r="JL27" s="1171">
        <f t="shared" ca="1" si="99"/>
        <v>0</v>
      </c>
    </row>
    <row r="28" spans="1:272" ht="12.6" customHeight="1" x14ac:dyDescent="0.3">
      <c r="A28" s="1448" t="str">
        <f t="shared" si="0"/>
        <v/>
      </c>
      <c r="B28" s="1681" t="str">
        <f t="shared" si="1"/>
        <v/>
      </c>
      <c r="C28" s="1449" t="str">
        <f t="shared" si="2"/>
        <v/>
      </c>
      <c r="D28" s="1705" t="str">
        <f t="shared" si="3"/>
        <v/>
      </c>
      <c r="E28" s="1706" t="str">
        <f t="shared" si="4"/>
        <v/>
      </c>
      <c r="F28" s="1707" t="str">
        <f t="shared" si="5"/>
        <v/>
      </c>
      <c r="G28" s="1708" t="str">
        <f t="shared" si="6"/>
        <v/>
      </c>
      <c r="H28" s="1709" t="str">
        <f t="shared" si="7"/>
        <v/>
      </c>
      <c r="I28" s="1710" t="str">
        <f t="shared" si="8"/>
        <v/>
      </c>
      <c r="J28" s="1705" t="str">
        <f t="shared" si="9"/>
        <v/>
      </c>
      <c r="K28" s="1709" t="str">
        <f t="shared" si="10"/>
        <v/>
      </c>
      <c r="L28" s="1711" t="str">
        <f t="shared" si="11"/>
        <v/>
      </c>
      <c r="M28" s="1712" t="str">
        <f t="shared" si="12"/>
        <v/>
      </c>
      <c r="N28" s="1713" t="str">
        <f t="shared" si="12"/>
        <v/>
      </c>
      <c r="O28" s="1708" t="str">
        <f t="shared" si="13"/>
        <v/>
      </c>
      <c r="P28" s="1709" t="str">
        <f t="shared" si="14"/>
        <v/>
      </c>
      <c r="Q28" s="1705" t="str">
        <f t="shared" si="15"/>
        <v/>
      </c>
      <c r="R28" s="1706" t="str">
        <f t="shared" si="16"/>
        <v/>
      </c>
      <c r="S28" s="1714" t="str">
        <f t="shared" si="17"/>
        <v/>
      </c>
      <c r="T28" s="1709" t="str">
        <f t="shared" si="18"/>
        <v/>
      </c>
      <c r="U28" s="1705" t="str">
        <f t="shared" si="19"/>
        <v/>
      </c>
      <c r="V28" s="1709" t="str">
        <f t="shared" si="20"/>
        <v/>
      </c>
      <c r="W28" s="1713">
        <f t="shared" si="21"/>
        <v>0</v>
      </c>
      <c r="X28" s="1715" t="str">
        <f t="shared" si="22"/>
        <v/>
      </c>
      <c r="Y28" s="1716" t="str">
        <f t="shared" si="23"/>
        <v/>
      </c>
      <c r="Z28" s="1717" t="str">
        <f t="shared" si="24"/>
        <v/>
      </c>
      <c r="AA28" s="1776" t="str">
        <f t="shared" si="25"/>
        <v/>
      </c>
      <c r="AB28" s="1448" t="str">
        <f t="shared" si="26"/>
        <v/>
      </c>
      <c r="AC28" s="1710" t="str">
        <f t="shared" si="27"/>
        <v/>
      </c>
      <c r="AD28" s="1705" t="str">
        <f t="shared" ca="1" si="28"/>
        <v/>
      </c>
      <c r="AE28" s="1709" t="str">
        <f t="shared" ca="1" si="29"/>
        <v/>
      </c>
      <c r="AF28" s="1710" t="str">
        <f t="shared" ca="1" si="30"/>
        <v/>
      </c>
      <c r="AG28" s="1705" t="str">
        <f t="shared" ca="1" si="31"/>
        <v/>
      </c>
      <c r="AH28" s="1709" t="str">
        <f t="shared" ca="1" si="32"/>
        <v/>
      </c>
      <c r="AI28" s="1705" t="str">
        <f t="shared" ca="1" si="33"/>
        <v/>
      </c>
      <c r="AJ28" s="1709" t="str">
        <f t="shared" ca="1" si="34"/>
        <v/>
      </c>
      <c r="AK28" s="1747" t="str">
        <f t="shared" si="35"/>
        <v/>
      </c>
      <c r="AL28" s="1748" t="str">
        <f t="shared" si="36"/>
        <v/>
      </c>
      <c r="AM28" s="1749" t="str">
        <f t="shared" si="35"/>
        <v/>
      </c>
      <c r="AN28" s="1710" t="str">
        <f t="shared" si="35"/>
        <v/>
      </c>
      <c r="AO28" s="1713" t="str">
        <f t="shared" si="35"/>
        <v/>
      </c>
      <c r="AP28" s="1712" t="str">
        <f t="shared" si="37"/>
        <v/>
      </c>
      <c r="AQ28" s="1751" t="str">
        <f t="shared" si="38"/>
        <v/>
      </c>
      <c r="AR28" s="1708" t="str">
        <f t="shared" si="39"/>
        <v/>
      </c>
      <c r="AS28" s="1709" t="str">
        <f t="shared" si="40"/>
        <v/>
      </c>
      <c r="AT28" s="1752" t="str">
        <f t="shared" si="41"/>
        <v/>
      </c>
      <c r="AU28" s="1753" t="str">
        <f t="shared" si="42"/>
        <v/>
      </c>
      <c r="AV28" s="1714" t="str">
        <f t="shared" si="43"/>
        <v/>
      </c>
      <c r="AW28" s="1709" t="str">
        <f t="shared" si="44"/>
        <v/>
      </c>
      <c r="AX28" s="1752" t="str">
        <f t="shared" si="45"/>
        <v/>
      </c>
      <c r="AY28" s="1753" t="str">
        <f t="shared" si="46"/>
        <v/>
      </c>
      <c r="AZ28" s="1714" t="str">
        <f t="shared" si="47"/>
        <v/>
      </c>
      <c r="BA28" s="1709" t="str">
        <f t="shared" si="48"/>
        <v/>
      </c>
      <c r="BB28" s="1752" t="str">
        <f t="shared" si="49"/>
        <v/>
      </c>
      <c r="BC28" s="1753" t="str">
        <f t="shared" si="50"/>
        <v/>
      </c>
      <c r="BD28" s="1714" t="str">
        <f t="shared" si="51"/>
        <v/>
      </c>
      <c r="BE28" s="1709" t="str">
        <f t="shared" si="52"/>
        <v/>
      </c>
      <c r="BF28" s="1752" t="str">
        <f t="shared" si="53"/>
        <v/>
      </c>
      <c r="BG28" s="1753" t="str">
        <f t="shared" si="54"/>
        <v/>
      </c>
      <c r="BH28" s="1416"/>
      <c r="BJ28" s="995" t="str">
        <f t="shared" si="97"/>
        <v/>
      </c>
      <c r="BK28" s="993" t="b">
        <f t="shared" si="55"/>
        <v>0</v>
      </c>
      <c r="BL28" s="989" t="b">
        <v>0</v>
      </c>
      <c r="BM28" s="989">
        <f t="shared" si="56"/>
        <v>0</v>
      </c>
      <c r="BN28" s="989">
        <f t="shared" si="57"/>
        <v>0</v>
      </c>
      <c r="BO28" s="989">
        <f t="shared" si="58"/>
        <v>0</v>
      </c>
      <c r="BP28" s="989">
        <f t="shared" si="59"/>
        <v>0</v>
      </c>
      <c r="BQ28" s="989">
        <f t="shared" si="60"/>
        <v>0</v>
      </c>
      <c r="BR28" s="989" t="b">
        <f t="shared" si="61"/>
        <v>1</v>
      </c>
      <c r="BS28" s="1302">
        <f t="shared" si="62"/>
        <v>6</v>
      </c>
      <c r="BT28" s="990" t="str">
        <f t="shared" si="63"/>
        <v>No</v>
      </c>
      <c r="BU28" s="1302">
        <f t="shared" si="64"/>
        <v>6</v>
      </c>
      <c r="BV28" s="990" t="str">
        <f t="shared" si="65"/>
        <v>No</v>
      </c>
      <c r="BW28" s="991">
        <f t="shared" ca="1" si="66"/>
        <v>0</v>
      </c>
      <c r="BX28" s="991" t="str">
        <f t="shared" ca="1" si="67"/>
        <v/>
      </c>
      <c r="BY28" s="991" t="b">
        <f t="shared" ca="1" si="68"/>
        <v>0</v>
      </c>
      <c r="BZ28" s="991" t="b">
        <f t="shared" si="90"/>
        <v>0</v>
      </c>
      <c r="CB28" s="672"/>
      <c r="CC28" s="1684"/>
      <c r="CD28" s="699"/>
      <c r="CE28" s="700"/>
      <c r="CF28" s="701"/>
      <c r="CG28" s="672"/>
      <c r="CH28" s="713"/>
      <c r="CI28" s="714"/>
      <c r="CJ28" s="713"/>
      <c r="CK28" s="714"/>
      <c r="CL28" s="715"/>
      <c r="CM28" s="743"/>
      <c r="CN28" s="738"/>
      <c r="CO28" s="1551"/>
      <c r="CP28" s="910"/>
      <c r="CQ28" s="672"/>
      <c r="CR28" s="713"/>
      <c r="CS28" s="714"/>
      <c r="CT28" s="713"/>
      <c r="CU28" s="714"/>
      <c r="CV28" s="715"/>
      <c r="CW28" s="743"/>
      <c r="CX28" s="738"/>
      <c r="CY28" s="1551"/>
      <c r="CZ28" s="910"/>
      <c r="DA28" s="717"/>
      <c r="DB28" s="702"/>
      <c r="DC28" s="703"/>
      <c r="DD28" s="725"/>
      <c r="DE28" s="726"/>
      <c r="DF28" s="141"/>
      <c r="DG28" s="141"/>
      <c r="DH28" s="672"/>
      <c r="DI28" s="673"/>
      <c r="DJ28" s="692"/>
      <c r="DK28" s="1331"/>
      <c r="DL28" s="674"/>
      <c r="DM28" s="693"/>
      <c r="DN28" s="1334"/>
      <c r="DO28" s="675"/>
      <c r="DP28" s="676"/>
      <c r="DQ28" s="1419"/>
      <c r="DR28" s="677"/>
      <c r="DS28" s="1419"/>
      <c r="DT28" s="1421"/>
      <c r="DU28" s="1422"/>
      <c r="DV28" s="678"/>
      <c r="DW28" s="1336"/>
      <c r="DX28" s="679"/>
      <c r="DY28" s="674"/>
      <c r="DZ28" s="678"/>
      <c r="EA28" s="1336"/>
      <c r="EB28" s="679"/>
      <c r="EC28" s="674"/>
      <c r="ED28" s="678"/>
      <c r="EE28" s="1336"/>
      <c r="EF28" s="679"/>
      <c r="EG28" s="674"/>
      <c r="EH28" s="678"/>
      <c r="EI28" s="1336"/>
      <c r="EJ28" s="679"/>
      <c r="EK28" s="680"/>
      <c r="EL28" s="241"/>
      <c r="EM28" s="1631" t="str">
        <f t="shared" si="69"/>
        <v/>
      </c>
      <c r="EN28" s="1428" t="str">
        <f t="shared" si="70"/>
        <v/>
      </c>
      <c r="EO28" s="1429" t="str">
        <f t="shared" si="71"/>
        <v/>
      </c>
      <c r="EP28" s="1430" t="str">
        <f t="shared" si="72"/>
        <v/>
      </c>
      <c r="EQ28" s="1434" t="str">
        <f t="shared" si="73"/>
        <v/>
      </c>
      <c r="ER28" s="1440" t="str">
        <f t="shared" si="74"/>
        <v/>
      </c>
      <c r="ES28" s="1441" t="str">
        <f t="shared" si="75"/>
        <v/>
      </c>
      <c r="ET28" s="1442" t="str">
        <f t="shared" si="76"/>
        <v/>
      </c>
      <c r="EU28" s="1443" t="str">
        <f t="shared" si="91"/>
        <v/>
      </c>
      <c r="EX28" s="503" t="str">
        <f t="shared" ca="1" si="92"/>
        <v/>
      </c>
      <c r="EY28" s="940" t="str">
        <f t="shared" si="77"/>
        <v/>
      </c>
      <c r="EZ28" s="940" t="str">
        <f t="shared" si="93"/>
        <v/>
      </c>
      <c r="FA28" s="958" t="str">
        <f t="shared" ca="1" si="98"/>
        <v/>
      </c>
      <c r="FB28" s="134" t="str">
        <f t="shared" ca="1" si="94"/>
        <v/>
      </c>
      <c r="FC28" s="134">
        <f t="shared" ca="1" si="78"/>
        <v>0</v>
      </c>
      <c r="FD28" s="134">
        <f t="shared" ca="1" si="79"/>
        <v>0</v>
      </c>
      <c r="FE28" s="134">
        <f t="shared" ca="1" si="80"/>
        <v>0</v>
      </c>
      <c r="FF28" s="134">
        <f t="shared" ca="1" si="95"/>
        <v>0</v>
      </c>
      <c r="FN28" s="754" t="b">
        <v>0</v>
      </c>
      <c r="FO28" s="754" t="b">
        <f t="shared" si="81"/>
        <v>1</v>
      </c>
      <c r="FP28" s="754" t="b">
        <v>0</v>
      </c>
      <c r="FQ28" s="754" t="b">
        <f t="shared" si="96"/>
        <v>1</v>
      </c>
      <c r="FW28" s="2"/>
      <c r="FX28" s="2"/>
      <c r="FZ28" s="2"/>
      <c r="GA28" s="1761" t="str">
        <f t="shared" si="82"/>
        <v/>
      </c>
      <c r="GB28" s="1762" t="str">
        <f t="shared" si="83"/>
        <v/>
      </c>
      <c r="GC28" s="1763" t="str">
        <f t="shared" si="84"/>
        <v/>
      </c>
      <c r="GD28" s="1764" t="str">
        <f t="shared" si="85"/>
        <v/>
      </c>
      <c r="GE28" s="1765" t="str">
        <f t="shared" si="86"/>
        <v/>
      </c>
      <c r="GF28" s="582" t="str">
        <f t="shared" si="87"/>
        <v/>
      </c>
      <c r="GG28" s="692"/>
      <c r="GH28" s="1135"/>
      <c r="GI28" s="692"/>
      <c r="GJ28" s="1135"/>
      <c r="GK28" s="1640">
        <f t="shared" si="88"/>
        <v>0</v>
      </c>
      <c r="GL28" s="1640" t="e">
        <f t="shared" si="89"/>
        <v>#VALUE!</v>
      </c>
      <c r="GM28" s="1641" t="e">
        <f>IF(ABS(GK28-GL28)&gt;='Job Info.'!$L$22,ABS(GK28-GL28),0)</f>
        <v>#VALUE!</v>
      </c>
      <c r="GZ28" s="144"/>
      <c r="HA28" s="1241"/>
      <c r="HB28" s="1242"/>
      <c r="HC28" s="1242"/>
      <c r="HD28" s="1243"/>
      <c r="HE28" s="1244"/>
      <c r="HF28" s="1242"/>
      <c r="HG28" s="1242"/>
      <c r="HH28" s="1242"/>
      <c r="HI28" s="1242"/>
      <c r="HJ28" s="1242"/>
      <c r="HK28" s="1242"/>
      <c r="HL28" s="1242"/>
      <c r="HM28" s="1242"/>
      <c r="HN28" s="1242"/>
      <c r="HO28" s="1242"/>
      <c r="HP28" s="1242"/>
      <c r="HQ28" s="1242"/>
      <c r="HR28" s="1242"/>
      <c r="HS28" s="1242"/>
      <c r="HT28" s="1242"/>
      <c r="HU28" s="1242"/>
      <c r="HV28" s="1242"/>
      <c r="HW28" s="1242"/>
      <c r="HX28" s="1242"/>
      <c r="HY28" s="1246"/>
      <c r="HZ28" s="1246"/>
      <c r="IA28" s="1246"/>
      <c r="IB28" s="1246"/>
      <c r="IC28" s="1246"/>
      <c r="ID28" s="1261"/>
      <c r="IE28" s="1241"/>
      <c r="IF28" s="1242"/>
      <c r="IG28" s="1243"/>
      <c r="IH28" s="1244"/>
      <c r="II28" s="1242"/>
      <c r="IJ28" s="1243"/>
      <c r="IK28" s="1244"/>
      <c r="IL28" s="1242"/>
      <c r="IM28" s="1242"/>
      <c r="IN28" s="1242"/>
      <c r="IO28" s="1242"/>
      <c r="IP28" s="1242"/>
      <c r="IQ28" s="1242"/>
      <c r="IR28" s="1242"/>
      <c r="IS28" s="1243"/>
      <c r="IT28" s="1244"/>
      <c r="IU28" s="1242"/>
      <c r="IV28" s="1242"/>
      <c r="IW28" s="1243"/>
      <c r="IX28" s="1244"/>
      <c r="IY28" s="1242"/>
      <c r="IZ28" s="1242"/>
      <c r="JA28" s="1243"/>
      <c r="JB28" s="1244"/>
      <c r="JC28" s="1242"/>
      <c r="JD28" s="1242"/>
      <c r="JE28" s="1243"/>
      <c r="JF28" s="1244"/>
      <c r="JG28" s="1242"/>
      <c r="JH28" s="1242"/>
      <c r="JI28" s="1242"/>
      <c r="JJ28" s="1245"/>
      <c r="JK28" s="1242"/>
      <c r="JL28" s="1171">
        <f t="shared" ca="1" si="99"/>
        <v>0</v>
      </c>
    </row>
    <row r="29" spans="1:272" ht="12.6" customHeight="1" x14ac:dyDescent="0.25">
      <c r="A29" s="1448" t="str">
        <f t="shared" si="0"/>
        <v/>
      </c>
      <c r="B29" s="1681" t="str">
        <f t="shared" si="1"/>
        <v/>
      </c>
      <c r="C29" s="1449" t="str">
        <f t="shared" si="2"/>
        <v/>
      </c>
      <c r="D29" s="1705" t="str">
        <f t="shared" si="3"/>
        <v/>
      </c>
      <c r="E29" s="1706" t="str">
        <f t="shared" si="4"/>
        <v/>
      </c>
      <c r="F29" s="1707" t="str">
        <f t="shared" si="5"/>
        <v/>
      </c>
      <c r="G29" s="1708" t="str">
        <f t="shared" si="6"/>
        <v/>
      </c>
      <c r="H29" s="1709" t="str">
        <f t="shared" si="7"/>
        <v/>
      </c>
      <c r="I29" s="1710" t="str">
        <f t="shared" si="8"/>
        <v/>
      </c>
      <c r="J29" s="1705" t="str">
        <f t="shared" si="9"/>
        <v/>
      </c>
      <c r="K29" s="1709" t="str">
        <f t="shared" si="10"/>
        <v/>
      </c>
      <c r="L29" s="1711" t="str">
        <f t="shared" si="11"/>
        <v/>
      </c>
      <c r="M29" s="1712" t="str">
        <f t="shared" si="12"/>
        <v/>
      </c>
      <c r="N29" s="1713" t="str">
        <f t="shared" si="12"/>
        <v/>
      </c>
      <c r="O29" s="1708" t="str">
        <f t="shared" si="13"/>
        <v/>
      </c>
      <c r="P29" s="1709" t="str">
        <f t="shared" si="14"/>
        <v/>
      </c>
      <c r="Q29" s="1705" t="str">
        <f t="shared" si="15"/>
        <v/>
      </c>
      <c r="R29" s="1706" t="str">
        <f t="shared" si="16"/>
        <v/>
      </c>
      <c r="S29" s="1714" t="str">
        <f t="shared" si="17"/>
        <v/>
      </c>
      <c r="T29" s="1709" t="str">
        <f t="shared" si="18"/>
        <v/>
      </c>
      <c r="U29" s="1705" t="str">
        <f t="shared" si="19"/>
        <v/>
      </c>
      <c r="V29" s="1709" t="str">
        <f t="shared" si="20"/>
        <v/>
      </c>
      <c r="W29" s="1713">
        <f t="shared" si="21"/>
        <v>0</v>
      </c>
      <c r="X29" s="1715" t="str">
        <f t="shared" si="22"/>
        <v/>
      </c>
      <c r="Y29" s="1716" t="str">
        <f t="shared" si="23"/>
        <v/>
      </c>
      <c r="Z29" s="1717" t="str">
        <f t="shared" si="24"/>
        <v/>
      </c>
      <c r="AA29" s="1776" t="str">
        <f t="shared" si="25"/>
        <v/>
      </c>
      <c r="AB29" s="1448" t="str">
        <f t="shared" si="26"/>
        <v/>
      </c>
      <c r="AC29" s="1710" t="str">
        <f t="shared" si="27"/>
        <v/>
      </c>
      <c r="AD29" s="1705" t="str">
        <f t="shared" ca="1" si="28"/>
        <v/>
      </c>
      <c r="AE29" s="1709" t="str">
        <f t="shared" ca="1" si="29"/>
        <v/>
      </c>
      <c r="AF29" s="1710" t="str">
        <f t="shared" ca="1" si="30"/>
        <v/>
      </c>
      <c r="AG29" s="1705" t="str">
        <f t="shared" ca="1" si="31"/>
        <v/>
      </c>
      <c r="AH29" s="1709" t="str">
        <f t="shared" ca="1" si="32"/>
        <v/>
      </c>
      <c r="AI29" s="1705" t="str">
        <f t="shared" ca="1" si="33"/>
        <v/>
      </c>
      <c r="AJ29" s="1709" t="str">
        <f t="shared" ca="1" si="34"/>
        <v/>
      </c>
      <c r="AK29" s="1747" t="str">
        <f t="shared" si="35"/>
        <v/>
      </c>
      <c r="AL29" s="1748" t="str">
        <f t="shared" si="36"/>
        <v/>
      </c>
      <c r="AM29" s="1749" t="str">
        <f t="shared" si="35"/>
        <v/>
      </c>
      <c r="AN29" s="1710" t="str">
        <f t="shared" si="35"/>
        <v/>
      </c>
      <c r="AO29" s="1713" t="str">
        <f t="shared" si="35"/>
        <v/>
      </c>
      <c r="AP29" s="1712" t="str">
        <f t="shared" si="37"/>
        <v/>
      </c>
      <c r="AQ29" s="1751" t="str">
        <f t="shared" si="38"/>
        <v/>
      </c>
      <c r="AR29" s="1708" t="str">
        <f t="shared" si="39"/>
        <v/>
      </c>
      <c r="AS29" s="1709" t="str">
        <f t="shared" si="40"/>
        <v/>
      </c>
      <c r="AT29" s="1752" t="str">
        <f t="shared" si="41"/>
        <v/>
      </c>
      <c r="AU29" s="1753" t="str">
        <f t="shared" si="42"/>
        <v/>
      </c>
      <c r="AV29" s="1714" t="str">
        <f t="shared" si="43"/>
        <v/>
      </c>
      <c r="AW29" s="1709" t="str">
        <f t="shared" si="44"/>
        <v/>
      </c>
      <c r="AX29" s="1752" t="str">
        <f t="shared" si="45"/>
        <v/>
      </c>
      <c r="AY29" s="1753" t="str">
        <f t="shared" si="46"/>
        <v/>
      </c>
      <c r="AZ29" s="1714" t="str">
        <f t="shared" si="47"/>
        <v/>
      </c>
      <c r="BA29" s="1709" t="str">
        <f t="shared" si="48"/>
        <v/>
      </c>
      <c r="BB29" s="1752" t="str">
        <f t="shared" si="49"/>
        <v/>
      </c>
      <c r="BC29" s="1753" t="str">
        <f t="shared" si="50"/>
        <v/>
      </c>
      <c r="BD29" s="1714" t="str">
        <f t="shared" si="51"/>
        <v/>
      </c>
      <c r="BE29" s="1709" t="str">
        <f t="shared" si="52"/>
        <v/>
      </c>
      <c r="BF29" s="1752" t="str">
        <f t="shared" si="53"/>
        <v/>
      </c>
      <c r="BG29" s="1753" t="str">
        <f t="shared" si="54"/>
        <v/>
      </c>
      <c r="BH29" s="1416"/>
      <c r="BJ29" s="995" t="str">
        <f t="shared" si="97"/>
        <v/>
      </c>
      <c r="BK29" s="993" t="b">
        <f t="shared" si="55"/>
        <v>0</v>
      </c>
      <c r="BL29" s="989" t="b">
        <v>0</v>
      </c>
      <c r="BM29" s="989">
        <f t="shared" si="56"/>
        <v>0</v>
      </c>
      <c r="BN29" s="989">
        <f t="shared" si="57"/>
        <v>0</v>
      </c>
      <c r="BO29" s="989">
        <f t="shared" si="58"/>
        <v>0</v>
      </c>
      <c r="BP29" s="989">
        <f t="shared" si="59"/>
        <v>0</v>
      </c>
      <c r="BQ29" s="989">
        <f t="shared" si="60"/>
        <v>0</v>
      </c>
      <c r="BR29" s="989" t="b">
        <f t="shared" si="61"/>
        <v>1</v>
      </c>
      <c r="BS29" s="1302">
        <f t="shared" si="62"/>
        <v>6</v>
      </c>
      <c r="BT29" s="990" t="str">
        <f t="shared" si="63"/>
        <v>No</v>
      </c>
      <c r="BU29" s="1302">
        <f t="shared" si="64"/>
        <v>6</v>
      </c>
      <c r="BV29" s="990" t="str">
        <f t="shared" si="65"/>
        <v>No</v>
      </c>
      <c r="BW29" s="991">
        <f t="shared" ca="1" si="66"/>
        <v>0</v>
      </c>
      <c r="BX29" s="991" t="str">
        <f t="shared" ca="1" si="67"/>
        <v/>
      </c>
      <c r="BY29" s="991" t="b">
        <f t="shared" ca="1" si="68"/>
        <v>0</v>
      </c>
      <c r="BZ29" s="991" t="b">
        <f t="shared" si="90"/>
        <v>0</v>
      </c>
      <c r="CB29" s="672"/>
      <c r="CC29" s="1684"/>
      <c r="CD29" s="699"/>
      <c r="CE29" s="700"/>
      <c r="CF29" s="701"/>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725"/>
      <c r="DE29" s="726"/>
      <c r="DF29" s="141"/>
      <c r="DG29" s="141"/>
      <c r="DH29" s="672"/>
      <c r="DI29" s="673"/>
      <c r="DJ29" s="692"/>
      <c r="DK29" s="1331"/>
      <c r="DL29" s="674"/>
      <c r="DM29" s="693"/>
      <c r="DN29" s="1334"/>
      <c r="DO29" s="675"/>
      <c r="DP29" s="676"/>
      <c r="DQ29" s="1419"/>
      <c r="DR29" s="677"/>
      <c r="DS29" s="1419"/>
      <c r="DT29" s="1421"/>
      <c r="DU29" s="1422"/>
      <c r="DV29" s="678"/>
      <c r="DW29" s="1336"/>
      <c r="DX29" s="679"/>
      <c r="DY29" s="674"/>
      <c r="DZ29" s="678"/>
      <c r="EA29" s="1336"/>
      <c r="EB29" s="679"/>
      <c r="EC29" s="674"/>
      <c r="ED29" s="678"/>
      <c r="EE29" s="1336"/>
      <c r="EF29" s="679"/>
      <c r="EG29" s="674"/>
      <c r="EH29" s="678"/>
      <c r="EI29" s="1336"/>
      <c r="EJ29" s="679"/>
      <c r="EK29" s="680"/>
      <c r="EL29" s="241"/>
      <c r="EM29" s="1631" t="str">
        <f t="shared" si="69"/>
        <v/>
      </c>
      <c r="EN29" s="1428" t="str">
        <f t="shared" si="70"/>
        <v/>
      </c>
      <c r="EO29" s="1429" t="str">
        <f t="shared" si="71"/>
        <v/>
      </c>
      <c r="EP29" s="1430" t="str">
        <f t="shared" si="72"/>
        <v/>
      </c>
      <c r="EQ29" s="1434" t="str">
        <f t="shared" si="73"/>
        <v/>
      </c>
      <c r="ER29" s="1440" t="str">
        <f t="shared" si="74"/>
        <v/>
      </c>
      <c r="ES29" s="1441" t="str">
        <f t="shared" si="75"/>
        <v/>
      </c>
      <c r="ET29" s="1442" t="str">
        <f t="shared" si="76"/>
        <v/>
      </c>
      <c r="EU29" s="1443" t="str">
        <f t="shared" si="91"/>
        <v/>
      </c>
      <c r="EX29" s="503" t="str">
        <f t="shared" ca="1" si="92"/>
        <v/>
      </c>
      <c r="EY29" s="940" t="str">
        <f t="shared" si="77"/>
        <v/>
      </c>
      <c r="EZ29" s="940" t="str">
        <f t="shared" si="93"/>
        <v/>
      </c>
      <c r="FA29" s="958" t="str">
        <f t="shared" ca="1" si="98"/>
        <v/>
      </c>
      <c r="FB29" s="134" t="str">
        <f t="shared" ca="1" si="94"/>
        <v/>
      </c>
      <c r="FC29" s="134">
        <f t="shared" ca="1" si="78"/>
        <v>0</v>
      </c>
      <c r="FD29" s="134">
        <f t="shared" ca="1" si="79"/>
        <v>0</v>
      </c>
      <c r="FE29" s="134">
        <f t="shared" ca="1" si="80"/>
        <v>0</v>
      </c>
      <c r="FF29" s="134">
        <f t="shared" ca="1" si="95"/>
        <v>0</v>
      </c>
      <c r="FN29" s="754" t="b">
        <v>0</v>
      </c>
      <c r="FO29" s="754" t="b">
        <f t="shared" si="81"/>
        <v>1</v>
      </c>
      <c r="FP29" s="754" t="b">
        <v>0</v>
      </c>
      <c r="FQ29" s="754" t="b">
        <f t="shared" si="96"/>
        <v>1</v>
      </c>
      <c r="FW29" s="2"/>
      <c r="FX29" s="2"/>
      <c r="FZ29" s="2"/>
      <c r="GA29" s="1761" t="str">
        <f t="shared" si="82"/>
        <v/>
      </c>
      <c r="GB29" s="1762" t="str">
        <f t="shared" si="83"/>
        <v/>
      </c>
      <c r="GC29" s="1763" t="str">
        <f t="shared" si="84"/>
        <v/>
      </c>
      <c r="GD29" s="1764" t="str">
        <f t="shared" si="85"/>
        <v/>
      </c>
      <c r="GE29" s="1765" t="str">
        <f t="shared" si="86"/>
        <v/>
      </c>
      <c r="GF29" s="582" t="str">
        <f t="shared" si="87"/>
        <v/>
      </c>
      <c r="GG29" s="692"/>
      <c r="GH29" s="1135"/>
      <c r="GI29" s="692"/>
      <c r="GJ29" s="1135"/>
      <c r="GK29" s="1640">
        <f t="shared" si="88"/>
        <v>0</v>
      </c>
      <c r="GL29" s="1640" t="e">
        <f t="shared" si="89"/>
        <v>#VALUE!</v>
      </c>
      <c r="GM29" s="1641" t="e">
        <f>IF(ABS(GK29-GL29)&gt;='Job Info.'!$L$22,ABS(GK29-GL29),0)</f>
        <v>#VALUE!</v>
      </c>
      <c r="HA29" s="1241"/>
      <c r="HB29" s="1242"/>
      <c r="HC29" s="1242"/>
      <c r="HD29" s="1243"/>
      <c r="HE29" s="1244"/>
      <c r="HF29" s="1242"/>
      <c r="HG29" s="1242"/>
      <c r="HH29" s="1242"/>
      <c r="HI29" s="1242"/>
      <c r="HJ29" s="1242"/>
      <c r="HK29" s="1242"/>
      <c r="HL29" s="1242"/>
      <c r="HM29" s="1242"/>
      <c r="HN29" s="1242"/>
      <c r="HO29" s="1242"/>
      <c r="HP29" s="1242"/>
      <c r="HQ29" s="1242"/>
      <c r="HR29" s="1242"/>
      <c r="HS29" s="1242"/>
      <c r="HT29" s="1242"/>
      <c r="HU29" s="1242"/>
      <c r="HV29" s="1242"/>
      <c r="HW29" s="1242"/>
      <c r="HX29" s="1242"/>
      <c r="HY29" s="1246"/>
      <c r="HZ29" s="1246"/>
      <c r="IA29" s="1246"/>
      <c r="IB29" s="1246"/>
      <c r="IC29" s="1246"/>
      <c r="ID29" s="1261"/>
      <c r="IE29" s="1241"/>
      <c r="IF29" s="1242"/>
      <c r="IG29" s="1243"/>
      <c r="IH29" s="1244"/>
      <c r="II29" s="1242"/>
      <c r="IJ29" s="1243"/>
      <c r="IK29" s="1244"/>
      <c r="IL29" s="1242"/>
      <c r="IM29" s="1242"/>
      <c r="IN29" s="1242"/>
      <c r="IO29" s="1242"/>
      <c r="IP29" s="1242"/>
      <c r="IQ29" s="1242"/>
      <c r="IR29" s="1242"/>
      <c r="IS29" s="1243"/>
      <c r="IT29" s="1244"/>
      <c r="IU29" s="1242"/>
      <c r="IV29" s="1242"/>
      <c r="IW29" s="1243"/>
      <c r="IX29" s="1244"/>
      <c r="IY29" s="1242"/>
      <c r="IZ29" s="1242"/>
      <c r="JA29" s="1243"/>
      <c r="JB29" s="1244"/>
      <c r="JC29" s="1242"/>
      <c r="JD29" s="1242"/>
      <c r="JE29" s="1243"/>
      <c r="JF29" s="1244"/>
      <c r="JG29" s="1242"/>
      <c r="JH29" s="1242"/>
      <c r="JI29" s="1242"/>
      <c r="JJ29" s="1245"/>
      <c r="JK29" s="1242"/>
      <c r="JL29" s="1171">
        <f t="shared" ca="1" si="99"/>
        <v>0</v>
      </c>
    </row>
    <row r="30" spans="1:272" s="145" customFormat="1" ht="12.6" customHeight="1" x14ac:dyDescent="0.25">
      <c r="A30" s="1448" t="str">
        <f t="shared" si="0"/>
        <v/>
      </c>
      <c r="B30" s="1681" t="str">
        <f t="shared" si="1"/>
        <v/>
      </c>
      <c r="C30" s="1449" t="str">
        <f t="shared" si="2"/>
        <v/>
      </c>
      <c r="D30" s="1705" t="str">
        <f t="shared" si="3"/>
        <v/>
      </c>
      <c r="E30" s="1706" t="str">
        <f t="shared" si="4"/>
        <v/>
      </c>
      <c r="F30" s="1707" t="str">
        <f t="shared" si="5"/>
        <v/>
      </c>
      <c r="G30" s="1708" t="str">
        <f t="shared" si="6"/>
        <v/>
      </c>
      <c r="H30" s="1709" t="str">
        <f t="shared" si="7"/>
        <v/>
      </c>
      <c r="I30" s="1710" t="str">
        <f t="shared" si="8"/>
        <v/>
      </c>
      <c r="J30" s="1705" t="str">
        <f t="shared" si="9"/>
        <v/>
      </c>
      <c r="K30" s="1709" t="str">
        <f t="shared" si="10"/>
        <v/>
      </c>
      <c r="L30" s="1711" t="str">
        <f t="shared" si="11"/>
        <v/>
      </c>
      <c r="M30" s="1712" t="str">
        <f t="shared" si="12"/>
        <v/>
      </c>
      <c r="N30" s="1713" t="str">
        <f t="shared" si="12"/>
        <v/>
      </c>
      <c r="O30" s="1708" t="str">
        <f t="shared" si="13"/>
        <v/>
      </c>
      <c r="P30" s="1709" t="str">
        <f t="shared" si="14"/>
        <v/>
      </c>
      <c r="Q30" s="1705" t="str">
        <f t="shared" si="15"/>
        <v/>
      </c>
      <c r="R30" s="1706" t="str">
        <f t="shared" si="16"/>
        <v/>
      </c>
      <c r="S30" s="1714" t="str">
        <f t="shared" si="17"/>
        <v/>
      </c>
      <c r="T30" s="1709" t="str">
        <f t="shared" si="18"/>
        <v/>
      </c>
      <c r="U30" s="1705" t="str">
        <f t="shared" si="19"/>
        <v/>
      </c>
      <c r="V30" s="1709" t="str">
        <f t="shared" si="20"/>
        <v/>
      </c>
      <c r="W30" s="1713">
        <f t="shared" si="21"/>
        <v>0</v>
      </c>
      <c r="X30" s="1715" t="str">
        <f t="shared" si="22"/>
        <v/>
      </c>
      <c r="Y30" s="1716" t="str">
        <f t="shared" si="23"/>
        <v/>
      </c>
      <c r="Z30" s="1717" t="str">
        <f t="shared" si="24"/>
        <v/>
      </c>
      <c r="AA30" s="1776" t="str">
        <f t="shared" si="25"/>
        <v/>
      </c>
      <c r="AB30" s="1448" t="str">
        <f t="shared" si="26"/>
        <v/>
      </c>
      <c r="AC30" s="1710" t="str">
        <f t="shared" si="27"/>
        <v/>
      </c>
      <c r="AD30" s="1705" t="str">
        <f t="shared" ca="1" si="28"/>
        <v/>
      </c>
      <c r="AE30" s="1709" t="str">
        <f t="shared" ca="1" si="29"/>
        <v/>
      </c>
      <c r="AF30" s="1710" t="str">
        <f t="shared" ca="1" si="30"/>
        <v/>
      </c>
      <c r="AG30" s="1705" t="str">
        <f t="shared" ca="1" si="31"/>
        <v/>
      </c>
      <c r="AH30" s="1709" t="str">
        <f t="shared" ca="1" si="32"/>
        <v/>
      </c>
      <c r="AI30" s="1705" t="str">
        <f t="shared" ca="1" si="33"/>
        <v/>
      </c>
      <c r="AJ30" s="1709" t="str">
        <f t="shared" ca="1" si="34"/>
        <v/>
      </c>
      <c r="AK30" s="1747" t="str">
        <f t="shared" si="35"/>
        <v/>
      </c>
      <c r="AL30" s="1748" t="str">
        <f t="shared" si="36"/>
        <v/>
      </c>
      <c r="AM30" s="1749" t="str">
        <f t="shared" si="35"/>
        <v/>
      </c>
      <c r="AN30" s="1710" t="str">
        <f t="shared" si="35"/>
        <v/>
      </c>
      <c r="AO30" s="1713" t="str">
        <f t="shared" si="35"/>
        <v/>
      </c>
      <c r="AP30" s="1712" t="str">
        <f t="shared" si="37"/>
        <v/>
      </c>
      <c r="AQ30" s="1751" t="str">
        <f t="shared" si="38"/>
        <v/>
      </c>
      <c r="AR30" s="1708" t="str">
        <f t="shared" si="39"/>
        <v/>
      </c>
      <c r="AS30" s="1709" t="str">
        <f t="shared" si="40"/>
        <v/>
      </c>
      <c r="AT30" s="1752" t="str">
        <f t="shared" si="41"/>
        <v/>
      </c>
      <c r="AU30" s="1753" t="str">
        <f t="shared" si="42"/>
        <v/>
      </c>
      <c r="AV30" s="1714" t="str">
        <f t="shared" si="43"/>
        <v/>
      </c>
      <c r="AW30" s="1709" t="str">
        <f t="shared" si="44"/>
        <v/>
      </c>
      <c r="AX30" s="1752" t="str">
        <f t="shared" si="45"/>
        <v/>
      </c>
      <c r="AY30" s="1753" t="str">
        <f t="shared" si="46"/>
        <v/>
      </c>
      <c r="AZ30" s="1714" t="str">
        <f t="shared" si="47"/>
        <v/>
      </c>
      <c r="BA30" s="1709" t="str">
        <f t="shared" si="48"/>
        <v/>
      </c>
      <c r="BB30" s="1752" t="str">
        <f t="shared" si="49"/>
        <v/>
      </c>
      <c r="BC30" s="1753" t="str">
        <f t="shared" si="50"/>
        <v/>
      </c>
      <c r="BD30" s="1714" t="str">
        <f t="shared" si="51"/>
        <v/>
      </c>
      <c r="BE30" s="1709" t="str">
        <f t="shared" si="52"/>
        <v/>
      </c>
      <c r="BF30" s="1752" t="str">
        <f t="shared" si="53"/>
        <v/>
      </c>
      <c r="BG30" s="1753" t="str">
        <f t="shared" si="54"/>
        <v/>
      </c>
      <c r="BH30" s="1416"/>
      <c r="BJ30" s="995" t="str">
        <f t="shared" si="97"/>
        <v/>
      </c>
      <c r="BK30" s="993" t="b">
        <f t="shared" si="55"/>
        <v>0</v>
      </c>
      <c r="BL30" s="989" t="b">
        <v>0</v>
      </c>
      <c r="BM30" s="989">
        <f t="shared" si="56"/>
        <v>0</v>
      </c>
      <c r="BN30" s="989">
        <f t="shared" si="57"/>
        <v>0</v>
      </c>
      <c r="BO30" s="989">
        <f t="shared" si="58"/>
        <v>0</v>
      </c>
      <c r="BP30" s="989">
        <f t="shared" si="59"/>
        <v>0</v>
      </c>
      <c r="BQ30" s="989">
        <f t="shared" si="60"/>
        <v>0</v>
      </c>
      <c r="BR30" s="989" t="b">
        <f t="shared" si="61"/>
        <v>1</v>
      </c>
      <c r="BS30" s="1302">
        <f t="shared" si="62"/>
        <v>6</v>
      </c>
      <c r="BT30" s="990" t="str">
        <f t="shared" si="63"/>
        <v>No</v>
      </c>
      <c r="BU30" s="1302">
        <f t="shared" si="64"/>
        <v>6</v>
      </c>
      <c r="BV30" s="990" t="str">
        <f t="shared" si="65"/>
        <v>No</v>
      </c>
      <c r="BW30" s="991">
        <f t="shared" ca="1" si="66"/>
        <v>0</v>
      </c>
      <c r="BX30" s="991" t="str">
        <f t="shared" ca="1" si="67"/>
        <v/>
      </c>
      <c r="BY30" s="991" t="b">
        <f t="shared" ca="1" si="68"/>
        <v>0</v>
      </c>
      <c r="BZ30" s="991" t="b">
        <f t="shared" si="90"/>
        <v>0</v>
      </c>
      <c r="CB30" s="672"/>
      <c r="CC30" s="1684"/>
      <c r="CD30" s="699"/>
      <c r="CE30" s="700"/>
      <c r="CF30" s="701"/>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725"/>
      <c r="DE30" s="726"/>
      <c r="DF30" s="141"/>
      <c r="DG30" s="141"/>
      <c r="DH30" s="672"/>
      <c r="DI30" s="673"/>
      <c r="DJ30" s="692"/>
      <c r="DK30" s="1331"/>
      <c r="DL30" s="674"/>
      <c r="DM30" s="693"/>
      <c r="DN30" s="1334"/>
      <c r="DO30" s="675"/>
      <c r="DP30" s="676"/>
      <c r="DQ30" s="1419"/>
      <c r="DR30" s="677"/>
      <c r="DS30" s="1419"/>
      <c r="DT30" s="1421"/>
      <c r="DU30" s="1422"/>
      <c r="DV30" s="678"/>
      <c r="DW30" s="1336"/>
      <c r="DX30" s="679"/>
      <c r="DY30" s="674"/>
      <c r="DZ30" s="678"/>
      <c r="EA30" s="1336"/>
      <c r="EB30" s="679"/>
      <c r="EC30" s="674"/>
      <c r="ED30" s="678"/>
      <c r="EE30" s="1336"/>
      <c r="EF30" s="679"/>
      <c r="EG30" s="674"/>
      <c r="EH30" s="678"/>
      <c r="EI30" s="1336"/>
      <c r="EJ30" s="679"/>
      <c r="EK30" s="680"/>
      <c r="EL30" s="241"/>
      <c r="EM30" s="1631" t="str">
        <f t="shared" si="69"/>
        <v/>
      </c>
      <c r="EN30" s="1428" t="str">
        <f t="shared" si="70"/>
        <v/>
      </c>
      <c r="EO30" s="1429" t="str">
        <f t="shared" si="71"/>
        <v/>
      </c>
      <c r="EP30" s="1430" t="str">
        <f t="shared" si="72"/>
        <v/>
      </c>
      <c r="EQ30" s="1434" t="str">
        <f t="shared" si="73"/>
        <v/>
      </c>
      <c r="ER30" s="1440" t="str">
        <f t="shared" si="74"/>
        <v/>
      </c>
      <c r="ES30" s="1441" t="str">
        <f t="shared" si="75"/>
        <v/>
      </c>
      <c r="ET30" s="1442" t="str">
        <f t="shared" si="76"/>
        <v/>
      </c>
      <c r="EU30" s="1443" t="str">
        <f t="shared" si="91"/>
        <v/>
      </c>
      <c r="EX30" s="503" t="str">
        <f t="shared" ca="1" si="92"/>
        <v/>
      </c>
      <c r="EY30" s="940" t="str">
        <f t="shared" si="77"/>
        <v/>
      </c>
      <c r="EZ30" s="940" t="str">
        <f t="shared" si="93"/>
        <v/>
      </c>
      <c r="FA30" s="958" t="str">
        <f t="shared" ca="1" si="98"/>
        <v/>
      </c>
      <c r="FB30" s="134" t="str">
        <f t="shared" ca="1" si="94"/>
        <v/>
      </c>
      <c r="FC30" s="134">
        <f t="shared" ca="1" si="78"/>
        <v>0</v>
      </c>
      <c r="FD30" s="134">
        <f t="shared" ca="1" si="79"/>
        <v>0</v>
      </c>
      <c r="FE30" s="134">
        <f t="shared" ca="1" si="80"/>
        <v>0</v>
      </c>
      <c r="FF30" s="134">
        <f t="shared" ca="1" si="95"/>
        <v>0</v>
      </c>
      <c r="FN30" s="754" t="b">
        <v>0</v>
      </c>
      <c r="FO30" s="755" t="b">
        <f t="shared" si="81"/>
        <v>1</v>
      </c>
      <c r="FP30" s="755" t="b">
        <v>0</v>
      </c>
      <c r="FQ30" s="755" t="b">
        <f t="shared" si="96"/>
        <v>1</v>
      </c>
      <c r="FW30" s="2"/>
      <c r="FX30" s="2"/>
      <c r="FZ30" s="2"/>
      <c r="GA30" s="1761" t="str">
        <f t="shared" si="82"/>
        <v/>
      </c>
      <c r="GB30" s="1762" t="str">
        <f t="shared" si="83"/>
        <v/>
      </c>
      <c r="GC30" s="1763" t="str">
        <f t="shared" si="84"/>
        <v/>
      </c>
      <c r="GD30" s="1764" t="str">
        <f t="shared" si="85"/>
        <v/>
      </c>
      <c r="GE30" s="1765" t="str">
        <f t="shared" si="86"/>
        <v/>
      </c>
      <c r="GF30" s="582" t="str">
        <f t="shared" si="87"/>
        <v/>
      </c>
      <c r="GG30" s="692"/>
      <c r="GH30" s="1135"/>
      <c r="GI30" s="692"/>
      <c r="GJ30" s="1135"/>
      <c r="GK30" s="1640">
        <f t="shared" si="88"/>
        <v>0</v>
      </c>
      <c r="GL30" s="1640" t="e">
        <f t="shared" si="89"/>
        <v>#VALUE!</v>
      </c>
      <c r="GM30" s="1641" t="e">
        <f>IF(ABS(GK30-GL30)&gt;='Job Info.'!$L$22,ABS(GK30-GL30),0)</f>
        <v>#VALUE!</v>
      </c>
      <c r="GZ30" s="130"/>
      <c r="HA30" s="1241"/>
      <c r="HB30" s="1242"/>
      <c r="HC30" s="1242"/>
      <c r="HD30" s="1243"/>
      <c r="HE30" s="1244"/>
      <c r="HF30" s="1242"/>
      <c r="HG30" s="1242"/>
      <c r="HH30" s="1242"/>
      <c r="HI30" s="1242"/>
      <c r="HJ30" s="1242"/>
      <c r="HK30" s="1242"/>
      <c r="HL30" s="1242"/>
      <c r="HM30" s="1242"/>
      <c r="HN30" s="1242"/>
      <c r="HO30" s="1242"/>
      <c r="HP30" s="1242"/>
      <c r="HQ30" s="1242"/>
      <c r="HR30" s="1242"/>
      <c r="HS30" s="1242"/>
      <c r="HT30" s="1242"/>
      <c r="HU30" s="1242"/>
      <c r="HV30" s="1242"/>
      <c r="HW30" s="1242"/>
      <c r="HX30" s="1242"/>
      <c r="HY30" s="1246"/>
      <c r="HZ30" s="1246"/>
      <c r="IA30" s="1246"/>
      <c r="IB30" s="1246"/>
      <c r="IC30" s="1246"/>
      <c r="ID30" s="1261"/>
      <c r="IE30" s="1241"/>
      <c r="IF30" s="1242"/>
      <c r="IG30" s="1243"/>
      <c r="IH30" s="1244"/>
      <c r="II30" s="1242"/>
      <c r="IJ30" s="1243"/>
      <c r="IK30" s="1244"/>
      <c r="IL30" s="1242"/>
      <c r="IM30" s="1242"/>
      <c r="IN30" s="1242"/>
      <c r="IO30" s="1242"/>
      <c r="IP30" s="1242"/>
      <c r="IQ30" s="1242"/>
      <c r="IR30" s="1242"/>
      <c r="IS30" s="1243"/>
      <c r="IT30" s="1244"/>
      <c r="IU30" s="1242"/>
      <c r="IV30" s="1242"/>
      <c r="IW30" s="1243"/>
      <c r="IX30" s="1244"/>
      <c r="IY30" s="1242"/>
      <c r="IZ30" s="1242"/>
      <c r="JA30" s="1243"/>
      <c r="JB30" s="1244"/>
      <c r="JC30" s="1242"/>
      <c r="JD30" s="1242"/>
      <c r="JE30" s="1243"/>
      <c r="JF30" s="1244"/>
      <c r="JG30" s="1242"/>
      <c r="JH30" s="1242"/>
      <c r="JI30" s="1242"/>
      <c r="JJ30" s="1248"/>
      <c r="JK30" s="1242"/>
      <c r="JL30" s="1171">
        <f t="shared" ca="1" si="99"/>
        <v>0</v>
      </c>
    </row>
    <row r="31" spans="1:272" s="145" customFormat="1" ht="12.6" customHeight="1" x14ac:dyDescent="0.25">
      <c r="A31" s="1448" t="str">
        <f t="shared" si="0"/>
        <v/>
      </c>
      <c r="B31" s="1681" t="str">
        <f t="shared" si="1"/>
        <v/>
      </c>
      <c r="C31" s="1449" t="str">
        <f t="shared" si="2"/>
        <v/>
      </c>
      <c r="D31" s="1705" t="str">
        <f t="shared" si="3"/>
        <v/>
      </c>
      <c r="E31" s="1706" t="str">
        <f t="shared" si="4"/>
        <v/>
      </c>
      <c r="F31" s="1707" t="str">
        <f t="shared" si="5"/>
        <v/>
      </c>
      <c r="G31" s="1708" t="str">
        <f t="shared" si="6"/>
        <v/>
      </c>
      <c r="H31" s="1709" t="str">
        <f t="shared" si="7"/>
        <v/>
      </c>
      <c r="I31" s="1710" t="str">
        <f t="shared" si="8"/>
        <v/>
      </c>
      <c r="J31" s="1705" t="str">
        <f t="shared" si="9"/>
        <v/>
      </c>
      <c r="K31" s="1709" t="str">
        <f t="shared" si="10"/>
        <v/>
      </c>
      <c r="L31" s="1711" t="str">
        <f t="shared" si="11"/>
        <v/>
      </c>
      <c r="M31" s="1712" t="str">
        <f t="shared" si="12"/>
        <v/>
      </c>
      <c r="N31" s="1713" t="str">
        <f t="shared" si="12"/>
        <v/>
      </c>
      <c r="O31" s="1708" t="str">
        <f t="shared" si="13"/>
        <v/>
      </c>
      <c r="P31" s="1709" t="str">
        <f t="shared" si="14"/>
        <v/>
      </c>
      <c r="Q31" s="1705" t="str">
        <f t="shared" si="15"/>
        <v/>
      </c>
      <c r="R31" s="1706" t="str">
        <f t="shared" si="16"/>
        <v/>
      </c>
      <c r="S31" s="1714" t="str">
        <f t="shared" si="17"/>
        <v/>
      </c>
      <c r="T31" s="1709" t="str">
        <f t="shared" si="18"/>
        <v/>
      </c>
      <c r="U31" s="1705" t="str">
        <f t="shared" si="19"/>
        <v/>
      </c>
      <c r="V31" s="1709" t="str">
        <f t="shared" si="20"/>
        <v/>
      </c>
      <c r="W31" s="1713">
        <f t="shared" si="21"/>
        <v>0</v>
      </c>
      <c r="X31" s="1715" t="str">
        <f t="shared" si="22"/>
        <v/>
      </c>
      <c r="Y31" s="1716" t="str">
        <f t="shared" si="23"/>
        <v/>
      </c>
      <c r="Z31" s="1717" t="str">
        <f t="shared" si="24"/>
        <v/>
      </c>
      <c r="AA31" s="1776" t="str">
        <f t="shared" si="25"/>
        <v/>
      </c>
      <c r="AB31" s="1448" t="str">
        <f t="shared" si="26"/>
        <v/>
      </c>
      <c r="AC31" s="1710" t="str">
        <f t="shared" si="27"/>
        <v/>
      </c>
      <c r="AD31" s="1705" t="str">
        <f t="shared" ca="1" si="28"/>
        <v/>
      </c>
      <c r="AE31" s="1709" t="str">
        <f t="shared" ca="1" si="29"/>
        <v/>
      </c>
      <c r="AF31" s="1710" t="str">
        <f t="shared" ca="1" si="30"/>
        <v/>
      </c>
      <c r="AG31" s="1705" t="str">
        <f t="shared" ca="1" si="31"/>
        <v/>
      </c>
      <c r="AH31" s="1709" t="str">
        <f t="shared" ca="1" si="32"/>
        <v/>
      </c>
      <c r="AI31" s="1705" t="str">
        <f t="shared" ca="1" si="33"/>
        <v/>
      </c>
      <c r="AJ31" s="1709" t="str">
        <f t="shared" ca="1" si="34"/>
        <v/>
      </c>
      <c r="AK31" s="1747" t="str">
        <f t="shared" si="35"/>
        <v/>
      </c>
      <c r="AL31" s="1748" t="str">
        <f t="shared" si="36"/>
        <v/>
      </c>
      <c r="AM31" s="1749" t="str">
        <f t="shared" si="35"/>
        <v/>
      </c>
      <c r="AN31" s="1710" t="str">
        <f t="shared" si="35"/>
        <v/>
      </c>
      <c r="AO31" s="1713" t="str">
        <f t="shared" si="35"/>
        <v/>
      </c>
      <c r="AP31" s="1712" t="str">
        <f t="shared" si="37"/>
        <v/>
      </c>
      <c r="AQ31" s="1751" t="str">
        <f t="shared" si="38"/>
        <v/>
      </c>
      <c r="AR31" s="1708" t="str">
        <f t="shared" si="39"/>
        <v/>
      </c>
      <c r="AS31" s="1709" t="str">
        <f t="shared" si="40"/>
        <v/>
      </c>
      <c r="AT31" s="1752" t="str">
        <f t="shared" si="41"/>
        <v/>
      </c>
      <c r="AU31" s="1753" t="str">
        <f t="shared" si="42"/>
        <v/>
      </c>
      <c r="AV31" s="1714" t="str">
        <f t="shared" si="43"/>
        <v/>
      </c>
      <c r="AW31" s="1709" t="str">
        <f t="shared" si="44"/>
        <v/>
      </c>
      <c r="AX31" s="1752" t="str">
        <f t="shared" si="45"/>
        <v/>
      </c>
      <c r="AY31" s="1753" t="str">
        <f t="shared" si="46"/>
        <v/>
      </c>
      <c r="AZ31" s="1714" t="str">
        <f t="shared" si="47"/>
        <v/>
      </c>
      <c r="BA31" s="1709" t="str">
        <f t="shared" si="48"/>
        <v/>
      </c>
      <c r="BB31" s="1752" t="str">
        <f t="shared" si="49"/>
        <v/>
      </c>
      <c r="BC31" s="1753" t="str">
        <f t="shared" si="50"/>
        <v/>
      </c>
      <c r="BD31" s="1714" t="str">
        <f t="shared" si="51"/>
        <v/>
      </c>
      <c r="BE31" s="1709" t="str">
        <f t="shared" si="52"/>
        <v/>
      </c>
      <c r="BF31" s="1752" t="str">
        <f t="shared" si="53"/>
        <v/>
      </c>
      <c r="BG31" s="1753" t="str">
        <f t="shared" si="54"/>
        <v/>
      </c>
      <c r="BH31" s="1416"/>
      <c r="BJ31" s="995" t="str">
        <f t="shared" si="97"/>
        <v/>
      </c>
      <c r="BK31" s="993" t="b">
        <f t="shared" si="55"/>
        <v>0</v>
      </c>
      <c r="BL31" s="989" t="b">
        <v>0</v>
      </c>
      <c r="BM31" s="989">
        <f t="shared" si="56"/>
        <v>0</v>
      </c>
      <c r="BN31" s="989">
        <f t="shared" si="57"/>
        <v>0</v>
      </c>
      <c r="BO31" s="989">
        <f t="shared" si="58"/>
        <v>0</v>
      </c>
      <c r="BP31" s="989">
        <f t="shared" si="59"/>
        <v>0</v>
      </c>
      <c r="BQ31" s="989">
        <f t="shared" si="60"/>
        <v>0</v>
      </c>
      <c r="BR31" s="989" t="b">
        <f t="shared" si="61"/>
        <v>1</v>
      </c>
      <c r="BS31" s="1302">
        <f t="shared" si="62"/>
        <v>6</v>
      </c>
      <c r="BT31" s="990" t="str">
        <f t="shared" si="63"/>
        <v>No</v>
      </c>
      <c r="BU31" s="1302">
        <f t="shared" si="64"/>
        <v>6</v>
      </c>
      <c r="BV31" s="990" t="str">
        <f t="shared" si="65"/>
        <v>No</v>
      </c>
      <c r="BW31" s="991">
        <f t="shared" ca="1" si="66"/>
        <v>0</v>
      </c>
      <c r="BX31" s="991" t="str">
        <f t="shared" ca="1" si="67"/>
        <v/>
      </c>
      <c r="BY31" s="991" t="b">
        <f t="shared" ca="1" si="68"/>
        <v>0</v>
      </c>
      <c r="BZ31" s="991" t="b">
        <f t="shared" si="90"/>
        <v>0</v>
      </c>
      <c r="CB31" s="672"/>
      <c r="CC31" s="1684"/>
      <c r="CD31" s="699"/>
      <c r="CE31" s="700"/>
      <c r="CF31" s="701"/>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725"/>
      <c r="DE31" s="726"/>
      <c r="DF31" s="141"/>
      <c r="DG31" s="141"/>
      <c r="DH31" s="672"/>
      <c r="DI31" s="673"/>
      <c r="DJ31" s="692"/>
      <c r="DK31" s="1331"/>
      <c r="DL31" s="674"/>
      <c r="DM31" s="693"/>
      <c r="DN31" s="1334"/>
      <c r="DO31" s="675"/>
      <c r="DP31" s="676"/>
      <c r="DQ31" s="1419"/>
      <c r="DR31" s="677"/>
      <c r="DS31" s="1419"/>
      <c r="DT31" s="1421"/>
      <c r="DU31" s="1422"/>
      <c r="DV31" s="678"/>
      <c r="DW31" s="1336"/>
      <c r="DX31" s="679"/>
      <c r="DY31" s="674"/>
      <c r="DZ31" s="678"/>
      <c r="EA31" s="1336"/>
      <c r="EB31" s="679"/>
      <c r="EC31" s="674"/>
      <c r="ED31" s="678"/>
      <c r="EE31" s="1336"/>
      <c r="EF31" s="679"/>
      <c r="EG31" s="674"/>
      <c r="EH31" s="678"/>
      <c r="EI31" s="1336"/>
      <c r="EJ31" s="679"/>
      <c r="EK31" s="680"/>
      <c r="EL31" s="241"/>
      <c r="EM31" s="1631" t="str">
        <f t="shared" si="69"/>
        <v/>
      </c>
      <c r="EN31" s="1428" t="str">
        <f t="shared" si="70"/>
        <v/>
      </c>
      <c r="EO31" s="1429" t="str">
        <f t="shared" si="71"/>
        <v/>
      </c>
      <c r="EP31" s="1430" t="str">
        <f t="shared" si="72"/>
        <v/>
      </c>
      <c r="EQ31" s="1434" t="str">
        <f t="shared" si="73"/>
        <v/>
      </c>
      <c r="ER31" s="1440" t="str">
        <f t="shared" si="74"/>
        <v/>
      </c>
      <c r="ES31" s="1441" t="str">
        <f t="shared" si="75"/>
        <v/>
      </c>
      <c r="ET31" s="1442" t="str">
        <f t="shared" si="76"/>
        <v/>
      </c>
      <c r="EU31" s="1443" t="str">
        <f t="shared" si="91"/>
        <v/>
      </c>
      <c r="EX31" s="503" t="str">
        <f t="shared" ca="1" si="92"/>
        <v/>
      </c>
      <c r="EY31" s="940" t="str">
        <f t="shared" si="77"/>
        <v/>
      </c>
      <c r="EZ31" s="940" t="str">
        <f t="shared" si="93"/>
        <v/>
      </c>
      <c r="FA31" s="958" t="str">
        <f t="shared" ca="1" si="98"/>
        <v/>
      </c>
      <c r="FB31" s="134" t="str">
        <f t="shared" ca="1" si="94"/>
        <v/>
      </c>
      <c r="FC31" s="134">
        <f t="shared" ca="1" si="78"/>
        <v>0</v>
      </c>
      <c r="FD31" s="134">
        <f t="shared" ca="1" si="79"/>
        <v>0</v>
      </c>
      <c r="FE31" s="134">
        <f t="shared" ca="1" si="80"/>
        <v>0</v>
      </c>
      <c r="FF31" s="134">
        <f t="shared" ca="1" si="95"/>
        <v>0</v>
      </c>
      <c r="FN31" s="754" t="b">
        <v>0</v>
      </c>
      <c r="FO31" s="755" t="b">
        <f t="shared" si="81"/>
        <v>1</v>
      </c>
      <c r="FP31" s="755" t="b">
        <v>0</v>
      </c>
      <c r="FQ31" s="755" t="b">
        <f t="shared" si="96"/>
        <v>1</v>
      </c>
      <c r="FW31" s="2"/>
      <c r="FX31" s="2"/>
      <c r="FZ31" s="2"/>
      <c r="GA31" s="1761" t="str">
        <f t="shared" si="82"/>
        <v/>
      </c>
      <c r="GB31" s="1762" t="str">
        <f t="shared" si="83"/>
        <v/>
      </c>
      <c r="GC31" s="1763" t="str">
        <f t="shared" si="84"/>
        <v/>
      </c>
      <c r="GD31" s="1764" t="str">
        <f t="shared" si="85"/>
        <v/>
      </c>
      <c r="GE31" s="1765" t="str">
        <f t="shared" si="86"/>
        <v/>
      </c>
      <c r="GF31" s="582" t="str">
        <f t="shared" si="87"/>
        <v/>
      </c>
      <c r="GG31" s="692"/>
      <c r="GH31" s="1135"/>
      <c r="GI31" s="692"/>
      <c r="GJ31" s="1135"/>
      <c r="GK31" s="1640">
        <f t="shared" si="88"/>
        <v>0</v>
      </c>
      <c r="GL31" s="1640" t="e">
        <f t="shared" si="89"/>
        <v>#VALUE!</v>
      </c>
      <c r="GM31" s="1641" t="e">
        <f>IF(ABS(GK31-GL31)&gt;='Job Info.'!$L$22,ABS(GK31-GL31),0)</f>
        <v>#VALUE!</v>
      </c>
      <c r="GZ31" s="130"/>
      <c r="HA31" s="1241"/>
      <c r="HB31" s="1242"/>
      <c r="HC31" s="1242"/>
      <c r="HD31" s="1243"/>
      <c r="HE31" s="1244"/>
      <c r="HF31" s="1242"/>
      <c r="HG31" s="1242"/>
      <c r="HH31" s="1242"/>
      <c r="HI31" s="1242"/>
      <c r="HJ31" s="1242"/>
      <c r="HK31" s="1242"/>
      <c r="HL31" s="1242"/>
      <c r="HM31" s="1242"/>
      <c r="HN31" s="1242"/>
      <c r="HO31" s="1242"/>
      <c r="HP31" s="1242"/>
      <c r="HQ31" s="1242"/>
      <c r="HR31" s="1242"/>
      <c r="HS31" s="1242"/>
      <c r="HT31" s="1242"/>
      <c r="HU31" s="1242"/>
      <c r="HV31" s="1242"/>
      <c r="HW31" s="1242"/>
      <c r="HX31" s="1242"/>
      <c r="HY31" s="1246"/>
      <c r="HZ31" s="1246"/>
      <c r="IA31" s="1246"/>
      <c r="IB31" s="1246"/>
      <c r="IC31" s="1246"/>
      <c r="ID31" s="1261"/>
      <c r="IE31" s="1241"/>
      <c r="IF31" s="1242"/>
      <c r="IG31" s="1243"/>
      <c r="IH31" s="1244"/>
      <c r="II31" s="1242"/>
      <c r="IJ31" s="1243"/>
      <c r="IK31" s="1244"/>
      <c r="IL31" s="1242"/>
      <c r="IM31" s="1242"/>
      <c r="IN31" s="1242"/>
      <c r="IO31" s="1242"/>
      <c r="IP31" s="1242"/>
      <c r="IQ31" s="1242"/>
      <c r="IR31" s="1242"/>
      <c r="IS31" s="1243"/>
      <c r="IT31" s="1244"/>
      <c r="IU31" s="1242"/>
      <c r="IV31" s="1242"/>
      <c r="IW31" s="1243"/>
      <c r="IX31" s="1244"/>
      <c r="IY31" s="1242"/>
      <c r="IZ31" s="1242"/>
      <c r="JA31" s="1243"/>
      <c r="JB31" s="1244"/>
      <c r="JC31" s="1242"/>
      <c r="JD31" s="1242"/>
      <c r="JE31" s="1243"/>
      <c r="JF31" s="1244"/>
      <c r="JG31" s="1242"/>
      <c r="JH31" s="1242"/>
      <c r="JI31" s="1242"/>
      <c r="JJ31" s="1248"/>
      <c r="JK31" s="1242"/>
      <c r="JL31" s="1171">
        <f t="shared" ca="1" si="99"/>
        <v>0</v>
      </c>
    </row>
    <row r="32" spans="1:272" ht="12.6" customHeight="1" x14ac:dyDescent="0.25">
      <c r="A32" s="1448" t="str">
        <f t="shared" si="0"/>
        <v/>
      </c>
      <c r="B32" s="1681" t="str">
        <f t="shared" si="1"/>
        <v/>
      </c>
      <c r="C32" s="1449" t="str">
        <f t="shared" si="2"/>
        <v/>
      </c>
      <c r="D32" s="1705" t="str">
        <f t="shared" si="3"/>
        <v/>
      </c>
      <c r="E32" s="1706" t="str">
        <f t="shared" si="4"/>
        <v/>
      </c>
      <c r="F32" s="1707" t="str">
        <f t="shared" si="5"/>
        <v/>
      </c>
      <c r="G32" s="1708" t="str">
        <f t="shared" si="6"/>
        <v/>
      </c>
      <c r="H32" s="1709" t="str">
        <f t="shared" si="7"/>
        <v/>
      </c>
      <c r="I32" s="1710" t="str">
        <f t="shared" si="8"/>
        <v/>
      </c>
      <c r="J32" s="1705" t="str">
        <f t="shared" si="9"/>
        <v/>
      </c>
      <c r="K32" s="1709" t="str">
        <f t="shared" si="10"/>
        <v/>
      </c>
      <c r="L32" s="1711" t="str">
        <f t="shared" si="11"/>
        <v/>
      </c>
      <c r="M32" s="1712" t="str">
        <f t="shared" si="12"/>
        <v/>
      </c>
      <c r="N32" s="1713" t="str">
        <f t="shared" si="12"/>
        <v/>
      </c>
      <c r="O32" s="1708" t="str">
        <f t="shared" si="13"/>
        <v/>
      </c>
      <c r="P32" s="1709" t="str">
        <f t="shared" si="14"/>
        <v/>
      </c>
      <c r="Q32" s="1705" t="str">
        <f t="shared" si="15"/>
        <v/>
      </c>
      <c r="R32" s="1706" t="str">
        <f t="shared" si="16"/>
        <v/>
      </c>
      <c r="S32" s="1714" t="str">
        <f t="shared" si="17"/>
        <v/>
      </c>
      <c r="T32" s="1709" t="str">
        <f t="shared" si="18"/>
        <v/>
      </c>
      <c r="U32" s="1705" t="str">
        <f t="shared" si="19"/>
        <v/>
      </c>
      <c r="V32" s="1709" t="str">
        <f t="shared" si="20"/>
        <v/>
      </c>
      <c r="W32" s="1713">
        <f t="shared" si="21"/>
        <v>0</v>
      </c>
      <c r="X32" s="1715" t="str">
        <f t="shared" si="22"/>
        <v/>
      </c>
      <c r="Y32" s="1716" t="str">
        <f t="shared" si="23"/>
        <v/>
      </c>
      <c r="Z32" s="1717" t="str">
        <f t="shared" si="24"/>
        <v/>
      </c>
      <c r="AA32" s="1776" t="str">
        <f t="shared" si="25"/>
        <v/>
      </c>
      <c r="AB32" s="1448" t="str">
        <f t="shared" si="26"/>
        <v/>
      </c>
      <c r="AC32" s="1710" t="str">
        <f t="shared" si="27"/>
        <v/>
      </c>
      <c r="AD32" s="1705" t="str">
        <f t="shared" ca="1" si="28"/>
        <v/>
      </c>
      <c r="AE32" s="1709" t="str">
        <f t="shared" ca="1" si="29"/>
        <v/>
      </c>
      <c r="AF32" s="1710" t="str">
        <f t="shared" ca="1" si="30"/>
        <v/>
      </c>
      <c r="AG32" s="1705" t="str">
        <f t="shared" ca="1" si="31"/>
        <v/>
      </c>
      <c r="AH32" s="1709" t="str">
        <f t="shared" ca="1" si="32"/>
        <v/>
      </c>
      <c r="AI32" s="1705" t="str">
        <f t="shared" ca="1" si="33"/>
        <v/>
      </c>
      <c r="AJ32" s="1709" t="str">
        <f t="shared" ca="1" si="34"/>
        <v/>
      </c>
      <c r="AK32" s="1747" t="str">
        <f t="shared" si="35"/>
        <v/>
      </c>
      <c r="AL32" s="1748" t="str">
        <f t="shared" si="36"/>
        <v/>
      </c>
      <c r="AM32" s="1749" t="str">
        <f t="shared" si="35"/>
        <v/>
      </c>
      <c r="AN32" s="1710" t="str">
        <f t="shared" si="35"/>
        <v/>
      </c>
      <c r="AO32" s="1713" t="str">
        <f t="shared" si="35"/>
        <v/>
      </c>
      <c r="AP32" s="1712" t="str">
        <f t="shared" si="37"/>
        <v/>
      </c>
      <c r="AQ32" s="1751" t="str">
        <f t="shared" si="38"/>
        <v/>
      </c>
      <c r="AR32" s="1708" t="str">
        <f t="shared" si="39"/>
        <v/>
      </c>
      <c r="AS32" s="1709" t="str">
        <f t="shared" si="40"/>
        <v/>
      </c>
      <c r="AT32" s="1752" t="str">
        <f t="shared" si="41"/>
        <v/>
      </c>
      <c r="AU32" s="1753" t="str">
        <f t="shared" si="42"/>
        <v/>
      </c>
      <c r="AV32" s="1714" t="str">
        <f t="shared" si="43"/>
        <v/>
      </c>
      <c r="AW32" s="1709" t="str">
        <f t="shared" si="44"/>
        <v/>
      </c>
      <c r="AX32" s="1752" t="str">
        <f t="shared" si="45"/>
        <v/>
      </c>
      <c r="AY32" s="1753" t="str">
        <f t="shared" si="46"/>
        <v/>
      </c>
      <c r="AZ32" s="1714" t="str">
        <f t="shared" si="47"/>
        <v/>
      </c>
      <c r="BA32" s="1709" t="str">
        <f t="shared" si="48"/>
        <v/>
      </c>
      <c r="BB32" s="1752" t="str">
        <f t="shared" si="49"/>
        <v/>
      </c>
      <c r="BC32" s="1753" t="str">
        <f t="shared" si="50"/>
        <v/>
      </c>
      <c r="BD32" s="1714" t="str">
        <f t="shared" si="51"/>
        <v/>
      </c>
      <c r="BE32" s="1709" t="str">
        <f t="shared" si="52"/>
        <v/>
      </c>
      <c r="BF32" s="1752" t="str">
        <f t="shared" si="53"/>
        <v/>
      </c>
      <c r="BG32" s="1753" t="str">
        <f t="shared" si="54"/>
        <v/>
      </c>
      <c r="BH32" s="1416"/>
      <c r="BJ32" s="995" t="str">
        <f t="shared" si="97"/>
        <v/>
      </c>
      <c r="BK32" s="993" t="b">
        <f t="shared" si="55"/>
        <v>0</v>
      </c>
      <c r="BL32" s="989" t="b">
        <v>0</v>
      </c>
      <c r="BM32" s="989">
        <f t="shared" si="56"/>
        <v>0</v>
      </c>
      <c r="BN32" s="989">
        <f t="shared" si="57"/>
        <v>0</v>
      </c>
      <c r="BO32" s="989">
        <f t="shared" si="58"/>
        <v>0</v>
      </c>
      <c r="BP32" s="989">
        <f t="shared" si="59"/>
        <v>0</v>
      </c>
      <c r="BQ32" s="989">
        <f t="shared" si="60"/>
        <v>0</v>
      </c>
      <c r="BR32" s="989" t="b">
        <f t="shared" si="61"/>
        <v>1</v>
      </c>
      <c r="BS32" s="1302">
        <f t="shared" si="62"/>
        <v>6</v>
      </c>
      <c r="BT32" s="990" t="str">
        <f t="shared" si="63"/>
        <v>No</v>
      </c>
      <c r="BU32" s="1302">
        <f t="shared" si="64"/>
        <v>6</v>
      </c>
      <c r="BV32" s="990" t="str">
        <f t="shared" si="65"/>
        <v>No</v>
      </c>
      <c r="BW32" s="991">
        <f t="shared" ca="1" si="66"/>
        <v>0</v>
      </c>
      <c r="BX32" s="991" t="str">
        <f t="shared" ca="1" si="67"/>
        <v/>
      </c>
      <c r="BY32" s="991" t="b">
        <f t="shared" ca="1" si="68"/>
        <v>0</v>
      </c>
      <c r="BZ32" s="991" t="b">
        <f t="shared" si="90"/>
        <v>0</v>
      </c>
      <c r="CB32" s="672"/>
      <c r="CC32" s="1684"/>
      <c r="CD32" s="699"/>
      <c r="CE32" s="700"/>
      <c r="CF32" s="701"/>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725"/>
      <c r="DE32" s="726"/>
      <c r="DF32" s="141"/>
      <c r="DG32" s="141"/>
      <c r="DH32" s="672"/>
      <c r="DI32" s="673"/>
      <c r="DJ32" s="692"/>
      <c r="DK32" s="1331"/>
      <c r="DL32" s="674"/>
      <c r="DM32" s="693"/>
      <c r="DN32" s="1334"/>
      <c r="DO32" s="675"/>
      <c r="DP32" s="676"/>
      <c r="DQ32" s="1419"/>
      <c r="DR32" s="677"/>
      <c r="DS32" s="1419"/>
      <c r="DT32" s="1421"/>
      <c r="DU32" s="1422"/>
      <c r="DV32" s="678"/>
      <c r="DW32" s="1336"/>
      <c r="DX32" s="679"/>
      <c r="DY32" s="674"/>
      <c r="DZ32" s="678"/>
      <c r="EA32" s="1336"/>
      <c r="EB32" s="679"/>
      <c r="EC32" s="674"/>
      <c r="ED32" s="678"/>
      <c r="EE32" s="1336"/>
      <c r="EF32" s="679"/>
      <c r="EG32" s="674"/>
      <c r="EH32" s="678"/>
      <c r="EI32" s="1336"/>
      <c r="EJ32" s="679"/>
      <c r="EK32" s="680"/>
      <c r="EL32" s="241"/>
      <c r="EM32" s="1631" t="str">
        <f t="shared" si="69"/>
        <v/>
      </c>
      <c r="EN32" s="1428" t="str">
        <f t="shared" si="70"/>
        <v/>
      </c>
      <c r="EO32" s="1429" t="str">
        <f t="shared" si="71"/>
        <v/>
      </c>
      <c r="EP32" s="1430" t="str">
        <f t="shared" si="72"/>
        <v/>
      </c>
      <c r="EQ32" s="1434" t="str">
        <f t="shared" si="73"/>
        <v/>
      </c>
      <c r="ER32" s="1440" t="str">
        <f t="shared" si="74"/>
        <v/>
      </c>
      <c r="ES32" s="1441" t="str">
        <f t="shared" si="75"/>
        <v/>
      </c>
      <c r="ET32" s="1442" t="str">
        <f t="shared" si="76"/>
        <v/>
      </c>
      <c r="EU32" s="1443" t="str">
        <f t="shared" si="91"/>
        <v/>
      </c>
      <c r="EX32" s="503" t="str">
        <f t="shared" ca="1" si="92"/>
        <v/>
      </c>
      <c r="EY32" s="940" t="str">
        <f t="shared" si="77"/>
        <v/>
      </c>
      <c r="EZ32" s="940" t="str">
        <f t="shared" si="93"/>
        <v/>
      </c>
      <c r="FA32" s="958" t="str">
        <f t="shared" ca="1" si="98"/>
        <v/>
      </c>
      <c r="FB32" s="134" t="str">
        <f t="shared" ca="1" si="94"/>
        <v/>
      </c>
      <c r="FC32" s="134">
        <f t="shared" ca="1" si="78"/>
        <v>0</v>
      </c>
      <c r="FD32" s="134">
        <f t="shared" ca="1" si="79"/>
        <v>0</v>
      </c>
      <c r="FE32" s="134">
        <f t="shared" ca="1" si="80"/>
        <v>0</v>
      </c>
      <c r="FF32" s="134">
        <f t="shared" ca="1" si="95"/>
        <v>0</v>
      </c>
      <c r="FN32" s="754" t="b">
        <v>0</v>
      </c>
      <c r="FO32" s="754" t="b">
        <f t="shared" si="81"/>
        <v>1</v>
      </c>
      <c r="FP32" s="754" t="b">
        <v>0</v>
      </c>
      <c r="FQ32" s="754" t="b">
        <f t="shared" si="96"/>
        <v>1</v>
      </c>
      <c r="FW32" s="2"/>
      <c r="FX32" s="2"/>
      <c r="FZ32" s="2"/>
      <c r="GA32" s="1761" t="str">
        <f t="shared" si="82"/>
        <v/>
      </c>
      <c r="GB32" s="1762" t="str">
        <f t="shared" si="83"/>
        <v/>
      </c>
      <c r="GC32" s="1763" t="str">
        <f t="shared" si="84"/>
        <v/>
      </c>
      <c r="GD32" s="1764" t="str">
        <f t="shared" si="85"/>
        <v/>
      </c>
      <c r="GE32" s="1765" t="str">
        <f t="shared" si="86"/>
        <v/>
      </c>
      <c r="GF32" s="582" t="str">
        <f t="shared" si="87"/>
        <v/>
      </c>
      <c r="GG32" s="692"/>
      <c r="GH32" s="1135"/>
      <c r="GI32" s="692"/>
      <c r="GJ32" s="1135"/>
      <c r="GK32" s="1640">
        <f t="shared" si="88"/>
        <v>0</v>
      </c>
      <c r="GL32" s="1640" t="e">
        <f t="shared" si="89"/>
        <v>#VALUE!</v>
      </c>
      <c r="GM32" s="1641" t="e">
        <f>IF(ABS(GK32-GL32)&gt;='Job Info.'!$L$22,ABS(GK32-GL32),0)</f>
        <v>#VALUE!</v>
      </c>
      <c r="HA32" s="1241"/>
      <c r="HB32" s="1242"/>
      <c r="HC32" s="1242"/>
      <c r="HD32" s="1243"/>
      <c r="HE32" s="1244"/>
      <c r="HF32" s="1242"/>
      <c r="HG32" s="1242"/>
      <c r="HH32" s="1242"/>
      <c r="HI32" s="1242"/>
      <c r="HJ32" s="1242"/>
      <c r="HK32" s="1242"/>
      <c r="HL32" s="1242"/>
      <c r="HM32" s="1242"/>
      <c r="HN32" s="1242"/>
      <c r="HO32" s="1242"/>
      <c r="HP32" s="1242"/>
      <c r="HQ32" s="1242"/>
      <c r="HR32" s="1242"/>
      <c r="HS32" s="1242"/>
      <c r="HT32" s="1242"/>
      <c r="HU32" s="1242"/>
      <c r="HV32" s="1242"/>
      <c r="HW32" s="1242"/>
      <c r="HX32" s="1242"/>
      <c r="HY32" s="1246"/>
      <c r="HZ32" s="1246"/>
      <c r="IA32" s="1246"/>
      <c r="IB32" s="1246"/>
      <c r="IC32" s="1246"/>
      <c r="ID32" s="1261"/>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99"/>
        <v>0</v>
      </c>
    </row>
    <row r="33" spans="1:272" ht="12.6" customHeight="1" x14ac:dyDescent="0.25">
      <c r="A33" s="1448" t="str">
        <f t="shared" si="0"/>
        <v/>
      </c>
      <c r="B33" s="1681" t="str">
        <f t="shared" si="1"/>
        <v/>
      </c>
      <c r="C33" s="1449" t="str">
        <f t="shared" si="2"/>
        <v/>
      </c>
      <c r="D33" s="1705" t="str">
        <f t="shared" si="3"/>
        <v/>
      </c>
      <c r="E33" s="1706" t="str">
        <f t="shared" si="4"/>
        <v/>
      </c>
      <c r="F33" s="1707" t="str">
        <f t="shared" si="5"/>
        <v/>
      </c>
      <c r="G33" s="1708" t="str">
        <f t="shared" si="6"/>
        <v/>
      </c>
      <c r="H33" s="1709" t="str">
        <f t="shared" si="7"/>
        <v/>
      </c>
      <c r="I33" s="1710" t="str">
        <f t="shared" si="8"/>
        <v/>
      </c>
      <c r="J33" s="1705" t="str">
        <f t="shared" si="9"/>
        <v/>
      </c>
      <c r="K33" s="1709" t="str">
        <f t="shared" si="10"/>
        <v/>
      </c>
      <c r="L33" s="1711" t="str">
        <f t="shared" si="11"/>
        <v/>
      </c>
      <c r="M33" s="1712" t="str">
        <f t="shared" si="12"/>
        <v/>
      </c>
      <c r="N33" s="1713" t="str">
        <f t="shared" si="12"/>
        <v/>
      </c>
      <c r="O33" s="1708" t="str">
        <f t="shared" si="13"/>
        <v/>
      </c>
      <c r="P33" s="1709" t="str">
        <f t="shared" si="14"/>
        <v/>
      </c>
      <c r="Q33" s="1705" t="str">
        <f t="shared" si="15"/>
        <v/>
      </c>
      <c r="R33" s="1706" t="str">
        <f t="shared" si="16"/>
        <v/>
      </c>
      <c r="S33" s="1714" t="str">
        <f t="shared" si="17"/>
        <v/>
      </c>
      <c r="T33" s="1709" t="str">
        <f t="shared" si="18"/>
        <v/>
      </c>
      <c r="U33" s="1705" t="str">
        <f t="shared" si="19"/>
        <v/>
      </c>
      <c r="V33" s="1709" t="str">
        <f t="shared" si="20"/>
        <v/>
      </c>
      <c r="W33" s="1713">
        <f t="shared" si="21"/>
        <v>0</v>
      </c>
      <c r="X33" s="1715" t="str">
        <f t="shared" si="22"/>
        <v/>
      </c>
      <c r="Y33" s="1716" t="str">
        <f t="shared" si="23"/>
        <v/>
      </c>
      <c r="Z33" s="1717" t="str">
        <f t="shared" si="24"/>
        <v/>
      </c>
      <c r="AA33" s="1776" t="str">
        <f t="shared" si="25"/>
        <v/>
      </c>
      <c r="AB33" s="1448" t="str">
        <f t="shared" si="26"/>
        <v/>
      </c>
      <c r="AC33" s="1710" t="str">
        <f t="shared" si="27"/>
        <v/>
      </c>
      <c r="AD33" s="1705" t="str">
        <f t="shared" ca="1" si="28"/>
        <v/>
      </c>
      <c r="AE33" s="1709" t="str">
        <f t="shared" ca="1" si="29"/>
        <v/>
      </c>
      <c r="AF33" s="1710" t="str">
        <f t="shared" ca="1" si="30"/>
        <v/>
      </c>
      <c r="AG33" s="1705" t="str">
        <f t="shared" ca="1" si="31"/>
        <v/>
      </c>
      <c r="AH33" s="1709" t="str">
        <f t="shared" ca="1" si="32"/>
        <v/>
      </c>
      <c r="AI33" s="1705" t="str">
        <f t="shared" ca="1" si="33"/>
        <v/>
      </c>
      <c r="AJ33" s="1709" t="str">
        <f t="shared" ca="1" si="34"/>
        <v/>
      </c>
      <c r="AK33" s="1747" t="str">
        <f t="shared" si="35"/>
        <v/>
      </c>
      <c r="AL33" s="1748" t="str">
        <f t="shared" si="36"/>
        <v/>
      </c>
      <c r="AM33" s="1749" t="str">
        <f t="shared" si="35"/>
        <v/>
      </c>
      <c r="AN33" s="1710" t="str">
        <f t="shared" si="35"/>
        <v/>
      </c>
      <c r="AO33" s="1713" t="str">
        <f t="shared" si="35"/>
        <v/>
      </c>
      <c r="AP33" s="1712" t="str">
        <f t="shared" si="37"/>
        <v/>
      </c>
      <c r="AQ33" s="1751" t="str">
        <f t="shared" si="38"/>
        <v/>
      </c>
      <c r="AR33" s="1708" t="str">
        <f t="shared" si="39"/>
        <v/>
      </c>
      <c r="AS33" s="1709" t="str">
        <f t="shared" si="40"/>
        <v/>
      </c>
      <c r="AT33" s="1752" t="str">
        <f t="shared" si="41"/>
        <v/>
      </c>
      <c r="AU33" s="1753" t="str">
        <f t="shared" si="42"/>
        <v/>
      </c>
      <c r="AV33" s="1714" t="str">
        <f t="shared" si="43"/>
        <v/>
      </c>
      <c r="AW33" s="1709" t="str">
        <f t="shared" si="44"/>
        <v/>
      </c>
      <c r="AX33" s="1752" t="str">
        <f t="shared" si="45"/>
        <v/>
      </c>
      <c r="AY33" s="1753" t="str">
        <f t="shared" si="46"/>
        <v/>
      </c>
      <c r="AZ33" s="1714" t="str">
        <f t="shared" si="47"/>
        <v/>
      </c>
      <c r="BA33" s="1709" t="str">
        <f t="shared" si="48"/>
        <v/>
      </c>
      <c r="BB33" s="1752" t="str">
        <f t="shared" si="49"/>
        <v/>
      </c>
      <c r="BC33" s="1753" t="str">
        <f t="shared" si="50"/>
        <v/>
      </c>
      <c r="BD33" s="1714" t="str">
        <f t="shared" si="51"/>
        <v/>
      </c>
      <c r="BE33" s="1709" t="str">
        <f t="shared" si="52"/>
        <v/>
      </c>
      <c r="BF33" s="1752" t="str">
        <f t="shared" si="53"/>
        <v/>
      </c>
      <c r="BG33" s="1753" t="str">
        <f t="shared" si="54"/>
        <v/>
      </c>
      <c r="BH33" s="1416"/>
      <c r="BJ33" s="995" t="str">
        <f t="shared" si="97"/>
        <v/>
      </c>
      <c r="BK33" s="993" t="b">
        <f t="shared" si="55"/>
        <v>0</v>
      </c>
      <c r="BL33" s="989" t="b">
        <v>0</v>
      </c>
      <c r="BM33" s="989">
        <f t="shared" si="56"/>
        <v>0</v>
      </c>
      <c r="BN33" s="989">
        <f t="shared" si="57"/>
        <v>0</v>
      </c>
      <c r="BO33" s="989">
        <f t="shared" si="58"/>
        <v>0</v>
      </c>
      <c r="BP33" s="989">
        <f t="shared" si="59"/>
        <v>0</v>
      </c>
      <c r="BQ33" s="989">
        <f t="shared" si="60"/>
        <v>0</v>
      </c>
      <c r="BR33" s="989" t="b">
        <f t="shared" si="61"/>
        <v>1</v>
      </c>
      <c r="BS33" s="1302">
        <f t="shared" si="62"/>
        <v>6</v>
      </c>
      <c r="BT33" s="990" t="str">
        <f t="shared" si="63"/>
        <v>No</v>
      </c>
      <c r="BU33" s="1302">
        <f t="shared" si="64"/>
        <v>6</v>
      </c>
      <c r="BV33" s="990" t="str">
        <f t="shared" si="65"/>
        <v>No</v>
      </c>
      <c r="BW33" s="991">
        <f t="shared" ca="1" si="66"/>
        <v>0</v>
      </c>
      <c r="BX33" s="991" t="str">
        <f t="shared" ca="1" si="67"/>
        <v/>
      </c>
      <c r="BY33" s="991" t="b">
        <f t="shared" ca="1" si="68"/>
        <v>0</v>
      </c>
      <c r="BZ33" s="991" t="b">
        <f t="shared" si="90"/>
        <v>0</v>
      </c>
      <c r="CB33" s="672"/>
      <c r="CC33" s="1684"/>
      <c r="CD33" s="699"/>
      <c r="CE33" s="700"/>
      <c r="CF33" s="701"/>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725"/>
      <c r="DE33" s="726"/>
      <c r="DF33" s="141"/>
      <c r="DG33" s="141"/>
      <c r="DH33" s="672"/>
      <c r="DI33" s="673"/>
      <c r="DJ33" s="692"/>
      <c r="DK33" s="1331"/>
      <c r="DL33" s="674"/>
      <c r="DM33" s="693"/>
      <c r="DN33" s="1334"/>
      <c r="DO33" s="675"/>
      <c r="DP33" s="676"/>
      <c r="DQ33" s="1419"/>
      <c r="DR33" s="677"/>
      <c r="DS33" s="1419"/>
      <c r="DT33" s="1421"/>
      <c r="DU33" s="1422"/>
      <c r="DV33" s="678"/>
      <c r="DW33" s="1336"/>
      <c r="DX33" s="679"/>
      <c r="DY33" s="674"/>
      <c r="DZ33" s="678"/>
      <c r="EA33" s="1336"/>
      <c r="EB33" s="679"/>
      <c r="EC33" s="674"/>
      <c r="ED33" s="678"/>
      <c r="EE33" s="1336"/>
      <c r="EF33" s="679"/>
      <c r="EG33" s="674"/>
      <c r="EH33" s="678"/>
      <c r="EI33" s="1336"/>
      <c r="EJ33" s="679"/>
      <c r="EK33" s="680"/>
      <c r="EL33" s="241"/>
      <c r="EM33" s="1631" t="str">
        <f t="shared" si="69"/>
        <v/>
      </c>
      <c r="EN33" s="1428" t="str">
        <f t="shared" si="70"/>
        <v/>
      </c>
      <c r="EO33" s="1429" t="str">
        <f t="shared" si="71"/>
        <v/>
      </c>
      <c r="EP33" s="1430" t="str">
        <f t="shared" si="72"/>
        <v/>
      </c>
      <c r="EQ33" s="1434" t="str">
        <f t="shared" si="73"/>
        <v/>
      </c>
      <c r="ER33" s="1440" t="str">
        <f t="shared" si="74"/>
        <v/>
      </c>
      <c r="ES33" s="1441" t="str">
        <f t="shared" si="75"/>
        <v/>
      </c>
      <c r="ET33" s="1442" t="str">
        <f t="shared" si="76"/>
        <v/>
      </c>
      <c r="EU33" s="1443" t="str">
        <f t="shared" si="91"/>
        <v/>
      </c>
      <c r="EX33" s="503" t="str">
        <f t="shared" ca="1" si="92"/>
        <v/>
      </c>
      <c r="EY33" s="940" t="str">
        <f t="shared" si="77"/>
        <v/>
      </c>
      <c r="EZ33" s="940" t="str">
        <f t="shared" si="93"/>
        <v/>
      </c>
      <c r="FA33" s="958" t="str">
        <f t="shared" ca="1" si="98"/>
        <v/>
      </c>
      <c r="FB33" s="134" t="str">
        <f t="shared" ca="1" si="94"/>
        <v/>
      </c>
      <c r="FC33" s="134">
        <f t="shared" ca="1" si="78"/>
        <v>0</v>
      </c>
      <c r="FD33" s="134">
        <f t="shared" ca="1" si="79"/>
        <v>0</v>
      </c>
      <c r="FE33" s="134">
        <f t="shared" ca="1" si="80"/>
        <v>0</v>
      </c>
      <c r="FF33" s="134">
        <f t="shared" ca="1" si="95"/>
        <v>0</v>
      </c>
      <c r="FN33" s="754" t="b">
        <v>0</v>
      </c>
      <c r="FO33" s="754" t="b">
        <f t="shared" si="81"/>
        <v>1</v>
      </c>
      <c r="FP33" s="754" t="b">
        <v>0</v>
      </c>
      <c r="FQ33" s="754" t="b">
        <f t="shared" si="96"/>
        <v>1</v>
      </c>
      <c r="FW33" s="2"/>
      <c r="FX33" s="2"/>
      <c r="FZ33" s="2"/>
      <c r="GA33" s="1761" t="str">
        <f t="shared" si="82"/>
        <v/>
      </c>
      <c r="GB33" s="1762" t="str">
        <f t="shared" si="83"/>
        <v/>
      </c>
      <c r="GC33" s="1763" t="str">
        <f t="shared" si="84"/>
        <v/>
      </c>
      <c r="GD33" s="1764" t="str">
        <f t="shared" si="85"/>
        <v/>
      </c>
      <c r="GE33" s="1765" t="str">
        <f t="shared" si="86"/>
        <v/>
      </c>
      <c r="GF33" s="582" t="str">
        <f t="shared" si="87"/>
        <v/>
      </c>
      <c r="GG33" s="692"/>
      <c r="GH33" s="1135"/>
      <c r="GI33" s="692"/>
      <c r="GJ33" s="1135"/>
      <c r="GK33" s="1640">
        <f t="shared" si="88"/>
        <v>0</v>
      </c>
      <c r="GL33" s="1640" t="e">
        <f t="shared" si="89"/>
        <v>#VALUE!</v>
      </c>
      <c r="GM33" s="1641" t="e">
        <f>IF(ABS(GK33-GL33)&gt;='Job Info.'!$L$22,ABS(GK33-GL33),0)</f>
        <v>#VALUE!</v>
      </c>
      <c r="HA33" s="1241"/>
      <c r="HB33" s="1242"/>
      <c r="HC33" s="1242"/>
      <c r="HD33" s="1243"/>
      <c r="HE33" s="1244"/>
      <c r="HF33" s="1242"/>
      <c r="HG33" s="1242"/>
      <c r="HH33" s="1242"/>
      <c r="HI33" s="1242"/>
      <c r="HJ33" s="1242"/>
      <c r="HK33" s="1242"/>
      <c r="HL33" s="1242"/>
      <c r="HM33" s="1242"/>
      <c r="HN33" s="1242"/>
      <c r="HO33" s="1242"/>
      <c r="HP33" s="1242"/>
      <c r="HQ33" s="1242"/>
      <c r="HR33" s="1242"/>
      <c r="HS33" s="1242"/>
      <c r="HT33" s="1242"/>
      <c r="HU33" s="1242"/>
      <c r="HV33" s="1242"/>
      <c r="HW33" s="1242"/>
      <c r="HX33" s="1242"/>
      <c r="HY33" s="1246"/>
      <c r="HZ33" s="1246"/>
      <c r="IA33" s="1246"/>
      <c r="IB33" s="1246"/>
      <c r="IC33" s="1246"/>
      <c r="ID33" s="1261"/>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99"/>
        <v>0</v>
      </c>
    </row>
    <row r="34" spans="1:272" ht="12.6" customHeight="1" x14ac:dyDescent="0.25">
      <c r="A34" s="1448" t="str">
        <f t="shared" si="0"/>
        <v/>
      </c>
      <c r="B34" s="1681" t="str">
        <f t="shared" si="1"/>
        <v/>
      </c>
      <c r="C34" s="1449" t="str">
        <f t="shared" si="2"/>
        <v/>
      </c>
      <c r="D34" s="1705" t="str">
        <f t="shared" si="3"/>
        <v/>
      </c>
      <c r="E34" s="1706" t="str">
        <f t="shared" si="4"/>
        <v/>
      </c>
      <c r="F34" s="1707" t="str">
        <f t="shared" si="5"/>
        <v/>
      </c>
      <c r="G34" s="1708" t="str">
        <f t="shared" si="6"/>
        <v/>
      </c>
      <c r="H34" s="1709" t="str">
        <f t="shared" si="7"/>
        <v/>
      </c>
      <c r="I34" s="1710" t="str">
        <f t="shared" si="8"/>
        <v/>
      </c>
      <c r="J34" s="1705" t="str">
        <f t="shared" si="9"/>
        <v/>
      </c>
      <c r="K34" s="1709" t="str">
        <f t="shared" si="10"/>
        <v/>
      </c>
      <c r="L34" s="1711" t="str">
        <f t="shared" si="11"/>
        <v/>
      </c>
      <c r="M34" s="1712" t="str">
        <f t="shared" si="12"/>
        <v/>
      </c>
      <c r="N34" s="1713" t="str">
        <f t="shared" si="12"/>
        <v/>
      </c>
      <c r="O34" s="1708" t="str">
        <f t="shared" si="13"/>
        <v/>
      </c>
      <c r="P34" s="1709" t="str">
        <f t="shared" si="14"/>
        <v/>
      </c>
      <c r="Q34" s="1705" t="str">
        <f t="shared" si="15"/>
        <v/>
      </c>
      <c r="R34" s="1706" t="str">
        <f t="shared" si="16"/>
        <v/>
      </c>
      <c r="S34" s="1714" t="str">
        <f t="shared" si="17"/>
        <v/>
      </c>
      <c r="T34" s="1709" t="str">
        <f t="shared" si="18"/>
        <v/>
      </c>
      <c r="U34" s="1705" t="str">
        <f t="shared" si="19"/>
        <v/>
      </c>
      <c r="V34" s="1709" t="str">
        <f t="shared" si="20"/>
        <v/>
      </c>
      <c r="W34" s="1713">
        <f t="shared" si="21"/>
        <v>0</v>
      </c>
      <c r="X34" s="1715" t="str">
        <f t="shared" si="22"/>
        <v/>
      </c>
      <c r="Y34" s="1716" t="str">
        <f t="shared" si="23"/>
        <v/>
      </c>
      <c r="Z34" s="1717" t="str">
        <f t="shared" si="24"/>
        <v/>
      </c>
      <c r="AA34" s="1776" t="str">
        <f t="shared" si="25"/>
        <v/>
      </c>
      <c r="AB34" s="1448" t="str">
        <f t="shared" si="26"/>
        <v/>
      </c>
      <c r="AC34" s="1710" t="str">
        <f t="shared" si="27"/>
        <v/>
      </c>
      <c r="AD34" s="1705" t="str">
        <f t="shared" ca="1" si="28"/>
        <v/>
      </c>
      <c r="AE34" s="1709" t="str">
        <f t="shared" ca="1" si="29"/>
        <v/>
      </c>
      <c r="AF34" s="1710" t="str">
        <f t="shared" ca="1" si="30"/>
        <v/>
      </c>
      <c r="AG34" s="1705" t="str">
        <f t="shared" ca="1" si="31"/>
        <v/>
      </c>
      <c r="AH34" s="1709" t="str">
        <f t="shared" ca="1" si="32"/>
        <v/>
      </c>
      <c r="AI34" s="1705" t="str">
        <f t="shared" ca="1" si="33"/>
        <v/>
      </c>
      <c r="AJ34" s="1709" t="str">
        <f t="shared" ca="1" si="34"/>
        <v/>
      </c>
      <c r="AK34" s="1747" t="str">
        <f t="shared" si="35"/>
        <v/>
      </c>
      <c r="AL34" s="1748" t="str">
        <f t="shared" si="36"/>
        <v/>
      </c>
      <c r="AM34" s="1749" t="str">
        <f t="shared" si="35"/>
        <v/>
      </c>
      <c r="AN34" s="1710" t="str">
        <f t="shared" si="35"/>
        <v/>
      </c>
      <c r="AO34" s="1713" t="str">
        <f t="shared" si="35"/>
        <v/>
      </c>
      <c r="AP34" s="1712" t="str">
        <f t="shared" si="37"/>
        <v/>
      </c>
      <c r="AQ34" s="1751" t="str">
        <f t="shared" si="38"/>
        <v/>
      </c>
      <c r="AR34" s="1708" t="str">
        <f t="shared" si="39"/>
        <v/>
      </c>
      <c r="AS34" s="1709" t="str">
        <f t="shared" si="40"/>
        <v/>
      </c>
      <c r="AT34" s="1752" t="str">
        <f t="shared" si="41"/>
        <v/>
      </c>
      <c r="AU34" s="1753" t="str">
        <f t="shared" si="42"/>
        <v/>
      </c>
      <c r="AV34" s="1714" t="str">
        <f t="shared" si="43"/>
        <v/>
      </c>
      <c r="AW34" s="1709" t="str">
        <f t="shared" si="44"/>
        <v/>
      </c>
      <c r="AX34" s="1752" t="str">
        <f t="shared" si="45"/>
        <v/>
      </c>
      <c r="AY34" s="1753" t="str">
        <f t="shared" si="46"/>
        <v/>
      </c>
      <c r="AZ34" s="1714" t="str">
        <f t="shared" si="47"/>
        <v/>
      </c>
      <c r="BA34" s="1709" t="str">
        <f t="shared" si="48"/>
        <v/>
      </c>
      <c r="BB34" s="1752" t="str">
        <f t="shared" si="49"/>
        <v/>
      </c>
      <c r="BC34" s="1753" t="str">
        <f t="shared" si="50"/>
        <v/>
      </c>
      <c r="BD34" s="1714" t="str">
        <f t="shared" si="51"/>
        <v/>
      </c>
      <c r="BE34" s="1709" t="str">
        <f t="shared" si="52"/>
        <v/>
      </c>
      <c r="BF34" s="1752" t="str">
        <f t="shared" si="53"/>
        <v/>
      </c>
      <c r="BG34" s="1753" t="str">
        <f t="shared" si="54"/>
        <v/>
      </c>
      <c r="BH34" s="1416"/>
      <c r="BJ34" s="995" t="str">
        <f t="shared" si="97"/>
        <v/>
      </c>
      <c r="BK34" s="993" t="b">
        <f t="shared" si="55"/>
        <v>0</v>
      </c>
      <c r="BL34" s="989" t="b">
        <v>0</v>
      </c>
      <c r="BM34" s="989">
        <f t="shared" si="56"/>
        <v>0</v>
      </c>
      <c r="BN34" s="989">
        <f t="shared" si="57"/>
        <v>0</v>
      </c>
      <c r="BO34" s="989">
        <f t="shared" si="58"/>
        <v>0</v>
      </c>
      <c r="BP34" s="989">
        <f t="shared" si="59"/>
        <v>0</v>
      </c>
      <c r="BQ34" s="989">
        <f t="shared" si="60"/>
        <v>0</v>
      </c>
      <c r="BR34" s="989" t="b">
        <f t="shared" si="61"/>
        <v>1</v>
      </c>
      <c r="BS34" s="1302">
        <f t="shared" si="62"/>
        <v>6</v>
      </c>
      <c r="BT34" s="990" t="str">
        <f t="shared" si="63"/>
        <v>No</v>
      </c>
      <c r="BU34" s="1302">
        <f t="shared" si="64"/>
        <v>6</v>
      </c>
      <c r="BV34" s="990" t="str">
        <f t="shared" si="65"/>
        <v>No</v>
      </c>
      <c r="BW34" s="991">
        <f t="shared" ca="1" si="66"/>
        <v>0</v>
      </c>
      <c r="BX34" s="991" t="str">
        <f t="shared" ca="1" si="67"/>
        <v/>
      </c>
      <c r="BY34" s="991" t="b">
        <f t="shared" ca="1" si="68"/>
        <v>0</v>
      </c>
      <c r="BZ34" s="991" t="b">
        <f t="shared" si="90"/>
        <v>0</v>
      </c>
      <c r="CB34" s="672"/>
      <c r="CC34" s="1684"/>
      <c r="CD34" s="699"/>
      <c r="CE34" s="700"/>
      <c r="CF34" s="701"/>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725"/>
      <c r="DE34" s="726"/>
      <c r="DF34" s="141"/>
      <c r="DG34" s="141"/>
      <c r="DH34" s="672"/>
      <c r="DI34" s="673"/>
      <c r="DJ34" s="692"/>
      <c r="DK34" s="1331"/>
      <c r="DL34" s="674"/>
      <c r="DM34" s="693"/>
      <c r="DN34" s="1334"/>
      <c r="DO34" s="675"/>
      <c r="DP34" s="676"/>
      <c r="DQ34" s="1419"/>
      <c r="DR34" s="677"/>
      <c r="DS34" s="1419"/>
      <c r="DT34" s="1421"/>
      <c r="DU34" s="1422"/>
      <c r="DV34" s="678"/>
      <c r="DW34" s="1336"/>
      <c r="DX34" s="679"/>
      <c r="DY34" s="674"/>
      <c r="DZ34" s="678"/>
      <c r="EA34" s="1336"/>
      <c r="EB34" s="679"/>
      <c r="EC34" s="674"/>
      <c r="ED34" s="678"/>
      <c r="EE34" s="1336"/>
      <c r="EF34" s="679"/>
      <c r="EG34" s="674"/>
      <c r="EH34" s="678"/>
      <c r="EI34" s="1336"/>
      <c r="EJ34" s="679"/>
      <c r="EK34" s="680"/>
      <c r="EL34" s="241"/>
      <c r="EM34" s="1631" t="str">
        <f t="shared" si="69"/>
        <v/>
      </c>
      <c r="EN34" s="1428" t="str">
        <f t="shared" si="70"/>
        <v/>
      </c>
      <c r="EO34" s="1429" t="str">
        <f t="shared" si="71"/>
        <v/>
      </c>
      <c r="EP34" s="1430" t="str">
        <f t="shared" si="72"/>
        <v/>
      </c>
      <c r="EQ34" s="1434" t="str">
        <f t="shared" si="73"/>
        <v/>
      </c>
      <c r="ER34" s="1440" t="str">
        <f t="shared" si="74"/>
        <v/>
      </c>
      <c r="ES34" s="1441" t="str">
        <f t="shared" si="75"/>
        <v/>
      </c>
      <c r="ET34" s="1442" t="str">
        <f t="shared" si="76"/>
        <v/>
      </c>
      <c r="EU34" s="1443" t="str">
        <f t="shared" si="91"/>
        <v/>
      </c>
      <c r="EX34" s="503" t="str">
        <f t="shared" ca="1" si="92"/>
        <v/>
      </c>
      <c r="EY34" s="940" t="str">
        <f t="shared" si="77"/>
        <v/>
      </c>
      <c r="EZ34" s="940" t="str">
        <f t="shared" si="93"/>
        <v/>
      </c>
      <c r="FA34" s="958" t="str">
        <f t="shared" ca="1" si="98"/>
        <v/>
      </c>
      <c r="FB34" s="134" t="str">
        <f t="shared" ca="1" si="94"/>
        <v/>
      </c>
      <c r="FC34" s="134">
        <f t="shared" ca="1" si="78"/>
        <v>0</v>
      </c>
      <c r="FD34" s="134">
        <f t="shared" ca="1" si="79"/>
        <v>0</v>
      </c>
      <c r="FE34" s="134">
        <f t="shared" ca="1" si="80"/>
        <v>0</v>
      </c>
      <c r="FF34" s="134">
        <f t="shared" ca="1" si="95"/>
        <v>0</v>
      </c>
      <c r="FN34" s="754" t="b">
        <v>0</v>
      </c>
      <c r="FO34" s="754" t="b">
        <f t="shared" si="81"/>
        <v>1</v>
      </c>
      <c r="FP34" s="754" t="b">
        <v>0</v>
      </c>
      <c r="FQ34" s="754" t="b">
        <f t="shared" si="96"/>
        <v>1</v>
      </c>
      <c r="FW34" s="2"/>
      <c r="FX34" s="2"/>
      <c r="FZ34" s="2"/>
      <c r="GA34" s="1761" t="str">
        <f t="shared" si="82"/>
        <v/>
      </c>
      <c r="GB34" s="1762" t="str">
        <f t="shared" si="83"/>
        <v/>
      </c>
      <c r="GC34" s="1763" t="str">
        <f t="shared" si="84"/>
        <v/>
      </c>
      <c r="GD34" s="1764" t="str">
        <f t="shared" si="85"/>
        <v/>
      </c>
      <c r="GE34" s="1765" t="str">
        <f t="shared" si="86"/>
        <v/>
      </c>
      <c r="GF34" s="582" t="str">
        <f t="shared" si="87"/>
        <v/>
      </c>
      <c r="GG34" s="692"/>
      <c r="GH34" s="1135"/>
      <c r="GI34" s="692"/>
      <c r="GJ34" s="1135"/>
      <c r="GK34" s="1640">
        <f t="shared" si="88"/>
        <v>0</v>
      </c>
      <c r="GL34" s="1640" t="e">
        <f t="shared" si="89"/>
        <v>#VALUE!</v>
      </c>
      <c r="GM34" s="1641" t="e">
        <f>IF(ABS(GK34-GL34)&gt;='Job Info.'!$L$22,ABS(GK34-GL34),0)</f>
        <v>#VALUE!</v>
      </c>
      <c r="HA34" s="1241"/>
      <c r="HB34" s="1242"/>
      <c r="HC34" s="1242"/>
      <c r="HD34" s="1243"/>
      <c r="HE34" s="1244"/>
      <c r="HF34" s="1242"/>
      <c r="HG34" s="1242"/>
      <c r="HH34" s="1242"/>
      <c r="HI34" s="1242"/>
      <c r="HJ34" s="1242"/>
      <c r="HK34" s="1242"/>
      <c r="HL34" s="1242"/>
      <c r="HM34" s="1242"/>
      <c r="HN34" s="1242"/>
      <c r="HO34" s="1242"/>
      <c r="HP34" s="1242"/>
      <c r="HQ34" s="1242"/>
      <c r="HR34" s="1242"/>
      <c r="HS34" s="1242"/>
      <c r="HT34" s="1242"/>
      <c r="HU34" s="1242"/>
      <c r="HV34" s="1242"/>
      <c r="HW34" s="1242"/>
      <c r="HX34" s="1242"/>
      <c r="HY34" s="1246"/>
      <c r="HZ34" s="1246"/>
      <c r="IA34" s="1246"/>
      <c r="IB34" s="1246"/>
      <c r="IC34" s="1246"/>
      <c r="ID34" s="1261"/>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99"/>
        <v>0</v>
      </c>
    </row>
    <row r="35" spans="1:272" ht="12.6" customHeight="1" x14ac:dyDescent="0.25">
      <c r="A35" s="1448" t="str">
        <f t="shared" si="0"/>
        <v/>
      </c>
      <c r="B35" s="1681" t="str">
        <f t="shared" si="1"/>
        <v/>
      </c>
      <c r="C35" s="1449" t="str">
        <f t="shared" si="2"/>
        <v/>
      </c>
      <c r="D35" s="1705" t="str">
        <f t="shared" si="3"/>
        <v/>
      </c>
      <c r="E35" s="1706" t="str">
        <f t="shared" si="4"/>
        <v/>
      </c>
      <c r="F35" s="1707" t="str">
        <f t="shared" si="5"/>
        <v/>
      </c>
      <c r="G35" s="1708" t="str">
        <f t="shared" si="6"/>
        <v/>
      </c>
      <c r="H35" s="1709" t="str">
        <f t="shared" si="7"/>
        <v/>
      </c>
      <c r="I35" s="1710" t="str">
        <f t="shared" si="8"/>
        <v/>
      </c>
      <c r="J35" s="1705" t="str">
        <f t="shared" si="9"/>
        <v/>
      </c>
      <c r="K35" s="1709" t="str">
        <f t="shared" si="10"/>
        <v/>
      </c>
      <c r="L35" s="1711" t="str">
        <f t="shared" si="11"/>
        <v/>
      </c>
      <c r="M35" s="1712" t="str">
        <f t="shared" si="12"/>
        <v/>
      </c>
      <c r="N35" s="1713" t="str">
        <f t="shared" si="12"/>
        <v/>
      </c>
      <c r="O35" s="1708" t="str">
        <f t="shared" si="13"/>
        <v/>
      </c>
      <c r="P35" s="1709" t="str">
        <f t="shared" si="14"/>
        <v/>
      </c>
      <c r="Q35" s="1705" t="str">
        <f t="shared" si="15"/>
        <v/>
      </c>
      <c r="R35" s="1706" t="str">
        <f t="shared" si="16"/>
        <v/>
      </c>
      <c r="S35" s="1714" t="str">
        <f t="shared" si="17"/>
        <v/>
      </c>
      <c r="T35" s="1709" t="str">
        <f t="shared" si="18"/>
        <v/>
      </c>
      <c r="U35" s="1705" t="str">
        <f t="shared" si="19"/>
        <v/>
      </c>
      <c r="V35" s="1709" t="str">
        <f t="shared" si="20"/>
        <v/>
      </c>
      <c r="W35" s="1713">
        <f t="shared" si="21"/>
        <v>0</v>
      </c>
      <c r="X35" s="1715" t="str">
        <f t="shared" si="22"/>
        <v/>
      </c>
      <c r="Y35" s="1716" t="str">
        <f t="shared" si="23"/>
        <v/>
      </c>
      <c r="Z35" s="1717" t="str">
        <f t="shared" si="24"/>
        <v/>
      </c>
      <c r="AA35" s="1776" t="str">
        <f t="shared" si="25"/>
        <v/>
      </c>
      <c r="AB35" s="1448" t="str">
        <f t="shared" si="26"/>
        <v/>
      </c>
      <c r="AC35" s="1710" t="str">
        <f t="shared" si="27"/>
        <v/>
      </c>
      <c r="AD35" s="1705" t="str">
        <f t="shared" ca="1" si="28"/>
        <v/>
      </c>
      <c r="AE35" s="1709" t="str">
        <f t="shared" ca="1" si="29"/>
        <v/>
      </c>
      <c r="AF35" s="1710" t="str">
        <f t="shared" ca="1" si="30"/>
        <v/>
      </c>
      <c r="AG35" s="1705" t="str">
        <f t="shared" ca="1" si="31"/>
        <v/>
      </c>
      <c r="AH35" s="1709" t="str">
        <f t="shared" ca="1" si="32"/>
        <v/>
      </c>
      <c r="AI35" s="1705" t="str">
        <f t="shared" ca="1" si="33"/>
        <v/>
      </c>
      <c r="AJ35" s="1709" t="str">
        <f t="shared" ca="1" si="34"/>
        <v/>
      </c>
      <c r="AK35" s="1747" t="str">
        <f t="shared" si="35"/>
        <v/>
      </c>
      <c r="AL35" s="1748" t="str">
        <f t="shared" si="36"/>
        <v/>
      </c>
      <c r="AM35" s="1749" t="str">
        <f t="shared" si="35"/>
        <v/>
      </c>
      <c r="AN35" s="1710" t="str">
        <f t="shared" si="35"/>
        <v/>
      </c>
      <c r="AO35" s="1713" t="str">
        <f t="shared" si="35"/>
        <v/>
      </c>
      <c r="AP35" s="1712" t="str">
        <f t="shared" si="37"/>
        <v/>
      </c>
      <c r="AQ35" s="1751" t="str">
        <f t="shared" si="38"/>
        <v/>
      </c>
      <c r="AR35" s="1708" t="str">
        <f t="shared" si="39"/>
        <v/>
      </c>
      <c r="AS35" s="1709" t="str">
        <f t="shared" si="40"/>
        <v/>
      </c>
      <c r="AT35" s="1752" t="str">
        <f t="shared" si="41"/>
        <v/>
      </c>
      <c r="AU35" s="1753" t="str">
        <f t="shared" si="42"/>
        <v/>
      </c>
      <c r="AV35" s="1714" t="str">
        <f t="shared" si="43"/>
        <v/>
      </c>
      <c r="AW35" s="1709" t="str">
        <f t="shared" si="44"/>
        <v/>
      </c>
      <c r="AX35" s="1752" t="str">
        <f t="shared" si="45"/>
        <v/>
      </c>
      <c r="AY35" s="1753" t="str">
        <f t="shared" si="46"/>
        <v/>
      </c>
      <c r="AZ35" s="1714" t="str">
        <f t="shared" si="47"/>
        <v/>
      </c>
      <c r="BA35" s="1709" t="str">
        <f t="shared" si="48"/>
        <v/>
      </c>
      <c r="BB35" s="1752" t="str">
        <f t="shared" si="49"/>
        <v/>
      </c>
      <c r="BC35" s="1753" t="str">
        <f t="shared" si="50"/>
        <v/>
      </c>
      <c r="BD35" s="1714" t="str">
        <f t="shared" si="51"/>
        <v/>
      </c>
      <c r="BE35" s="1709" t="str">
        <f t="shared" si="52"/>
        <v/>
      </c>
      <c r="BF35" s="1752" t="str">
        <f t="shared" si="53"/>
        <v/>
      </c>
      <c r="BG35" s="1753" t="str">
        <f t="shared" si="54"/>
        <v/>
      </c>
      <c r="BH35" s="1416"/>
      <c r="BJ35" s="995" t="str">
        <f t="shared" si="97"/>
        <v/>
      </c>
      <c r="BK35" s="993" t="b">
        <f t="shared" si="55"/>
        <v>0</v>
      </c>
      <c r="BL35" s="989" t="b">
        <v>0</v>
      </c>
      <c r="BM35" s="989">
        <f t="shared" si="56"/>
        <v>0</v>
      </c>
      <c r="BN35" s="989">
        <f t="shared" si="57"/>
        <v>0</v>
      </c>
      <c r="BO35" s="989">
        <f t="shared" si="58"/>
        <v>0</v>
      </c>
      <c r="BP35" s="989">
        <f t="shared" si="59"/>
        <v>0</v>
      </c>
      <c r="BQ35" s="989">
        <f t="shared" si="60"/>
        <v>0</v>
      </c>
      <c r="BR35" s="989" t="b">
        <f t="shared" si="61"/>
        <v>1</v>
      </c>
      <c r="BS35" s="1302">
        <f t="shared" si="62"/>
        <v>6</v>
      </c>
      <c r="BT35" s="990" t="str">
        <f t="shared" si="63"/>
        <v>No</v>
      </c>
      <c r="BU35" s="1302">
        <f t="shared" si="64"/>
        <v>6</v>
      </c>
      <c r="BV35" s="990" t="str">
        <f t="shared" si="65"/>
        <v>No</v>
      </c>
      <c r="BW35" s="991">
        <f t="shared" ca="1" si="66"/>
        <v>0</v>
      </c>
      <c r="BX35" s="991" t="str">
        <f t="shared" ca="1" si="67"/>
        <v/>
      </c>
      <c r="BY35" s="991" t="b">
        <f t="shared" ca="1" si="68"/>
        <v>0</v>
      </c>
      <c r="BZ35" s="991" t="b">
        <f t="shared" si="90"/>
        <v>0</v>
      </c>
      <c r="CB35" s="672"/>
      <c r="CC35" s="1684"/>
      <c r="CD35" s="699"/>
      <c r="CE35" s="700"/>
      <c r="CF35" s="701"/>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725"/>
      <c r="DE35" s="726"/>
      <c r="DF35" s="141"/>
      <c r="DG35" s="141"/>
      <c r="DH35" s="672"/>
      <c r="DI35" s="673"/>
      <c r="DJ35" s="692"/>
      <c r="DK35" s="1331"/>
      <c r="DL35" s="674"/>
      <c r="DM35" s="693"/>
      <c r="DN35" s="1334"/>
      <c r="DO35" s="675"/>
      <c r="DP35" s="676"/>
      <c r="DQ35" s="1419"/>
      <c r="DR35" s="677"/>
      <c r="DS35" s="1419"/>
      <c r="DT35" s="1421"/>
      <c r="DU35" s="1422"/>
      <c r="DV35" s="678"/>
      <c r="DW35" s="1336"/>
      <c r="DX35" s="679"/>
      <c r="DY35" s="674"/>
      <c r="DZ35" s="678"/>
      <c r="EA35" s="1336"/>
      <c r="EB35" s="679"/>
      <c r="EC35" s="674"/>
      <c r="ED35" s="678"/>
      <c r="EE35" s="1336"/>
      <c r="EF35" s="679"/>
      <c r="EG35" s="674"/>
      <c r="EH35" s="678"/>
      <c r="EI35" s="1336"/>
      <c r="EJ35" s="679"/>
      <c r="EK35" s="680"/>
      <c r="EL35" s="241"/>
      <c r="EM35" s="1631" t="str">
        <f t="shared" si="69"/>
        <v/>
      </c>
      <c r="EN35" s="1428" t="str">
        <f t="shared" si="70"/>
        <v/>
      </c>
      <c r="EO35" s="1429" t="str">
        <f t="shared" si="71"/>
        <v/>
      </c>
      <c r="EP35" s="1430" t="str">
        <f t="shared" si="72"/>
        <v/>
      </c>
      <c r="EQ35" s="1434" t="str">
        <f t="shared" si="73"/>
        <v/>
      </c>
      <c r="ER35" s="1440" t="str">
        <f t="shared" si="74"/>
        <v/>
      </c>
      <c r="ES35" s="1441" t="str">
        <f t="shared" si="75"/>
        <v/>
      </c>
      <c r="ET35" s="1442" t="str">
        <f t="shared" si="76"/>
        <v/>
      </c>
      <c r="EU35" s="1443" t="str">
        <f t="shared" si="91"/>
        <v/>
      </c>
      <c r="EX35" s="503" t="str">
        <f t="shared" ca="1" si="92"/>
        <v/>
      </c>
      <c r="EY35" s="940" t="str">
        <f t="shared" si="77"/>
        <v/>
      </c>
      <c r="EZ35" s="940" t="str">
        <f t="shared" si="93"/>
        <v/>
      </c>
      <c r="FA35" s="958" t="str">
        <f t="shared" ca="1" si="98"/>
        <v/>
      </c>
      <c r="FB35" s="134" t="str">
        <f t="shared" ca="1" si="94"/>
        <v/>
      </c>
      <c r="FC35" s="134">
        <f t="shared" ca="1" si="78"/>
        <v>0</v>
      </c>
      <c r="FD35" s="134">
        <f t="shared" ca="1" si="79"/>
        <v>0</v>
      </c>
      <c r="FE35" s="134">
        <f t="shared" ca="1" si="80"/>
        <v>0</v>
      </c>
      <c r="FF35" s="134">
        <f t="shared" ca="1" si="95"/>
        <v>0</v>
      </c>
      <c r="FN35" s="754" t="b">
        <v>0</v>
      </c>
      <c r="FO35" s="754" t="b">
        <f t="shared" si="81"/>
        <v>1</v>
      </c>
      <c r="FP35" s="754" t="b">
        <v>0</v>
      </c>
      <c r="FQ35" s="754" t="b">
        <f t="shared" si="96"/>
        <v>1</v>
      </c>
      <c r="FW35" s="2"/>
      <c r="FX35" s="2"/>
      <c r="FZ35" s="2"/>
      <c r="GA35" s="1761" t="str">
        <f t="shared" si="82"/>
        <v/>
      </c>
      <c r="GB35" s="1762" t="str">
        <f t="shared" si="83"/>
        <v/>
      </c>
      <c r="GC35" s="1763" t="str">
        <f t="shared" si="84"/>
        <v/>
      </c>
      <c r="GD35" s="1764" t="str">
        <f t="shared" si="85"/>
        <v/>
      </c>
      <c r="GE35" s="1765" t="str">
        <f t="shared" si="86"/>
        <v/>
      </c>
      <c r="GF35" s="582" t="str">
        <f t="shared" si="87"/>
        <v/>
      </c>
      <c r="GG35" s="692"/>
      <c r="GH35" s="1135"/>
      <c r="GI35" s="692"/>
      <c r="GJ35" s="1135"/>
      <c r="GK35" s="1640">
        <f t="shared" si="88"/>
        <v>0</v>
      </c>
      <c r="GL35" s="1640" t="e">
        <f t="shared" si="89"/>
        <v>#VALUE!</v>
      </c>
      <c r="GM35" s="1641" t="e">
        <f>IF(ABS(GK35-GL35)&gt;='Job Info.'!$L$22,ABS(GK35-GL35),0)</f>
        <v>#VALUE!</v>
      </c>
      <c r="HA35" s="1241"/>
      <c r="HB35" s="1242"/>
      <c r="HC35" s="1242"/>
      <c r="HD35" s="1243"/>
      <c r="HE35" s="1244"/>
      <c r="HF35" s="1242"/>
      <c r="HG35" s="1242"/>
      <c r="HH35" s="1242"/>
      <c r="HI35" s="1242"/>
      <c r="HJ35" s="1242"/>
      <c r="HK35" s="1242"/>
      <c r="HL35" s="1242"/>
      <c r="HM35" s="1242"/>
      <c r="HN35" s="1242"/>
      <c r="HO35" s="1242"/>
      <c r="HP35" s="1242"/>
      <c r="HQ35" s="1242"/>
      <c r="HR35" s="1242"/>
      <c r="HS35" s="1242"/>
      <c r="HT35" s="1242"/>
      <c r="HU35" s="1242"/>
      <c r="HV35" s="1242"/>
      <c r="HW35" s="1242"/>
      <c r="HX35" s="1242"/>
      <c r="HY35" s="1246"/>
      <c r="HZ35" s="1246"/>
      <c r="IA35" s="1246"/>
      <c r="IB35" s="1246"/>
      <c r="IC35" s="1246"/>
      <c r="ID35" s="1261"/>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99"/>
        <v>0</v>
      </c>
    </row>
    <row r="36" spans="1:272" ht="12.6" customHeight="1" x14ac:dyDescent="0.25">
      <c r="A36" s="1448" t="str">
        <f t="shared" si="0"/>
        <v/>
      </c>
      <c r="B36" s="1681" t="str">
        <f t="shared" si="1"/>
        <v/>
      </c>
      <c r="C36" s="1449" t="str">
        <f t="shared" si="2"/>
        <v/>
      </c>
      <c r="D36" s="1705" t="str">
        <f t="shared" si="3"/>
        <v/>
      </c>
      <c r="E36" s="1706" t="str">
        <f t="shared" si="4"/>
        <v/>
      </c>
      <c r="F36" s="1707" t="str">
        <f t="shared" si="5"/>
        <v/>
      </c>
      <c r="G36" s="1708" t="str">
        <f t="shared" si="6"/>
        <v/>
      </c>
      <c r="H36" s="1709" t="str">
        <f t="shared" si="7"/>
        <v/>
      </c>
      <c r="I36" s="1710" t="str">
        <f t="shared" si="8"/>
        <v/>
      </c>
      <c r="J36" s="1705" t="str">
        <f t="shared" si="9"/>
        <v/>
      </c>
      <c r="K36" s="1709" t="str">
        <f t="shared" si="10"/>
        <v/>
      </c>
      <c r="L36" s="1711" t="str">
        <f t="shared" si="11"/>
        <v/>
      </c>
      <c r="M36" s="1712" t="str">
        <f t="shared" si="12"/>
        <v/>
      </c>
      <c r="N36" s="1713" t="str">
        <f t="shared" si="12"/>
        <v/>
      </c>
      <c r="O36" s="1708" t="str">
        <f t="shared" si="13"/>
        <v/>
      </c>
      <c r="P36" s="1709" t="str">
        <f t="shared" si="14"/>
        <v/>
      </c>
      <c r="Q36" s="1705" t="str">
        <f t="shared" si="15"/>
        <v/>
      </c>
      <c r="R36" s="1706" t="str">
        <f t="shared" si="16"/>
        <v/>
      </c>
      <c r="S36" s="1714" t="str">
        <f t="shared" si="17"/>
        <v/>
      </c>
      <c r="T36" s="1709" t="str">
        <f t="shared" si="18"/>
        <v/>
      </c>
      <c r="U36" s="1705" t="str">
        <f t="shared" si="19"/>
        <v/>
      </c>
      <c r="V36" s="1709" t="str">
        <f t="shared" si="20"/>
        <v/>
      </c>
      <c r="W36" s="1713">
        <f t="shared" si="21"/>
        <v>0</v>
      </c>
      <c r="X36" s="1715" t="str">
        <f t="shared" si="22"/>
        <v/>
      </c>
      <c r="Y36" s="1716" t="str">
        <f t="shared" si="23"/>
        <v/>
      </c>
      <c r="Z36" s="1717" t="str">
        <f t="shared" si="24"/>
        <v/>
      </c>
      <c r="AA36" s="1776" t="str">
        <f t="shared" si="25"/>
        <v/>
      </c>
      <c r="AB36" s="1448" t="str">
        <f t="shared" si="26"/>
        <v/>
      </c>
      <c r="AC36" s="1710" t="str">
        <f t="shared" si="27"/>
        <v/>
      </c>
      <c r="AD36" s="1705" t="str">
        <f t="shared" ca="1" si="28"/>
        <v/>
      </c>
      <c r="AE36" s="1709" t="str">
        <f t="shared" ca="1" si="29"/>
        <v/>
      </c>
      <c r="AF36" s="1710" t="str">
        <f t="shared" ca="1" si="30"/>
        <v/>
      </c>
      <c r="AG36" s="1705" t="str">
        <f t="shared" ca="1" si="31"/>
        <v/>
      </c>
      <c r="AH36" s="1709" t="str">
        <f t="shared" ca="1" si="32"/>
        <v/>
      </c>
      <c r="AI36" s="1705" t="str">
        <f t="shared" ca="1" si="33"/>
        <v/>
      </c>
      <c r="AJ36" s="1709" t="str">
        <f t="shared" ca="1" si="34"/>
        <v/>
      </c>
      <c r="AK36" s="1747" t="str">
        <f t="shared" si="35"/>
        <v/>
      </c>
      <c r="AL36" s="1748" t="str">
        <f t="shared" si="36"/>
        <v/>
      </c>
      <c r="AM36" s="1749" t="str">
        <f t="shared" si="35"/>
        <v/>
      </c>
      <c r="AN36" s="1710" t="str">
        <f t="shared" si="35"/>
        <v/>
      </c>
      <c r="AO36" s="1713" t="str">
        <f t="shared" si="35"/>
        <v/>
      </c>
      <c r="AP36" s="1712" t="str">
        <f t="shared" si="37"/>
        <v/>
      </c>
      <c r="AQ36" s="1751" t="str">
        <f t="shared" si="38"/>
        <v/>
      </c>
      <c r="AR36" s="1708" t="str">
        <f t="shared" si="39"/>
        <v/>
      </c>
      <c r="AS36" s="1709" t="str">
        <f t="shared" si="40"/>
        <v/>
      </c>
      <c r="AT36" s="1752" t="str">
        <f t="shared" si="41"/>
        <v/>
      </c>
      <c r="AU36" s="1753" t="str">
        <f t="shared" si="42"/>
        <v/>
      </c>
      <c r="AV36" s="1714" t="str">
        <f t="shared" si="43"/>
        <v/>
      </c>
      <c r="AW36" s="1709" t="str">
        <f t="shared" si="44"/>
        <v/>
      </c>
      <c r="AX36" s="1752" t="str">
        <f t="shared" si="45"/>
        <v/>
      </c>
      <c r="AY36" s="1753" t="str">
        <f t="shared" si="46"/>
        <v/>
      </c>
      <c r="AZ36" s="1714" t="str">
        <f t="shared" si="47"/>
        <v/>
      </c>
      <c r="BA36" s="1709" t="str">
        <f t="shared" si="48"/>
        <v/>
      </c>
      <c r="BB36" s="1752" t="str">
        <f t="shared" si="49"/>
        <v/>
      </c>
      <c r="BC36" s="1753" t="str">
        <f t="shared" si="50"/>
        <v/>
      </c>
      <c r="BD36" s="1714" t="str">
        <f t="shared" si="51"/>
        <v/>
      </c>
      <c r="BE36" s="1709" t="str">
        <f t="shared" si="52"/>
        <v/>
      </c>
      <c r="BF36" s="1752" t="str">
        <f t="shared" si="53"/>
        <v/>
      </c>
      <c r="BG36" s="1753" t="str">
        <f t="shared" si="54"/>
        <v/>
      </c>
      <c r="BH36" s="1416"/>
      <c r="BJ36" s="995" t="str">
        <f t="shared" si="97"/>
        <v/>
      </c>
      <c r="BK36" s="993" t="b">
        <f t="shared" si="55"/>
        <v>0</v>
      </c>
      <c r="BL36" s="989" t="b">
        <v>0</v>
      </c>
      <c r="BM36" s="989">
        <f t="shared" si="56"/>
        <v>0</v>
      </c>
      <c r="BN36" s="989">
        <f t="shared" si="57"/>
        <v>0</v>
      </c>
      <c r="BO36" s="989">
        <f t="shared" si="58"/>
        <v>0</v>
      </c>
      <c r="BP36" s="989">
        <f t="shared" si="59"/>
        <v>0</v>
      </c>
      <c r="BQ36" s="989">
        <f t="shared" si="60"/>
        <v>0</v>
      </c>
      <c r="BR36" s="989" t="b">
        <f t="shared" si="61"/>
        <v>1</v>
      </c>
      <c r="BS36" s="1302">
        <f t="shared" si="62"/>
        <v>6</v>
      </c>
      <c r="BT36" s="990" t="str">
        <f t="shared" si="63"/>
        <v>No</v>
      </c>
      <c r="BU36" s="1302">
        <f t="shared" si="64"/>
        <v>6</v>
      </c>
      <c r="BV36" s="990" t="str">
        <f t="shared" si="65"/>
        <v>No</v>
      </c>
      <c r="BW36" s="991">
        <f t="shared" ca="1" si="66"/>
        <v>0</v>
      </c>
      <c r="BX36" s="991" t="str">
        <f t="shared" ca="1" si="67"/>
        <v/>
      </c>
      <c r="BY36" s="991" t="b">
        <f t="shared" ca="1" si="68"/>
        <v>0</v>
      </c>
      <c r="BZ36" s="991" t="b">
        <f t="shared" si="90"/>
        <v>0</v>
      </c>
      <c r="CB36" s="672"/>
      <c r="CC36" s="1684"/>
      <c r="CD36" s="699"/>
      <c r="CE36" s="700"/>
      <c r="CF36" s="701"/>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725"/>
      <c r="DE36" s="726"/>
      <c r="DF36" s="141"/>
      <c r="DG36" s="141"/>
      <c r="DH36" s="672"/>
      <c r="DI36" s="673"/>
      <c r="DJ36" s="692"/>
      <c r="DK36" s="1331"/>
      <c r="DL36" s="674"/>
      <c r="DM36" s="693"/>
      <c r="DN36" s="1334"/>
      <c r="DO36" s="675"/>
      <c r="DP36" s="676"/>
      <c r="DQ36" s="1419"/>
      <c r="DR36" s="677"/>
      <c r="DS36" s="1419"/>
      <c r="DT36" s="1421"/>
      <c r="DU36" s="1422"/>
      <c r="DV36" s="678"/>
      <c r="DW36" s="1336"/>
      <c r="DX36" s="679"/>
      <c r="DY36" s="674"/>
      <c r="DZ36" s="678"/>
      <c r="EA36" s="1336"/>
      <c r="EB36" s="679"/>
      <c r="EC36" s="674"/>
      <c r="ED36" s="678"/>
      <c r="EE36" s="1336"/>
      <c r="EF36" s="679"/>
      <c r="EG36" s="674"/>
      <c r="EH36" s="678"/>
      <c r="EI36" s="1336"/>
      <c r="EJ36" s="679"/>
      <c r="EK36" s="680"/>
      <c r="EL36" s="241"/>
      <c r="EM36" s="1631" t="str">
        <f t="shared" si="69"/>
        <v/>
      </c>
      <c r="EN36" s="1428" t="str">
        <f t="shared" si="70"/>
        <v/>
      </c>
      <c r="EO36" s="1429" t="str">
        <f t="shared" si="71"/>
        <v/>
      </c>
      <c r="EP36" s="1430" t="str">
        <f t="shared" si="72"/>
        <v/>
      </c>
      <c r="EQ36" s="1434" t="str">
        <f t="shared" si="73"/>
        <v/>
      </c>
      <c r="ER36" s="1440" t="str">
        <f t="shared" si="74"/>
        <v/>
      </c>
      <c r="ES36" s="1441" t="str">
        <f t="shared" si="75"/>
        <v/>
      </c>
      <c r="ET36" s="1442" t="str">
        <f t="shared" si="76"/>
        <v/>
      </c>
      <c r="EU36" s="1443" t="str">
        <f t="shared" si="91"/>
        <v/>
      </c>
      <c r="EX36" s="503" t="str">
        <f t="shared" ca="1" si="92"/>
        <v/>
      </c>
      <c r="EY36" s="940" t="str">
        <f t="shared" si="77"/>
        <v/>
      </c>
      <c r="EZ36" s="940" t="str">
        <f t="shared" si="93"/>
        <v/>
      </c>
      <c r="FA36" s="958" t="str">
        <f t="shared" ca="1" si="98"/>
        <v/>
      </c>
      <c r="FB36" s="134" t="str">
        <f t="shared" ca="1" si="94"/>
        <v/>
      </c>
      <c r="FC36" s="134">
        <f t="shared" ca="1" si="78"/>
        <v>0</v>
      </c>
      <c r="FD36" s="134">
        <f t="shared" ca="1" si="79"/>
        <v>0</v>
      </c>
      <c r="FE36" s="134">
        <f t="shared" ca="1" si="80"/>
        <v>0</v>
      </c>
      <c r="FF36" s="134">
        <f t="shared" ca="1" si="95"/>
        <v>0</v>
      </c>
      <c r="FN36" s="754" t="b">
        <v>0</v>
      </c>
      <c r="FO36" s="754" t="b">
        <f t="shared" si="81"/>
        <v>1</v>
      </c>
      <c r="FP36" s="754" t="b">
        <v>0</v>
      </c>
      <c r="FQ36" s="754" t="b">
        <f t="shared" si="96"/>
        <v>1</v>
      </c>
      <c r="FW36" s="2"/>
      <c r="FX36" s="2"/>
      <c r="FZ36" s="2"/>
      <c r="GA36" s="1761" t="str">
        <f t="shared" si="82"/>
        <v/>
      </c>
      <c r="GB36" s="1762" t="str">
        <f t="shared" si="83"/>
        <v/>
      </c>
      <c r="GC36" s="1763" t="str">
        <f t="shared" si="84"/>
        <v/>
      </c>
      <c r="GD36" s="1764" t="str">
        <f t="shared" si="85"/>
        <v/>
      </c>
      <c r="GE36" s="1765" t="str">
        <f t="shared" si="86"/>
        <v/>
      </c>
      <c r="GF36" s="582" t="str">
        <f t="shared" si="87"/>
        <v/>
      </c>
      <c r="GG36" s="692"/>
      <c r="GH36" s="1135"/>
      <c r="GI36" s="692"/>
      <c r="GJ36" s="1135"/>
      <c r="GK36" s="1640">
        <f t="shared" si="88"/>
        <v>0</v>
      </c>
      <c r="GL36" s="1640" t="e">
        <f t="shared" si="89"/>
        <v>#VALUE!</v>
      </c>
      <c r="GM36" s="1641" t="e">
        <f>IF(ABS(GK36-GL36)&gt;='Job Info.'!$L$22,ABS(GK36-GL36),0)</f>
        <v>#VALUE!</v>
      </c>
      <c r="HA36" s="1241"/>
      <c r="HB36" s="1242"/>
      <c r="HC36" s="1242"/>
      <c r="HD36" s="1243"/>
      <c r="HE36" s="1244"/>
      <c r="HF36" s="1242"/>
      <c r="HG36" s="1242"/>
      <c r="HH36" s="1242"/>
      <c r="HI36" s="1242"/>
      <c r="HJ36" s="1242"/>
      <c r="HK36" s="1242"/>
      <c r="HL36" s="1242"/>
      <c r="HM36" s="1242"/>
      <c r="HN36" s="1242"/>
      <c r="HO36" s="1242"/>
      <c r="HP36" s="1242"/>
      <c r="HQ36" s="1242"/>
      <c r="HR36" s="1242"/>
      <c r="HS36" s="1242"/>
      <c r="HT36" s="1242"/>
      <c r="HU36" s="1242"/>
      <c r="HV36" s="1242"/>
      <c r="HW36" s="1242"/>
      <c r="HX36" s="1242"/>
      <c r="HY36" s="1246"/>
      <c r="HZ36" s="1246"/>
      <c r="IA36" s="1246"/>
      <c r="IB36" s="1246"/>
      <c r="IC36" s="1246"/>
      <c r="ID36" s="1261"/>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99"/>
        <v>0</v>
      </c>
    </row>
    <row r="37" spans="1:272" ht="12.6" customHeight="1" x14ac:dyDescent="0.25">
      <c r="A37" s="1448" t="str">
        <f t="shared" si="0"/>
        <v/>
      </c>
      <c r="B37" s="1681" t="str">
        <f t="shared" si="1"/>
        <v/>
      </c>
      <c r="C37" s="1449" t="str">
        <f t="shared" si="2"/>
        <v/>
      </c>
      <c r="D37" s="1705" t="str">
        <f t="shared" si="3"/>
        <v/>
      </c>
      <c r="E37" s="1706" t="str">
        <f t="shared" si="4"/>
        <v/>
      </c>
      <c r="F37" s="1707" t="str">
        <f t="shared" si="5"/>
        <v/>
      </c>
      <c r="G37" s="1708" t="str">
        <f t="shared" si="6"/>
        <v/>
      </c>
      <c r="H37" s="1709" t="str">
        <f t="shared" si="7"/>
        <v/>
      </c>
      <c r="I37" s="1710" t="str">
        <f t="shared" si="8"/>
        <v/>
      </c>
      <c r="J37" s="1705" t="str">
        <f t="shared" si="9"/>
        <v/>
      </c>
      <c r="K37" s="1709" t="str">
        <f t="shared" si="10"/>
        <v/>
      </c>
      <c r="L37" s="1711" t="str">
        <f t="shared" si="11"/>
        <v/>
      </c>
      <c r="M37" s="1712" t="str">
        <f t="shared" si="12"/>
        <v/>
      </c>
      <c r="N37" s="1713" t="str">
        <f t="shared" si="12"/>
        <v/>
      </c>
      <c r="O37" s="1708" t="str">
        <f t="shared" si="13"/>
        <v/>
      </c>
      <c r="P37" s="1709" t="str">
        <f t="shared" si="14"/>
        <v/>
      </c>
      <c r="Q37" s="1705" t="str">
        <f t="shared" si="15"/>
        <v/>
      </c>
      <c r="R37" s="1706" t="str">
        <f t="shared" si="16"/>
        <v/>
      </c>
      <c r="S37" s="1714" t="str">
        <f t="shared" si="17"/>
        <v/>
      </c>
      <c r="T37" s="1709" t="str">
        <f t="shared" si="18"/>
        <v/>
      </c>
      <c r="U37" s="1705" t="str">
        <f t="shared" si="19"/>
        <v/>
      </c>
      <c r="V37" s="1709" t="str">
        <f t="shared" si="20"/>
        <v/>
      </c>
      <c r="W37" s="1713">
        <f t="shared" si="21"/>
        <v>0</v>
      </c>
      <c r="X37" s="1715" t="str">
        <f t="shared" si="22"/>
        <v/>
      </c>
      <c r="Y37" s="1716" t="str">
        <f t="shared" si="23"/>
        <v/>
      </c>
      <c r="Z37" s="1717" t="str">
        <f t="shared" si="24"/>
        <v/>
      </c>
      <c r="AA37" s="1776" t="str">
        <f t="shared" si="25"/>
        <v/>
      </c>
      <c r="AB37" s="1448" t="str">
        <f t="shared" si="26"/>
        <v/>
      </c>
      <c r="AC37" s="1710" t="str">
        <f t="shared" si="27"/>
        <v/>
      </c>
      <c r="AD37" s="1705" t="str">
        <f t="shared" ca="1" si="28"/>
        <v/>
      </c>
      <c r="AE37" s="1709" t="str">
        <f t="shared" ca="1" si="29"/>
        <v/>
      </c>
      <c r="AF37" s="1710" t="str">
        <f t="shared" ca="1" si="30"/>
        <v/>
      </c>
      <c r="AG37" s="1705" t="str">
        <f t="shared" ca="1" si="31"/>
        <v/>
      </c>
      <c r="AH37" s="1709" t="str">
        <f t="shared" ca="1" si="32"/>
        <v/>
      </c>
      <c r="AI37" s="1705" t="str">
        <f t="shared" ca="1" si="33"/>
        <v/>
      </c>
      <c r="AJ37" s="1709" t="str">
        <f t="shared" ca="1" si="34"/>
        <v/>
      </c>
      <c r="AK37" s="1747" t="str">
        <f t="shared" si="35"/>
        <v/>
      </c>
      <c r="AL37" s="1748" t="str">
        <f t="shared" si="36"/>
        <v/>
      </c>
      <c r="AM37" s="1749" t="str">
        <f t="shared" si="35"/>
        <v/>
      </c>
      <c r="AN37" s="1710" t="str">
        <f t="shared" si="35"/>
        <v/>
      </c>
      <c r="AO37" s="1713" t="str">
        <f t="shared" si="35"/>
        <v/>
      </c>
      <c r="AP37" s="1712" t="str">
        <f t="shared" si="37"/>
        <v/>
      </c>
      <c r="AQ37" s="1751" t="str">
        <f t="shared" si="38"/>
        <v/>
      </c>
      <c r="AR37" s="1708" t="str">
        <f t="shared" si="39"/>
        <v/>
      </c>
      <c r="AS37" s="1709" t="str">
        <f t="shared" si="40"/>
        <v/>
      </c>
      <c r="AT37" s="1752" t="str">
        <f t="shared" si="41"/>
        <v/>
      </c>
      <c r="AU37" s="1753" t="str">
        <f t="shared" si="42"/>
        <v/>
      </c>
      <c r="AV37" s="1714" t="str">
        <f t="shared" si="43"/>
        <v/>
      </c>
      <c r="AW37" s="1709" t="str">
        <f t="shared" si="44"/>
        <v/>
      </c>
      <c r="AX37" s="1752" t="str">
        <f t="shared" si="45"/>
        <v/>
      </c>
      <c r="AY37" s="1753" t="str">
        <f t="shared" si="46"/>
        <v/>
      </c>
      <c r="AZ37" s="1714" t="str">
        <f t="shared" si="47"/>
        <v/>
      </c>
      <c r="BA37" s="1709" t="str">
        <f t="shared" si="48"/>
        <v/>
      </c>
      <c r="BB37" s="1752" t="str">
        <f t="shared" si="49"/>
        <v/>
      </c>
      <c r="BC37" s="1753" t="str">
        <f t="shared" si="50"/>
        <v/>
      </c>
      <c r="BD37" s="1714" t="str">
        <f t="shared" si="51"/>
        <v/>
      </c>
      <c r="BE37" s="1709" t="str">
        <f t="shared" si="52"/>
        <v/>
      </c>
      <c r="BF37" s="1752" t="str">
        <f t="shared" si="53"/>
        <v/>
      </c>
      <c r="BG37" s="1753" t="str">
        <f t="shared" si="54"/>
        <v/>
      </c>
      <c r="BH37" s="1416"/>
      <c r="BJ37" s="995" t="str">
        <f t="shared" si="97"/>
        <v/>
      </c>
      <c r="BK37" s="993" t="b">
        <f t="shared" si="55"/>
        <v>0</v>
      </c>
      <c r="BL37" s="989" t="b">
        <v>0</v>
      </c>
      <c r="BM37" s="989">
        <f t="shared" si="56"/>
        <v>0</v>
      </c>
      <c r="BN37" s="989">
        <f t="shared" si="57"/>
        <v>0</v>
      </c>
      <c r="BO37" s="989">
        <f t="shared" si="58"/>
        <v>0</v>
      </c>
      <c r="BP37" s="989">
        <f t="shared" si="59"/>
        <v>0</v>
      </c>
      <c r="BQ37" s="989">
        <f t="shared" si="60"/>
        <v>0</v>
      </c>
      <c r="BR37" s="989" t="b">
        <f t="shared" si="61"/>
        <v>1</v>
      </c>
      <c r="BS37" s="1302">
        <f t="shared" si="62"/>
        <v>6</v>
      </c>
      <c r="BT37" s="990" t="str">
        <f t="shared" si="63"/>
        <v>No</v>
      </c>
      <c r="BU37" s="1302">
        <f t="shared" si="64"/>
        <v>6</v>
      </c>
      <c r="BV37" s="990" t="str">
        <f t="shared" si="65"/>
        <v>No</v>
      </c>
      <c r="BW37" s="991">
        <f t="shared" ca="1" si="66"/>
        <v>0</v>
      </c>
      <c r="BX37" s="991" t="str">
        <f t="shared" ca="1" si="67"/>
        <v/>
      </c>
      <c r="BY37" s="991" t="b">
        <f t="shared" ca="1" si="68"/>
        <v>0</v>
      </c>
      <c r="BZ37" s="991" t="b">
        <f t="shared" si="90"/>
        <v>0</v>
      </c>
      <c r="CB37" s="672"/>
      <c r="CC37" s="1684"/>
      <c r="CD37" s="699"/>
      <c r="CE37" s="700"/>
      <c r="CF37" s="701"/>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725"/>
      <c r="DE37" s="726"/>
      <c r="DF37" s="141"/>
      <c r="DG37" s="141"/>
      <c r="DH37" s="672"/>
      <c r="DI37" s="673"/>
      <c r="DJ37" s="692"/>
      <c r="DK37" s="1331"/>
      <c r="DL37" s="674"/>
      <c r="DM37" s="693"/>
      <c r="DN37" s="1334"/>
      <c r="DO37" s="675"/>
      <c r="DP37" s="676"/>
      <c r="DQ37" s="1419"/>
      <c r="DR37" s="677"/>
      <c r="DS37" s="1419"/>
      <c r="DT37" s="1421"/>
      <c r="DU37" s="1422"/>
      <c r="DV37" s="678"/>
      <c r="DW37" s="1336"/>
      <c r="DX37" s="679"/>
      <c r="DY37" s="674"/>
      <c r="DZ37" s="678"/>
      <c r="EA37" s="1336"/>
      <c r="EB37" s="679"/>
      <c r="EC37" s="674"/>
      <c r="ED37" s="678"/>
      <c r="EE37" s="1336"/>
      <c r="EF37" s="679"/>
      <c r="EG37" s="674"/>
      <c r="EH37" s="678"/>
      <c r="EI37" s="1336"/>
      <c r="EJ37" s="679"/>
      <c r="EK37" s="680"/>
      <c r="EL37" s="241"/>
      <c r="EM37" s="1631" t="str">
        <f t="shared" si="69"/>
        <v/>
      </c>
      <c r="EN37" s="1428" t="str">
        <f t="shared" si="70"/>
        <v/>
      </c>
      <c r="EO37" s="1429" t="str">
        <f t="shared" si="71"/>
        <v/>
      </c>
      <c r="EP37" s="1430" t="str">
        <f t="shared" si="72"/>
        <v/>
      </c>
      <c r="EQ37" s="1434" t="str">
        <f t="shared" si="73"/>
        <v/>
      </c>
      <c r="ER37" s="1440" t="str">
        <f t="shared" si="74"/>
        <v/>
      </c>
      <c r="ES37" s="1441" t="str">
        <f t="shared" si="75"/>
        <v/>
      </c>
      <c r="ET37" s="1442" t="str">
        <f t="shared" si="76"/>
        <v/>
      </c>
      <c r="EU37" s="1443" t="str">
        <f t="shared" si="91"/>
        <v/>
      </c>
      <c r="EX37" s="503" t="str">
        <f t="shared" ca="1" si="92"/>
        <v/>
      </c>
      <c r="EY37" s="940" t="str">
        <f t="shared" si="77"/>
        <v/>
      </c>
      <c r="EZ37" s="940" t="str">
        <f t="shared" si="93"/>
        <v/>
      </c>
      <c r="FA37" s="958" t="str">
        <f t="shared" ca="1" si="98"/>
        <v/>
      </c>
      <c r="FB37" s="134" t="str">
        <f t="shared" ca="1" si="94"/>
        <v/>
      </c>
      <c r="FC37" s="134">
        <f t="shared" ca="1" si="78"/>
        <v>0</v>
      </c>
      <c r="FD37" s="134">
        <f t="shared" ca="1" si="79"/>
        <v>0</v>
      </c>
      <c r="FE37" s="134">
        <f t="shared" ca="1" si="80"/>
        <v>0</v>
      </c>
      <c r="FF37" s="134">
        <f t="shared" ca="1" si="95"/>
        <v>0</v>
      </c>
      <c r="FN37" s="754" t="b">
        <v>0</v>
      </c>
      <c r="FO37" s="754" t="b">
        <f t="shared" si="81"/>
        <v>1</v>
      </c>
      <c r="FP37" s="754" t="b">
        <v>0</v>
      </c>
      <c r="FQ37" s="754" t="b">
        <f t="shared" si="96"/>
        <v>1</v>
      </c>
      <c r="FW37" s="2"/>
      <c r="FX37" s="2"/>
      <c r="FZ37" s="2"/>
      <c r="GA37" s="1761" t="str">
        <f t="shared" si="82"/>
        <v/>
      </c>
      <c r="GB37" s="1762" t="str">
        <f t="shared" si="83"/>
        <v/>
      </c>
      <c r="GC37" s="1763" t="str">
        <f t="shared" si="84"/>
        <v/>
      </c>
      <c r="GD37" s="1764" t="str">
        <f t="shared" si="85"/>
        <v/>
      </c>
      <c r="GE37" s="1765" t="str">
        <f t="shared" si="86"/>
        <v/>
      </c>
      <c r="GF37" s="582" t="str">
        <f t="shared" si="87"/>
        <v/>
      </c>
      <c r="GG37" s="692"/>
      <c r="GH37" s="1135"/>
      <c r="GI37" s="692"/>
      <c r="GJ37" s="1135"/>
      <c r="GK37" s="1640">
        <f t="shared" si="88"/>
        <v>0</v>
      </c>
      <c r="GL37" s="1640" t="e">
        <f t="shared" si="89"/>
        <v>#VALUE!</v>
      </c>
      <c r="GM37" s="1641" t="e">
        <f>IF(ABS(GK37-GL37)&gt;='Job Info.'!$L$22,ABS(GK37-GL37),0)</f>
        <v>#VALUE!</v>
      </c>
      <c r="HA37" s="1241"/>
      <c r="HB37" s="1242"/>
      <c r="HC37" s="1242"/>
      <c r="HD37" s="1243"/>
      <c r="HE37" s="1244"/>
      <c r="HF37" s="1242"/>
      <c r="HG37" s="1242"/>
      <c r="HH37" s="1242"/>
      <c r="HI37" s="1242"/>
      <c r="HJ37" s="1242"/>
      <c r="HK37" s="1242"/>
      <c r="HL37" s="1242"/>
      <c r="HM37" s="1242"/>
      <c r="HN37" s="1242"/>
      <c r="HO37" s="1242"/>
      <c r="HP37" s="1242"/>
      <c r="HQ37" s="1242"/>
      <c r="HR37" s="1242"/>
      <c r="HS37" s="1242"/>
      <c r="HT37" s="1242"/>
      <c r="HU37" s="1242"/>
      <c r="HV37" s="1242"/>
      <c r="HW37" s="1242"/>
      <c r="HX37" s="1242"/>
      <c r="HY37" s="1246"/>
      <c r="HZ37" s="1246"/>
      <c r="IA37" s="1246"/>
      <c r="IB37" s="1246"/>
      <c r="IC37" s="1246"/>
      <c r="ID37" s="1261"/>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99"/>
        <v>0</v>
      </c>
    </row>
    <row r="38" spans="1:272" ht="12.6" customHeight="1" x14ac:dyDescent="0.25">
      <c r="A38" s="1448" t="str">
        <f t="shared" si="0"/>
        <v/>
      </c>
      <c r="B38" s="1681" t="str">
        <f t="shared" si="1"/>
        <v/>
      </c>
      <c r="C38" s="1449" t="str">
        <f t="shared" si="2"/>
        <v/>
      </c>
      <c r="D38" s="1705" t="str">
        <f t="shared" si="3"/>
        <v/>
      </c>
      <c r="E38" s="1706" t="str">
        <f t="shared" si="4"/>
        <v/>
      </c>
      <c r="F38" s="1707" t="str">
        <f t="shared" si="5"/>
        <v/>
      </c>
      <c r="G38" s="1708" t="str">
        <f t="shared" si="6"/>
        <v/>
      </c>
      <c r="H38" s="1709" t="str">
        <f t="shared" si="7"/>
        <v/>
      </c>
      <c r="I38" s="1710" t="str">
        <f t="shared" si="8"/>
        <v/>
      </c>
      <c r="J38" s="1705" t="str">
        <f t="shared" si="9"/>
        <v/>
      </c>
      <c r="K38" s="1709" t="str">
        <f t="shared" si="10"/>
        <v/>
      </c>
      <c r="L38" s="1711" t="str">
        <f t="shared" si="11"/>
        <v/>
      </c>
      <c r="M38" s="1712" t="str">
        <f t="shared" si="12"/>
        <v/>
      </c>
      <c r="N38" s="1713" t="str">
        <f t="shared" si="12"/>
        <v/>
      </c>
      <c r="O38" s="1708" t="str">
        <f t="shared" si="13"/>
        <v/>
      </c>
      <c r="P38" s="1709" t="str">
        <f t="shared" si="14"/>
        <v/>
      </c>
      <c r="Q38" s="1705" t="str">
        <f t="shared" si="15"/>
        <v/>
      </c>
      <c r="R38" s="1706" t="str">
        <f t="shared" si="16"/>
        <v/>
      </c>
      <c r="S38" s="1714" t="str">
        <f t="shared" si="17"/>
        <v/>
      </c>
      <c r="T38" s="1709" t="str">
        <f t="shared" si="18"/>
        <v/>
      </c>
      <c r="U38" s="1705" t="str">
        <f t="shared" si="19"/>
        <v/>
      </c>
      <c r="V38" s="1709" t="str">
        <f t="shared" si="20"/>
        <v/>
      </c>
      <c r="W38" s="1713">
        <f t="shared" si="21"/>
        <v>0</v>
      </c>
      <c r="X38" s="1715" t="str">
        <f t="shared" si="22"/>
        <v/>
      </c>
      <c r="Y38" s="1716" t="str">
        <f t="shared" si="23"/>
        <v/>
      </c>
      <c r="Z38" s="1717" t="str">
        <f t="shared" si="24"/>
        <v/>
      </c>
      <c r="AA38" s="1776" t="str">
        <f t="shared" si="25"/>
        <v/>
      </c>
      <c r="AB38" s="1448" t="str">
        <f t="shared" si="26"/>
        <v/>
      </c>
      <c r="AC38" s="1710" t="str">
        <f t="shared" si="27"/>
        <v/>
      </c>
      <c r="AD38" s="1705" t="str">
        <f t="shared" ca="1" si="28"/>
        <v/>
      </c>
      <c r="AE38" s="1709" t="str">
        <f t="shared" ca="1" si="29"/>
        <v/>
      </c>
      <c r="AF38" s="1710" t="str">
        <f t="shared" ca="1" si="30"/>
        <v/>
      </c>
      <c r="AG38" s="1705" t="str">
        <f t="shared" ca="1" si="31"/>
        <v/>
      </c>
      <c r="AH38" s="1709" t="str">
        <f t="shared" ca="1" si="32"/>
        <v/>
      </c>
      <c r="AI38" s="1705" t="str">
        <f t="shared" ca="1" si="33"/>
        <v/>
      </c>
      <c r="AJ38" s="1709" t="str">
        <f t="shared" ca="1" si="34"/>
        <v/>
      </c>
      <c r="AK38" s="1747" t="str">
        <f t="shared" si="35"/>
        <v/>
      </c>
      <c r="AL38" s="1748" t="str">
        <f t="shared" si="36"/>
        <v/>
      </c>
      <c r="AM38" s="1749" t="str">
        <f t="shared" si="35"/>
        <v/>
      </c>
      <c r="AN38" s="1710" t="str">
        <f t="shared" si="35"/>
        <v/>
      </c>
      <c r="AO38" s="1713" t="str">
        <f t="shared" si="35"/>
        <v/>
      </c>
      <c r="AP38" s="1712" t="str">
        <f t="shared" si="37"/>
        <v/>
      </c>
      <c r="AQ38" s="1751" t="str">
        <f t="shared" si="38"/>
        <v/>
      </c>
      <c r="AR38" s="1708" t="str">
        <f t="shared" si="39"/>
        <v/>
      </c>
      <c r="AS38" s="1709" t="str">
        <f t="shared" si="40"/>
        <v/>
      </c>
      <c r="AT38" s="1752" t="str">
        <f t="shared" si="41"/>
        <v/>
      </c>
      <c r="AU38" s="1753" t="str">
        <f t="shared" si="42"/>
        <v/>
      </c>
      <c r="AV38" s="1714" t="str">
        <f t="shared" si="43"/>
        <v/>
      </c>
      <c r="AW38" s="1709" t="str">
        <f t="shared" si="44"/>
        <v/>
      </c>
      <c r="AX38" s="1752" t="str">
        <f t="shared" si="45"/>
        <v/>
      </c>
      <c r="AY38" s="1753" t="str">
        <f t="shared" si="46"/>
        <v/>
      </c>
      <c r="AZ38" s="1714" t="str">
        <f t="shared" si="47"/>
        <v/>
      </c>
      <c r="BA38" s="1709" t="str">
        <f t="shared" si="48"/>
        <v/>
      </c>
      <c r="BB38" s="1752" t="str">
        <f t="shared" si="49"/>
        <v/>
      </c>
      <c r="BC38" s="1753" t="str">
        <f t="shared" si="50"/>
        <v/>
      </c>
      <c r="BD38" s="1714" t="str">
        <f t="shared" si="51"/>
        <v/>
      </c>
      <c r="BE38" s="1709" t="str">
        <f t="shared" si="52"/>
        <v/>
      </c>
      <c r="BF38" s="1752" t="str">
        <f t="shared" si="53"/>
        <v/>
      </c>
      <c r="BG38" s="1753" t="str">
        <f t="shared" si="54"/>
        <v/>
      </c>
      <c r="BH38" s="1416"/>
      <c r="BJ38" s="995" t="str">
        <f t="shared" si="97"/>
        <v/>
      </c>
      <c r="BK38" s="993" t="b">
        <f t="shared" si="55"/>
        <v>0</v>
      </c>
      <c r="BL38" s="989" t="b">
        <v>0</v>
      </c>
      <c r="BM38" s="989">
        <f t="shared" si="56"/>
        <v>0</v>
      </c>
      <c r="BN38" s="989">
        <f t="shared" si="57"/>
        <v>0</v>
      </c>
      <c r="BO38" s="989">
        <f t="shared" si="58"/>
        <v>0</v>
      </c>
      <c r="BP38" s="989">
        <f t="shared" si="59"/>
        <v>0</v>
      </c>
      <c r="BQ38" s="989">
        <f t="shared" si="60"/>
        <v>0</v>
      </c>
      <c r="BR38" s="989" t="b">
        <f t="shared" si="61"/>
        <v>1</v>
      </c>
      <c r="BS38" s="1302">
        <f t="shared" si="62"/>
        <v>6</v>
      </c>
      <c r="BT38" s="990" t="str">
        <f t="shared" si="63"/>
        <v>No</v>
      </c>
      <c r="BU38" s="1302">
        <f t="shared" si="64"/>
        <v>6</v>
      </c>
      <c r="BV38" s="990" t="str">
        <f t="shared" si="65"/>
        <v>No</v>
      </c>
      <c r="BW38" s="991">
        <f t="shared" ca="1" si="66"/>
        <v>0</v>
      </c>
      <c r="BX38" s="991" t="str">
        <f t="shared" ca="1" si="67"/>
        <v/>
      </c>
      <c r="BY38" s="991" t="b">
        <f t="shared" ca="1" si="68"/>
        <v>0</v>
      </c>
      <c r="BZ38" s="991" t="b">
        <f t="shared" si="90"/>
        <v>0</v>
      </c>
      <c r="CB38" s="672"/>
      <c r="CC38" s="1684"/>
      <c r="CD38" s="699"/>
      <c r="CE38" s="700"/>
      <c r="CF38" s="701"/>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725"/>
      <c r="DE38" s="726"/>
      <c r="DF38" s="141"/>
      <c r="DG38" s="141"/>
      <c r="DH38" s="672"/>
      <c r="DI38" s="673"/>
      <c r="DJ38" s="692"/>
      <c r="DK38" s="1331"/>
      <c r="DL38" s="674"/>
      <c r="DM38" s="693"/>
      <c r="DN38" s="1334"/>
      <c r="DO38" s="675"/>
      <c r="DP38" s="676"/>
      <c r="DQ38" s="1419"/>
      <c r="DR38" s="677"/>
      <c r="DS38" s="1419"/>
      <c r="DT38" s="1421"/>
      <c r="DU38" s="1422"/>
      <c r="DV38" s="678"/>
      <c r="DW38" s="1336"/>
      <c r="DX38" s="679"/>
      <c r="DY38" s="674"/>
      <c r="DZ38" s="678"/>
      <c r="EA38" s="1336"/>
      <c r="EB38" s="679"/>
      <c r="EC38" s="674"/>
      <c r="ED38" s="678"/>
      <c r="EE38" s="1336"/>
      <c r="EF38" s="679"/>
      <c r="EG38" s="674"/>
      <c r="EH38" s="678"/>
      <c r="EI38" s="1336"/>
      <c r="EJ38" s="679"/>
      <c r="EK38" s="680"/>
      <c r="EL38" s="241"/>
      <c r="EM38" s="1631" t="str">
        <f t="shared" si="69"/>
        <v/>
      </c>
      <c r="EN38" s="1428" t="str">
        <f t="shared" si="70"/>
        <v/>
      </c>
      <c r="EO38" s="1429" t="str">
        <f t="shared" si="71"/>
        <v/>
      </c>
      <c r="EP38" s="1430" t="str">
        <f t="shared" si="72"/>
        <v/>
      </c>
      <c r="EQ38" s="1434" t="str">
        <f t="shared" si="73"/>
        <v/>
      </c>
      <c r="ER38" s="1440" t="str">
        <f t="shared" si="74"/>
        <v/>
      </c>
      <c r="ES38" s="1441" t="str">
        <f t="shared" si="75"/>
        <v/>
      </c>
      <c r="ET38" s="1442" t="str">
        <f t="shared" si="76"/>
        <v/>
      </c>
      <c r="EU38" s="1443" t="str">
        <f t="shared" si="91"/>
        <v/>
      </c>
      <c r="EX38" s="503" t="str">
        <f t="shared" ca="1" si="92"/>
        <v/>
      </c>
      <c r="EY38" s="940" t="str">
        <f t="shared" si="77"/>
        <v/>
      </c>
      <c r="EZ38" s="940" t="str">
        <f t="shared" si="93"/>
        <v/>
      </c>
      <c r="FA38" s="958" t="str">
        <f t="shared" ca="1" si="98"/>
        <v/>
      </c>
      <c r="FB38" s="134" t="str">
        <f t="shared" ca="1" si="94"/>
        <v/>
      </c>
      <c r="FC38" s="134">
        <f t="shared" ca="1" si="78"/>
        <v>0</v>
      </c>
      <c r="FD38" s="134">
        <f t="shared" ca="1" si="79"/>
        <v>0</v>
      </c>
      <c r="FE38" s="134">
        <f t="shared" ca="1" si="80"/>
        <v>0</v>
      </c>
      <c r="FF38" s="134">
        <f t="shared" ca="1" si="95"/>
        <v>0</v>
      </c>
      <c r="FN38" s="754" t="b">
        <v>0</v>
      </c>
      <c r="FO38" s="754" t="b">
        <f t="shared" si="81"/>
        <v>1</v>
      </c>
      <c r="FP38" s="754" t="b">
        <v>0</v>
      </c>
      <c r="FQ38" s="754" t="b">
        <f t="shared" si="96"/>
        <v>1</v>
      </c>
      <c r="FW38" s="2"/>
      <c r="FX38" s="2"/>
      <c r="FZ38" s="2"/>
      <c r="GA38" s="1761" t="str">
        <f t="shared" si="82"/>
        <v/>
      </c>
      <c r="GB38" s="1762" t="str">
        <f t="shared" si="83"/>
        <v/>
      </c>
      <c r="GC38" s="1763" t="str">
        <f t="shared" si="84"/>
        <v/>
      </c>
      <c r="GD38" s="1764" t="str">
        <f t="shared" si="85"/>
        <v/>
      </c>
      <c r="GE38" s="1765" t="str">
        <f t="shared" si="86"/>
        <v/>
      </c>
      <c r="GF38" s="582" t="str">
        <f t="shared" si="87"/>
        <v/>
      </c>
      <c r="GG38" s="692"/>
      <c r="GH38" s="1135"/>
      <c r="GI38" s="692"/>
      <c r="GJ38" s="1135"/>
      <c r="GK38" s="1640">
        <f t="shared" si="88"/>
        <v>0</v>
      </c>
      <c r="GL38" s="1640" t="e">
        <f t="shared" si="89"/>
        <v>#VALUE!</v>
      </c>
      <c r="GM38" s="1641" t="e">
        <f>IF(ABS(GK38-GL38)&gt;='Job Info.'!$L$22,ABS(GK38-GL38),0)</f>
        <v>#VALUE!</v>
      </c>
      <c r="HA38" s="1241"/>
      <c r="HB38" s="1242"/>
      <c r="HC38" s="1242"/>
      <c r="HD38" s="1243"/>
      <c r="HE38" s="1244"/>
      <c r="HF38" s="1242"/>
      <c r="HG38" s="1242"/>
      <c r="HH38" s="1242"/>
      <c r="HI38" s="1242"/>
      <c r="HJ38" s="1242"/>
      <c r="HK38" s="1242"/>
      <c r="HL38" s="1242"/>
      <c r="HM38" s="1242"/>
      <c r="HN38" s="1242"/>
      <c r="HO38" s="1242"/>
      <c r="HP38" s="1242"/>
      <c r="HQ38" s="1242"/>
      <c r="HR38" s="1242"/>
      <c r="HS38" s="1242"/>
      <c r="HT38" s="1242"/>
      <c r="HU38" s="1242"/>
      <c r="HV38" s="1242"/>
      <c r="HW38" s="1242"/>
      <c r="HX38" s="1242"/>
      <c r="HY38" s="1246"/>
      <c r="HZ38" s="1246"/>
      <c r="IA38" s="1246"/>
      <c r="IB38" s="1246"/>
      <c r="IC38" s="1246"/>
      <c r="ID38" s="1261"/>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99"/>
        <v>0</v>
      </c>
    </row>
    <row r="39" spans="1:272" ht="12.6" customHeight="1" x14ac:dyDescent="0.25">
      <c r="A39" s="1448" t="str">
        <f t="shared" si="0"/>
        <v/>
      </c>
      <c r="B39" s="1681" t="str">
        <f t="shared" si="1"/>
        <v/>
      </c>
      <c r="C39" s="1449" t="str">
        <f t="shared" si="2"/>
        <v/>
      </c>
      <c r="D39" s="1705" t="str">
        <f t="shared" si="3"/>
        <v/>
      </c>
      <c r="E39" s="1706" t="str">
        <f t="shared" si="4"/>
        <v/>
      </c>
      <c r="F39" s="1707" t="str">
        <f t="shared" si="5"/>
        <v/>
      </c>
      <c r="G39" s="1708" t="str">
        <f t="shared" si="6"/>
        <v/>
      </c>
      <c r="H39" s="1709" t="str">
        <f t="shared" si="7"/>
        <v/>
      </c>
      <c r="I39" s="1710" t="str">
        <f t="shared" si="8"/>
        <v/>
      </c>
      <c r="J39" s="1705" t="str">
        <f t="shared" si="9"/>
        <v/>
      </c>
      <c r="K39" s="1709" t="str">
        <f t="shared" si="10"/>
        <v/>
      </c>
      <c r="L39" s="1711" t="str">
        <f t="shared" si="11"/>
        <v/>
      </c>
      <c r="M39" s="1712" t="str">
        <f t="shared" si="12"/>
        <v/>
      </c>
      <c r="N39" s="1713" t="str">
        <f t="shared" si="12"/>
        <v/>
      </c>
      <c r="O39" s="1708" t="str">
        <f t="shared" si="13"/>
        <v/>
      </c>
      <c r="P39" s="1709" t="str">
        <f t="shared" si="14"/>
        <v/>
      </c>
      <c r="Q39" s="1705" t="str">
        <f t="shared" si="15"/>
        <v/>
      </c>
      <c r="R39" s="1706" t="str">
        <f t="shared" si="16"/>
        <v/>
      </c>
      <c r="S39" s="1714" t="str">
        <f t="shared" si="17"/>
        <v/>
      </c>
      <c r="T39" s="1709" t="str">
        <f t="shared" si="18"/>
        <v/>
      </c>
      <c r="U39" s="1705" t="str">
        <f t="shared" si="19"/>
        <v/>
      </c>
      <c r="V39" s="1709" t="str">
        <f t="shared" si="20"/>
        <v/>
      </c>
      <c r="W39" s="1713">
        <f t="shared" si="21"/>
        <v>0</v>
      </c>
      <c r="X39" s="1715" t="str">
        <f t="shared" si="22"/>
        <v/>
      </c>
      <c r="Y39" s="1716" t="str">
        <f t="shared" si="23"/>
        <v/>
      </c>
      <c r="Z39" s="1717" t="str">
        <f t="shared" si="24"/>
        <v/>
      </c>
      <c r="AA39" s="1776" t="str">
        <f t="shared" si="25"/>
        <v/>
      </c>
      <c r="AB39" s="1448" t="str">
        <f t="shared" si="26"/>
        <v/>
      </c>
      <c r="AC39" s="1710" t="str">
        <f t="shared" si="27"/>
        <v/>
      </c>
      <c r="AD39" s="1705" t="str">
        <f t="shared" ca="1" si="28"/>
        <v/>
      </c>
      <c r="AE39" s="1709" t="str">
        <f t="shared" ca="1" si="29"/>
        <v/>
      </c>
      <c r="AF39" s="1710" t="str">
        <f t="shared" ca="1" si="30"/>
        <v/>
      </c>
      <c r="AG39" s="1705" t="str">
        <f t="shared" ca="1" si="31"/>
        <v/>
      </c>
      <c r="AH39" s="1709" t="str">
        <f t="shared" ca="1" si="32"/>
        <v/>
      </c>
      <c r="AI39" s="1705" t="str">
        <f t="shared" ca="1" si="33"/>
        <v/>
      </c>
      <c r="AJ39" s="1709" t="str">
        <f t="shared" ca="1" si="34"/>
        <v/>
      </c>
      <c r="AK39" s="1747" t="str">
        <f t="shared" si="35"/>
        <v/>
      </c>
      <c r="AL39" s="1748" t="str">
        <f t="shared" si="36"/>
        <v/>
      </c>
      <c r="AM39" s="1749" t="str">
        <f t="shared" si="35"/>
        <v/>
      </c>
      <c r="AN39" s="1710" t="str">
        <f t="shared" si="35"/>
        <v/>
      </c>
      <c r="AO39" s="1713" t="str">
        <f t="shared" si="35"/>
        <v/>
      </c>
      <c r="AP39" s="1712" t="str">
        <f t="shared" si="37"/>
        <v/>
      </c>
      <c r="AQ39" s="1751" t="str">
        <f t="shared" si="38"/>
        <v/>
      </c>
      <c r="AR39" s="1708" t="str">
        <f t="shared" si="39"/>
        <v/>
      </c>
      <c r="AS39" s="1709" t="str">
        <f t="shared" si="40"/>
        <v/>
      </c>
      <c r="AT39" s="1752" t="str">
        <f t="shared" si="41"/>
        <v/>
      </c>
      <c r="AU39" s="1753" t="str">
        <f t="shared" si="42"/>
        <v/>
      </c>
      <c r="AV39" s="1714" t="str">
        <f t="shared" si="43"/>
        <v/>
      </c>
      <c r="AW39" s="1709" t="str">
        <f t="shared" si="44"/>
        <v/>
      </c>
      <c r="AX39" s="1752" t="str">
        <f t="shared" si="45"/>
        <v/>
      </c>
      <c r="AY39" s="1753" t="str">
        <f t="shared" si="46"/>
        <v/>
      </c>
      <c r="AZ39" s="1714" t="str">
        <f t="shared" si="47"/>
        <v/>
      </c>
      <c r="BA39" s="1709" t="str">
        <f t="shared" si="48"/>
        <v/>
      </c>
      <c r="BB39" s="1752" t="str">
        <f t="shared" si="49"/>
        <v/>
      </c>
      <c r="BC39" s="1753" t="str">
        <f t="shared" si="50"/>
        <v/>
      </c>
      <c r="BD39" s="1714" t="str">
        <f t="shared" si="51"/>
        <v/>
      </c>
      <c r="BE39" s="1709" t="str">
        <f t="shared" si="52"/>
        <v/>
      </c>
      <c r="BF39" s="1752" t="str">
        <f t="shared" si="53"/>
        <v/>
      </c>
      <c r="BG39" s="1753" t="str">
        <f t="shared" si="54"/>
        <v/>
      </c>
      <c r="BH39" s="1416"/>
      <c r="BJ39" s="995" t="str">
        <f t="shared" si="97"/>
        <v/>
      </c>
      <c r="BK39" s="993" t="b">
        <f t="shared" si="55"/>
        <v>0</v>
      </c>
      <c r="BL39" s="989" t="b">
        <v>0</v>
      </c>
      <c r="BM39" s="989">
        <f t="shared" si="56"/>
        <v>0</v>
      </c>
      <c r="BN39" s="989">
        <f t="shared" si="57"/>
        <v>0</v>
      </c>
      <c r="BO39" s="989">
        <f t="shared" si="58"/>
        <v>0</v>
      </c>
      <c r="BP39" s="989">
        <f t="shared" si="59"/>
        <v>0</v>
      </c>
      <c r="BQ39" s="989">
        <f t="shared" si="60"/>
        <v>0</v>
      </c>
      <c r="BR39" s="989" t="b">
        <f t="shared" si="61"/>
        <v>1</v>
      </c>
      <c r="BS39" s="1302">
        <f t="shared" si="62"/>
        <v>6</v>
      </c>
      <c r="BT39" s="990" t="str">
        <f t="shared" si="63"/>
        <v>No</v>
      </c>
      <c r="BU39" s="1302">
        <f t="shared" si="64"/>
        <v>6</v>
      </c>
      <c r="BV39" s="990" t="str">
        <f t="shared" si="65"/>
        <v>No</v>
      </c>
      <c r="BW39" s="991">
        <f t="shared" ca="1" si="66"/>
        <v>0</v>
      </c>
      <c r="BX39" s="991" t="str">
        <f t="shared" ca="1" si="67"/>
        <v/>
      </c>
      <c r="BY39" s="991" t="b">
        <f t="shared" ca="1" si="68"/>
        <v>0</v>
      </c>
      <c r="BZ39" s="991" t="b">
        <f t="shared" si="90"/>
        <v>0</v>
      </c>
      <c r="CB39" s="672"/>
      <c r="CC39" s="1684"/>
      <c r="CD39" s="699"/>
      <c r="CE39" s="700"/>
      <c r="CF39" s="701"/>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725"/>
      <c r="DE39" s="726"/>
      <c r="DF39" s="141"/>
      <c r="DG39" s="141"/>
      <c r="DH39" s="672"/>
      <c r="DI39" s="673"/>
      <c r="DJ39" s="692"/>
      <c r="DK39" s="1331"/>
      <c r="DL39" s="674"/>
      <c r="DM39" s="693"/>
      <c r="DN39" s="1334"/>
      <c r="DO39" s="675"/>
      <c r="DP39" s="676"/>
      <c r="DQ39" s="1419"/>
      <c r="DR39" s="677"/>
      <c r="DS39" s="1419"/>
      <c r="DT39" s="1421"/>
      <c r="DU39" s="1422"/>
      <c r="DV39" s="678"/>
      <c r="DW39" s="1336"/>
      <c r="DX39" s="679"/>
      <c r="DY39" s="674"/>
      <c r="DZ39" s="678"/>
      <c r="EA39" s="1336"/>
      <c r="EB39" s="679"/>
      <c r="EC39" s="674"/>
      <c r="ED39" s="678"/>
      <c r="EE39" s="1336"/>
      <c r="EF39" s="679"/>
      <c r="EG39" s="674"/>
      <c r="EH39" s="678"/>
      <c r="EI39" s="1336"/>
      <c r="EJ39" s="679"/>
      <c r="EK39" s="680"/>
      <c r="EL39" s="241"/>
      <c r="EM39" s="1631" t="str">
        <f t="shared" si="69"/>
        <v/>
      </c>
      <c r="EN39" s="1428" t="str">
        <f t="shared" si="70"/>
        <v/>
      </c>
      <c r="EO39" s="1429" t="str">
        <f t="shared" si="71"/>
        <v/>
      </c>
      <c r="EP39" s="1430" t="str">
        <f t="shared" si="72"/>
        <v/>
      </c>
      <c r="EQ39" s="1434" t="str">
        <f t="shared" si="73"/>
        <v/>
      </c>
      <c r="ER39" s="1440" t="str">
        <f t="shared" si="74"/>
        <v/>
      </c>
      <c r="ES39" s="1441" t="str">
        <f t="shared" si="75"/>
        <v/>
      </c>
      <c r="ET39" s="1442" t="str">
        <f t="shared" si="76"/>
        <v/>
      </c>
      <c r="EU39" s="1443" t="str">
        <f t="shared" si="91"/>
        <v/>
      </c>
      <c r="EX39" s="503" t="str">
        <f t="shared" ca="1" si="92"/>
        <v/>
      </c>
      <c r="EY39" s="940" t="str">
        <f t="shared" si="77"/>
        <v/>
      </c>
      <c r="EZ39" s="940" t="str">
        <f t="shared" si="93"/>
        <v/>
      </c>
      <c r="FA39" s="958" t="str">
        <f t="shared" ca="1" si="98"/>
        <v/>
      </c>
      <c r="FB39" s="134" t="str">
        <f t="shared" ca="1" si="94"/>
        <v/>
      </c>
      <c r="FC39" s="134">
        <f t="shared" ca="1" si="78"/>
        <v>0</v>
      </c>
      <c r="FD39" s="134">
        <f t="shared" ca="1" si="79"/>
        <v>0</v>
      </c>
      <c r="FE39" s="134">
        <f t="shared" ca="1" si="80"/>
        <v>0</v>
      </c>
      <c r="FF39" s="134">
        <f t="shared" ca="1" si="95"/>
        <v>0</v>
      </c>
      <c r="FN39" s="754" t="b">
        <v>0</v>
      </c>
      <c r="FO39" s="754" t="b">
        <f t="shared" si="81"/>
        <v>1</v>
      </c>
      <c r="FP39" s="754" t="b">
        <v>0</v>
      </c>
      <c r="FQ39" s="754" t="b">
        <f t="shared" si="96"/>
        <v>1</v>
      </c>
      <c r="FW39" s="2"/>
      <c r="FX39" s="2"/>
      <c r="FZ39" s="2"/>
      <c r="GA39" s="1761" t="str">
        <f t="shared" si="82"/>
        <v/>
      </c>
      <c r="GB39" s="1762" t="str">
        <f t="shared" si="83"/>
        <v/>
      </c>
      <c r="GC39" s="1763" t="str">
        <f t="shared" si="84"/>
        <v/>
      </c>
      <c r="GD39" s="1764" t="str">
        <f t="shared" si="85"/>
        <v/>
      </c>
      <c r="GE39" s="1765" t="str">
        <f t="shared" si="86"/>
        <v/>
      </c>
      <c r="GF39" s="582" t="str">
        <f t="shared" si="87"/>
        <v/>
      </c>
      <c r="GG39" s="692"/>
      <c r="GH39" s="1135"/>
      <c r="GI39" s="692"/>
      <c r="GJ39" s="1135"/>
      <c r="GK39" s="1640">
        <f t="shared" si="88"/>
        <v>0</v>
      </c>
      <c r="GL39" s="1640" t="e">
        <f t="shared" si="89"/>
        <v>#VALUE!</v>
      </c>
      <c r="GM39" s="1641" t="e">
        <f>IF(ABS(GK39-GL39)&gt;='Job Info.'!$L$22,ABS(GK39-GL39),0)</f>
        <v>#VALUE!</v>
      </c>
      <c r="HA39" s="1241"/>
      <c r="HB39" s="1242"/>
      <c r="HC39" s="1242"/>
      <c r="HD39" s="1243"/>
      <c r="HE39" s="1244"/>
      <c r="HF39" s="1242"/>
      <c r="HG39" s="1242"/>
      <c r="HH39" s="1242"/>
      <c r="HI39" s="1242"/>
      <c r="HJ39" s="1242"/>
      <c r="HK39" s="1242"/>
      <c r="HL39" s="1242"/>
      <c r="HM39" s="1242"/>
      <c r="HN39" s="1242"/>
      <c r="HO39" s="1242"/>
      <c r="HP39" s="1242"/>
      <c r="HQ39" s="1242"/>
      <c r="HR39" s="1242"/>
      <c r="HS39" s="1242"/>
      <c r="HT39" s="1242"/>
      <c r="HU39" s="1242"/>
      <c r="HV39" s="1242"/>
      <c r="HW39" s="1242"/>
      <c r="HX39" s="1242"/>
      <c r="HY39" s="1246"/>
      <c r="HZ39" s="1246"/>
      <c r="IA39" s="1246"/>
      <c r="IB39" s="1246"/>
      <c r="IC39" s="1246"/>
      <c r="ID39" s="1261"/>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99"/>
        <v>0</v>
      </c>
    </row>
    <row r="40" spans="1:272" ht="12.6" customHeight="1" x14ac:dyDescent="0.25">
      <c r="A40" s="1448" t="str">
        <f t="shared" si="0"/>
        <v/>
      </c>
      <c r="B40" s="1681" t="str">
        <f t="shared" si="1"/>
        <v/>
      </c>
      <c r="C40" s="1449" t="str">
        <f t="shared" si="2"/>
        <v/>
      </c>
      <c r="D40" s="1705" t="str">
        <f t="shared" si="3"/>
        <v/>
      </c>
      <c r="E40" s="1706" t="str">
        <f t="shared" si="4"/>
        <v/>
      </c>
      <c r="F40" s="1707" t="str">
        <f t="shared" si="5"/>
        <v/>
      </c>
      <c r="G40" s="1708" t="str">
        <f t="shared" si="6"/>
        <v/>
      </c>
      <c r="H40" s="1709" t="str">
        <f t="shared" si="7"/>
        <v/>
      </c>
      <c r="I40" s="1710" t="str">
        <f t="shared" si="8"/>
        <v/>
      </c>
      <c r="J40" s="1705" t="str">
        <f t="shared" si="9"/>
        <v/>
      </c>
      <c r="K40" s="1709" t="str">
        <f t="shared" si="10"/>
        <v/>
      </c>
      <c r="L40" s="1711" t="str">
        <f t="shared" si="11"/>
        <v/>
      </c>
      <c r="M40" s="1712" t="str">
        <f t="shared" si="12"/>
        <v/>
      </c>
      <c r="N40" s="1713" t="str">
        <f t="shared" si="12"/>
        <v/>
      </c>
      <c r="O40" s="1708" t="str">
        <f t="shared" si="13"/>
        <v/>
      </c>
      <c r="P40" s="1709" t="str">
        <f t="shared" si="14"/>
        <v/>
      </c>
      <c r="Q40" s="1705" t="str">
        <f t="shared" si="15"/>
        <v/>
      </c>
      <c r="R40" s="1706" t="str">
        <f t="shared" si="16"/>
        <v/>
      </c>
      <c r="S40" s="1714" t="str">
        <f t="shared" si="17"/>
        <v/>
      </c>
      <c r="T40" s="1709" t="str">
        <f t="shared" si="18"/>
        <v/>
      </c>
      <c r="U40" s="1705" t="str">
        <f t="shared" si="19"/>
        <v/>
      </c>
      <c r="V40" s="1709" t="str">
        <f t="shared" si="20"/>
        <v/>
      </c>
      <c r="W40" s="1713">
        <f t="shared" si="21"/>
        <v>0</v>
      </c>
      <c r="X40" s="1715" t="str">
        <f t="shared" si="22"/>
        <v/>
      </c>
      <c r="Y40" s="1716" t="str">
        <f t="shared" si="23"/>
        <v/>
      </c>
      <c r="Z40" s="1717" t="str">
        <f t="shared" si="24"/>
        <v/>
      </c>
      <c r="AA40" s="1776" t="str">
        <f t="shared" si="25"/>
        <v/>
      </c>
      <c r="AB40" s="1448" t="str">
        <f t="shared" si="26"/>
        <v/>
      </c>
      <c r="AC40" s="1710" t="str">
        <f t="shared" si="27"/>
        <v/>
      </c>
      <c r="AD40" s="1705" t="str">
        <f t="shared" ca="1" si="28"/>
        <v/>
      </c>
      <c r="AE40" s="1709" t="str">
        <f t="shared" ca="1" si="29"/>
        <v/>
      </c>
      <c r="AF40" s="1710" t="str">
        <f t="shared" ca="1" si="30"/>
        <v/>
      </c>
      <c r="AG40" s="1705" t="str">
        <f t="shared" ca="1" si="31"/>
        <v/>
      </c>
      <c r="AH40" s="1709" t="str">
        <f t="shared" ca="1" si="32"/>
        <v/>
      </c>
      <c r="AI40" s="1705" t="str">
        <f t="shared" ca="1" si="33"/>
        <v/>
      </c>
      <c r="AJ40" s="1709" t="str">
        <f t="shared" ca="1" si="34"/>
        <v/>
      </c>
      <c r="AK40" s="1747" t="str">
        <f t="shared" si="35"/>
        <v/>
      </c>
      <c r="AL40" s="1748" t="str">
        <f t="shared" si="36"/>
        <v/>
      </c>
      <c r="AM40" s="1749" t="str">
        <f t="shared" si="35"/>
        <v/>
      </c>
      <c r="AN40" s="1710" t="str">
        <f t="shared" si="35"/>
        <v/>
      </c>
      <c r="AO40" s="1713" t="str">
        <f t="shared" si="35"/>
        <v/>
      </c>
      <c r="AP40" s="1712" t="str">
        <f t="shared" si="37"/>
        <v/>
      </c>
      <c r="AQ40" s="1751" t="str">
        <f t="shared" si="38"/>
        <v/>
      </c>
      <c r="AR40" s="1708" t="str">
        <f t="shared" si="39"/>
        <v/>
      </c>
      <c r="AS40" s="1709" t="str">
        <f t="shared" si="40"/>
        <v/>
      </c>
      <c r="AT40" s="1752" t="str">
        <f t="shared" si="41"/>
        <v/>
      </c>
      <c r="AU40" s="1753" t="str">
        <f t="shared" si="42"/>
        <v/>
      </c>
      <c r="AV40" s="1714" t="str">
        <f t="shared" si="43"/>
        <v/>
      </c>
      <c r="AW40" s="1709" t="str">
        <f t="shared" si="44"/>
        <v/>
      </c>
      <c r="AX40" s="1752" t="str">
        <f t="shared" si="45"/>
        <v/>
      </c>
      <c r="AY40" s="1753" t="str">
        <f t="shared" si="46"/>
        <v/>
      </c>
      <c r="AZ40" s="1714" t="str">
        <f t="shared" si="47"/>
        <v/>
      </c>
      <c r="BA40" s="1709" t="str">
        <f t="shared" si="48"/>
        <v/>
      </c>
      <c r="BB40" s="1752" t="str">
        <f t="shared" si="49"/>
        <v/>
      </c>
      <c r="BC40" s="1753" t="str">
        <f t="shared" si="50"/>
        <v/>
      </c>
      <c r="BD40" s="1714" t="str">
        <f t="shared" si="51"/>
        <v/>
      </c>
      <c r="BE40" s="1709" t="str">
        <f t="shared" si="52"/>
        <v/>
      </c>
      <c r="BF40" s="1752" t="str">
        <f t="shared" si="53"/>
        <v/>
      </c>
      <c r="BG40" s="1753" t="str">
        <f t="shared" si="54"/>
        <v/>
      </c>
      <c r="BH40" s="1416"/>
      <c r="BJ40" s="995" t="str">
        <f t="shared" si="97"/>
        <v/>
      </c>
      <c r="BK40" s="993" t="b">
        <f t="shared" si="55"/>
        <v>0</v>
      </c>
      <c r="BL40" s="989" t="b">
        <v>0</v>
      </c>
      <c r="BM40" s="989">
        <f t="shared" si="56"/>
        <v>0</v>
      </c>
      <c r="BN40" s="989">
        <f t="shared" si="57"/>
        <v>0</v>
      </c>
      <c r="BO40" s="989">
        <f t="shared" si="58"/>
        <v>0</v>
      </c>
      <c r="BP40" s="989">
        <f t="shared" si="59"/>
        <v>0</v>
      </c>
      <c r="BQ40" s="989">
        <f t="shared" si="60"/>
        <v>0</v>
      </c>
      <c r="BR40" s="989" t="b">
        <f t="shared" si="61"/>
        <v>1</v>
      </c>
      <c r="BS40" s="1302">
        <f t="shared" si="62"/>
        <v>6</v>
      </c>
      <c r="BT40" s="990" t="str">
        <f t="shared" si="63"/>
        <v>No</v>
      </c>
      <c r="BU40" s="1302">
        <f t="shared" si="64"/>
        <v>6</v>
      </c>
      <c r="BV40" s="990" t="str">
        <f t="shared" si="65"/>
        <v>No</v>
      </c>
      <c r="BW40" s="991">
        <f t="shared" ca="1" si="66"/>
        <v>0</v>
      </c>
      <c r="BX40" s="991" t="str">
        <f t="shared" ca="1" si="67"/>
        <v/>
      </c>
      <c r="BY40" s="991" t="b">
        <f t="shared" ca="1" si="68"/>
        <v>0</v>
      </c>
      <c r="BZ40" s="991" t="b">
        <f t="shared" si="90"/>
        <v>0</v>
      </c>
      <c r="CB40" s="672"/>
      <c r="CC40" s="1684"/>
      <c r="CD40" s="699"/>
      <c r="CE40" s="700"/>
      <c r="CF40" s="701"/>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725"/>
      <c r="DE40" s="726"/>
      <c r="DF40" s="141"/>
      <c r="DG40" s="141"/>
      <c r="DH40" s="672"/>
      <c r="DI40" s="673"/>
      <c r="DJ40" s="692"/>
      <c r="DK40" s="1331"/>
      <c r="DL40" s="674"/>
      <c r="DM40" s="693"/>
      <c r="DN40" s="1334"/>
      <c r="DO40" s="675"/>
      <c r="DP40" s="676"/>
      <c r="DQ40" s="1419"/>
      <c r="DR40" s="677"/>
      <c r="DS40" s="1419"/>
      <c r="DT40" s="1421"/>
      <c r="DU40" s="1422"/>
      <c r="DV40" s="678"/>
      <c r="DW40" s="1336"/>
      <c r="DX40" s="679"/>
      <c r="DY40" s="674"/>
      <c r="DZ40" s="678"/>
      <c r="EA40" s="1336"/>
      <c r="EB40" s="679"/>
      <c r="EC40" s="674"/>
      <c r="ED40" s="678"/>
      <c r="EE40" s="1336"/>
      <c r="EF40" s="679"/>
      <c r="EG40" s="674"/>
      <c r="EH40" s="678"/>
      <c r="EI40" s="1336"/>
      <c r="EJ40" s="679"/>
      <c r="EK40" s="680"/>
      <c r="EL40" s="241"/>
      <c r="EM40" s="1631" t="str">
        <f t="shared" si="69"/>
        <v/>
      </c>
      <c r="EN40" s="1428" t="str">
        <f t="shared" si="70"/>
        <v/>
      </c>
      <c r="EO40" s="1429" t="str">
        <f t="shared" si="71"/>
        <v/>
      </c>
      <c r="EP40" s="1430" t="str">
        <f t="shared" si="72"/>
        <v/>
      </c>
      <c r="EQ40" s="1434" t="str">
        <f t="shared" si="73"/>
        <v/>
      </c>
      <c r="ER40" s="1440" t="str">
        <f t="shared" si="74"/>
        <v/>
      </c>
      <c r="ES40" s="1441" t="str">
        <f t="shared" si="75"/>
        <v/>
      </c>
      <c r="ET40" s="1442" t="str">
        <f t="shared" si="76"/>
        <v/>
      </c>
      <c r="EU40" s="1443" t="str">
        <f t="shared" si="91"/>
        <v/>
      </c>
      <c r="EX40" s="503" t="str">
        <f t="shared" ca="1" si="92"/>
        <v/>
      </c>
      <c r="EY40" s="940" t="str">
        <f t="shared" si="77"/>
        <v/>
      </c>
      <c r="EZ40" s="940" t="str">
        <f t="shared" si="93"/>
        <v/>
      </c>
      <c r="FA40" s="958" t="str">
        <f t="shared" ca="1" si="98"/>
        <v/>
      </c>
      <c r="FB40" s="134" t="str">
        <f t="shared" ca="1" si="94"/>
        <v/>
      </c>
      <c r="FC40" s="134">
        <f t="shared" ca="1" si="78"/>
        <v>0</v>
      </c>
      <c r="FD40" s="134">
        <f t="shared" ca="1" si="79"/>
        <v>0</v>
      </c>
      <c r="FE40" s="134">
        <f t="shared" ca="1" si="80"/>
        <v>0</v>
      </c>
      <c r="FF40" s="134">
        <f t="shared" ca="1" si="95"/>
        <v>0</v>
      </c>
      <c r="FN40" s="754" t="b">
        <v>0</v>
      </c>
      <c r="FO40" s="754" t="b">
        <f t="shared" si="81"/>
        <v>1</v>
      </c>
      <c r="FP40" s="754" t="b">
        <v>0</v>
      </c>
      <c r="FQ40" s="754" t="b">
        <f t="shared" si="96"/>
        <v>1</v>
      </c>
      <c r="FW40" s="2"/>
      <c r="FX40" s="2"/>
      <c r="FZ40" s="2"/>
      <c r="GA40" s="1761" t="str">
        <f t="shared" si="82"/>
        <v/>
      </c>
      <c r="GB40" s="1762" t="str">
        <f t="shared" si="83"/>
        <v/>
      </c>
      <c r="GC40" s="1763" t="str">
        <f t="shared" si="84"/>
        <v/>
      </c>
      <c r="GD40" s="1764" t="str">
        <f t="shared" si="85"/>
        <v/>
      </c>
      <c r="GE40" s="1765" t="str">
        <f t="shared" si="86"/>
        <v/>
      </c>
      <c r="GF40" s="582" t="str">
        <f t="shared" si="87"/>
        <v/>
      </c>
      <c r="GG40" s="692"/>
      <c r="GH40" s="1135"/>
      <c r="GI40" s="692"/>
      <c r="GJ40" s="1135"/>
      <c r="GK40" s="1640">
        <f t="shared" si="88"/>
        <v>0</v>
      </c>
      <c r="GL40" s="1640" t="e">
        <f t="shared" si="89"/>
        <v>#VALUE!</v>
      </c>
      <c r="GM40" s="1641" t="e">
        <f>IF(ABS(GK40-GL40)&gt;='Job Info.'!$L$22,ABS(GK40-GL40),0)</f>
        <v>#VALUE!</v>
      </c>
      <c r="HA40" s="1241"/>
      <c r="HB40" s="1242"/>
      <c r="HC40" s="1242"/>
      <c r="HD40" s="1243"/>
      <c r="HE40" s="1244"/>
      <c r="HF40" s="1242"/>
      <c r="HG40" s="1242"/>
      <c r="HH40" s="1242"/>
      <c r="HI40" s="1242"/>
      <c r="HJ40" s="1242"/>
      <c r="HK40" s="1242"/>
      <c r="HL40" s="1242"/>
      <c r="HM40" s="1242"/>
      <c r="HN40" s="1242"/>
      <c r="HO40" s="1242"/>
      <c r="HP40" s="1242"/>
      <c r="HQ40" s="1242"/>
      <c r="HR40" s="1242"/>
      <c r="HS40" s="1242"/>
      <c r="HT40" s="1242"/>
      <c r="HU40" s="1242"/>
      <c r="HV40" s="1242"/>
      <c r="HW40" s="1242"/>
      <c r="HX40" s="1242"/>
      <c r="HY40" s="1246"/>
      <c r="HZ40" s="1246"/>
      <c r="IA40" s="1246"/>
      <c r="IB40" s="1246"/>
      <c r="IC40" s="1246"/>
      <c r="ID40" s="1261"/>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99"/>
        <v>0</v>
      </c>
    </row>
    <row r="41" spans="1:272" ht="12.6" customHeight="1" x14ac:dyDescent="0.25">
      <c r="A41" s="1448" t="str">
        <f t="shared" si="0"/>
        <v/>
      </c>
      <c r="B41" s="1681" t="str">
        <f t="shared" si="1"/>
        <v/>
      </c>
      <c r="C41" s="1449" t="str">
        <f t="shared" si="2"/>
        <v/>
      </c>
      <c r="D41" s="1705" t="str">
        <f t="shared" si="3"/>
        <v/>
      </c>
      <c r="E41" s="1706" t="str">
        <f t="shared" si="4"/>
        <v/>
      </c>
      <c r="F41" s="1707" t="str">
        <f t="shared" si="5"/>
        <v/>
      </c>
      <c r="G41" s="1708" t="str">
        <f t="shared" si="6"/>
        <v/>
      </c>
      <c r="H41" s="1709" t="str">
        <f t="shared" si="7"/>
        <v/>
      </c>
      <c r="I41" s="1710" t="str">
        <f t="shared" si="8"/>
        <v/>
      </c>
      <c r="J41" s="1705" t="str">
        <f t="shared" si="9"/>
        <v/>
      </c>
      <c r="K41" s="1709" t="str">
        <f t="shared" si="10"/>
        <v/>
      </c>
      <c r="L41" s="1711" t="str">
        <f t="shared" si="11"/>
        <v/>
      </c>
      <c r="M41" s="1712" t="str">
        <f t="shared" si="12"/>
        <v/>
      </c>
      <c r="N41" s="1713" t="str">
        <f t="shared" si="12"/>
        <v/>
      </c>
      <c r="O41" s="1708" t="str">
        <f t="shared" si="13"/>
        <v/>
      </c>
      <c r="P41" s="1709" t="str">
        <f t="shared" si="14"/>
        <v/>
      </c>
      <c r="Q41" s="1705" t="str">
        <f t="shared" si="15"/>
        <v/>
      </c>
      <c r="R41" s="1706" t="str">
        <f t="shared" si="16"/>
        <v/>
      </c>
      <c r="S41" s="1714" t="str">
        <f t="shared" si="17"/>
        <v/>
      </c>
      <c r="T41" s="1709" t="str">
        <f t="shared" si="18"/>
        <v/>
      </c>
      <c r="U41" s="1705" t="str">
        <f t="shared" si="19"/>
        <v/>
      </c>
      <c r="V41" s="1709" t="str">
        <f t="shared" si="20"/>
        <v/>
      </c>
      <c r="W41" s="1713">
        <f t="shared" si="21"/>
        <v>0</v>
      </c>
      <c r="X41" s="1715" t="str">
        <f t="shared" si="22"/>
        <v/>
      </c>
      <c r="Y41" s="1716" t="str">
        <f t="shared" si="23"/>
        <v/>
      </c>
      <c r="Z41" s="1717" t="str">
        <f t="shared" si="24"/>
        <v/>
      </c>
      <c r="AA41" s="1776" t="str">
        <f t="shared" si="25"/>
        <v/>
      </c>
      <c r="AB41" s="1448" t="str">
        <f t="shared" si="26"/>
        <v/>
      </c>
      <c r="AC41" s="1710" t="str">
        <f t="shared" si="27"/>
        <v/>
      </c>
      <c r="AD41" s="1705" t="str">
        <f t="shared" ca="1" si="28"/>
        <v/>
      </c>
      <c r="AE41" s="1709" t="str">
        <f t="shared" ca="1" si="29"/>
        <v/>
      </c>
      <c r="AF41" s="1710" t="str">
        <f t="shared" ca="1" si="30"/>
        <v/>
      </c>
      <c r="AG41" s="1705" t="str">
        <f t="shared" ca="1" si="31"/>
        <v/>
      </c>
      <c r="AH41" s="1709" t="str">
        <f t="shared" ca="1" si="32"/>
        <v/>
      </c>
      <c r="AI41" s="1705" t="str">
        <f t="shared" ca="1" si="33"/>
        <v/>
      </c>
      <c r="AJ41" s="1709" t="str">
        <f t="shared" ca="1" si="34"/>
        <v/>
      </c>
      <c r="AK41" s="1747" t="str">
        <f t="shared" si="35"/>
        <v/>
      </c>
      <c r="AL41" s="1748" t="str">
        <f t="shared" si="36"/>
        <v/>
      </c>
      <c r="AM41" s="1749" t="str">
        <f t="shared" si="35"/>
        <v/>
      </c>
      <c r="AN41" s="1710" t="str">
        <f t="shared" si="35"/>
        <v/>
      </c>
      <c r="AO41" s="1713" t="str">
        <f t="shared" si="35"/>
        <v/>
      </c>
      <c r="AP41" s="1712" t="str">
        <f t="shared" si="37"/>
        <v/>
      </c>
      <c r="AQ41" s="1751" t="str">
        <f t="shared" si="38"/>
        <v/>
      </c>
      <c r="AR41" s="1708" t="str">
        <f t="shared" si="39"/>
        <v/>
      </c>
      <c r="AS41" s="1709" t="str">
        <f t="shared" si="40"/>
        <v/>
      </c>
      <c r="AT41" s="1752" t="str">
        <f t="shared" si="41"/>
        <v/>
      </c>
      <c r="AU41" s="1753" t="str">
        <f t="shared" si="42"/>
        <v/>
      </c>
      <c r="AV41" s="1714" t="str">
        <f t="shared" si="43"/>
        <v/>
      </c>
      <c r="AW41" s="1709" t="str">
        <f t="shared" si="44"/>
        <v/>
      </c>
      <c r="AX41" s="1752" t="str">
        <f t="shared" si="45"/>
        <v/>
      </c>
      <c r="AY41" s="1753" t="str">
        <f t="shared" si="46"/>
        <v/>
      </c>
      <c r="AZ41" s="1714" t="str">
        <f t="shared" si="47"/>
        <v/>
      </c>
      <c r="BA41" s="1709" t="str">
        <f t="shared" si="48"/>
        <v/>
      </c>
      <c r="BB41" s="1752" t="str">
        <f t="shared" si="49"/>
        <v/>
      </c>
      <c r="BC41" s="1753" t="str">
        <f t="shared" si="50"/>
        <v/>
      </c>
      <c r="BD41" s="1714" t="str">
        <f t="shared" si="51"/>
        <v/>
      </c>
      <c r="BE41" s="1709" t="str">
        <f t="shared" si="52"/>
        <v/>
      </c>
      <c r="BF41" s="1752" t="str">
        <f t="shared" si="53"/>
        <v/>
      </c>
      <c r="BG41" s="1753" t="str">
        <f t="shared" si="54"/>
        <v/>
      </c>
      <c r="BH41" s="1416"/>
      <c r="BJ41" s="995" t="str">
        <f t="shared" si="97"/>
        <v/>
      </c>
      <c r="BK41" s="993" t="b">
        <f t="shared" si="55"/>
        <v>0</v>
      </c>
      <c r="BL41" s="989" t="b">
        <v>0</v>
      </c>
      <c r="BM41" s="989">
        <f t="shared" si="56"/>
        <v>0</v>
      </c>
      <c r="BN41" s="989">
        <f t="shared" si="57"/>
        <v>0</v>
      </c>
      <c r="BO41" s="989">
        <f t="shared" si="58"/>
        <v>0</v>
      </c>
      <c r="BP41" s="989">
        <f t="shared" si="59"/>
        <v>0</v>
      </c>
      <c r="BQ41" s="989">
        <f t="shared" si="60"/>
        <v>0</v>
      </c>
      <c r="BR41" s="989" t="b">
        <f t="shared" si="61"/>
        <v>1</v>
      </c>
      <c r="BS41" s="1302">
        <f t="shared" si="62"/>
        <v>6</v>
      </c>
      <c r="BT41" s="990" t="str">
        <f t="shared" si="63"/>
        <v>No</v>
      </c>
      <c r="BU41" s="1302">
        <f t="shared" si="64"/>
        <v>6</v>
      </c>
      <c r="BV41" s="990" t="str">
        <f t="shared" si="65"/>
        <v>No</v>
      </c>
      <c r="BW41" s="991">
        <f t="shared" ca="1" si="66"/>
        <v>0</v>
      </c>
      <c r="BX41" s="991" t="str">
        <f t="shared" ca="1" si="67"/>
        <v/>
      </c>
      <c r="BY41" s="991" t="b">
        <f t="shared" ca="1" si="68"/>
        <v>0</v>
      </c>
      <c r="BZ41" s="991" t="b">
        <f t="shared" si="90"/>
        <v>0</v>
      </c>
      <c r="CB41" s="672"/>
      <c r="CC41" s="1684"/>
      <c r="CD41" s="699"/>
      <c r="CE41" s="700"/>
      <c r="CF41" s="701"/>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725"/>
      <c r="DE41" s="726"/>
      <c r="DF41" s="141"/>
      <c r="DG41" s="141"/>
      <c r="DH41" s="672"/>
      <c r="DI41" s="673"/>
      <c r="DJ41" s="692"/>
      <c r="DK41" s="1331"/>
      <c r="DL41" s="674"/>
      <c r="DM41" s="693"/>
      <c r="DN41" s="1334"/>
      <c r="DO41" s="675"/>
      <c r="DP41" s="676"/>
      <c r="DQ41" s="1419"/>
      <c r="DR41" s="677"/>
      <c r="DS41" s="1419"/>
      <c r="DT41" s="1421"/>
      <c r="DU41" s="1422"/>
      <c r="DV41" s="678"/>
      <c r="DW41" s="1336"/>
      <c r="DX41" s="679"/>
      <c r="DY41" s="674"/>
      <c r="DZ41" s="678"/>
      <c r="EA41" s="1336"/>
      <c r="EB41" s="679"/>
      <c r="EC41" s="674"/>
      <c r="ED41" s="678"/>
      <c r="EE41" s="1336"/>
      <c r="EF41" s="679"/>
      <c r="EG41" s="674"/>
      <c r="EH41" s="678"/>
      <c r="EI41" s="1336"/>
      <c r="EJ41" s="679"/>
      <c r="EK41" s="680"/>
      <c r="EL41" s="241"/>
      <c r="EM41" s="1631" t="str">
        <f t="shared" si="69"/>
        <v/>
      </c>
      <c r="EN41" s="1428" t="str">
        <f t="shared" si="70"/>
        <v/>
      </c>
      <c r="EO41" s="1429" t="str">
        <f t="shared" si="71"/>
        <v/>
      </c>
      <c r="EP41" s="1430" t="str">
        <f t="shared" si="72"/>
        <v/>
      </c>
      <c r="EQ41" s="1434" t="str">
        <f t="shared" si="73"/>
        <v/>
      </c>
      <c r="ER41" s="1440" t="str">
        <f t="shared" si="74"/>
        <v/>
      </c>
      <c r="ES41" s="1441" t="str">
        <f t="shared" si="75"/>
        <v/>
      </c>
      <c r="ET41" s="1442" t="str">
        <f t="shared" si="76"/>
        <v/>
      </c>
      <c r="EU41" s="1443" t="str">
        <f t="shared" si="91"/>
        <v/>
      </c>
      <c r="EX41" s="503" t="str">
        <f t="shared" ca="1" si="92"/>
        <v/>
      </c>
      <c r="EY41" s="940" t="str">
        <f t="shared" si="77"/>
        <v/>
      </c>
      <c r="EZ41" s="940" t="str">
        <f t="shared" si="93"/>
        <v/>
      </c>
      <c r="FA41" s="958" t="str">
        <f t="shared" ca="1" si="98"/>
        <v/>
      </c>
      <c r="FB41" s="134" t="str">
        <f t="shared" ca="1" si="94"/>
        <v/>
      </c>
      <c r="FC41" s="134">
        <f t="shared" ca="1" si="78"/>
        <v>0</v>
      </c>
      <c r="FD41" s="134">
        <f t="shared" ca="1" si="79"/>
        <v>0</v>
      </c>
      <c r="FE41" s="134">
        <f t="shared" ca="1" si="80"/>
        <v>0</v>
      </c>
      <c r="FF41" s="134">
        <f t="shared" ca="1" si="95"/>
        <v>0</v>
      </c>
      <c r="FN41" s="754" t="b">
        <v>0</v>
      </c>
      <c r="FO41" s="754" t="b">
        <f t="shared" si="81"/>
        <v>1</v>
      </c>
      <c r="FP41" s="754" t="b">
        <v>0</v>
      </c>
      <c r="FQ41" s="754" t="b">
        <f t="shared" si="96"/>
        <v>1</v>
      </c>
      <c r="FW41" s="2"/>
      <c r="FX41" s="2"/>
      <c r="FZ41" s="2"/>
      <c r="GA41" s="1761" t="str">
        <f t="shared" si="82"/>
        <v/>
      </c>
      <c r="GB41" s="1762" t="str">
        <f t="shared" si="83"/>
        <v/>
      </c>
      <c r="GC41" s="1763" t="str">
        <f t="shared" si="84"/>
        <v/>
      </c>
      <c r="GD41" s="1764" t="str">
        <f t="shared" si="85"/>
        <v/>
      </c>
      <c r="GE41" s="1765" t="str">
        <f t="shared" si="86"/>
        <v/>
      </c>
      <c r="GF41" s="582" t="str">
        <f t="shared" si="87"/>
        <v/>
      </c>
      <c r="GG41" s="692"/>
      <c r="GH41" s="1135"/>
      <c r="GI41" s="692"/>
      <c r="GJ41" s="1135"/>
      <c r="GK41" s="1640">
        <f t="shared" si="88"/>
        <v>0</v>
      </c>
      <c r="GL41" s="1640" t="e">
        <f t="shared" si="89"/>
        <v>#VALUE!</v>
      </c>
      <c r="GM41" s="1641" t="e">
        <f>IF(ABS(GK41-GL41)&gt;='Job Info.'!$L$22,ABS(GK41-GL41),0)</f>
        <v>#VALUE!</v>
      </c>
      <c r="HA41" s="1241"/>
      <c r="HB41" s="1242"/>
      <c r="HC41" s="1242"/>
      <c r="HD41" s="1243"/>
      <c r="HE41" s="1244"/>
      <c r="HF41" s="1242"/>
      <c r="HG41" s="1242"/>
      <c r="HH41" s="1242"/>
      <c r="HI41" s="1242"/>
      <c r="HJ41" s="1242"/>
      <c r="HK41" s="1242"/>
      <c r="HL41" s="1242"/>
      <c r="HM41" s="1242"/>
      <c r="HN41" s="1242"/>
      <c r="HO41" s="1242"/>
      <c r="HP41" s="1242"/>
      <c r="HQ41" s="1242"/>
      <c r="HR41" s="1242"/>
      <c r="HS41" s="1242"/>
      <c r="HT41" s="1242"/>
      <c r="HU41" s="1242"/>
      <c r="HV41" s="1242"/>
      <c r="HW41" s="1242"/>
      <c r="HX41" s="1242"/>
      <c r="HY41" s="1246"/>
      <c r="HZ41" s="1246"/>
      <c r="IA41" s="1246"/>
      <c r="IB41" s="1246"/>
      <c r="IC41" s="1246"/>
      <c r="ID41" s="1261"/>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99"/>
        <v>0</v>
      </c>
    </row>
    <row r="42" spans="1:272" ht="12.6" customHeight="1" x14ac:dyDescent="0.25">
      <c r="A42" s="1448" t="str">
        <f t="shared" si="0"/>
        <v/>
      </c>
      <c r="B42" s="1681" t="str">
        <f t="shared" si="1"/>
        <v/>
      </c>
      <c r="C42" s="1449" t="str">
        <f t="shared" si="2"/>
        <v/>
      </c>
      <c r="D42" s="1705" t="str">
        <f t="shared" si="3"/>
        <v/>
      </c>
      <c r="E42" s="1706" t="str">
        <f t="shared" si="4"/>
        <v/>
      </c>
      <c r="F42" s="1707" t="str">
        <f t="shared" si="5"/>
        <v/>
      </c>
      <c r="G42" s="1708" t="str">
        <f t="shared" si="6"/>
        <v/>
      </c>
      <c r="H42" s="1709" t="str">
        <f t="shared" si="7"/>
        <v/>
      </c>
      <c r="I42" s="1710" t="str">
        <f t="shared" si="8"/>
        <v/>
      </c>
      <c r="J42" s="1705" t="str">
        <f t="shared" si="9"/>
        <v/>
      </c>
      <c r="K42" s="1709" t="str">
        <f t="shared" si="10"/>
        <v/>
      </c>
      <c r="L42" s="1711" t="str">
        <f t="shared" si="11"/>
        <v/>
      </c>
      <c r="M42" s="1712" t="str">
        <f t="shared" si="12"/>
        <v/>
      </c>
      <c r="N42" s="1713" t="str">
        <f t="shared" si="12"/>
        <v/>
      </c>
      <c r="O42" s="1708" t="str">
        <f t="shared" si="13"/>
        <v/>
      </c>
      <c r="P42" s="1709" t="str">
        <f t="shared" si="14"/>
        <v/>
      </c>
      <c r="Q42" s="1705" t="str">
        <f t="shared" si="15"/>
        <v/>
      </c>
      <c r="R42" s="1706" t="str">
        <f t="shared" si="16"/>
        <v/>
      </c>
      <c r="S42" s="1714" t="str">
        <f t="shared" si="17"/>
        <v/>
      </c>
      <c r="T42" s="1709" t="str">
        <f t="shared" si="18"/>
        <v/>
      </c>
      <c r="U42" s="1705" t="str">
        <f t="shared" si="19"/>
        <v/>
      </c>
      <c r="V42" s="1709" t="str">
        <f t="shared" si="20"/>
        <v/>
      </c>
      <c r="W42" s="1713">
        <f t="shared" si="21"/>
        <v>0</v>
      </c>
      <c r="X42" s="1715" t="str">
        <f t="shared" si="22"/>
        <v/>
      </c>
      <c r="Y42" s="1716" t="str">
        <f t="shared" si="23"/>
        <v/>
      </c>
      <c r="Z42" s="1717" t="str">
        <f t="shared" si="24"/>
        <v/>
      </c>
      <c r="AA42" s="1776" t="str">
        <f t="shared" si="25"/>
        <v/>
      </c>
      <c r="AB42" s="1448" t="str">
        <f t="shared" si="26"/>
        <v/>
      </c>
      <c r="AC42" s="1710" t="str">
        <f t="shared" si="27"/>
        <v/>
      </c>
      <c r="AD42" s="1705" t="str">
        <f t="shared" ca="1" si="28"/>
        <v/>
      </c>
      <c r="AE42" s="1709" t="str">
        <f t="shared" ca="1" si="29"/>
        <v/>
      </c>
      <c r="AF42" s="1710" t="str">
        <f t="shared" ca="1" si="30"/>
        <v/>
      </c>
      <c r="AG42" s="1705" t="str">
        <f t="shared" ca="1" si="31"/>
        <v/>
      </c>
      <c r="AH42" s="1709" t="str">
        <f t="shared" ca="1" si="32"/>
        <v/>
      </c>
      <c r="AI42" s="1705" t="str">
        <f t="shared" ca="1" si="33"/>
        <v/>
      </c>
      <c r="AJ42" s="1709" t="str">
        <f t="shared" ca="1" si="34"/>
        <v/>
      </c>
      <c r="AK42" s="1747" t="str">
        <f t="shared" si="35"/>
        <v/>
      </c>
      <c r="AL42" s="1748" t="str">
        <f t="shared" si="36"/>
        <v/>
      </c>
      <c r="AM42" s="1749" t="str">
        <f t="shared" si="35"/>
        <v/>
      </c>
      <c r="AN42" s="1710" t="str">
        <f t="shared" si="35"/>
        <v/>
      </c>
      <c r="AO42" s="1713" t="str">
        <f t="shared" si="35"/>
        <v/>
      </c>
      <c r="AP42" s="1712" t="str">
        <f t="shared" si="37"/>
        <v/>
      </c>
      <c r="AQ42" s="1751" t="str">
        <f t="shared" si="38"/>
        <v/>
      </c>
      <c r="AR42" s="1708" t="str">
        <f t="shared" si="39"/>
        <v/>
      </c>
      <c r="AS42" s="1709" t="str">
        <f t="shared" si="40"/>
        <v/>
      </c>
      <c r="AT42" s="1752" t="str">
        <f t="shared" si="41"/>
        <v/>
      </c>
      <c r="AU42" s="1753" t="str">
        <f t="shared" si="42"/>
        <v/>
      </c>
      <c r="AV42" s="1714" t="str">
        <f t="shared" si="43"/>
        <v/>
      </c>
      <c r="AW42" s="1709" t="str">
        <f t="shared" si="44"/>
        <v/>
      </c>
      <c r="AX42" s="1752" t="str">
        <f t="shared" si="45"/>
        <v/>
      </c>
      <c r="AY42" s="1753" t="str">
        <f t="shared" si="46"/>
        <v/>
      </c>
      <c r="AZ42" s="1714" t="str">
        <f t="shared" si="47"/>
        <v/>
      </c>
      <c r="BA42" s="1709" t="str">
        <f t="shared" si="48"/>
        <v/>
      </c>
      <c r="BB42" s="1752" t="str">
        <f t="shared" si="49"/>
        <v/>
      </c>
      <c r="BC42" s="1753" t="str">
        <f t="shared" si="50"/>
        <v/>
      </c>
      <c r="BD42" s="1714" t="str">
        <f t="shared" si="51"/>
        <v/>
      </c>
      <c r="BE42" s="1709" t="str">
        <f t="shared" si="52"/>
        <v/>
      </c>
      <c r="BF42" s="1752" t="str">
        <f t="shared" si="53"/>
        <v/>
      </c>
      <c r="BG42" s="1753" t="str">
        <f t="shared" si="54"/>
        <v/>
      </c>
      <c r="BH42" s="1416"/>
      <c r="BJ42" s="995" t="str">
        <f t="shared" si="97"/>
        <v/>
      </c>
      <c r="BK42" s="993" t="b">
        <f t="shared" si="55"/>
        <v>0</v>
      </c>
      <c r="BL42" s="989" t="b">
        <v>0</v>
      </c>
      <c r="BM42" s="989">
        <f t="shared" si="56"/>
        <v>0</v>
      </c>
      <c r="BN42" s="989">
        <f t="shared" si="57"/>
        <v>0</v>
      </c>
      <c r="BO42" s="989">
        <f t="shared" si="58"/>
        <v>0</v>
      </c>
      <c r="BP42" s="989">
        <f t="shared" si="59"/>
        <v>0</v>
      </c>
      <c r="BQ42" s="989">
        <f t="shared" si="60"/>
        <v>0</v>
      </c>
      <c r="BR42" s="989" t="b">
        <f t="shared" si="61"/>
        <v>1</v>
      </c>
      <c r="BS42" s="1302">
        <f t="shared" si="62"/>
        <v>6</v>
      </c>
      <c r="BT42" s="990" t="str">
        <f t="shared" si="63"/>
        <v>No</v>
      </c>
      <c r="BU42" s="1302">
        <f t="shared" si="64"/>
        <v>6</v>
      </c>
      <c r="BV42" s="990" t="str">
        <f t="shared" si="65"/>
        <v>No</v>
      </c>
      <c r="BW42" s="991">
        <f t="shared" ca="1" si="66"/>
        <v>0</v>
      </c>
      <c r="BX42" s="991" t="str">
        <f t="shared" ca="1" si="67"/>
        <v/>
      </c>
      <c r="BY42" s="991" t="b">
        <f t="shared" ca="1" si="68"/>
        <v>0</v>
      </c>
      <c r="BZ42" s="991" t="b">
        <f t="shared" si="90"/>
        <v>0</v>
      </c>
      <c r="CB42" s="672"/>
      <c r="CC42" s="1684"/>
      <c r="CD42" s="699"/>
      <c r="CE42" s="700"/>
      <c r="CF42" s="701"/>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725"/>
      <c r="DE42" s="726"/>
      <c r="DF42" s="141"/>
      <c r="DG42" s="141"/>
      <c r="DH42" s="672"/>
      <c r="DI42" s="673"/>
      <c r="DJ42" s="692"/>
      <c r="DK42" s="1331"/>
      <c r="DL42" s="674"/>
      <c r="DM42" s="693"/>
      <c r="DN42" s="1334"/>
      <c r="DO42" s="675"/>
      <c r="DP42" s="676"/>
      <c r="DQ42" s="1419"/>
      <c r="DR42" s="677"/>
      <c r="DS42" s="1419"/>
      <c r="DT42" s="1421"/>
      <c r="DU42" s="1422"/>
      <c r="DV42" s="678"/>
      <c r="DW42" s="1336"/>
      <c r="DX42" s="679"/>
      <c r="DY42" s="674"/>
      <c r="DZ42" s="678"/>
      <c r="EA42" s="1336"/>
      <c r="EB42" s="679"/>
      <c r="EC42" s="674"/>
      <c r="ED42" s="678"/>
      <c r="EE42" s="1336"/>
      <c r="EF42" s="679"/>
      <c r="EG42" s="674"/>
      <c r="EH42" s="678"/>
      <c r="EI42" s="1336"/>
      <c r="EJ42" s="679"/>
      <c r="EK42" s="680"/>
      <c r="EL42" s="241"/>
      <c r="EM42" s="1631" t="str">
        <f t="shared" si="69"/>
        <v/>
      </c>
      <c r="EN42" s="1428" t="str">
        <f t="shared" si="70"/>
        <v/>
      </c>
      <c r="EO42" s="1429" t="str">
        <f t="shared" si="71"/>
        <v/>
      </c>
      <c r="EP42" s="1430" t="str">
        <f t="shared" si="72"/>
        <v/>
      </c>
      <c r="EQ42" s="1434" t="str">
        <f t="shared" si="73"/>
        <v/>
      </c>
      <c r="ER42" s="1440" t="str">
        <f t="shared" si="74"/>
        <v/>
      </c>
      <c r="ES42" s="1441" t="str">
        <f t="shared" si="75"/>
        <v/>
      </c>
      <c r="ET42" s="1442" t="str">
        <f t="shared" si="76"/>
        <v/>
      </c>
      <c r="EU42" s="1443" t="str">
        <f t="shared" si="91"/>
        <v/>
      </c>
      <c r="EX42" s="503" t="str">
        <f t="shared" ca="1" si="92"/>
        <v/>
      </c>
      <c r="EY42" s="940" t="str">
        <f t="shared" si="77"/>
        <v/>
      </c>
      <c r="EZ42" s="940" t="str">
        <f t="shared" si="93"/>
        <v/>
      </c>
      <c r="FA42" s="958" t="str">
        <f t="shared" ca="1" si="98"/>
        <v/>
      </c>
      <c r="FB42" s="134" t="str">
        <f t="shared" ca="1" si="94"/>
        <v/>
      </c>
      <c r="FC42" s="134">
        <f t="shared" ca="1" si="78"/>
        <v>0</v>
      </c>
      <c r="FD42" s="134">
        <f t="shared" ca="1" si="79"/>
        <v>0</v>
      </c>
      <c r="FE42" s="134">
        <f t="shared" ca="1" si="80"/>
        <v>0</v>
      </c>
      <c r="FF42" s="134">
        <f t="shared" ca="1" si="95"/>
        <v>0</v>
      </c>
      <c r="FN42" s="754" t="b">
        <v>0</v>
      </c>
      <c r="FO42" s="754" t="b">
        <f t="shared" si="81"/>
        <v>1</v>
      </c>
      <c r="FP42" s="754" t="b">
        <v>0</v>
      </c>
      <c r="FQ42" s="754" t="b">
        <f t="shared" si="96"/>
        <v>1</v>
      </c>
      <c r="GA42" s="1761" t="str">
        <f t="shared" si="82"/>
        <v/>
      </c>
      <c r="GB42" s="1762" t="str">
        <f t="shared" si="83"/>
        <v/>
      </c>
      <c r="GC42" s="1763" t="str">
        <f t="shared" si="84"/>
        <v/>
      </c>
      <c r="GD42" s="1764" t="str">
        <f t="shared" si="85"/>
        <v/>
      </c>
      <c r="GE42" s="1765" t="str">
        <f t="shared" si="86"/>
        <v/>
      </c>
      <c r="GF42" s="582" t="str">
        <f t="shared" si="87"/>
        <v/>
      </c>
      <c r="GG42" s="692"/>
      <c r="GH42" s="1135"/>
      <c r="GI42" s="692"/>
      <c r="GJ42" s="1135"/>
      <c r="GK42" s="1640">
        <f t="shared" si="88"/>
        <v>0</v>
      </c>
      <c r="GL42" s="1640" t="e">
        <f t="shared" si="89"/>
        <v>#VALUE!</v>
      </c>
      <c r="GM42" s="1641" t="e">
        <f>IF(ABS(GK42-GL42)&gt;='Job Info.'!$L$22,ABS(GK42-GL42),0)</f>
        <v>#VALUE!</v>
      </c>
      <c r="HA42" s="1241"/>
      <c r="HB42" s="1242"/>
      <c r="HC42" s="1242"/>
      <c r="HD42" s="1243"/>
      <c r="HE42" s="1244"/>
      <c r="HF42" s="1242"/>
      <c r="HG42" s="1242"/>
      <c r="HH42" s="1242"/>
      <c r="HI42" s="1242"/>
      <c r="HJ42" s="1242"/>
      <c r="HK42" s="1242"/>
      <c r="HL42" s="1242"/>
      <c r="HM42" s="1242"/>
      <c r="HN42" s="1242"/>
      <c r="HO42" s="1242"/>
      <c r="HP42" s="1242"/>
      <c r="HQ42" s="1242"/>
      <c r="HR42" s="1242"/>
      <c r="HS42" s="1242"/>
      <c r="HT42" s="1242"/>
      <c r="HU42" s="1242"/>
      <c r="HV42" s="1242"/>
      <c r="HW42" s="1242"/>
      <c r="HX42" s="1242"/>
      <c r="HY42" s="1246"/>
      <c r="HZ42" s="1246"/>
      <c r="IA42" s="1246"/>
      <c r="IB42" s="1246"/>
      <c r="IC42" s="1246"/>
      <c r="ID42" s="1261"/>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99"/>
        <v>0</v>
      </c>
    </row>
    <row r="43" spans="1:272" ht="12.6" customHeight="1" x14ac:dyDescent="0.25">
      <c r="A43" s="1448" t="str">
        <f t="shared" si="0"/>
        <v/>
      </c>
      <c r="B43" s="1681" t="str">
        <f t="shared" si="1"/>
        <v/>
      </c>
      <c r="C43" s="1449" t="str">
        <f t="shared" si="2"/>
        <v/>
      </c>
      <c r="D43" s="1705" t="str">
        <f t="shared" si="3"/>
        <v/>
      </c>
      <c r="E43" s="1706" t="str">
        <f t="shared" si="4"/>
        <v/>
      </c>
      <c r="F43" s="1707" t="str">
        <f t="shared" si="5"/>
        <v/>
      </c>
      <c r="G43" s="1708" t="str">
        <f t="shared" si="6"/>
        <v/>
      </c>
      <c r="H43" s="1709" t="str">
        <f t="shared" si="7"/>
        <v/>
      </c>
      <c r="I43" s="1710" t="str">
        <f t="shared" si="8"/>
        <v/>
      </c>
      <c r="J43" s="1705" t="str">
        <f t="shared" si="9"/>
        <v/>
      </c>
      <c r="K43" s="1709" t="str">
        <f t="shared" si="10"/>
        <v/>
      </c>
      <c r="L43" s="1711" t="str">
        <f t="shared" si="11"/>
        <v/>
      </c>
      <c r="M43" s="1712" t="str">
        <f t="shared" si="12"/>
        <v/>
      </c>
      <c r="N43" s="1713" t="str">
        <f t="shared" si="12"/>
        <v/>
      </c>
      <c r="O43" s="1708" t="str">
        <f t="shared" si="13"/>
        <v/>
      </c>
      <c r="P43" s="1709" t="str">
        <f t="shared" si="14"/>
        <v/>
      </c>
      <c r="Q43" s="1705" t="str">
        <f t="shared" si="15"/>
        <v/>
      </c>
      <c r="R43" s="1706" t="str">
        <f t="shared" si="16"/>
        <v/>
      </c>
      <c r="S43" s="1714" t="str">
        <f t="shared" si="17"/>
        <v/>
      </c>
      <c r="T43" s="1709" t="str">
        <f t="shared" si="18"/>
        <v/>
      </c>
      <c r="U43" s="1705" t="str">
        <f t="shared" si="19"/>
        <v/>
      </c>
      <c r="V43" s="1709" t="str">
        <f t="shared" si="20"/>
        <v/>
      </c>
      <c r="W43" s="1713">
        <f t="shared" si="21"/>
        <v>0</v>
      </c>
      <c r="X43" s="1715" t="str">
        <f t="shared" si="22"/>
        <v/>
      </c>
      <c r="Y43" s="1716" t="str">
        <f t="shared" si="23"/>
        <v/>
      </c>
      <c r="Z43" s="1717" t="str">
        <f t="shared" si="24"/>
        <v/>
      </c>
      <c r="AA43" s="1776" t="str">
        <f t="shared" si="25"/>
        <v/>
      </c>
      <c r="AB43" s="1448" t="str">
        <f t="shared" si="26"/>
        <v/>
      </c>
      <c r="AC43" s="1710" t="str">
        <f t="shared" si="27"/>
        <v/>
      </c>
      <c r="AD43" s="1705" t="str">
        <f t="shared" ca="1" si="28"/>
        <v/>
      </c>
      <c r="AE43" s="1709" t="str">
        <f t="shared" ca="1" si="29"/>
        <v/>
      </c>
      <c r="AF43" s="1710" t="str">
        <f t="shared" ca="1" si="30"/>
        <v/>
      </c>
      <c r="AG43" s="1705" t="str">
        <f t="shared" ca="1" si="31"/>
        <v/>
      </c>
      <c r="AH43" s="1709" t="str">
        <f t="shared" ca="1" si="32"/>
        <v/>
      </c>
      <c r="AI43" s="1705" t="str">
        <f t="shared" ca="1" si="33"/>
        <v/>
      </c>
      <c r="AJ43" s="1709" t="str">
        <f t="shared" ca="1" si="34"/>
        <v/>
      </c>
      <c r="AK43" s="1747" t="str">
        <f t="shared" si="35"/>
        <v/>
      </c>
      <c r="AL43" s="1748" t="str">
        <f t="shared" si="36"/>
        <v/>
      </c>
      <c r="AM43" s="1749" t="str">
        <f t="shared" si="35"/>
        <v/>
      </c>
      <c r="AN43" s="1710" t="str">
        <f t="shared" si="35"/>
        <v/>
      </c>
      <c r="AO43" s="1713" t="str">
        <f t="shared" si="35"/>
        <v/>
      </c>
      <c r="AP43" s="1712" t="str">
        <f t="shared" si="37"/>
        <v/>
      </c>
      <c r="AQ43" s="1751" t="str">
        <f t="shared" si="38"/>
        <v/>
      </c>
      <c r="AR43" s="1708" t="str">
        <f t="shared" si="39"/>
        <v/>
      </c>
      <c r="AS43" s="1709" t="str">
        <f t="shared" si="40"/>
        <v/>
      </c>
      <c r="AT43" s="1752" t="str">
        <f t="shared" si="41"/>
        <v/>
      </c>
      <c r="AU43" s="1753" t="str">
        <f t="shared" si="42"/>
        <v/>
      </c>
      <c r="AV43" s="1714" t="str">
        <f t="shared" si="43"/>
        <v/>
      </c>
      <c r="AW43" s="1709" t="str">
        <f t="shared" si="44"/>
        <v/>
      </c>
      <c r="AX43" s="1752" t="str">
        <f t="shared" si="45"/>
        <v/>
      </c>
      <c r="AY43" s="1753" t="str">
        <f t="shared" si="46"/>
        <v/>
      </c>
      <c r="AZ43" s="1714" t="str">
        <f t="shared" si="47"/>
        <v/>
      </c>
      <c r="BA43" s="1709" t="str">
        <f t="shared" si="48"/>
        <v/>
      </c>
      <c r="BB43" s="1752" t="str">
        <f t="shared" si="49"/>
        <v/>
      </c>
      <c r="BC43" s="1753" t="str">
        <f t="shared" si="50"/>
        <v/>
      </c>
      <c r="BD43" s="1714" t="str">
        <f t="shared" si="51"/>
        <v/>
      </c>
      <c r="BE43" s="1709" t="str">
        <f t="shared" si="52"/>
        <v/>
      </c>
      <c r="BF43" s="1752" t="str">
        <f t="shared" si="53"/>
        <v/>
      </c>
      <c r="BG43" s="1753" t="str">
        <f t="shared" si="54"/>
        <v/>
      </c>
      <c r="BH43" s="1416"/>
      <c r="BJ43" s="995" t="str">
        <f t="shared" si="97"/>
        <v/>
      </c>
      <c r="BK43" s="993" t="b">
        <f t="shared" si="55"/>
        <v>0</v>
      </c>
      <c r="BL43" s="989" t="b">
        <v>0</v>
      </c>
      <c r="BM43" s="989">
        <f t="shared" si="56"/>
        <v>0</v>
      </c>
      <c r="BN43" s="989">
        <f t="shared" si="57"/>
        <v>0</v>
      </c>
      <c r="BO43" s="989">
        <f t="shared" si="58"/>
        <v>0</v>
      </c>
      <c r="BP43" s="989">
        <f t="shared" si="59"/>
        <v>0</v>
      </c>
      <c r="BQ43" s="989">
        <f t="shared" si="60"/>
        <v>0</v>
      </c>
      <c r="BR43" s="989" t="b">
        <f t="shared" si="61"/>
        <v>1</v>
      </c>
      <c r="BS43" s="1302">
        <f t="shared" si="62"/>
        <v>6</v>
      </c>
      <c r="BT43" s="990" t="str">
        <f t="shared" si="63"/>
        <v>No</v>
      </c>
      <c r="BU43" s="1302">
        <f t="shared" si="64"/>
        <v>6</v>
      </c>
      <c r="BV43" s="990" t="str">
        <f t="shared" si="65"/>
        <v>No</v>
      </c>
      <c r="BW43" s="991">
        <f t="shared" ca="1" si="66"/>
        <v>0</v>
      </c>
      <c r="BX43" s="991" t="str">
        <f t="shared" ca="1" si="67"/>
        <v/>
      </c>
      <c r="BY43" s="991" t="b">
        <f t="shared" ca="1" si="68"/>
        <v>0</v>
      </c>
      <c r="BZ43" s="991" t="b">
        <f t="shared" si="90"/>
        <v>0</v>
      </c>
      <c r="CB43" s="672"/>
      <c r="CC43" s="1684"/>
      <c r="CD43" s="699"/>
      <c r="CE43" s="700"/>
      <c r="CF43" s="701"/>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725"/>
      <c r="DE43" s="726"/>
      <c r="DF43" s="141"/>
      <c r="DG43" s="141"/>
      <c r="DH43" s="672"/>
      <c r="DI43" s="673"/>
      <c r="DJ43" s="692"/>
      <c r="DK43" s="1331"/>
      <c r="DL43" s="674"/>
      <c r="DM43" s="693"/>
      <c r="DN43" s="1334"/>
      <c r="DO43" s="675"/>
      <c r="DP43" s="676"/>
      <c r="DQ43" s="1419"/>
      <c r="DR43" s="677"/>
      <c r="DS43" s="1419"/>
      <c r="DT43" s="1421"/>
      <c r="DU43" s="1422"/>
      <c r="DV43" s="678"/>
      <c r="DW43" s="1336"/>
      <c r="DX43" s="679"/>
      <c r="DY43" s="674"/>
      <c r="DZ43" s="678"/>
      <c r="EA43" s="1336"/>
      <c r="EB43" s="679"/>
      <c r="EC43" s="674"/>
      <c r="ED43" s="678"/>
      <c r="EE43" s="1336"/>
      <c r="EF43" s="679"/>
      <c r="EG43" s="674"/>
      <c r="EH43" s="678"/>
      <c r="EI43" s="1336"/>
      <c r="EJ43" s="679"/>
      <c r="EK43" s="680"/>
      <c r="EL43" s="241"/>
      <c r="EM43" s="1631" t="str">
        <f t="shared" si="69"/>
        <v/>
      </c>
      <c r="EN43" s="1428" t="str">
        <f t="shared" si="70"/>
        <v/>
      </c>
      <c r="EO43" s="1429" t="str">
        <f t="shared" si="71"/>
        <v/>
      </c>
      <c r="EP43" s="1430" t="str">
        <f t="shared" si="72"/>
        <v/>
      </c>
      <c r="EQ43" s="1434" t="str">
        <f t="shared" si="73"/>
        <v/>
      </c>
      <c r="ER43" s="1440" t="str">
        <f t="shared" si="74"/>
        <v/>
      </c>
      <c r="ES43" s="1441" t="str">
        <f t="shared" si="75"/>
        <v/>
      </c>
      <c r="ET43" s="1442" t="str">
        <f t="shared" si="76"/>
        <v/>
      </c>
      <c r="EU43" s="1443" t="str">
        <f t="shared" si="91"/>
        <v/>
      </c>
      <c r="EX43" s="503" t="str">
        <f t="shared" ca="1" si="92"/>
        <v/>
      </c>
      <c r="EY43" s="940" t="str">
        <f t="shared" si="77"/>
        <v/>
      </c>
      <c r="EZ43" s="940" t="str">
        <f t="shared" si="93"/>
        <v/>
      </c>
      <c r="FA43" s="958" t="str">
        <f t="shared" ca="1" si="98"/>
        <v/>
      </c>
      <c r="FB43" s="134" t="str">
        <f t="shared" ca="1" si="94"/>
        <v/>
      </c>
      <c r="FC43" s="134">
        <f t="shared" ca="1" si="78"/>
        <v>0</v>
      </c>
      <c r="FD43" s="134">
        <f t="shared" ca="1" si="79"/>
        <v>0</v>
      </c>
      <c r="FE43" s="134">
        <f t="shared" ca="1" si="80"/>
        <v>0</v>
      </c>
      <c r="FF43" s="134">
        <f t="shared" ca="1" si="95"/>
        <v>0</v>
      </c>
      <c r="FN43" s="754" t="b">
        <v>0</v>
      </c>
      <c r="FO43" s="754" t="b">
        <f t="shared" si="81"/>
        <v>1</v>
      </c>
      <c r="FP43" s="754" t="b">
        <v>0</v>
      </c>
      <c r="FQ43" s="754" t="b">
        <f t="shared" si="96"/>
        <v>1</v>
      </c>
      <c r="GA43" s="1761" t="str">
        <f t="shared" si="82"/>
        <v/>
      </c>
      <c r="GB43" s="1762" t="str">
        <f t="shared" si="83"/>
        <v/>
      </c>
      <c r="GC43" s="1763" t="str">
        <f t="shared" si="84"/>
        <v/>
      </c>
      <c r="GD43" s="1764" t="str">
        <f t="shared" si="85"/>
        <v/>
      </c>
      <c r="GE43" s="1765" t="str">
        <f t="shared" si="86"/>
        <v/>
      </c>
      <c r="GF43" s="582" t="str">
        <f t="shared" si="87"/>
        <v/>
      </c>
      <c r="GG43" s="692"/>
      <c r="GH43" s="1135"/>
      <c r="GI43" s="692"/>
      <c r="GJ43" s="1135"/>
      <c r="GK43" s="1640">
        <f t="shared" si="88"/>
        <v>0</v>
      </c>
      <c r="GL43" s="1640" t="e">
        <f t="shared" si="89"/>
        <v>#VALUE!</v>
      </c>
      <c r="GM43" s="1641" t="e">
        <f>IF(ABS(GK43-GL43)&gt;='Job Info.'!$L$22,ABS(GK43-GL43),0)</f>
        <v>#VALUE!</v>
      </c>
      <c r="HA43" s="1241"/>
      <c r="HB43" s="1242"/>
      <c r="HC43" s="1242"/>
      <c r="HD43" s="1243"/>
      <c r="HE43" s="1244"/>
      <c r="HF43" s="1242"/>
      <c r="HG43" s="1242"/>
      <c r="HH43" s="1242"/>
      <c r="HI43" s="1242"/>
      <c r="HJ43" s="1242"/>
      <c r="HK43" s="1242"/>
      <c r="HL43" s="1242"/>
      <c r="HM43" s="1242"/>
      <c r="HN43" s="1242"/>
      <c r="HO43" s="1242"/>
      <c r="HP43" s="1242"/>
      <c r="HQ43" s="1242"/>
      <c r="HR43" s="1242"/>
      <c r="HS43" s="1242"/>
      <c r="HT43" s="1242"/>
      <c r="HU43" s="1242"/>
      <c r="HV43" s="1242"/>
      <c r="HW43" s="1242"/>
      <c r="HX43" s="1242"/>
      <c r="HY43" s="1246"/>
      <c r="HZ43" s="1246"/>
      <c r="IA43" s="1246"/>
      <c r="IB43" s="1246"/>
      <c r="IC43" s="1246"/>
      <c r="ID43" s="1261"/>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99"/>
        <v>0</v>
      </c>
    </row>
    <row r="44" spans="1:272" ht="12.6" customHeight="1" x14ac:dyDescent="0.25">
      <c r="A44" s="1448" t="str">
        <f t="shared" si="0"/>
        <v/>
      </c>
      <c r="B44" s="1681" t="str">
        <f t="shared" si="1"/>
        <v/>
      </c>
      <c r="C44" s="1449" t="str">
        <f t="shared" si="2"/>
        <v/>
      </c>
      <c r="D44" s="1705" t="str">
        <f t="shared" si="3"/>
        <v/>
      </c>
      <c r="E44" s="1706" t="str">
        <f t="shared" si="4"/>
        <v/>
      </c>
      <c r="F44" s="1707" t="str">
        <f t="shared" si="5"/>
        <v/>
      </c>
      <c r="G44" s="1708" t="str">
        <f t="shared" si="6"/>
        <v/>
      </c>
      <c r="H44" s="1709" t="str">
        <f t="shared" si="7"/>
        <v/>
      </c>
      <c r="I44" s="1710" t="str">
        <f t="shared" si="8"/>
        <v/>
      </c>
      <c r="J44" s="1705" t="str">
        <f t="shared" si="9"/>
        <v/>
      </c>
      <c r="K44" s="1709" t="str">
        <f t="shared" si="10"/>
        <v/>
      </c>
      <c r="L44" s="1711" t="str">
        <f t="shared" si="11"/>
        <v/>
      </c>
      <c r="M44" s="1712" t="str">
        <f t="shared" si="12"/>
        <v/>
      </c>
      <c r="N44" s="1713" t="str">
        <f t="shared" si="12"/>
        <v/>
      </c>
      <c r="O44" s="1708" t="str">
        <f t="shared" si="13"/>
        <v/>
      </c>
      <c r="P44" s="1709" t="str">
        <f t="shared" si="14"/>
        <v/>
      </c>
      <c r="Q44" s="1705" t="str">
        <f t="shared" si="15"/>
        <v/>
      </c>
      <c r="R44" s="1706" t="str">
        <f t="shared" si="16"/>
        <v/>
      </c>
      <c r="S44" s="1714" t="str">
        <f t="shared" si="17"/>
        <v/>
      </c>
      <c r="T44" s="1709" t="str">
        <f t="shared" si="18"/>
        <v/>
      </c>
      <c r="U44" s="1705" t="str">
        <f t="shared" si="19"/>
        <v/>
      </c>
      <c r="V44" s="1709" t="str">
        <f t="shared" si="20"/>
        <v/>
      </c>
      <c r="W44" s="1713">
        <f t="shared" si="21"/>
        <v>0</v>
      </c>
      <c r="X44" s="1715" t="str">
        <f t="shared" si="22"/>
        <v/>
      </c>
      <c r="Y44" s="1716" t="str">
        <f t="shared" si="23"/>
        <v/>
      </c>
      <c r="Z44" s="1717" t="str">
        <f t="shared" si="24"/>
        <v/>
      </c>
      <c r="AA44" s="1776" t="str">
        <f t="shared" si="25"/>
        <v/>
      </c>
      <c r="AB44" s="1448" t="str">
        <f t="shared" si="26"/>
        <v/>
      </c>
      <c r="AC44" s="1710" t="str">
        <f t="shared" si="27"/>
        <v/>
      </c>
      <c r="AD44" s="1705" t="str">
        <f t="shared" ca="1" si="28"/>
        <v/>
      </c>
      <c r="AE44" s="1709" t="str">
        <f t="shared" ca="1" si="29"/>
        <v/>
      </c>
      <c r="AF44" s="1710" t="str">
        <f t="shared" ca="1" si="30"/>
        <v/>
      </c>
      <c r="AG44" s="1705" t="str">
        <f t="shared" ca="1" si="31"/>
        <v/>
      </c>
      <c r="AH44" s="1709" t="str">
        <f t="shared" ca="1" si="32"/>
        <v/>
      </c>
      <c r="AI44" s="1705" t="str">
        <f t="shared" ca="1" si="33"/>
        <v/>
      </c>
      <c r="AJ44" s="1709" t="str">
        <f t="shared" ca="1" si="34"/>
        <v/>
      </c>
      <c r="AK44" s="1747" t="str">
        <f t="shared" si="35"/>
        <v/>
      </c>
      <c r="AL44" s="1748" t="str">
        <f t="shared" si="36"/>
        <v/>
      </c>
      <c r="AM44" s="1749" t="str">
        <f t="shared" si="35"/>
        <v/>
      </c>
      <c r="AN44" s="1710" t="str">
        <f t="shared" si="35"/>
        <v/>
      </c>
      <c r="AO44" s="1713" t="str">
        <f t="shared" si="35"/>
        <v/>
      </c>
      <c r="AP44" s="1712" t="str">
        <f t="shared" si="37"/>
        <v/>
      </c>
      <c r="AQ44" s="1751" t="str">
        <f t="shared" si="38"/>
        <v/>
      </c>
      <c r="AR44" s="1708" t="str">
        <f t="shared" si="39"/>
        <v/>
      </c>
      <c r="AS44" s="1709" t="str">
        <f t="shared" si="40"/>
        <v/>
      </c>
      <c r="AT44" s="1752" t="str">
        <f t="shared" si="41"/>
        <v/>
      </c>
      <c r="AU44" s="1753" t="str">
        <f t="shared" si="42"/>
        <v/>
      </c>
      <c r="AV44" s="1714" t="str">
        <f t="shared" si="43"/>
        <v/>
      </c>
      <c r="AW44" s="1709" t="str">
        <f t="shared" si="44"/>
        <v/>
      </c>
      <c r="AX44" s="1752" t="str">
        <f t="shared" si="45"/>
        <v/>
      </c>
      <c r="AY44" s="1753" t="str">
        <f t="shared" si="46"/>
        <v/>
      </c>
      <c r="AZ44" s="1714" t="str">
        <f t="shared" si="47"/>
        <v/>
      </c>
      <c r="BA44" s="1709" t="str">
        <f t="shared" si="48"/>
        <v/>
      </c>
      <c r="BB44" s="1752" t="str">
        <f t="shared" si="49"/>
        <v/>
      </c>
      <c r="BC44" s="1753" t="str">
        <f t="shared" si="50"/>
        <v/>
      </c>
      <c r="BD44" s="1714" t="str">
        <f t="shared" si="51"/>
        <v/>
      </c>
      <c r="BE44" s="1709" t="str">
        <f t="shared" si="52"/>
        <v/>
      </c>
      <c r="BF44" s="1752" t="str">
        <f t="shared" si="53"/>
        <v/>
      </c>
      <c r="BG44" s="1753" t="str">
        <f t="shared" si="54"/>
        <v/>
      </c>
      <c r="BH44" s="1416"/>
      <c r="BJ44" s="995" t="str">
        <f t="shared" si="97"/>
        <v/>
      </c>
      <c r="BK44" s="993" t="b">
        <f t="shared" si="55"/>
        <v>0</v>
      </c>
      <c r="BL44" s="989" t="b">
        <v>0</v>
      </c>
      <c r="BM44" s="989">
        <f t="shared" si="56"/>
        <v>0</v>
      </c>
      <c r="BN44" s="989">
        <f t="shared" si="57"/>
        <v>0</v>
      </c>
      <c r="BO44" s="989">
        <f t="shared" si="58"/>
        <v>0</v>
      </c>
      <c r="BP44" s="989">
        <f t="shared" si="59"/>
        <v>0</v>
      </c>
      <c r="BQ44" s="989">
        <f t="shared" si="60"/>
        <v>0</v>
      </c>
      <c r="BR44" s="989" t="b">
        <f t="shared" si="61"/>
        <v>1</v>
      </c>
      <c r="BS44" s="1302">
        <f t="shared" si="62"/>
        <v>6</v>
      </c>
      <c r="BT44" s="990" t="str">
        <f t="shared" si="63"/>
        <v>No</v>
      </c>
      <c r="BU44" s="1302">
        <f t="shared" si="64"/>
        <v>6</v>
      </c>
      <c r="BV44" s="990" t="str">
        <f t="shared" si="65"/>
        <v>No</v>
      </c>
      <c r="BW44" s="991">
        <f t="shared" ca="1" si="66"/>
        <v>0</v>
      </c>
      <c r="BX44" s="991" t="str">
        <f t="shared" ca="1" si="67"/>
        <v/>
      </c>
      <c r="BY44" s="991" t="b">
        <f t="shared" ca="1" si="68"/>
        <v>0</v>
      </c>
      <c r="BZ44" s="991" t="b">
        <f t="shared" si="90"/>
        <v>0</v>
      </c>
      <c r="CB44" s="672"/>
      <c r="CC44" s="1684"/>
      <c r="CD44" s="699"/>
      <c r="CE44" s="700"/>
      <c r="CF44" s="701"/>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725"/>
      <c r="DE44" s="726"/>
      <c r="DF44" s="141"/>
      <c r="DG44" s="141"/>
      <c r="DH44" s="672"/>
      <c r="DI44" s="673"/>
      <c r="DJ44" s="692"/>
      <c r="DK44" s="1331"/>
      <c r="DL44" s="674"/>
      <c r="DM44" s="693"/>
      <c r="DN44" s="1334"/>
      <c r="DO44" s="675"/>
      <c r="DP44" s="676"/>
      <c r="DQ44" s="1419"/>
      <c r="DR44" s="677"/>
      <c r="DS44" s="1419"/>
      <c r="DT44" s="1421"/>
      <c r="DU44" s="1422"/>
      <c r="DV44" s="678"/>
      <c r="DW44" s="1336"/>
      <c r="DX44" s="679"/>
      <c r="DY44" s="674"/>
      <c r="DZ44" s="678"/>
      <c r="EA44" s="1336"/>
      <c r="EB44" s="679"/>
      <c r="EC44" s="674"/>
      <c r="ED44" s="678"/>
      <c r="EE44" s="1336"/>
      <c r="EF44" s="679"/>
      <c r="EG44" s="674"/>
      <c r="EH44" s="678"/>
      <c r="EI44" s="1336"/>
      <c r="EJ44" s="679"/>
      <c r="EK44" s="680"/>
      <c r="EL44" s="241"/>
      <c r="EM44" s="1631" t="str">
        <f t="shared" si="69"/>
        <v/>
      </c>
      <c r="EN44" s="1428" t="str">
        <f t="shared" si="70"/>
        <v/>
      </c>
      <c r="EO44" s="1429" t="str">
        <f t="shared" si="71"/>
        <v/>
      </c>
      <c r="EP44" s="1430" t="str">
        <f t="shared" si="72"/>
        <v/>
      </c>
      <c r="EQ44" s="1434" t="str">
        <f t="shared" si="73"/>
        <v/>
      </c>
      <c r="ER44" s="1440" t="str">
        <f t="shared" si="74"/>
        <v/>
      </c>
      <c r="ES44" s="1441" t="str">
        <f t="shared" si="75"/>
        <v/>
      </c>
      <c r="ET44" s="1442" t="str">
        <f t="shared" si="76"/>
        <v/>
      </c>
      <c r="EU44" s="1443" t="str">
        <f t="shared" si="91"/>
        <v/>
      </c>
      <c r="EX44" s="503" t="str">
        <f t="shared" ca="1" si="92"/>
        <v/>
      </c>
      <c r="EY44" s="940" t="str">
        <f t="shared" si="77"/>
        <v/>
      </c>
      <c r="EZ44" s="940" t="str">
        <f t="shared" si="93"/>
        <v/>
      </c>
      <c r="FA44" s="958" t="str">
        <f t="shared" ca="1" si="98"/>
        <v/>
      </c>
      <c r="FB44" s="134" t="str">
        <f t="shared" ca="1" si="94"/>
        <v/>
      </c>
      <c r="FC44" s="134">
        <f t="shared" ca="1" si="78"/>
        <v>0</v>
      </c>
      <c r="FD44" s="134">
        <f t="shared" ca="1" si="79"/>
        <v>0</v>
      </c>
      <c r="FE44" s="134">
        <f t="shared" ca="1" si="80"/>
        <v>0</v>
      </c>
      <c r="FF44" s="134">
        <f t="shared" ca="1" si="95"/>
        <v>0</v>
      </c>
      <c r="FN44" s="754" t="b">
        <v>0</v>
      </c>
      <c r="FO44" s="754" t="b">
        <f t="shared" si="81"/>
        <v>1</v>
      </c>
      <c r="FP44" s="754" t="b">
        <v>0</v>
      </c>
      <c r="FQ44" s="754" t="b">
        <f t="shared" si="96"/>
        <v>1</v>
      </c>
      <c r="GA44" s="1761" t="str">
        <f t="shared" si="82"/>
        <v/>
      </c>
      <c r="GB44" s="1762" t="str">
        <f t="shared" si="83"/>
        <v/>
      </c>
      <c r="GC44" s="1763" t="str">
        <f t="shared" si="84"/>
        <v/>
      </c>
      <c r="GD44" s="1764" t="str">
        <f t="shared" si="85"/>
        <v/>
      </c>
      <c r="GE44" s="1765" t="str">
        <f t="shared" si="86"/>
        <v/>
      </c>
      <c r="GF44" s="582" t="str">
        <f t="shared" si="87"/>
        <v/>
      </c>
      <c r="GG44" s="692"/>
      <c r="GH44" s="1135"/>
      <c r="GI44" s="692"/>
      <c r="GJ44" s="1135"/>
      <c r="GK44" s="1640">
        <f t="shared" si="88"/>
        <v>0</v>
      </c>
      <c r="GL44" s="1640" t="e">
        <f t="shared" si="89"/>
        <v>#VALUE!</v>
      </c>
      <c r="GM44" s="1641" t="e">
        <f>IF(ABS(GK44-GL44)&gt;='Job Info.'!$L$22,ABS(GK44-GL44),0)</f>
        <v>#VALUE!</v>
      </c>
      <c r="GO44" s="140"/>
      <c r="GP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61"/>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99"/>
        <v>0</v>
      </c>
    </row>
    <row r="45" spans="1:272" ht="12.6" customHeight="1" thickBot="1" x14ac:dyDescent="0.35">
      <c r="A45" s="1460" t="str">
        <f t="shared" si="0"/>
        <v/>
      </c>
      <c r="B45" s="1682" t="str">
        <f t="shared" si="1"/>
        <v/>
      </c>
      <c r="C45" s="1461" t="str">
        <f t="shared" si="2"/>
        <v/>
      </c>
      <c r="D45" s="1719" t="str">
        <f t="shared" si="3"/>
        <v/>
      </c>
      <c r="E45" s="1720" t="str">
        <f t="shared" si="4"/>
        <v/>
      </c>
      <c r="F45" s="1721" t="str">
        <f t="shared" si="5"/>
        <v/>
      </c>
      <c r="G45" s="1722" t="str">
        <f t="shared" si="6"/>
        <v/>
      </c>
      <c r="H45" s="1723" t="str">
        <f t="shared" si="7"/>
        <v/>
      </c>
      <c r="I45" s="1724" t="str">
        <f t="shared" si="8"/>
        <v/>
      </c>
      <c r="J45" s="1719" t="str">
        <f t="shared" si="9"/>
        <v/>
      </c>
      <c r="K45" s="1723" t="str">
        <f t="shared" si="10"/>
        <v/>
      </c>
      <c r="L45" s="1725" t="str">
        <f t="shared" si="11"/>
        <v/>
      </c>
      <c r="M45" s="1726" t="str">
        <f t="shared" si="12"/>
        <v/>
      </c>
      <c r="N45" s="1727" t="str">
        <f t="shared" si="12"/>
        <v/>
      </c>
      <c r="O45" s="1722" t="str">
        <f t="shared" si="13"/>
        <v/>
      </c>
      <c r="P45" s="1723" t="str">
        <f t="shared" si="14"/>
        <v/>
      </c>
      <c r="Q45" s="1719" t="str">
        <f t="shared" si="15"/>
        <v/>
      </c>
      <c r="R45" s="1720" t="str">
        <f t="shared" si="16"/>
        <v/>
      </c>
      <c r="S45" s="1728" t="str">
        <f t="shared" si="17"/>
        <v/>
      </c>
      <c r="T45" s="1723" t="str">
        <f t="shared" si="18"/>
        <v/>
      </c>
      <c r="U45" s="1719" t="str">
        <f t="shared" si="19"/>
        <v/>
      </c>
      <c r="V45" s="1723" t="str">
        <f t="shared" si="20"/>
        <v/>
      </c>
      <c r="W45" s="1727">
        <f t="shared" si="21"/>
        <v>0</v>
      </c>
      <c r="X45" s="1729" t="str">
        <f t="shared" si="22"/>
        <v/>
      </c>
      <c r="Y45" s="1730" t="str">
        <f t="shared" si="23"/>
        <v/>
      </c>
      <c r="Z45" s="1731" t="str">
        <f t="shared" si="24"/>
        <v/>
      </c>
      <c r="AA45" s="1777" t="str">
        <f t="shared" si="25"/>
        <v/>
      </c>
      <c r="AB45" s="1460" t="str">
        <f t="shared" si="26"/>
        <v/>
      </c>
      <c r="AC45" s="1724" t="str">
        <f t="shared" si="27"/>
        <v/>
      </c>
      <c r="AD45" s="1719" t="str">
        <f t="shared" ca="1" si="28"/>
        <v/>
      </c>
      <c r="AE45" s="1723" t="str">
        <f t="shared" ca="1" si="29"/>
        <v/>
      </c>
      <c r="AF45" s="1724" t="str">
        <f t="shared" ca="1" si="30"/>
        <v/>
      </c>
      <c r="AG45" s="1719" t="str">
        <f t="shared" ca="1" si="31"/>
        <v/>
      </c>
      <c r="AH45" s="1723" t="str">
        <f t="shared" ca="1" si="32"/>
        <v/>
      </c>
      <c r="AI45" s="1719" t="str">
        <f t="shared" ca="1" si="33"/>
        <v/>
      </c>
      <c r="AJ45" s="1723" t="str">
        <f t="shared" ca="1" si="34"/>
        <v/>
      </c>
      <c r="AK45" s="1754" t="str">
        <f t="shared" si="35"/>
        <v/>
      </c>
      <c r="AL45" s="1755" t="str">
        <f t="shared" si="36"/>
        <v/>
      </c>
      <c r="AM45" s="1756" t="str">
        <f t="shared" si="35"/>
        <v/>
      </c>
      <c r="AN45" s="1724" t="str">
        <f t="shared" si="35"/>
        <v/>
      </c>
      <c r="AO45" s="1727" t="str">
        <f t="shared" si="35"/>
        <v/>
      </c>
      <c r="AP45" s="1726" t="str">
        <f t="shared" si="37"/>
        <v/>
      </c>
      <c r="AQ45" s="1758" t="str">
        <f t="shared" si="38"/>
        <v/>
      </c>
      <c r="AR45" s="1722" t="str">
        <f t="shared" si="39"/>
        <v/>
      </c>
      <c r="AS45" s="1723" t="str">
        <f t="shared" si="40"/>
        <v/>
      </c>
      <c r="AT45" s="1759" t="str">
        <f t="shared" si="41"/>
        <v/>
      </c>
      <c r="AU45" s="1760" t="str">
        <f t="shared" si="42"/>
        <v/>
      </c>
      <c r="AV45" s="1728" t="str">
        <f t="shared" si="43"/>
        <v/>
      </c>
      <c r="AW45" s="1723" t="str">
        <f t="shared" si="44"/>
        <v/>
      </c>
      <c r="AX45" s="1759" t="str">
        <f t="shared" si="45"/>
        <v/>
      </c>
      <c r="AY45" s="1760" t="str">
        <f t="shared" si="46"/>
        <v/>
      </c>
      <c r="AZ45" s="1728" t="str">
        <f t="shared" si="47"/>
        <v/>
      </c>
      <c r="BA45" s="1723" t="str">
        <f t="shared" si="48"/>
        <v/>
      </c>
      <c r="BB45" s="1759" t="str">
        <f t="shared" si="49"/>
        <v/>
      </c>
      <c r="BC45" s="1760" t="str">
        <f t="shared" si="50"/>
        <v/>
      </c>
      <c r="BD45" s="1728" t="str">
        <f t="shared" si="51"/>
        <v/>
      </c>
      <c r="BE45" s="1723" t="str">
        <f t="shared" si="52"/>
        <v/>
      </c>
      <c r="BF45" s="1759" t="str">
        <f t="shared" si="53"/>
        <v/>
      </c>
      <c r="BG45" s="1760" t="str">
        <f t="shared" si="54"/>
        <v/>
      </c>
      <c r="BH45" s="1416"/>
      <c r="BJ45" s="995" t="str">
        <f t="shared" si="97"/>
        <v/>
      </c>
      <c r="BK45" s="993" t="b">
        <f t="shared" si="55"/>
        <v>0</v>
      </c>
      <c r="BL45" s="989" t="b">
        <v>0</v>
      </c>
      <c r="BM45" s="989">
        <f t="shared" si="56"/>
        <v>0</v>
      </c>
      <c r="BN45" s="989">
        <f t="shared" si="57"/>
        <v>0</v>
      </c>
      <c r="BO45" s="989">
        <f t="shared" si="58"/>
        <v>0</v>
      </c>
      <c r="BP45" s="989">
        <f t="shared" si="59"/>
        <v>0</v>
      </c>
      <c r="BQ45" s="989">
        <f t="shared" si="60"/>
        <v>0</v>
      </c>
      <c r="BR45" s="989" t="b">
        <f t="shared" si="61"/>
        <v>1</v>
      </c>
      <c r="BS45" s="1302">
        <f t="shared" si="62"/>
        <v>6</v>
      </c>
      <c r="BT45" s="990" t="str">
        <f t="shared" si="63"/>
        <v>No</v>
      </c>
      <c r="BU45" s="1302">
        <f t="shared" si="64"/>
        <v>6</v>
      </c>
      <c r="BV45" s="990" t="str">
        <f t="shared" si="65"/>
        <v>No</v>
      </c>
      <c r="BW45" s="991">
        <f t="shared" ca="1" si="66"/>
        <v>0</v>
      </c>
      <c r="BX45" s="991" t="str">
        <f t="shared" ca="1" si="67"/>
        <v/>
      </c>
      <c r="BY45" s="991" t="b">
        <f t="shared" ca="1" si="68"/>
        <v>0</v>
      </c>
      <c r="BZ45" s="991" t="b">
        <f t="shared" si="90"/>
        <v>0</v>
      </c>
      <c r="CB45" s="681"/>
      <c r="CC45" s="1685"/>
      <c r="CD45" s="704"/>
      <c r="CE45" s="705"/>
      <c r="CF45" s="706"/>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727"/>
      <c r="DE45" s="728"/>
      <c r="DF45" s="141"/>
      <c r="DG45" s="141"/>
      <c r="DH45" s="685"/>
      <c r="DI45" s="682"/>
      <c r="DJ45" s="694"/>
      <c r="DK45" s="1332"/>
      <c r="DL45" s="683"/>
      <c r="DM45" s="695"/>
      <c r="DN45" s="1335"/>
      <c r="DO45" s="684"/>
      <c r="DP45" s="685"/>
      <c r="DQ45" s="1420"/>
      <c r="DR45" s="686"/>
      <c r="DS45" s="1420"/>
      <c r="DT45" s="1423"/>
      <c r="DU45" s="1424"/>
      <c r="DV45" s="687"/>
      <c r="DW45" s="1337"/>
      <c r="DX45" s="688"/>
      <c r="DY45" s="683"/>
      <c r="DZ45" s="687"/>
      <c r="EA45" s="1337"/>
      <c r="EB45" s="688"/>
      <c r="EC45" s="683"/>
      <c r="ED45" s="687"/>
      <c r="EE45" s="1337"/>
      <c r="EF45" s="688"/>
      <c r="EG45" s="683"/>
      <c r="EH45" s="687"/>
      <c r="EI45" s="1337"/>
      <c r="EJ45" s="688"/>
      <c r="EK45" s="689"/>
      <c r="EL45" s="241"/>
      <c r="EM45" s="1633" t="str">
        <f t="shared" si="69"/>
        <v/>
      </c>
      <c r="EN45" s="1635" t="str">
        <f t="shared" si="70"/>
        <v/>
      </c>
      <c r="EO45" s="1431" t="str">
        <f t="shared" si="71"/>
        <v/>
      </c>
      <c r="EP45" s="1432" t="str">
        <f t="shared" si="72"/>
        <v/>
      </c>
      <c r="EQ45" s="1435" t="str">
        <f t="shared" si="73"/>
        <v/>
      </c>
      <c r="ER45" s="1444" t="str">
        <f t="shared" si="74"/>
        <v/>
      </c>
      <c r="ES45" s="1445" t="str">
        <f t="shared" si="75"/>
        <v/>
      </c>
      <c r="ET45" s="1446" t="str">
        <f t="shared" si="76"/>
        <v/>
      </c>
      <c r="EU45" s="1447" t="str">
        <f t="shared" si="91"/>
        <v/>
      </c>
      <c r="EX45" s="503" t="str">
        <f t="shared" ca="1" si="92"/>
        <v/>
      </c>
      <c r="EY45" s="940" t="str">
        <f t="shared" si="77"/>
        <v/>
      </c>
      <c r="EZ45" s="940" t="str">
        <f t="shared" si="93"/>
        <v/>
      </c>
      <c r="FA45" s="958" t="str">
        <f t="shared" ca="1" si="98"/>
        <v/>
      </c>
      <c r="FB45" s="134" t="str">
        <f t="shared" ca="1" si="94"/>
        <v/>
      </c>
      <c r="FC45" s="134">
        <f t="shared" ca="1" si="78"/>
        <v>0</v>
      </c>
      <c r="FD45" s="134">
        <f t="shared" ca="1" si="79"/>
        <v>0</v>
      </c>
      <c r="FE45" s="134">
        <f t="shared" ca="1" si="80"/>
        <v>0</v>
      </c>
      <c r="FF45" s="134">
        <f t="shared" ca="1" si="95"/>
        <v>0</v>
      </c>
      <c r="FN45" s="754" t="b">
        <v>0</v>
      </c>
      <c r="FO45" s="754" t="b">
        <f t="shared" si="81"/>
        <v>1</v>
      </c>
      <c r="FP45" s="754" t="b">
        <v>0</v>
      </c>
      <c r="FQ45" s="754" t="b">
        <f t="shared" si="96"/>
        <v>1</v>
      </c>
      <c r="FW45" s="102"/>
      <c r="FX45" s="102"/>
      <c r="FZ45" s="104"/>
      <c r="GA45" s="1761" t="str">
        <f t="shared" si="82"/>
        <v/>
      </c>
      <c r="GB45" s="1762" t="str">
        <f t="shared" si="83"/>
        <v/>
      </c>
      <c r="GC45" s="1763" t="str">
        <f t="shared" si="84"/>
        <v/>
      </c>
      <c r="GD45" s="1764" t="str">
        <f t="shared" si="85"/>
        <v/>
      </c>
      <c r="GE45" s="1765" t="str">
        <f t="shared" si="86"/>
        <v/>
      </c>
      <c r="GF45" s="582" t="str">
        <f t="shared" si="87"/>
        <v/>
      </c>
      <c r="GG45" s="1136"/>
      <c r="GH45" s="1137"/>
      <c r="GI45" s="1136"/>
      <c r="GJ45" s="1137"/>
      <c r="GK45" s="1640">
        <f t="shared" si="88"/>
        <v>0</v>
      </c>
      <c r="GL45" s="1640" t="e">
        <f t="shared" si="89"/>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62"/>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99"/>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42"/>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00">IF(GF48="","",CE48)</f>
        <v/>
      </c>
      <c r="GB48" s="623" t="str">
        <f t="shared" ref="GB48" si="101">IF(GF48="","",CF48)</f>
        <v/>
      </c>
      <c r="GC48" s="625" t="str">
        <f t="shared" ref="GC48" si="102">IF(GF48="","",IF(CD88="",0,CD88))</f>
        <v/>
      </c>
      <c r="GD48" s="626" t="str">
        <f t="shared" ref="GD48" si="103">IF(GF48="","",IF(CM88="",0,CM88))</f>
        <v/>
      </c>
      <c r="GE48" s="624"/>
      <c r="GF48" s="582"/>
      <c r="GG48" s="1639"/>
      <c r="GH48" s="1642"/>
      <c r="GI48" s="1639"/>
      <c r="GJ48" s="1642"/>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153" t="s">
        <v>472</v>
      </c>
      <c r="EE50" s="2153" t="s">
        <v>525</v>
      </c>
      <c r="EF50" s="2153" t="s">
        <v>526</v>
      </c>
      <c r="EG50" s="2153" t="s">
        <v>527</v>
      </c>
      <c r="EH50" s="2153" t="s">
        <v>528</v>
      </c>
      <c r="EI50" s="2153" t="s">
        <v>529</v>
      </c>
      <c r="EJ50" s="2153" t="s">
        <v>530</v>
      </c>
      <c r="EK50" s="2153" t="s">
        <v>531</v>
      </c>
      <c r="EL50" s="2153" t="s">
        <v>473</v>
      </c>
      <c r="EM50" s="2153" t="s">
        <v>532</v>
      </c>
      <c r="EN50" s="2153" t="s">
        <v>583</v>
      </c>
      <c r="EO50" s="2153" t="s">
        <v>474</v>
      </c>
      <c r="EP50" s="2153" t="s">
        <v>533</v>
      </c>
      <c r="EQ50" s="2153" t="s">
        <v>475</v>
      </c>
      <c r="ER50" s="2153" t="s">
        <v>534</v>
      </c>
      <c r="ES50" s="2153" t="s">
        <v>584</v>
      </c>
      <c r="ET50" s="2153" t="s">
        <v>476</v>
      </c>
      <c r="EU50" s="2153" t="s">
        <v>477</v>
      </c>
      <c r="EV50" s="293"/>
      <c r="EW50" s="293"/>
      <c r="EX50" s="293"/>
      <c r="EY50" s="293"/>
      <c r="EZ50" s="293"/>
      <c r="FA50" s="293"/>
      <c r="FB50" s="293"/>
      <c r="FC50" s="293"/>
      <c r="FD50" s="293"/>
      <c r="FG50" s="117"/>
      <c r="FH50" s="117"/>
      <c r="FI50" s="117"/>
      <c r="FJ50" s="117"/>
      <c r="FK50" s="117"/>
      <c r="FL50" s="246"/>
      <c r="FM50" s="246"/>
      <c r="FN50" s="2226" t="s">
        <v>616</v>
      </c>
      <c r="FO50" s="2227"/>
      <c r="FP50" s="2227"/>
      <c r="FQ50" s="2227"/>
      <c r="FR50" s="2227"/>
      <c r="FS50" s="2228"/>
      <c r="FT50" s="2195" t="s">
        <v>617</v>
      </c>
      <c r="FU50" s="2196"/>
      <c r="FV50" s="2196"/>
      <c r="FW50" s="2196"/>
      <c r="FX50" s="2196"/>
      <c r="FY50" s="2196"/>
      <c r="FZ50" s="2197"/>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065" t="s">
        <v>614</v>
      </c>
      <c r="CD51" s="2066"/>
      <c r="CE51" s="2066"/>
      <c r="CF51" s="2066"/>
      <c r="CG51" s="2066"/>
      <c r="CH51" s="2066"/>
      <c r="CI51" s="2066"/>
      <c r="CJ51" s="2066"/>
      <c r="CK51" s="2067"/>
      <c r="CL51" s="2065" t="s">
        <v>470</v>
      </c>
      <c r="CM51" s="2066"/>
      <c r="CN51" s="2066"/>
      <c r="CO51" s="2066"/>
      <c r="CP51" s="2066"/>
      <c r="CQ51" s="2066"/>
      <c r="CR51" s="2066"/>
      <c r="CS51" s="2066"/>
      <c r="CT51" s="2067"/>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044"/>
      <c r="EE51" s="2154"/>
      <c r="EF51" s="2154"/>
      <c r="EG51" s="2155"/>
      <c r="EH51" s="2154"/>
      <c r="EI51" s="2154"/>
      <c r="EJ51" s="2154"/>
      <c r="EK51" s="2044"/>
      <c r="EL51" s="2044"/>
      <c r="EM51" s="2044"/>
      <c r="EN51" s="2154"/>
      <c r="EO51" s="2044"/>
      <c r="EP51" s="2044"/>
      <c r="EQ51" s="2044"/>
      <c r="ER51" s="2044"/>
      <c r="ES51" s="2044"/>
      <c r="ET51" s="2044"/>
      <c r="EU51" s="2044"/>
      <c r="EV51" s="293"/>
      <c r="EW51" s="293"/>
      <c r="EX51" s="2216" t="s">
        <v>618</v>
      </c>
      <c r="EY51" s="2214" t="s">
        <v>619</v>
      </c>
      <c r="EZ51" s="293"/>
      <c r="FA51" s="293"/>
      <c r="FB51" s="293"/>
      <c r="FC51" s="293"/>
      <c r="FD51" s="293"/>
      <c r="FF51" s="2182" t="s">
        <v>947</v>
      </c>
      <c r="FG51" s="2183"/>
      <c r="FH51" s="2183"/>
      <c r="FI51" s="2183"/>
      <c r="FL51" s="246"/>
      <c r="FM51" s="246"/>
      <c r="FN51" s="2229"/>
      <c r="FO51" s="2230"/>
      <c r="FP51" s="2230"/>
      <c r="FQ51" s="2230"/>
      <c r="FR51" s="2230"/>
      <c r="FS51" s="2231"/>
      <c r="FT51" s="2198"/>
      <c r="FU51" s="2199"/>
      <c r="FV51" s="2199"/>
      <c r="FW51" s="2199"/>
      <c r="FX51" s="2199"/>
      <c r="FY51" s="2199"/>
      <c r="FZ51" s="2200"/>
      <c r="GA51" s="245"/>
      <c r="GB51" s="245"/>
      <c r="GC51" s="245"/>
      <c r="GD51" s="245"/>
      <c r="GE51" s="245"/>
      <c r="GF51" s="245"/>
      <c r="GG51" s="245"/>
      <c r="GH51" s="245"/>
      <c r="GI51" s="245"/>
      <c r="GJ51" s="245"/>
      <c r="GK51" s="2"/>
    </row>
    <row r="52" spans="1:193" ht="12.6" hidden="1" customHeight="1" thickTop="1" thickBot="1" x14ac:dyDescent="0.25">
      <c r="BZ52" s="293"/>
      <c r="CA52" s="293"/>
      <c r="CB52" s="2141" t="s">
        <v>613</v>
      </c>
      <c r="CC52" s="2058" t="s">
        <v>498</v>
      </c>
      <c r="CD52" s="2060" t="s">
        <v>499</v>
      </c>
      <c r="CE52" s="2060" t="s">
        <v>500</v>
      </c>
      <c r="CF52" s="2060" t="s">
        <v>501</v>
      </c>
      <c r="CG52" s="2060" t="s">
        <v>560</v>
      </c>
      <c r="CH52" s="2060" t="s">
        <v>502</v>
      </c>
      <c r="CI52" s="2060" t="s">
        <v>579</v>
      </c>
      <c r="CJ52" s="2060" t="s">
        <v>503</v>
      </c>
      <c r="CK52" s="2062" t="s">
        <v>504</v>
      </c>
      <c r="CL52" s="2058" t="s">
        <v>498</v>
      </c>
      <c r="CM52" s="2060" t="s">
        <v>499</v>
      </c>
      <c r="CN52" s="2060" t="s">
        <v>505</v>
      </c>
      <c r="CO52" s="2060" t="s">
        <v>501</v>
      </c>
      <c r="CP52" s="2060" t="s">
        <v>560</v>
      </c>
      <c r="CQ52" s="2060" t="s">
        <v>502</v>
      </c>
      <c r="CR52" s="2060" t="s">
        <v>579</v>
      </c>
      <c r="CS52" s="2060" t="s">
        <v>503</v>
      </c>
      <c r="CT52" s="2062" t="s">
        <v>504</v>
      </c>
      <c r="CU52" s="2148" t="s">
        <v>491</v>
      </c>
      <c r="CV52" s="2047" t="s">
        <v>506</v>
      </c>
      <c r="CW52" s="2047" t="s">
        <v>507</v>
      </c>
      <c r="CX52" s="2053" t="s">
        <v>508</v>
      </c>
      <c r="CY52" s="2043" t="s">
        <v>543</v>
      </c>
      <c r="CZ52" s="2151" t="s">
        <v>509</v>
      </c>
      <c r="DA52" s="2152"/>
      <c r="DB52" s="2043" t="s">
        <v>510</v>
      </c>
      <c r="DC52" s="2047" t="s">
        <v>513</v>
      </c>
      <c r="DD52" s="2047" t="s">
        <v>514</v>
      </c>
      <c r="DE52" s="2043" t="s">
        <v>544</v>
      </c>
      <c r="DF52" s="2151" t="s">
        <v>511</v>
      </c>
      <c r="DG52" s="2152"/>
      <c r="DH52" s="2047" t="s">
        <v>512</v>
      </c>
      <c r="DI52" s="2047" t="s">
        <v>515</v>
      </c>
      <c r="DJ52" s="2047" t="s">
        <v>516</v>
      </c>
      <c r="DK52" s="2047" t="s">
        <v>517</v>
      </c>
      <c r="DL52" s="2047" t="s">
        <v>545</v>
      </c>
      <c r="DM52" s="2045" t="s">
        <v>546</v>
      </c>
      <c r="DN52" s="2046"/>
      <c r="DO52" s="2045" t="s">
        <v>547</v>
      </c>
      <c r="DP52" s="2052"/>
      <c r="DQ52" s="2053" t="s">
        <v>548</v>
      </c>
      <c r="DR52" s="2054"/>
      <c r="DS52" s="2047" t="s">
        <v>568</v>
      </c>
      <c r="DT52" s="2045" t="s">
        <v>549</v>
      </c>
      <c r="DU52" s="2046"/>
      <c r="DV52" s="2045" t="s">
        <v>550</v>
      </c>
      <c r="DW52" s="2052"/>
      <c r="DX52" s="2053" t="s">
        <v>551</v>
      </c>
      <c r="DY52" s="2054"/>
      <c r="DZ52" s="2047" t="s">
        <v>12</v>
      </c>
      <c r="EA52" s="2047" t="s">
        <v>13</v>
      </c>
      <c r="EB52" s="2047" t="s">
        <v>582</v>
      </c>
      <c r="EC52" s="2047" t="s">
        <v>581</v>
      </c>
      <c r="ED52" s="2044"/>
      <c r="EE52" s="2154"/>
      <c r="EF52" s="2154"/>
      <c r="EG52" s="2155"/>
      <c r="EH52" s="2154"/>
      <c r="EI52" s="2154"/>
      <c r="EJ52" s="2154"/>
      <c r="EK52" s="2044"/>
      <c r="EL52" s="2044"/>
      <c r="EM52" s="2044"/>
      <c r="EN52" s="2154"/>
      <c r="EO52" s="2044"/>
      <c r="EP52" s="2044"/>
      <c r="EQ52" s="2044"/>
      <c r="ER52" s="2044"/>
      <c r="ES52" s="2044"/>
      <c r="ET52" s="2044"/>
      <c r="EU52" s="2044"/>
      <c r="EV52" s="2047" t="s">
        <v>590</v>
      </c>
      <c r="EW52" s="2047" t="s">
        <v>591</v>
      </c>
      <c r="EX52" s="2217"/>
      <c r="EY52" s="2214"/>
      <c r="EZ52" s="2177" t="s">
        <v>518</v>
      </c>
      <c r="FA52" s="2179" t="s">
        <v>519</v>
      </c>
      <c r="FB52" s="2218" t="s">
        <v>682</v>
      </c>
      <c r="FC52" s="2218" t="s">
        <v>683</v>
      </c>
      <c r="FD52" s="2175" t="s">
        <v>787</v>
      </c>
      <c r="FE52" s="2176"/>
      <c r="FF52" s="246" t="s">
        <v>948</v>
      </c>
      <c r="FK52" s="2161" t="s">
        <v>789</v>
      </c>
      <c r="FL52" s="2163" t="s">
        <v>620</v>
      </c>
      <c r="FM52" s="2165" t="s">
        <v>490</v>
      </c>
      <c r="FN52" s="2173" t="s">
        <v>492</v>
      </c>
      <c r="FO52" s="2288" t="s">
        <v>493</v>
      </c>
      <c r="FP52" s="2279" t="s">
        <v>494</v>
      </c>
      <c r="FQ52" s="2279" t="s">
        <v>495</v>
      </c>
      <c r="FR52" s="2284" t="s">
        <v>496</v>
      </c>
      <c r="FS52" s="2281" t="s">
        <v>497</v>
      </c>
      <c r="FT52" s="2159" t="s">
        <v>642</v>
      </c>
      <c r="FU52" s="2157" t="s">
        <v>484</v>
      </c>
      <c r="FV52" s="2157" t="s">
        <v>645</v>
      </c>
      <c r="FW52" s="2157" t="s">
        <v>644</v>
      </c>
      <c r="FX52" s="2157" t="s">
        <v>485</v>
      </c>
      <c r="FY52" s="2157" t="s">
        <v>643</v>
      </c>
      <c r="FZ52" s="2157" t="s">
        <v>646</v>
      </c>
      <c r="GA52" s="2157" t="s">
        <v>486</v>
      </c>
      <c r="GB52" s="2224" t="s">
        <v>487</v>
      </c>
      <c r="GC52" s="2222" t="s">
        <v>625</v>
      </c>
      <c r="GD52" s="207"/>
      <c r="GE52" s="133"/>
      <c r="GF52" s="133"/>
      <c r="GG52" s="137"/>
      <c r="GH52" s="137"/>
      <c r="GI52" s="138"/>
      <c r="GJ52" s="2220" t="s">
        <v>647</v>
      </c>
      <c r="GK52" s="2"/>
    </row>
    <row r="53" spans="1:193" ht="12.6" hidden="1" customHeight="1" thickTop="1" thickBot="1" x14ac:dyDescent="0.25">
      <c r="BZ53" s="293"/>
      <c r="CA53" s="293"/>
      <c r="CB53" s="2142"/>
      <c r="CC53" s="2059"/>
      <c r="CD53" s="2064"/>
      <c r="CE53" s="2064"/>
      <c r="CF53" s="2061"/>
      <c r="CG53" s="2061"/>
      <c r="CH53" s="2061"/>
      <c r="CI53" s="2061"/>
      <c r="CJ53" s="2061"/>
      <c r="CK53" s="2063"/>
      <c r="CL53" s="2059"/>
      <c r="CM53" s="2064"/>
      <c r="CN53" s="2064"/>
      <c r="CO53" s="2061"/>
      <c r="CP53" s="2061"/>
      <c r="CQ53" s="2061"/>
      <c r="CR53" s="2061"/>
      <c r="CS53" s="2061"/>
      <c r="CT53" s="2063"/>
      <c r="CU53" s="2149"/>
      <c r="CV53" s="2048"/>
      <c r="CW53" s="2147"/>
      <c r="CX53" s="2150"/>
      <c r="CY53" s="2044"/>
      <c r="CZ53" s="343" t="s">
        <v>554</v>
      </c>
      <c r="DA53" s="343" t="s">
        <v>555</v>
      </c>
      <c r="DB53" s="2044"/>
      <c r="DC53" s="2048"/>
      <c r="DD53" s="2048"/>
      <c r="DE53" s="2044"/>
      <c r="DF53" s="343" t="s">
        <v>554</v>
      </c>
      <c r="DG53" s="343" t="s">
        <v>555</v>
      </c>
      <c r="DH53" s="2048"/>
      <c r="DI53" s="2048"/>
      <c r="DJ53" s="2048"/>
      <c r="DK53" s="2048"/>
      <c r="DL53" s="2048"/>
      <c r="DM53" s="344" t="s">
        <v>521</v>
      </c>
      <c r="DN53" s="344" t="s">
        <v>522</v>
      </c>
      <c r="DO53" s="344" t="s">
        <v>521</v>
      </c>
      <c r="DP53" s="344" t="s">
        <v>522</v>
      </c>
      <c r="DQ53" s="344" t="s">
        <v>521</v>
      </c>
      <c r="DR53" s="344" t="s">
        <v>522</v>
      </c>
      <c r="DS53" s="2048"/>
      <c r="DT53" s="344" t="s">
        <v>521</v>
      </c>
      <c r="DU53" s="344" t="s">
        <v>522</v>
      </c>
      <c r="DV53" s="344" t="s">
        <v>521</v>
      </c>
      <c r="DW53" s="344" t="s">
        <v>522</v>
      </c>
      <c r="DX53" s="344" t="s">
        <v>521</v>
      </c>
      <c r="DY53" s="344" t="s">
        <v>522</v>
      </c>
      <c r="DZ53" s="2048"/>
      <c r="EA53" s="2048"/>
      <c r="EB53" s="2156"/>
      <c r="EC53" s="2156"/>
      <c r="ED53" s="2044"/>
      <c r="EE53" s="2154"/>
      <c r="EF53" s="2154"/>
      <c r="EG53" s="2155"/>
      <c r="EH53" s="2154"/>
      <c r="EI53" s="2154"/>
      <c r="EJ53" s="2154"/>
      <c r="EK53" s="2044"/>
      <c r="EL53" s="2044"/>
      <c r="EM53" s="2044"/>
      <c r="EN53" s="2154"/>
      <c r="EO53" s="2044"/>
      <c r="EP53" s="2044"/>
      <c r="EQ53" s="2044"/>
      <c r="ER53" s="2044"/>
      <c r="ES53" s="2044"/>
      <c r="ET53" s="2044"/>
      <c r="EU53" s="2044"/>
      <c r="EV53" s="2048"/>
      <c r="EW53" s="2048"/>
      <c r="EX53" s="2217"/>
      <c r="EY53" s="2215"/>
      <c r="EZ53" s="2178"/>
      <c r="FA53" s="2063"/>
      <c r="FB53" s="2219"/>
      <c r="FC53" s="2219"/>
      <c r="FD53" s="508" t="s">
        <v>606</v>
      </c>
      <c r="FE53" s="509" t="s">
        <v>607</v>
      </c>
      <c r="FF53" s="251" t="s">
        <v>949</v>
      </c>
      <c r="FG53" s="251" t="s">
        <v>950</v>
      </c>
      <c r="FH53" s="251" t="s">
        <v>951</v>
      </c>
      <c r="FI53" s="251" t="s">
        <v>952</v>
      </c>
      <c r="FK53" s="2162"/>
      <c r="FL53" s="2164"/>
      <c r="FM53" s="2166"/>
      <c r="FN53" s="2174"/>
      <c r="FO53" s="2280"/>
      <c r="FP53" s="2280"/>
      <c r="FQ53" s="2280"/>
      <c r="FR53" s="2280"/>
      <c r="FS53" s="2282"/>
      <c r="FT53" s="2283"/>
      <c r="FU53" s="2285"/>
      <c r="FV53" s="2285"/>
      <c r="FW53" s="2285"/>
      <c r="FX53" s="2285"/>
      <c r="FY53" s="2285"/>
      <c r="FZ53" s="2285"/>
      <c r="GA53" s="2290"/>
      <c r="GB53" s="2278"/>
      <c r="GC53" s="2291"/>
      <c r="GD53" s="208" t="s">
        <v>623</v>
      </c>
      <c r="GE53" s="142" t="s">
        <v>624</v>
      </c>
      <c r="GF53" s="135" t="s">
        <v>626</v>
      </c>
      <c r="GG53" s="135" t="s">
        <v>627</v>
      </c>
      <c r="GH53" s="135" t="s">
        <v>628</v>
      </c>
      <c r="GI53" s="136" t="s">
        <v>629</v>
      </c>
      <c r="GJ53" s="2221"/>
      <c r="GK53" s="757" t="s">
        <v>953</v>
      </c>
    </row>
    <row r="54" spans="1:193" ht="12.6" hidden="1" customHeight="1" thickTop="1" x14ac:dyDescent="0.2">
      <c r="BZ54" s="293"/>
      <c r="CA54" s="293"/>
      <c r="CB54" s="365" t="str">
        <f t="shared" ref="CB54:CB85" si="104">IF(CB14="","",CB14)</f>
        <v/>
      </c>
      <c r="CC54" s="366" t="str">
        <f>IF(CG14="","",VLOOKUP(CG14,SectInfo!$B:$N,12,FALSE))</f>
        <v/>
      </c>
      <c r="CD54" s="1305" t="str">
        <f>IF(ISBLANK(CN14),IF(CG14="","",VLOOKUP(CG14,SectInfo!$B:$N,13,FALSE)),CN14)</f>
        <v/>
      </c>
      <c r="CE54" s="1305" t="str">
        <f>IF(CG14="","",IF(VLOOKUP(CG14,SectInfo!$B:$N,5,FALSE)="","R",UPPER(VLOOKUP(CG14,SectInfo!$B:$N,5,FALSE))))</f>
        <v/>
      </c>
      <c r="CF54" s="1305" t="str">
        <f>IF(ISBLANK(CP14),IF(CG14="","",VLOOKUP(CG14,SectInfo!$B:$N,6,FALSE)),CP14)</f>
        <v/>
      </c>
      <c r="CG54" s="1305" t="str">
        <f>IF(CG14="","",IF(VLOOKUP(CG14,SectInfo!$B:$N,10,FALSE)="","",(VLOOKUP(CG14,SectInfo!$B:$N,10,FALSE)*-1)))</f>
        <v/>
      </c>
      <c r="CH54" s="1305" t="str">
        <f>IF(CG14="","",IF(VLOOKUP(CG14,SectInfo!$B:$N,7,FALSE)="","",(VLOOKUP(CG14,SectInfo!$B:$N,7,FALSE)*-1)))</f>
        <v/>
      </c>
      <c r="CI54" s="1305" t="str">
        <f>IF(CG14="","",IF(VLOOKUP(CG14,SectInfo!$B:$N,8,FALSE)="",$FC$4,(VLOOKUP(CG14,SectInfo!$B:$N,8,FALSE))))</f>
        <v/>
      </c>
      <c r="CJ54" s="1305" t="str">
        <f>IF(CG14="","",VLOOKUP(CG14,SectInfo!$B:$N,9,FALSE))</f>
        <v/>
      </c>
      <c r="CK54" s="1306">
        <f t="shared" ref="CK54:CK85" si="105">CM14*-1</f>
        <v>0</v>
      </c>
      <c r="CL54" s="1304" t="str">
        <f>IF(CQ14="","",VLOOKUP(CQ14,SectInfo!$B:$N,12,FALSE))</f>
        <v/>
      </c>
      <c r="CM54" s="1305" t="str">
        <f>IF(ISBLANK(CX14),IF(CQ14="","",VLOOKUP(CQ14,SectInfo!$B:$N,13,FALSE)),CX14)</f>
        <v/>
      </c>
      <c r="CN54" s="1305" t="str">
        <f>IF(CQ14="","",IF(VLOOKUP(CQ14,SectInfo!$B:$N,5,FALSE)="","R",UPPER(VLOOKUP(CQ14,SectInfo!$B:$N,5,FALSE))))</f>
        <v/>
      </c>
      <c r="CO54" s="1305" t="str">
        <f>IF(ISBLANK(CZ14),IF(CQ14="","",VLOOKUP(CQ14,SectInfo!$B:$N,6,FALSE)),CZ14)</f>
        <v/>
      </c>
      <c r="CP54" s="1305" t="str">
        <f>IF(CQ14="","",IF(VLOOKUP(CQ14,SectInfo!$B:$N,10,FALSE)="","",(VLOOKUP(CQ14,SectInfo!$B:$N,10,FALSE)*-1)))</f>
        <v/>
      </c>
      <c r="CQ54" s="1305" t="str">
        <f>IF(CQ14="","",IF(VLOOKUP(CQ14,SectInfo!$B:$N,7,FALSE)="","",(VLOOKUP(CQ14,SectInfo!$B:$N,7,FALSE)*-1)))</f>
        <v/>
      </c>
      <c r="CR54" s="1305" t="str">
        <f>IF(CQ14="","",IF(VLOOKUP(CQ14,SectInfo!$B:$N,8,FALSE)="",$FC$4,(VLOOKUP(CQ14,SectInfo!$B:$N,8,FALSE))))</f>
        <v/>
      </c>
      <c r="CS54" s="1305" t="str">
        <f>IF(CQ14="","",VLOOKUP(CQ14,SectInfo!$B:$N,9,FALSE))</f>
        <v/>
      </c>
      <c r="CT54" s="1306">
        <f t="shared" ref="CT54:CT85" si="106">CW14*-1</f>
        <v>0</v>
      </c>
      <c r="CU54" s="1316">
        <f t="shared" ref="CU54:CU85" si="107">IF(DA14="",0,ATAN(DA14/12))</f>
        <v>0</v>
      </c>
      <c r="CV54" s="1310" t="str">
        <f t="shared" ref="CV54:CV85" si="108">IF(OR(CD54="",CE14="",CM54=""),"",CEILING(IF(AND(CE14="",CF14=""),"",((CE14*12+CF14)+CD54+CM54)/COS(EU54))-0.0625,0.125))</f>
        <v/>
      </c>
      <c r="CW54" s="1310" t="str">
        <f t="shared" ref="CW54:CW85" si="109">IF(CF54="","",IF(ABS(EM54)&lt;ABS($FA$2),CF54,IF(EM54=0,CF54,CEILING((CF54+((DC54-CD54)/12)*EM54)-0.0625,0.125))))</f>
        <v/>
      </c>
      <c r="CX54" s="1310" t="str">
        <f t="shared" ref="CX54:CX85" si="110">IF(CO54="","",IF(ABS(ER54)&lt;ABS($FA$2),CO54,IF(ER54=0,CO54,CEILING((CO54+((DI54-CM54)/12)*ER54)-0.0625,0.125))))</f>
        <v/>
      </c>
      <c r="CY54" s="1312">
        <f t="shared" ref="CY54:CY85" si="111">RADIANS(ABS(CL14))</f>
        <v>0</v>
      </c>
      <c r="CZ54" s="1312">
        <f t="shared" ref="CZ54:CZ85" si="112">MIN(IF(CH14&gt;0,CH14/2,MAX(CI14/2,CJ54)),IF(CI14&gt;0,CI14/2,MAX(CH14/2,CJ54)),IF(CJ54&gt;0,CJ54,MAX(CI14/2,CH14/2)))/IF(OR(CC54="C",AND(CC54="M",$FG$1="N")),1,COS(CY54))</f>
        <v>0</v>
      </c>
      <c r="DA54" s="1312" t="str">
        <f t="shared" ref="DA54:DA85" si="113">IF(CD54="","",IF(CJ54&gt;=0,MAX(CH14/2,CI14/2,CJ54),CJ54)/IF(OR(CC54="C",AND(CC54="M",$FG$1="N")),1,COS(CY54)))</f>
        <v/>
      </c>
      <c r="DB54" s="1310" t="str">
        <f>IF(CD54="","",CD54+DA54+($EY$4*TAN(CY54)))</f>
        <v/>
      </c>
      <c r="DC54" s="1310" t="str">
        <f t="shared" ref="DC54:DC85" si="114">IF(CD54="","",IF(NOT(ISBLANK(CO14)),CD54-CO14,MAX(IF(AND(CZ54&gt;=$FB$4,DA54&lt;=$FA$4,OR($FA$1=1,$FA$1=4)),CD54,IF(OR($FA$1=3,$FA$1=4),DB54-$FA$4,DB54+MAX(($FA$4-$FB$4)-(DA54-CZ54)-$EY$4/2*TAN(CY54),0)-$FA$4))-EO54,0)))</f>
        <v/>
      </c>
      <c r="DD54" s="875">
        <f>IF(CD54="",0,IF(DC54/COS(EU54)&lt;0.0625,0,CEILING(DC54/COS(EU54)-0.03125,0.125)))</f>
        <v>0</v>
      </c>
      <c r="DE54" s="873">
        <f t="shared" ref="DE54:DE85" si="115">RADIANS(ABS(CV14))</f>
        <v>0</v>
      </c>
      <c r="DF54" s="874">
        <f t="shared" ref="DF54:DF85" si="116">MIN(IF(CR14&gt;0,CR14/2,MAX(CS14/2,CS54)),IF(CS14&gt;0,CS14/2,MAX(CR14/2,CS54)),IF(CS54&gt;0,CS54,MAX(CS14/2,CR14/2)))/IF(OR(CL54="C",AND(CL54="M",$FG$1="N")),1,COS(DE54))</f>
        <v>0</v>
      </c>
      <c r="DG54" s="874" t="str">
        <f t="shared" ref="DG54:DG85" si="117">IF(CM54="","",IF(CS54&gt;=0,MAX(CR14/2,CS14/2,CS54),CS54)/IF(OR(CL54="C",AND(CL54="M",$FG$1="N")),1,COS(DE54)))</f>
        <v/>
      </c>
      <c r="DH54" s="1310" t="str">
        <f>IF(CM54="","",CM54+DG54+($EY$4*TAN(DE54)))</f>
        <v/>
      </c>
      <c r="DI54" s="1310" t="str">
        <f t="shared" ref="DI54:DI85" si="118">IF(CM54="","",IF(NOT(ISBLANK(CY14)),CM54-CY14,MAX(IF(AND(DF54&gt;=$FB$4,DG54&lt;=$FA$4,OR($FA$1=1,$FA$1=4)),CM54,IF(OR($FA$1=3,$FA$1=4),DH54-$FA$4,DH54+MAX(($FA$4-$FB$4)-(DG54-DF54)-$EY$4/2*TAN(DE54),0)-$FA$4))-ET54,0)-CY14))</f>
        <v/>
      </c>
      <c r="DJ54" s="1311">
        <f>IF(CM54="",0,IF(DI54/COS(EU54)&lt;0.0625,0,CEILING(DI54/COS(EU54)-0.03125,0.125)))</f>
        <v>0</v>
      </c>
      <c r="DK54" s="1310" t="str">
        <f t="shared" ref="DK54:DK74" si="119">IF(CV54="","",CEILING(CV54-DD54-DJ54-0.0625,0.125))</f>
        <v/>
      </c>
      <c r="DL54" s="1310" t="str">
        <f t="shared" ref="DL54:DL74" si="120">IF(AND(EG54="",CH54=""),"",IF(EG54="ERR","ERR",IF(ISNUMBER(EG54),(EG54/2)*-1,CH54)))</f>
        <v/>
      </c>
      <c r="DM54" s="1310" t="str">
        <f t="shared" ref="DM54:DM85" si="121">IF(DL54="ERR","ERR",IF(DL54="","",IF(CR54*TAN(CY54)&lt;=($FE$4-($FD$4-0.0625)),CD54-(DL54-EO54)/IF(OR(CC54="C",AND(CC54="M",$FG$1="N")),1,COS(CY54))-IF(MID(CE54,1,1)="R",0,DC54),(ABS(DL54-EO54)/IF(OR(CC54="C",AND(CC54="M",$FG$1="N")),1,COS(CY54))+CD54)-((CR54/2)*TAN(CY54))-IF(MID(CE54,1,1)="R",0,DC54))))</f>
        <v/>
      </c>
      <c r="DN54" s="1310" t="str">
        <f t="shared" ref="DN54:DN85" si="122">IF(DL54="ERR","ERR",IF(DL54="","",IF(CI54*TAN(CY54)&lt;=($FE$4-($FD$4-0.0625)),CD54-(DL54-EO54)/IF(OR(CC54="C",AND(CC54="M",$FG$1="N")),1,COS(CY54))-IF(MID(CE54,1,1)="R",0,DC54),(ABS(DL54-EO54)/IF(OR(CC54="C",AND(CC54="M",$FG$1="N")),1,COS(CY54))+CD54)+((CI54/2)*TAN(CY54))-IF(MID(CE54,1,1)="R",0,DC54))))</f>
        <v/>
      </c>
      <c r="DO54" s="889" t="str">
        <f t="shared" ref="DO54:DO85" si="123">IF(ISBLANK(CO14),IF(DM54&lt;$EX$6+($FD$4-0.0625)/2,"ERR",IF(DM54&lt;$EX$6+$FE$4/2,($FE$4/2+$EX$6),IF(DM54&lt;$FA$4+IF(MID(CE54,1,1)="R",DC54+CO14,0)-$FE$4/2-$EX$6,DM54,IF(DM54&lt;=$FA$4+IF(MID(CE54,1,1)="R",DC54,0)-($FD$4-0.0625)/2-$EX$6,$FA$4+IF(MID(CE54,1,1)="R",DC54,0)-($FE$4/2+$EX$6),"ERR")))),DM54)</f>
        <v>ERR</v>
      </c>
      <c r="DP54" s="889" t="str">
        <f t="shared" ref="DP54:DP85" si="124">IF(ISBLANK(CO14),IF(DN54&lt;$EX$6+($FD$4-0.0625)/2,"ERR",IF(DN54&lt;0.5+$FE$4/2,($FE$4/2+$EX$6),IF(DN54&lt;$FA$4+IF(MID(CE54,1,1)="R",DC54+CO14,0)-$FE$4/2-$EX$6,DN54,IF(DN54&lt;=$FA$4+IF(MID(CE54,1,1)="R",DC54,0)-($FD$4-0.0625)/2-$EX$6,$FA$4+IF(MID(CE54,1,1)="R",DC54,0)-($FE$4/2+$EX$6),"ERR")))),DN54)</f>
        <v>ERR</v>
      </c>
      <c r="DQ54" s="1310" t="str">
        <f t="shared" ref="DQ54:DR85" si="125">IF(ISERROR(DM54),"ERR",IF(DM54="","",IF(DO54="ERR","ERR",CEILING(DO54-0.0625,0.125))))</f>
        <v/>
      </c>
      <c r="DR54" s="1310" t="str">
        <f t="shared" si="125"/>
        <v/>
      </c>
      <c r="DS54" s="1310" t="str">
        <f t="shared" ref="DS54:DS85" si="126">IF(AND(EJ54="",CQ54=""),"",IF(EJ54="ERR","ERR",IF(ISNUMBER(EJ54),(EJ54/2)*-1,CQ54)))</f>
        <v/>
      </c>
      <c r="DT54" s="1310" t="str">
        <f t="shared" ref="DT54:DT85" si="127">IF(DS54="ERR","ERR",IF(DS54="","",IF(CR54*TAN(DE54)&lt;=($FE$4-($FD$4-0.0625)),CM54-(DS54-ET54)/IF(OR(CL54="C",AND(CL54="M",$FG$1="N")),1,COS(DE54))-IF(MID(CN54,1,1)="R",0,DI54),(ABS(DS54-ET54)/IF(OR(CL54="C",AND(CL54="M",$FG$1="N")),1,COS(DE54))+CM54)-((CR54/2)*TAN(DE54))-IF(MID(CN54,1,1)="R",0,DI54))))</f>
        <v/>
      </c>
      <c r="DU54" s="1310" t="str">
        <f t="shared" ref="DU54:DU85" si="128">IF(DS54="ERR","ERR",IF(DS54="","",IF(CR54*TAN(DE54)&lt;=($FE$4-($FD$4-0.0625)),CM54-(DS54-ET54)/IF(OR(CL54="C",AND(CL54="M",$FG$1="N")),1,COS(DE54))-IF(MID(CN54,1,1)="R",0,DI54),(ABS(DS54-ET54)/IF(OR(CL54="C",AND(CL54="M",$FG$1="N")),1,COS(DE54))+CM54)+((CR54/2)*TAN(DE54))-IF(MID(CN54,1,1)="R",0,DI54))))</f>
        <v/>
      </c>
      <c r="DV54" s="889" t="str">
        <f t="shared" ref="DV54:DV85" si="129">IF(ISBLANK(CY14),IF(DT54&lt;$EX$6+($FD$4-0.0625)/2,"ERR",IF(DT54&lt;$EX$6+$FE$4/2,($FE$4/2+$EX$6),IF(DT54&lt;$FA$4+IF(MID(CN54,1,1)="R",DI54+CY14,0)-$FE$4/2-$EX$6,DT54,IF(DT54&lt;=$FA$4+IF(MID(CN54,1,1)="R",DI54,0)-($FD$4-0.0625)/2-$EX$6,$FA$4+IF(MID(CN54,1,1)="R",DI54,0)-($FE$4/2+$EX$6),"ERR")))),DT54)</f>
        <v>ERR</v>
      </c>
      <c r="DW54" s="889" t="str">
        <f t="shared" ref="DW54:DW85" si="130">IF(ISBLANK(CY14),IF(DU54&lt;$EX$6+($FD$4-0.0625)/2,"ERR",IF(DU54&lt;0.5+$FE$4/2,($FE$4/2+$EX$6),IF(DU54&lt;$FA$4+IF(MID(CN54,1,1)="R",DI54+CY14,0)-$FE$4/2-$EX$6,DU54,IF(DU54&lt;=$FA$4+IF(MID(CN54,1,1)="R",DI54,0)-($FD$4-0.0625)/2-$EX$6,$FA$4+IF(MID(CN54,1,1)="R",DI54,0)-($FE$4/2+$EX$6),"ERR")))),DU54)</f>
        <v>ERR</v>
      </c>
      <c r="DX54" s="873" t="str">
        <f t="shared" ref="DX54:DX74" si="131">IF(ISERROR(DT54),"ERR",IF(DT54="","",IF(DV54="ERR","ERR",CEILING(DV54-0.0625,0.125))))</f>
        <v/>
      </c>
      <c r="DY54" s="873" t="str">
        <f t="shared" ref="DY54:DY74" si="132">IF(ISERROR(DU54),"ERR",IF(DU54="","",IF(DW54="ERR","ERR",CEILING(DW54-0.0625,0.125))))</f>
        <v/>
      </c>
      <c r="DZ54" s="873" t="str">
        <f t="shared" ref="DZ54:DZ84" si="133">IF(CG54="","",IF((CD54-CG54)/COS(CU54)-FB54&lt;=-0.0625,CEILING((CD54-CG54)/COS(CU54)-FB54+0.0625,-0.125),IF((CD54-CG54)/COS(CU54)-FB54&gt;=0.0625,CEILING((CD54-CG54)/COS(CU54)-FB54-0.0625,0.125),0)))</f>
        <v/>
      </c>
      <c r="EA54" s="873" t="str">
        <f t="shared" ref="EA54:EA84" si="134">IF(CP54="","",IF((CM54-CP54)/COS(CU54)-FC54&lt;=-0.0625,CEILING((CM54-CP54)/COS(CU54)-FC54+0.0625,-0.125),IF((CM54-CP54)/COS(CU54)-FC54&gt;=0.0625,CEILING((CM54-CP54)/COS(CU54)-FC54-0.0625,0.125),0)))</f>
        <v/>
      </c>
      <c r="EB54" s="876" t="str">
        <f t="shared" ref="EB54:EB85" si="135">IF(CD14="","",$FC$4)</f>
        <v/>
      </c>
      <c r="EC54" s="877" t="str">
        <f t="shared" ref="EC54:EC74" si="136">IF(AND(DR54="",DY54=""),"",IF(OR(CI54=EB54,CR54=EB54),EB54,CI54))</f>
        <v/>
      </c>
      <c r="ED54" s="876" t="str">
        <f t="shared" ref="ED54:ED85" si="137">IF(DA14="","",CEILING(($EZ$4/COS(CU54)+$FA$4/12*ABS(DA14)+0.5),0.125))</f>
        <v/>
      </c>
      <c r="EE54" s="876" t="str">
        <f t="shared" ref="EE54:EE85" si="138">(IF(CC54="B",MIN(CJ14:CK14),""))</f>
        <v/>
      </c>
      <c r="EF54" s="876" t="str">
        <f t="shared" ref="EF54:EF85" si="139">(IF(CC54="B",MAX(CJ14:CK14),""))</f>
        <v/>
      </c>
      <c r="EG54" s="876" t="str">
        <f t="shared" ref="EG54:EG85" si="140">IF(EE54="","",IF((EF54-EE54)/2&lt;=($FE$4-($FD$4-0.0625)),(EE54+EF54)/2,"ERR"))</f>
        <v/>
      </c>
      <c r="EH54" s="876" t="str">
        <f t="shared" ref="EH54:EH85" si="141">IF(CL54="B",MIN(CT14:CU14),"")</f>
        <v/>
      </c>
      <c r="EI54" s="876" t="str">
        <f t="shared" ref="EI54:EI85" si="142">IF(CL54="B",MAX(CT14:CU14),"")</f>
        <v/>
      </c>
      <c r="EJ54" s="876" t="str">
        <f t="shared" ref="EJ54:EJ85" si="143">IF(EH54="","",IF((EI54-EH54)/2&lt;=($FE$4-($FD$4-0.0625)),(EH54+EI54)/2,"ERR"))</f>
        <v/>
      </c>
      <c r="EK54" s="874">
        <f t="shared" ref="EK54:EK74" si="144">IF(CK54="",0,ATAN(CK54/12))</f>
        <v>0</v>
      </c>
      <c r="EL54" s="874">
        <f t="shared" ref="EL54:EL74" si="145">CU54-EK54</f>
        <v>0</v>
      </c>
      <c r="EM54" s="874">
        <f t="shared" ref="EM54:EM74" si="146">TAN(EL54)*12</f>
        <v>0</v>
      </c>
      <c r="EN54" s="874" t="str">
        <f t="shared" ref="EN54:EN85" si="147">IF(ABS(EM54)&lt;$FA$2,"",IF(EM54&gt;0,CEILING(EM54-0.0625,0.125),CEILING(EM54+0.0625,-0.125)))</f>
        <v/>
      </c>
      <c r="EO54" s="873" t="str">
        <f t="shared" ref="EO54:EO74" si="148">IF(CF54="","",CF54*TAN(EK54))</f>
        <v/>
      </c>
      <c r="EP54" s="874">
        <f t="shared" ref="EP54:EP74" si="149">IF(CT54="",0,ATAN(CT54/12))</f>
        <v>0</v>
      </c>
      <c r="EQ54" s="874">
        <f t="shared" ref="EQ54:EQ74" si="150">CU54+EP54</f>
        <v>0</v>
      </c>
      <c r="ER54" s="874">
        <f t="shared" ref="ER54:ER74" si="151">TAN(EQ54)*-12</f>
        <v>0</v>
      </c>
      <c r="ES54" s="874" t="str">
        <f t="shared" ref="ES54:ES85" si="152">IF(ABS(ER54)&lt;$FA$2,"",IF(ER54&gt;0,CEILING(ER54-0.0625,0.125),CEILING(ER54+0.0625,-0.125)))</f>
        <v/>
      </c>
      <c r="ET54" s="873" t="str">
        <f t="shared" ref="ET54:ET74" si="153">IF(CO54="","",CO54*TAN(EP54))</f>
        <v/>
      </c>
      <c r="EU54" s="873">
        <f t="shared" ref="EU54:EU85" si="154">IF((CE14*12+CF14)/COS(CU54)-(CE14*12+CF14)&lt;$FE$2,0,CU54)</f>
        <v>0</v>
      </c>
      <c r="EV54" s="876" t="e">
        <f t="shared" ref="EV54:EV85" si="155">MIN(IF(CH14&gt;0,CH14/2,MAX(CI14/2,CJ54)),IF(CI14&gt;0,CI14/2,MAX(CH14/2,CJ54)),IF(CJ54&gt;0,CJ54,MAX(CI14/2,CH14/2)))/COS(CY54)+CD54-DC54</f>
        <v>#VALUE!</v>
      </c>
      <c r="EW54" s="876" t="e">
        <f t="shared" ref="EW54:EW85" si="156">MIN(IF(CR14&gt;0,CR14/2,MAX(CS14/2,CS54)),IF(CS14&gt;0,CS14/2,MAX(CR14/2,CS54)),IF(CS54&gt;0,CS54,MAX(CS14/2,CR14/2)))/COS(DE54)+CM54-DI54</f>
        <v>#VALUE!</v>
      </c>
      <c r="EX54" s="878" t="str">
        <f t="shared" ref="EX54:EX85" si="157">IF(CD14="","",IF(EZ54&lt;1.2,5+$EX$4,IF(EZ54&lt;1.79,6+$EX$4,IF(EZ54&lt;2.3,7+$EX$4,IF(EZ54&lt;3.76,8+$EX$4,IF(EZ54&lt;4.76,10+$EX$4,IF(EZ54&lt;8.45,12+$EX$4,"ERR")))))))</f>
        <v/>
      </c>
      <c r="EY54" s="879" t="e">
        <f t="shared" ref="EY54:EY74" si="158">TRUNC(IF(FA54&lt;1.03,25.667,IF(FA54&lt;1.2,29.667,IF(FA54&lt;1.79,33.583,IF(FA54&lt;2.3,37.75,IF(FA54&lt;3.76,42,IF(FA54&lt;4.76,50.167,IF(FA54&lt;8.45,58.167,"ERR"))))))))</f>
        <v>#DIV/0!</v>
      </c>
      <c r="EZ54" s="959" t="e">
        <f t="shared" ref="EZ54:EZ85" si="159">(0.03*BP14*((CE14+CF14/12)/BO14)*(BO14^2-IF(ISEVEN(BO14),0,1)))/BM14</f>
        <v>#DIV/0!</v>
      </c>
      <c r="FA54" s="960" t="e">
        <f t="shared" ref="FA54:FA85" si="160">(0.026*BP14*((CE14+CF14/12)/BO14)*(BO14^2-IF(ISEVEN(BO14),0,1)))/BM14</f>
        <v>#DIV/0!</v>
      </c>
      <c r="FB54" s="880" t="str">
        <f t="shared" ref="FB54:FB85" si="161">IF(CG54="","",IF(ABS(DA14*((BM14-IF(DA14&gt;0,$FF$4,0))/12))&gt;$CX$2,DA14*((BM14-IF(DA14&gt;0,$FF$4,0))/12),0))</f>
        <v/>
      </c>
      <c r="FC54" s="881" t="str">
        <f t="shared" ref="FC54:FC85" si="162">IF(CP54="","",IF(ABS(DA14*((BM14-IF(DA14&lt;0,$FF$4,0))/12))&gt;$CX$2,DA14*((BM14-IF(DA14&lt;0,$FF$4,0))/12)*-1,0))</f>
        <v/>
      </c>
      <c r="FD54" s="890">
        <f t="shared" ref="FD54:FD85" si="163">IF(CF54="",0,MAX(0,DB54-$FA$4))</f>
        <v>0</v>
      </c>
      <c r="FE54" s="833">
        <f t="shared" ref="FE54:FE85" si="164">IF(CO54="",0,MAX(0,DH54-$FA$4))</f>
        <v>0</v>
      </c>
      <c r="FF54" s="754" t="b">
        <f t="shared" ref="FF54:FF85" si="165">IF(ISERROR(AR14),TRUE,IF(OR(AR14="",ISBLANK(AR14)),FALSE,IF(ISTEXT(AR14),IF(AND(AR14="P",LEFT(AS14,1)="#"),FALSE,TRUE),IF(ISTEXT(AS14),TRUE,FALSE))))</f>
        <v>0</v>
      </c>
      <c r="FG54" s="754" t="b">
        <f t="shared" ref="FG54:FG85" si="166">IF(ISERROR(AV14),TRUE,IF(OR(AV14="",ISBLANK(AV14)),FALSE,IF(ISTEXT(AV14),IF(AND(AV14="P",LEFT(AW14,1)="#"),FALSE,TRUE),IF(ISTEXT(AW14),TRUE,FALSE))))</f>
        <v>0</v>
      </c>
      <c r="FH54" s="754" t="b">
        <f t="shared" ref="FH54:FH85" si="167">IF(ISERROR(AZ14),TRUE,IF(OR(AZ14="",ISBLANK(AZ14)),FALSE,IF(ISTEXT(AZ14),IF(AND(AZ14="P",LEFT(BA14,1)="#"),FALSE,TRUE),IF(ISTEXT(BA14),TRUE,FALSE))))</f>
        <v>0</v>
      </c>
      <c r="FI54" s="754" t="b">
        <f t="shared" ref="FI54:FI85" si="168">IF(ISERROR(BD14),TRUE,IF(OR(BD14="",ISBLANK(BD14)),FALSE,IF(ISTEXT(BD14),IF(AND(BD14="P",LEFT(BE14,1)="#"),FALSE,TRUE),IF(ISTEXT(BE14),TRUE,FALSE))))</f>
        <v>0</v>
      </c>
      <c r="FJ54" s="782"/>
      <c r="FK54" s="532" t="str">
        <f>IF(ISBLANK(DH14),"",DH14)</f>
        <v/>
      </c>
      <c r="FL54" s="311" t="e">
        <f>VLOOKUP(DH14,$CB$54:$DK$85,36,FALSE)</f>
        <v>#N/A</v>
      </c>
      <c r="FM54" s="312" t="str">
        <f t="shared" ref="FM54:FM85" si="169">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IF(SUM(DJ14:DN14)=0,"",VLOOKUP(DH14,CB14:CF45,4,FALSE)*12+VLOOKUP(DH14,CB14:CF45,5,FALSE))</f>
        <v/>
      </c>
      <c r="FT54" s="263" t="str">
        <f>IF(SUM(DJ14:DN14)=0,"",IF(FU54="","",FL54))</f>
        <v/>
      </c>
      <c r="FU54" s="266" t="str">
        <f>IF(SUM(DJ14:DN14)=0,"",1)</f>
        <v/>
      </c>
      <c r="FV54" s="315" t="str">
        <f t="shared" ref="FV54:FV85" si="170">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76"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71">IF(ISBLANK(DT14),"",MAX(0,DT14+VLOOKUP(FK54,$CB$54:$CD$85,3,FALSE)))</f>
        <v/>
      </c>
      <c r="GE54" s="318" t="str">
        <f t="shared" ref="GE54:GE85" si="172">IF(ISBLANK(DU14),"",MAX(0,DU14+VLOOKUP(FK54,$CB$54:$CM$85,12,FALSE)))</f>
        <v/>
      </c>
      <c r="GF54" s="269" t="str">
        <f t="shared" ref="GF54:GF85" si="173">IF(AND(ISBLANK(DV14),ISBLANK(DW14)),"",IF(DV14="P",IF(ISNUMBER(DW14),CONCATENATE("#", DW14),DW14),CEILING((DV14*12+DW14+GC54)/COS(VLOOKUP(FK54,$CB$54:$EU$85,72,FALSE))-0.0625,0.125)))</f>
        <v/>
      </c>
      <c r="GG54" s="270" t="str">
        <f t="shared" ref="GG54:GG85" si="174">IF(AND(ISBLANK(DZ14),ISBLANK(EA14)),"",IF(DZ14="P",IF(ISNUMBER(EA14),CONCATENATE("#", EA14),EA14),CEILING((DZ14*12+EA14+GC54)/COS(VLOOKUP(FK54,$CB$54:$EU$85,72,FALSE))-0.0625,0.125)))</f>
        <v/>
      </c>
      <c r="GH54" s="270" t="str">
        <f t="shared" ref="GH54:GH85" si="175">IF(AND(ISBLANK(ED14),ISBLANK(EE14)),"",IF(ED14="P",IF(ISNUMBER(EE14),CONCATENATE("#", EE14),EE14),CEILING((ED14*12+EE14+GC54)/COS(VLOOKUP(FK54,$CB$54:$EU$85,72,FALSE))-0.0625,0.125)))</f>
        <v/>
      </c>
      <c r="GI54" s="271" t="str">
        <f t="shared" ref="GI54:GI85" si="176">IF(AND(ISBLANK(EH14),ISBLANK(EI14)),"",IF(EH14="P",IF(ISNUMBER(EI14),CONCATENATE("#", EI14),EI14),CEILING((EH14*12+EI14+GC54)/COS(VLOOKUP(FK54,$CB$54:$EU$85,72,FALSE))-0.0625,0.125)))</f>
        <v/>
      </c>
      <c r="GJ54" s="529">
        <f t="shared" ref="GJ54:GJ84" ca="1" si="177">IF(FY54="",GJ55,(FY54-(FQ54+VLOOKUP(FK54,$CB$54:$EU$85,12,FALSE)-VLOOKUP(FK54,$CB$54:$EU$85,34,FALSE))/COS(VLOOKUP(FK54,$CB$54:$EU$85,72,FALSE)))/2)</f>
        <v>0</v>
      </c>
      <c r="GK54" s="895" t="str">
        <f>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4"/>
        <v/>
      </c>
      <c r="CC55" s="366" t="str">
        <f>IF(CG15="","",VLOOKUP(CG15,SectInfo!$B:$N,12,FALSE))</f>
        <v/>
      </c>
      <c r="CD55" s="1305" t="str">
        <f>IF(ISBLANK(CN15),IF(CG15="","",VLOOKUP(CG15,SectInfo!$B:$N,13,FALSE)),CN15)</f>
        <v/>
      </c>
      <c r="CE55" s="1305" t="str">
        <f>IF(CG15="","",IF(VLOOKUP(CG15,SectInfo!$B:$N,5,FALSE)="","R",UPPER(VLOOKUP(CG15,SectInfo!$B:$N,5,FALSE))))</f>
        <v/>
      </c>
      <c r="CF55" s="1305" t="str">
        <f>IF(ISBLANK(CP15),IF(CG15="","",VLOOKUP(CG15,SectInfo!$B:$N,6,FALSE)),CP15)</f>
        <v/>
      </c>
      <c r="CG55" s="1305" t="str">
        <f>IF(CG15="","",IF(VLOOKUP(CG15,SectInfo!$B:$N,10,FALSE)="","",(VLOOKUP(CG15,SectInfo!$B:$N,10,FALSE)*-1)))</f>
        <v/>
      </c>
      <c r="CH55" s="1305" t="str">
        <f>IF(CG15="","",IF(VLOOKUP(CG15,SectInfo!$B:$N,7,FALSE)="","",(VLOOKUP(CG15,SectInfo!$B:$N,7,FALSE)*-1)))</f>
        <v/>
      </c>
      <c r="CI55" s="1305" t="str">
        <f>IF(CG15="","",IF(VLOOKUP(CG15,SectInfo!$B:$N,8,FALSE)="",$FC$4,(VLOOKUP(CG15,SectInfo!$B:$N,8,FALSE))))</f>
        <v/>
      </c>
      <c r="CJ55" s="1305" t="str">
        <f>IF(CG15="","",VLOOKUP(CG15,SectInfo!$B:$N,9,FALSE))</f>
        <v/>
      </c>
      <c r="CK55" s="1306">
        <f t="shared" si="105"/>
        <v>0</v>
      </c>
      <c r="CL55" s="1304" t="str">
        <f>IF(CQ15="","",VLOOKUP(CQ15,SectInfo!$B:$N,12,FALSE))</f>
        <v/>
      </c>
      <c r="CM55" s="1305" t="str">
        <f>IF(ISBLANK(CX15),IF(CQ15="","",VLOOKUP(CQ15,SectInfo!$B:$N,13,FALSE)),CX15)</f>
        <v/>
      </c>
      <c r="CN55" s="1305" t="str">
        <f>IF(CQ15="","",IF(VLOOKUP(CQ15,SectInfo!$B:$N,5,FALSE)="","R",UPPER(VLOOKUP(CQ15,SectInfo!$B:$N,5,FALSE))))</f>
        <v/>
      </c>
      <c r="CO55" s="1305" t="str">
        <f>IF(ISBLANK(CZ15),IF(CQ15="","",VLOOKUP(CQ15,SectInfo!$B:$N,6,FALSE)),CZ15)</f>
        <v/>
      </c>
      <c r="CP55" s="1305" t="str">
        <f>IF(CQ15="","",IF(VLOOKUP(CQ15,SectInfo!$B:$N,10,FALSE)="","",(VLOOKUP(CQ15,SectInfo!$B:$N,10,FALSE)*-1)))</f>
        <v/>
      </c>
      <c r="CQ55" s="1305" t="str">
        <f>IF(CQ15="","",IF(VLOOKUP(CQ15,SectInfo!$B:$N,7,FALSE)="","",(VLOOKUP(CQ15,SectInfo!$B:$N,7,FALSE)*-1)))</f>
        <v/>
      </c>
      <c r="CR55" s="1305" t="str">
        <f>IF(CQ15="","",IF(VLOOKUP(CQ15,SectInfo!$B:$N,8,FALSE)="",$FC$4,(VLOOKUP(CQ15,SectInfo!$B:$N,8,FALSE))))</f>
        <v/>
      </c>
      <c r="CS55" s="1305" t="str">
        <f>IF(CQ15="","",VLOOKUP(CQ15,SectInfo!$B:$N,9,FALSE))</f>
        <v/>
      </c>
      <c r="CT55" s="1306">
        <f t="shared" si="106"/>
        <v>0</v>
      </c>
      <c r="CU55" s="1316">
        <f t="shared" si="107"/>
        <v>0</v>
      </c>
      <c r="CV55" s="1310" t="str">
        <f t="shared" si="108"/>
        <v/>
      </c>
      <c r="CW55" s="1310" t="str">
        <f t="shared" si="109"/>
        <v/>
      </c>
      <c r="CX55" s="1310" t="str">
        <f t="shared" si="110"/>
        <v/>
      </c>
      <c r="CY55" s="1312">
        <f t="shared" si="111"/>
        <v>0</v>
      </c>
      <c r="CZ55" s="1312">
        <f t="shared" si="112"/>
        <v>0</v>
      </c>
      <c r="DA55" s="1312" t="str">
        <f t="shared" si="113"/>
        <v/>
      </c>
      <c r="DB55" s="1310" t="str">
        <f t="shared" ref="DB55:DB85" si="178">IF(CD55="","",CD55+DA55+($EY$4*TAN(CY55)))</f>
        <v/>
      </c>
      <c r="DC55" s="1310" t="str">
        <f t="shared" si="114"/>
        <v/>
      </c>
      <c r="DD55" s="875">
        <f t="shared" ref="DD55:DD85" si="179">IF(CD55="",0,IF(DC55/COS(EU55)&lt;0.0625,0,CEILING(DC55/COS(EU55)-0.03125,0.125)))</f>
        <v>0</v>
      </c>
      <c r="DE55" s="873">
        <f t="shared" si="115"/>
        <v>0</v>
      </c>
      <c r="DF55" s="874">
        <f t="shared" si="116"/>
        <v>0</v>
      </c>
      <c r="DG55" s="874" t="str">
        <f t="shared" si="117"/>
        <v/>
      </c>
      <c r="DH55" s="1310" t="str">
        <f t="shared" ref="DH55:DH85" si="180">IF(CM55="","",CM55+DG55+($EY$4*TAN(DE55)))</f>
        <v/>
      </c>
      <c r="DI55" s="1310" t="str">
        <f t="shared" si="118"/>
        <v/>
      </c>
      <c r="DJ55" s="1311">
        <f t="shared" ref="DJ55:DJ85" si="181">IF(CM55="",0,IF(DI55/COS(EU55)&lt;0.0625,0,CEILING(DI55/COS(EU55)-0.03125,0.125)))</f>
        <v>0</v>
      </c>
      <c r="DK55" s="1310" t="str">
        <f t="shared" si="119"/>
        <v/>
      </c>
      <c r="DL55" s="1310" t="str">
        <f t="shared" si="120"/>
        <v/>
      </c>
      <c r="DM55" s="1310" t="str">
        <f t="shared" si="121"/>
        <v/>
      </c>
      <c r="DN55" s="1310" t="str">
        <f t="shared" si="122"/>
        <v/>
      </c>
      <c r="DO55" s="889" t="str">
        <f t="shared" si="123"/>
        <v>ERR</v>
      </c>
      <c r="DP55" s="889" t="str">
        <f t="shared" si="124"/>
        <v>ERR</v>
      </c>
      <c r="DQ55" s="1310" t="str">
        <f t="shared" si="125"/>
        <v/>
      </c>
      <c r="DR55" s="1310" t="str">
        <f t="shared" si="125"/>
        <v/>
      </c>
      <c r="DS55" s="1310" t="str">
        <f t="shared" si="126"/>
        <v/>
      </c>
      <c r="DT55" s="1310" t="str">
        <f t="shared" si="127"/>
        <v/>
      </c>
      <c r="DU55" s="1310" t="str">
        <f t="shared" si="128"/>
        <v/>
      </c>
      <c r="DV55" s="889" t="str">
        <f t="shared" si="129"/>
        <v>ERR</v>
      </c>
      <c r="DW55" s="889" t="str">
        <f t="shared" si="130"/>
        <v>ERR</v>
      </c>
      <c r="DX55" s="873" t="str">
        <f t="shared" si="131"/>
        <v/>
      </c>
      <c r="DY55" s="873" t="str">
        <f t="shared" si="132"/>
        <v/>
      </c>
      <c r="DZ55" s="873" t="str">
        <f t="shared" si="133"/>
        <v/>
      </c>
      <c r="EA55" s="873" t="str">
        <f t="shared" si="134"/>
        <v/>
      </c>
      <c r="EB55" s="876" t="str">
        <f t="shared" si="135"/>
        <v/>
      </c>
      <c r="EC55" s="877" t="str">
        <f t="shared" si="136"/>
        <v/>
      </c>
      <c r="ED55" s="876" t="str">
        <f t="shared" si="137"/>
        <v/>
      </c>
      <c r="EE55" s="876" t="str">
        <f t="shared" si="138"/>
        <v/>
      </c>
      <c r="EF55" s="876" t="str">
        <f t="shared" si="139"/>
        <v/>
      </c>
      <c r="EG55" s="876" t="str">
        <f t="shared" si="140"/>
        <v/>
      </c>
      <c r="EH55" s="876" t="str">
        <f t="shared" si="141"/>
        <v/>
      </c>
      <c r="EI55" s="876" t="str">
        <f t="shared" si="142"/>
        <v/>
      </c>
      <c r="EJ55" s="876" t="str">
        <f t="shared" si="143"/>
        <v/>
      </c>
      <c r="EK55" s="874">
        <f t="shared" si="144"/>
        <v>0</v>
      </c>
      <c r="EL55" s="874">
        <f t="shared" si="145"/>
        <v>0</v>
      </c>
      <c r="EM55" s="874">
        <f t="shared" si="146"/>
        <v>0</v>
      </c>
      <c r="EN55" s="874" t="str">
        <f t="shared" si="147"/>
        <v/>
      </c>
      <c r="EO55" s="873" t="str">
        <f t="shared" si="148"/>
        <v/>
      </c>
      <c r="EP55" s="874">
        <f t="shared" si="149"/>
        <v>0</v>
      </c>
      <c r="EQ55" s="874">
        <f t="shared" si="150"/>
        <v>0</v>
      </c>
      <c r="ER55" s="874">
        <f t="shared" si="151"/>
        <v>0</v>
      </c>
      <c r="ES55" s="874" t="str">
        <f t="shared" si="152"/>
        <v/>
      </c>
      <c r="ET55" s="873" t="str">
        <f t="shared" si="153"/>
        <v/>
      </c>
      <c r="EU55" s="873">
        <f t="shared" si="154"/>
        <v>0</v>
      </c>
      <c r="EV55" s="876" t="e">
        <f t="shared" si="155"/>
        <v>#VALUE!</v>
      </c>
      <c r="EW55" s="876" t="e">
        <f t="shared" si="156"/>
        <v>#VALUE!</v>
      </c>
      <c r="EX55" s="878" t="str">
        <f t="shared" si="157"/>
        <v/>
      </c>
      <c r="EY55" s="879" t="e">
        <f t="shared" si="158"/>
        <v>#DIV/0!</v>
      </c>
      <c r="EZ55" s="959" t="e">
        <f t="shared" si="159"/>
        <v>#DIV/0!</v>
      </c>
      <c r="FA55" s="960" t="e">
        <f t="shared" si="160"/>
        <v>#DIV/0!</v>
      </c>
      <c r="FB55" s="880" t="str">
        <f t="shared" si="161"/>
        <v/>
      </c>
      <c r="FC55" s="881" t="str">
        <f t="shared" si="162"/>
        <v/>
      </c>
      <c r="FD55" s="890">
        <f t="shared" si="163"/>
        <v>0</v>
      </c>
      <c r="FE55" s="833">
        <f t="shared" si="164"/>
        <v>0</v>
      </c>
      <c r="FF55" s="754" t="b">
        <f t="shared" si="165"/>
        <v>0</v>
      </c>
      <c r="FG55" s="754" t="b">
        <f t="shared" si="166"/>
        <v>0</v>
      </c>
      <c r="FH55" s="754" t="b">
        <f t="shared" si="167"/>
        <v>0</v>
      </c>
      <c r="FI55" s="754" t="b">
        <f t="shared" si="168"/>
        <v>0</v>
      </c>
      <c r="FJ55" s="920" t="str">
        <f t="shared" ref="FJ55:FJ85" si="182">IF(AND(COUNTA(DH15:EK15)&gt;0,FK55=FK54,FK55&lt;&gt;""),"G","")</f>
        <v/>
      </c>
      <c r="FK55" s="919" t="str">
        <f t="shared" ref="FK55:FK85" si="183">IF(ISBLANK(DH15),FK54,DH15)</f>
        <v/>
      </c>
      <c r="FL55" s="320" t="e">
        <f t="shared" ref="FL55:FL85" si="184">IF(ISERROR(VLOOKUP(DH15,$CB$54:$DK$85,36,FALSE)),FL54,VLOOKUP(DH15,$CB$54:$DK$85,36,FALSE))</f>
        <v>#N/A</v>
      </c>
      <c r="FM55" s="312" t="str">
        <f t="shared" si="169"/>
        <v/>
      </c>
      <c r="FN55" s="272" t="str">
        <f t="shared" ref="FN55:FN85" ca="1" si="185">IF(OR(FS55=0,DL15=""),"",IF(UPPER(FM54)="X",0,CEILING(IF(AND(DJ15="",DK15=""),IF(UPPER(FM55)="X",FP55,IF(AND(DM15="",DN15=""),(FS55-FO55*FP55)/2,(DJ15*12+DK15+(DL15*(DM15*12+DN15)))-FO55*FP55)),(DJ15*12+DK15))-0.0625,0.125)))</f>
        <v/>
      </c>
      <c r="FO55" s="273" t="str">
        <f t="shared" ref="FO55:FO85" ca="1" si="186">IF(OR(FS55=0,DL15=""),"",DL15-IF(AND(DJ15="",DK15="",FM54&lt;&gt;"X"),1,0)-IF(AND(DM15="",DN15="",FM55=""),1,0))</f>
        <v/>
      </c>
      <c r="FP55" s="274" t="str">
        <f t="shared" ref="FP55:FP85" ca="1" si="187">IF(OR(FS55=0,DL15=""),"",CEILING(IF(AND(DM15="",DN15=""),IF(DL15=FO55,(FS55-FN55-FQ55)/FO55,(FS55-IF(AND(DJ15="",DK15=""),0,FN55)-IF(FM55="",0,FQ55))/DL15),DM15*12+DN15)-0.0625,0.125))</f>
        <v/>
      </c>
      <c r="FQ55" s="274" t="str">
        <f t="shared" ref="FQ55:FQ85" ca="1" si="188">IF(OR(FS55=0,DL15=""),"",IF(UPPER(FM55)="X",0,FS55-FN55-FO55*FP55))</f>
        <v/>
      </c>
      <c r="FR55" s="321">
        <f t="shared" ref="FR55:FR85" ca="1" si="189">IF(OR(FS55=0,DL15=""),0,FS55-(FN55+FO55*FP55+FQ55))</f>
        <v>0</v>
      </c>
      <c r="FS55" s="322">
        <f t="shared" ref="FS55:FS85" ca="1" si="190">IF(ISBLANK(DH15),IF(FR54=0,IF(OR(DI15="F",DI15="N"),OFFSET(FS54,(-1*(FU54-1)),0),0),FR54),VLOOKUP(DH15,$CB$14:$CF$45,4,FALSE)*12+VLOOKUP(DH15,$CB$14:$CF$45,5,FALSE))</f>
        <v>0</v>
      </c>
      <c r="FT55" s="272" t="str">
        <f t="shared" ref="FT55:FT85" ca="1" si="191">IF(FU55="","",IF(FU55=1,IF(FL55="",OFFSET(FL55,(-1*FU54),0),FL55),FT54-GA54))</f>
        <v/>
      </c>
      <c r="FU55" s="275" t="str">
        <f t="shared" ref="FU55:FU85" ca="1" si="192">IF(FS55=0,"",IF(FR54=0,1,FU54+1))</f>
        <v/>
      </c>
      <c r="FV55" s="323" t="str">
        <f t="shared" ca="1" si="170"/>
        <v/>
      </c>
      <c r="FW55" s="276" t="str">
        <f t="shared" ref="FW55:FW85" ca="1" si="193">IF(OR(FN55=0,FN55=""),"",(FN55+VLOOKUP(FK55,$CB$54:$CD$85,3,FALSE)-VLOOKUP(FK55,$CB$54:$DD$85,29,FALSE))/COS(VLOOKUP(FK55,$CB$54:$EU$85,72,FALSE)))</f>
        <v/>
      </c>
      <c r="FX55" s="276" t="str">
        <f t="shared" ref="FX55:FX85" ca="1" si="194">IF(FO55=0,0,IF(FP55="","",CEILING(FP55/COS(VLOOKUP(FK55,$CB$54:$EU$85,72,FALSE))-0.0625,0.125)))</f>
        <v/>
      </c>
      <c r="FY55" s="276" t="str">
        <f t="shared" ref="FY55:FY85" ca="1" si="195">IF(OR(FQ55=0,FQ55=""),"",FT55-IF(FW55="",0,FW55)-FO55*FX55)</f>
        <v/>
      </c>
      <c r="FZ55" s="276" t="str">
        <f t="shared" ref="FZ55:FZ85" ca="1" si="196">IF(FY55="","",CEILING(FT55-IF(FV55="",0,FV55)-(FO55*FX55)-0.0625,0.125))</f>
        <v/>
      </c>
      <c r="GA55" s="276" t="str">
        <f t="shared" ref="GA55:GA85" ca="1" si="197">IF(FP55="","",IF(FW55="",0,FW55)+FO55*FX55+IF(FY55="",0,FY55))</f>
        <v/>
      </c>
      <c r="GB55" s="277" t="str">
        <f ca="1">IF(FY55="","",2+SUM(FO55:OFFSET(FO55,(FU55-1)*-1,0)))</f>
        <v/>
      </c>
      <c r="GC55" s="316" t="e">
        <f t="shared" ref="GC55:GC85" si="198">IF(ISERROR(VLOOKUP(DH15,$CB$54:$CD$85,3,FALSE)),GC54,VLOOKUP(DH15,$CB$54:$CD$85,3,FALSE))</f>
        <v>#N/A</v>
      </c>
      <c r="GD55" s="324" t="str">
        <f t="shared" si="171"/>
        <v/>
      </c>
      <c r="GE55" s="325" t="str">
        <f t="shared" si="172"/>
        <v/>
      </c>
      <c r="GF55" s="278" t="str">
        <f t="shared" si="173"/>
        <v/>
      </c>
      <c r="GG55" s="279" t="str">
        <f t="shared" si="174"/>
        <v/>
      </c>
      <c r="GH55" s="279" t="str">
        <f t="shared" si="175"/>
        <v/>
      </c>
      <c r="GI55" s="280" t="str">
        <f t="shared" si="176"/>
        <v/>
      </c>
      <c r="GJ55" s="530">
        <f t="shared" ca="1" si="177"/>
        <v>0</v>
      </c>
      <c r="GK55" s="895" t="str">
        <f t="shared" ref="GK55:GK85" ca="1" si="199">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4"/>
        <v/>
      </c>
      <c r="CC56" s="366" t="str">
        <f>IF(CG16="","",VLOOKUP(CG16,SectInfo!$B:$N,12,FALSE))</f>
        <v/>
      </c>
      <c r="CD56" s="1305" t="str">
        <f>IF(ISBLANK(CN16),IF(CG16="","",VLOOKUP(CG16,SectInfo!$B:$N,13,FALSE)),CN16)</f>
        <v/>
      </c>
      <c r="CE56" s="1305" t="str">
        <f>IF(CG16="","",IF(VLOOKUP(CG16,SectInfo!$B:$N,5,FALSE)="","R",UPPER(VLOOKUP(CG16,SectInfo!$B:$N,5,FALSE))))</f>
        <v/>
      </c>
      <c r="CF56" s="1305" t="str">
        <f>IF(ISBLANK(CP16),IF(CG16="","",VLOOKUP(CG16,SectInfo!$B:$N,6,FALSE)),CP16)</f>
        <v/>
      </c>
      <c r="CG56" s="1305" t="str">
        <f>IF(CG16="","",IF(VLOOKUP(CG16,SectInfo!$B:$N,10,FALSE)="","",(VLOOKUP(CG16,SectInfo!$B:$N,10,FALSE)*-1)))</f>
        <v/>
      </c>
      <c r="CH56" s="1305" t="str">
        <f>IF(CG16="","",IF(VLOOKUP(CG16,SectInfo!$B:$N,7,FALSE)="","",(VLOOKUP(CG16,SectInfo!$B:$N,7,FALSE)*-1)))</f>
        <v/>
      </c>
      <c r="CI56" s="1305" t="str">
        <f>IF(CG16="","",IF(VLOOKUP(CG16,SectInfo!$B:$N,8,FALSE)="",$FC$4,(VLOOKUP(CG16,SectInfo!$B:$N,8,FALSE))))</f>
        <v/>
      </c>
      <c r="CJ56" s="1305" t="str">
        <f>IF(CG16="","",VLOOKUP(CG16,SectInfo!$B:$N,9,FALSE))</f>
        <v/>
      </c>
      <c r="CK56" s="1306">
        <f t="shared" si="105"/>
        <v>0</v>
      </c>
      <c r="CL56" s="1304" t="str">
        <f>IF(CQ16="","",VLOOKUP(CQ16,SectInfo!$B:$N,12,FALSE))</f>
        <v/>
      </c>
      <c r="CM56" s="1305" t="str">
        <f>IF(ISBLANK(CX16),IF(CQ16="","",VLOOKUP(CQ16,SectInfo!$B:$N,13,FALSE)),CX16)</f>
        <v/>
      </c>
      <c r="CN56" s="1305" t="str">
        <f>IF(CQ16="","",IF(VLOOKUP(CQ16,SectInfo!$B:$N,5,FALSE)="","R",UPPER(VLOOKUP(CQ16,SectInfo!$B:$N,5,FALSE))))</f>
        <v/>
      </c>
      <c r="CO56" s="1305" t="str">
        <f>IF(ISBLANK(CZ16),IF(CQ16="","",VLOOKUP(CQ16,SectInfo!$B:$N,6,FALSE)),CZ16)</f>
        <v/>
      </c>
      <c r="CP56" s="1305" t="str">
        <f>IF(CQ16="","",IF(VLOOKUP(CQ16,SectInfo!$B:$N,10,FALSE)="","",(VLOOKUP(CQ16,SectInfo!$B:$N,10,FALSE)*-1)))</f>
        <v/>
      </c>
      <c r="CQ56" s="1305" t="str">
        <f>IF(CQ16="","",IF(VLOOKUP(CQ16,SectInfo!$B:$N,7,FALSE)="","",(VLOOKUP(CQ16,SectInfo!$B:$N,7,FALSE)*-1)))</f>
        <v/>
      </c>
      <c r="CR56" s="1305" t="str">
        <f>IF(CQ16="","",IF(VLOOKUP(CQ16,SectInfo!$B:$N,8,FALSE)="",$FC$4,(VLOOKUP(CQ16,SectInfo!$B:$N,8,FALSE))))</f>
        <v/>
      </c>
      <c r="CS56" s="1305" t="str">
        <f>IF(CQ16="","",VLOOKUP(CQ16,SectInfo!$B:$N,9,FALSE))</f>
        <v/>
      </c>
      <c r="CT56" s="1306">
        <f t="shared" si="106"/>
        <v>0</v>
      </c>
      <c r="CU56" s="1316">
        <f t="shared" si="107"/>
        <v>0</v>
      </c>
      <c r="CV56" s="1310" t="str">
        <f t="shared" si="108"/>
        <v/>
      </c>
      <c r="CW56" s="1310" t="str">
        <f t="shared" si="109"/>
        <v/>
      </c>
      <c r="CX56" s="1310" t="str">
        <f t="shared" si="110"/>
        <v/>
      </c>
      <c r="CY56" s="1312">
        <f t="shared" si="111"/>
        <v>0</v>
      </c>
      <c r="CZ56" s="1312">
        <f t="shared" si="112"/>
        <v>0</v>
      </c>
      <c r="DA56" s="1312" t="str">
        <f t="shared" si="113"/>
        <v/>
      </c>
      <c r="DB56" s="1310" t="str">
        <f t="shared" si="178"/>
        <v/>
      </c>
      <c r="DC56" s="1310" t="str">
        <f t="shared" si="114"/>
        <v/>
      </c>
      <c r="DD56" s="875">
        <f t="shared" si="179"/>
        <v>0</v>
      </c>
      <c r="DE56" s="873">
        <f t="shared" si="115"/>
        <v>0</v>
      </c>
      <c r="DF56" s="874">
        <f t="shared" si="116"/>
        <v>0</v>
      </c>
      <c r="DG56" s="874" t="str">
        <f t="shared" si="117"/>
        <v/>
      </c>
      <c r="DH56" s="1310" t="str">
        <f t="shared" si="180"/>
        <v/>
      </c>
      <c r="DI56" s="1310" t="str">
        <f t="shared" si="118"/>
        <v/>
      </c>
      <c r="DJ56" s="1311">
        <f t="shared" si="181"/>
        <v>0</v>
      </c>
      <c r="DK56" s="1310" t="str">
        <f t="shared" si="119"/>
        <v/>
      </c>
      <c r="DL56" s="1310" t="str">
        <f t="shared" si="120"/>
        <v/>
      </c>
      <c r="DM56" s="1310" t="str">
        <f t="shared" si="121"/>
        <v/>
      </c>
      <c r="DN56" s="1310" t="str">
        <f t="shared" si="122"/>
        <v/>
      </c>
      <c r="DO56" s="889" t="str">
        <f t="shared" si="123"/>
        <v>ERR</v>
      </c>
      <c r="DP56" s="889" t="str">
        <f t="shared" si="124"/>
        <v>ERR</v>
      </c>
      <c r="DQ56" s="1310" t="str">
        <f t="shared" si="125"/>
        <v/>
      </c>
      <c r="DR56" s="1310" t="str">
        <f t="shared" si="125"/>
        <v/>
      </c>
      <c r="DS56" s="1310" t="str">
        <f t="shared" si="126"/>
        <v/>
      </c>
      <c r="DT56" s="1310" t="str">
        <f t="shared" si="127"/>
        <v/>
      </c>
      <c r="DU56" s="1310" t="str">
        <f t="shared" si="128"/>
        <v/>
      </c>
      <c r="DV56" s="889" t="str">
        <f t="shared" si="129"/>
        <v>ERR</v>
      </c>
      <c r="DW56" s="889" t="str">
        <f t="shared" si="130"/>
        <v>ERR</v>
      </c>
      <c r="DX56" s="873" t="str">
        <f t="shared" si="131"/>
        <v/>
      </c>
      <c r="DY56" s="873" t="str">
        <f t="shared" si="132"/>
        <v/>
      </c>
      <c r="DZ56" s="873" t="str">
        <f t="shared" si="133"/>
        <v/>
      </c>
      <c r="EA56" s="873" t="str">
        <f t="shared" si="134"/>
        <v/>
      </c>
      <c r="EB56" s="876" t="str">
        <f t="shared" si="135"/>
        <v/>
      </c>
      <c r="EC56" s="877" t="str">
        <f t="shared" si="136"/>
        <v/>
      </c>
      <c r="ED56" s="876" t="str">
        <f t="shared" si="137"/>
        <v/>
      </c>
      <c r="EE56" s="876" t="str">
        <f t="shared" si="138"/>
        <v/>
      </c>
      <c r="EF56" s="876" t="str">
        <f t="shared" si="139"/>
        <v/>
      </c>
      <c r="EG56" s="876" t="str">
        <f t="shared" si="140"/>
        <v/>
      </c>
      <c r="EH56" s="876" t="str">
        <f t="shared" si="141"/>
        <v/>
      </c>
      <c r="EI56" s="876" t="str">
        <f t="shared" si="142"/>
        <v/>
      </c>
      <c r="EJ56" s="876" t="str">
        <f t="shared" si="143"/>
        <v/>
      </c>
      <c r="EK56" s="874">
        <f t="shared" si="144"/>
        <v>0</v>
      </c>
      <c r="EL56" s="874">
        <f t="shared" si="145"/>
        <v>0</v>
      </c>
      <c r="EM56" s="874">
        <f t="shared" si="146"/>
        <v>0</v>
      </c>
      <c r="EN56" s="874" t="str">
        <f t="shared" si="147"/>
        <v/>
      </c>
      <c r="EO56" s="873" t="str">
        <f t="shared" si="148"/>
        <v/>
      </c>
      <c r="EP56" s="874">
        <f t="shared" si="149"/>
        <v>0</v>
      </c>
      <c r="EQ56" s="874">
        <f t="shared" si="150"/>
        <v>0</v>
      </c>
      <c r="ER56" s="874">
        <f t="shared" si="151"/>
        <v>0</v>
      </c>
      <c r="ES56" s="874" t="str">
        <f t="shared" si="152"/>
        <v/>
      </c>
      <c r="ET56" s="873" t="str">
        <f t="shared" si="153"/>
        <v/>
      </c>
      <c r="EU56" s="873">
        <f t="shared" si="154"/>
        <v>0</v>
      </c>
      <c r="EV56" s="876" t="e">
        <f t="shared" si="155"/>
        <v>#VALUE!</v>
      </c>
      <c r="EW56" s="876" t="e">
        <f t="shared" si="156"/>
        <v>#VALUE!</v>
      </c>
      <c r="EX56" s="878" t="str">
        <f t="shared" si="157"/>
        <v/>
      </c>
      <c r="EY56" s="879" t="e">
        <f t="shared" si="158"/>
        <v>#DIV/0!</v>
      </c>
      <c r="EZ56" s="959" t="e">
        <f t="shared" si="159"/>
        <v>#DIV/0!</v>
      </c>
      <c r="FA56" s="960" t="e">
        <f t="shared" si="160"/>
        <v>#DIV/0!</v>
      </c>
      <c r="FB56" s="880" t="str">
        <f t="shared" si="161"/>
        <v/>
      </c>
      <c r="FC56" s="881" t="str">
        <f t="shared" si="162"/>
        <v/>
      </c>
      <c r="FD56" s="890">
        <f t="shared" si="163"/>
        <v>0</v>
      </c>
      <c r="FE56" s="833">
        <f t="shared" si="164"/>
        <v>0</v>
      </c>
      <c r="FF56" s="754" t="b">
        <f t="shared" si="165"/>
        <v>0</v>
      </c>
      <c r="FG56" s="754" t="b">
        <f t="shared" si="166"/>
        <v>0</v>
      </c>
      <c r="FH56" s="754" t="b">
        <f t="shared" si="167"/>
        <v>0</v>
      </c>
      <c r="FI56" s="754" t="b">
        <f t="shared" si="168"/>
        <v>0</v>
      </c>
      <c r="FJ56" s="920" t="str">
        <f t="shared" si="182"/>
        <v/>
      </c>
      <c r="FK56" s="919" t="str">
        <f t="shared" si="183"/>
        <v/>
      </c>
      <c r="FL56" s="320" t="e">
        <f t="shared" si="184"/>
        <v>#N/A</v>
      </c>
      <c r="FM56" s="312" t="str">
        <f t="shared" si="169"/>
        <v/>
      </c>
      <c r="FN56" s="272" t="str">
        <f t="shared" ca="1" si="185"/>
        <v/>
      </c>
      <c r="FO56" s="273" t="str">
        <f t="shared" ca="1" si="186"/>
        <v/>
      </c>
      <c r="FP56" s="274" t="str">
        <f t="shared" ca="1" si="187"/>
        <v/>
      </c>
      <c r="FQ56" s="274" t="str">
        <f t="shared" ca="1" si="188"/>
        <v/>
      </c>
      <c r="FR56" s="321">
        <f t="shared" ca="1" si="189"/>
        <v>0</v>
      </c>
      <c r="FS56" s="322">
        <f t="shared" ca="1" si="190"/>
        <v>0</v>
      </c>
      <c r="FT56" s="272" t="str">
        <f t="shared" ca="1" si="191"/>
        <v/>
      </c>
      <c r="FU56" s="275" t="str">
        <f t="shared" ca="1" si="192"/>
        <v/>
      </c>
      <c r="FV56" s="323" t="str">
        <f t="shared" ca="1" si="170"/>
        <v/>
      </c>
      <c r="FW56" s="276" t="str">
        <f t="shared" ca="1" si="193"/>
        <v/>
      </c>
      <c r="FX56" s="276" t="str">
        <f t="shared" ca="1" si="194"/>
        <v/>
      </c>
      <c r="FY56" s="276" t="str">
        <f t="shared" ca="1" si="195"/>
        <v/>
      </c>
      <c r="FZ56" s="276" t="str">
        <f t="shared" ca="1" si="196"/>
        <v/>
      </c>
      <c r="GA56" s="276" t="str">
        <f t="shared" ca="1" si="197"/>
        <v/>
      </c>
      <c r="GB56" s="277" t="str">
        <f ca="1">IF(FY56="","",2+SUM(FO56:OFFSET(FO56,(FU56-1)*-1,0)))</f>
        <v/>
      </c>
      <c r="GC56" s="316" t="e">
        <f t="shared" si="198"/>
        <v>#N/A</v>
      </c>
      <c r="GD56" s="324" t="str">
        <f t="shared" si="171"/>
        <v/>
      </c>
      <c r="GE56" s="325" t="str">
        <f t="shared" si="172"/>
        <v/>
      </c>
      <c r="GF56" s="278" t="str">
        <f t="shared" si="173"/>
        <v/>
      </c>
      <c r="GG56" s="279" t="str">
        <f t="shared" si="174"/>
        <v/>
      </c>
      <c r="GH56" s="279" t="str">
        <f t="shared" si="175"/>
        <v/>
      </c>
      <c r="GI56" s="280" t="str">
        <f t="shared" si="176"/>
        <v/>
      </c>
      <c r="GJ56" s="530">
        <f t="shared" ca="1" si="177"/>
        <v>0</v>
      </c>
      <c r="GK56" s="895" t="str">
        <f t="shared" ca="1" si="199"/>
        <v/>
      </c>
    </row>
    <row r="57" spans="1:193" ht="12.6" hidden="1" customHeight="1" x14ac:dyDescent="0.2">
      <c r="BZ57" s="293"/>
      <c r="CA57" s="293"/>
      <c r="CB57" s="365" t="str">
        <f t="shared" si="104"/>
        <v/>
      </c>
      <c r="CC57" s="366" t="str">
        <f>IF(CG17="","",VLOOKUP(CG17,SectInfo!$B:$N,12,FALSE))</f>
        <v/>
      </c>
      <c r="CD57" s="1305" t="str">
        <f>IF(ISBLANK(CN17),IF(CG17="","",VLOOKUP(CG17,SectInfo!$B:$N,13,FALSE)),CN17)</f>
        <v/>
      </c>
      <c r="CE57" s="1305" t="str">
        <f>IF(CG17="","",IF(VLOOKUP(CG17,SectInfo!$B:$N,5,FALSE)="","R",UPPER(VLOOKUP(CG17,SectInfo!$B:$N,5,FALSE))))</f>
        <v/>
      </c>
      <c r="CF57" s="1305" t="str">
        <f>IF(ISBLANK(CP17),IF(CG17="","",VLOOKUP(CG17,SectInfo!$B:$N,6,FALSE)),CP17)</f>
        <v/>
      </c>
      <c r="CG57" s="1305" t="str">
        <f>IF(CG17="","",IF(VLOOKUP(CG17,SectInfo!$B:$N,10,FALSE)="","",(VLOOKUP(CG17,SectInfo!$B:$N,10,FALSE)*-1)))</f>
        <v/>
      </c>
      <c r="CH57" s="1305" t="str">
        <f>IF(CG17="","",IF(VLOOKUP(CG17,SectInfo!$B:$N,7,FALSE)="","",(VLOOKUP(CG17,SectInfo!$B:$N,7,FALSE)*-1)))</f>
        <v/>
      </c>
      <c r="CI57" s="1305" t="str">
        <f>IF(CG17="","",IF(VLOOKUP(CG17,SectInfo!$B:$N,8,FALSE)="",$FC$4,(VLOOKUP(CG17,SectInfo!$B:$N,8,FALSE))))</f>
        <v/>
      </c>
      <c r="CJ57" s="1305" t="str">
        <f>IF(CG17="","",VLOOKUP(CG17,SectInfo!$B:$N,9,FALSE))</f>
        <v/>
      </c>
      <c r="CK57" s="1306">
        <f t="shared" si="105"/>
        <v>0</v>
      </c>
      <c r="CL57" s="1304" t="str">
        <f>IF(CQ17="","",VLOOKUP(CQ17,SectInfo!$B:$N,12,FALSE))</f>
        <v/>
      </c>
      <c r="CM57" s="1305" t="str">
        <f>IF(ISBLANK(CX17),IF(CQ17="","",VLOOKUP(CQ17,SectInfo!$B:$N,13,FALSE)),CX17)</f>
        <v/>
      </c>
      <c r="CN57" s="1305" t="str">
        <f>IF(CQ17="","",IF(VLOOKUP(CQ17,SectInfo!$B:$N,5,FALSE)="","R",UPPER(VLOOKUP(CQ17,SectInfo!$B:$N,5,FALSE))))</f>
        <v/>
      </c>
      <c r="CO57" s="1305" t="str">
        <f>IF(ISBLANK(CZ17),IF(CQ17="","",VLOOKUP(CQ17,SectInfo!$B:$N,6,FALSE)),CZ17)</f>
        <v/>
      </c>
      <c r="CP57" s="1305" t="str">
        <f>IF(CQ17="","",IF(VLOOKUP(CQ17,SectInfo!$B:$N,10,FALSE)="","",(VLOOKUP(CQ17,SectInfo!$B:$N,10,FALSE)*-1)))</f>
        <v/>
      </c>
      <c r="CQ57" s="1305" t="str">
        <f>IF(CQ17="","",IF(VLOOKUP(CQ17,SectInfo!$B:$N,7,FALSE)="","",(VLOOKUP(CQ17,SectInfo!$B:$N,7,FALSE)*-1)))</f>
        <v/>
      </c>
      <c r="CR57" s="1305" t="str">
        <f>IF(CQ17="","",IF(VLOOKUP(CQ17,SectInfo!$B:$N,8,FALSE)="",$FC$4,(VLOOKUP(CQ17,SectInfo!$B:$N,8,FALSE))))</f>
        <v/>
      </c>
      <c r="CS57" s="1305" t="str">
        <f>IF(CQ17="","",VLOOKUP(CQ17,SectInfo!$B:$N,9,FALSE))</f>
        <v/>
      </c>
      <c r="CT57" s="1306">
        <f t="shared" si="106"/>
        <v>0</v>
      </c>
      <c r="CU57" s="1316">
        <f t="shared" si="107"/>
        <v>0</v>
      </c>
      <c r="CV57" s="1310" t="str">
        <f t="shared" si="108"/>
        <v/>
      </c>
      <c r="CW57" s="1310" t="str">
        <f t="shared" si="109"/>
        <v/>
      </c>
      <c r="CX57" s="1310" t="str">
        <f t="shared" si="110"/>
        <v/>
      </c>
      <c r="CY57" s="1312">
        <f t="shared" si="111"/>
        <v>0</v>
      </c>
      <c r="CZ57" s="1312">
        <f t="shared" si="112"/>
        <v>0</v>
      </c>
      <c r="DA57" s="1312" t="str">
        <f t="shared" si="113"/>
        <v/>
      </c>
      <c r="DB57" s="1310" t="str">
        <f t="shared" si="178"/>
        <v/>
      </c>
      <c r="DC57" s="1310" t="str">
        <f t="shared" si="114"/>
        <v/>
      </c>
      <c r="DD57" s="875">
        <f t="shared" si="179"/>
        <v>0</v>
      </c>
      <c r="DE57" s="873">
        <f t="shared" si="115"/>
        <v>0</v>
      </c>
      <c r="DF57" s="874">
        <f t="shared" si="116"/>
        <v>0</v>
      </c>
      <c r="DG57" s="874" t="str">
        <f t="shared" si="117"/>
        <v/>
      </c>
      <c r="DH57" s="1310" t="str">
        <f t="shared" si="180"/>
        <v/>
      </c>
      <c r="DI57" s="1310" t="str">
        <f t="shared" si="118"/>
        <v/>
      </c>
      <c r="DJ57" s="1311">
        <f t="shared" si="181"/>
        <v>0</v>
      </c>
      <c r="DK57" s="1310" t="str">
        <f t="shared" si="119"/>
        <v/>
      </c>
      <c r="DL57" s="1310" t="str">
        <f t="shared" si="120"/>
        <v/>
      </c>
      <c r="DM57" s="1310" t="str">
        <f t="shared" si="121"/>
        <v/>
      </c>
      <c r="DN57" s="1310" t="str">
        <f t="shared" si="122"/>
        <v/>
      </c>
      <c r="DO57" s="889" t="str">
        <f t="shared" si="123"/>
        <v>ERR</v>
      </c>
      <c r="DP57" s="889" t="str">
        <f t="shared" si="124"/>
        <v>ERR</v>
      </c>
      <c r="DQ57" s="1310" t="str">
        <f t="shared" si="125"/>
        <v/>
      </c>
      <c r="DR57" s="1310" t="str">
        <f t="shared" si="125"/>
        <v/>
      </c>
      <c r="DS57" s="1310" t="str">
        <f t="shared" si="126"/>
        <v/>
      </c>
      <c r="DT57" s="1310" t="str">
        <f t="shared" si="127"/>
        <v/>
      </c>
      <c r="DU57" s="1310" t="str">
        <f t="shared" si="128"/>
        <v/>
      </c>
      <c r="DV57" s="889" t="str">
        <f t="shared" si="129"/>
        <v>ERR</v>
      </c>
      <c r="DW57" s="889" t="str">
        <f t="shared" si="130"/>
        <v>ERR</v>
      </c>
      <c r="DX57" s="873" t="str">
        <f t="shared" si="131"/>
        <v/>
      </c>
      <c r="DY57" s="873" t="str">
        <f t="shared" si="132"/>
        <v/>
      </c>
      <c r="DZ57" s="873" t="str">
        <f t="shared" si="133"/>
        <v/>
      </c>
      <c r="EA57" s="873" t="str">
        <f t="shared" si="134"/>
        <v/>
      </c>
      <c r="EB57" s="876" t="str">
        <f t="shared" si="135"/>
        <v/>
      </c>
      <c r="EC57" s="877" t="str">
        <f t="shared" si="136"/>
        <v/>
      </c>
      <c r="ED57" s="876" t="str">
        <f t="shared" si="137"/>
        <v/>
      </c>
      <c r="EE57" s="876" t="str">
        <f t="shared" si="138"/>
        <v/>
      </c>
      <c r="EF57" s="876" t="str">
        <f t="shared" si="139"/>
        <v/>
      </c>
      <c r="EG57" s="876" t="str">
        <f t="shared" si="140"/>
        <v/>
      </c>
      <c r="EH57" s="876" t="str">
        <f t="shared" si="141"/>
        <v/>
      </c>
      <c r="EI57" s="876" t="str">
        <f t="shared" si="142"/>
        <v/>
      </c>
      <c r="EJ57" s="876" t="str">
        <f t="shared" si="143"/>
        <v/>
      </c>
      <c r="EK57" s="874">
        <f t="shared" si="144"/>
        <v>0</v>
      </c>
      <c r="EL57" s="874">
        <f t="shared" si="145"/>
        <v>0</v>
      </c>
      <c r="EM57" s="874">
        <f t="shared" si="146"/>
        <v>0</v>
      </c>
      <c r="EN57" s="874" t="str">
        <f t="shared" si="147"/>
        <v/>
      </c>
      <c r="EO57" s="873" t="str">
        <f t="shared" si="148"/>
        <v/>
      </c>
      <c r="EP57" s="874">
        <f t="shared" si="149"/>
        <v>0</v>
      </c>
      <c r="EQ57" s="874">
        <f t="shared" si="150"/>
        <v>0</v>
      </c>
      <c r="ER57" s="874">
        <f t="shared" si="151"/>
        <v>0</v>
      </c>
      <c r="ES57" s="874" t="str">
        <f t="shared" si="152"/>
        <v/>
      </c>
      <c r="ET57" s="873" t="str">
        <f t="shared" si="153"/>
        <v/>
      </c>
      <c r="EU57" s="873">
        <f t="shared" si="154"/>
        <v>0</v>
      </c>
      <c r="EV57" s="876" t="e">
        <f t="shared" si="155"/>
        <v>#VALUE!</v>
      </c>
      <c r="EW57" s="876" t="e">
        <f t="shared" si="156"/>
        <v>#VALUE!</v>
      </c>
      <c r="EX57" s="878" t="str">
        <f t="shared" si="157"/>
        <v/>
      </c>
      <c r="EY57" s="879" t="e">
        <f t="shared" si="158"/>
        <v>#DIV/0!</v>
      </c>
      <c r="EZ57" s="959" t="e">
        <f t="shared" si="159"/>
        <v>#DIV/0!</v>
      </c>
      <c r="FA57" s="960" t="e">
        <f t="shared" si="160"/>
        <v>#DIV/0!</v>
      </c>
      <c r="FB57" s="880" t="str">
        <f t="shared" si="161"/>
        <v/>
      </c>
      <c r="FC57" s="881" t="str">
        <f t="shared" si="162"/>
        <v/>
      </c>
      <c r="FD57" s="890">
        <f t="shared" si="163"/>
        <v>0</v>
      </c>
      <c r="FE57" s="833">
        <f t="shared" si="164"/>
        <v>0</v>
      </c>
      <c r="FF57" s="754" t="b">
        <f t="shared" si="165"/>
        <v>0</v>
      </c>
      <c r="FG57" s="754" t="b">
        <f t="shared" si="166"/>
        <v>0</v>
      </c>
      <c r="FH57" s="754" t="b">
        <f t="shared" si="167"/>
        <v>0</v>
      </c>
      <c r="FI57" s="754" t="b">
        <f t="shared" si="168"/>
        <v>0</v>
      </c>
      <c r="FJ57" s="920" t="str">
        <f t="shared" si="182"/>
        <v/>
      </c>
      <c r="FK57" s="919" t="str">
        <f t="shared" si="183"/>
        <v/>
      </c>
      <c r="FL57" s="320" t="e">
        <f t="shared" si="184"/>
        <v>#N/A</v>
      </c>
      <c r="FM57" s="312" t="str">
        <f t="shared" si="169"/>
        <v/>
      </c>
      <c r="FN57" s="272" t="str">
        <f t="shared" ca="1" si="185"/>
        <v/>
      </c>
      <c r="FO57" s="273" t="str">
        <f t="shared" ca="1" si="186"/>
        <v/>
      </c>
      <c r="FP57" s="274" t="str">
        <f t="shared" ca="1" si="187"/>
        <v/>
      </c>
      <c r="FQ57" s="274" t="str">
        <f t="shared" ca="1" si="188"/>
        <v/>
      </c>
      <c r="FR57" s="321">
        <f t="shared" ca="1" si="189"/>
        <v>0</v>
      </c>
      <c r="FS57" s="322">
        <f t="shared" ca="1" si="190"/>
        <v>0</v>
      </c>
      <c r="FT57" s="272" t="str">
        <f t="shared" ca="1" si="191"/>
        <v/>
      </c>
      <c r="FU57" s="275" t="str">
        <f t="shared" ca="1" si="192"/>
        <v/>
      </c>
      <c r="FV57" s="323" t="str">
        <f t="shared" ca="1" si="170"/>
        <v/>
      </c>
      <c r="FW57" s="276" t="str">
        <f t="shared" ca="1" si="193"/>
        <v/>
      </c>
      <c r="FX57" s="276" t="str">
        <f t="shared" ca="1" si="194"/>
        <v/>
      </c>
      <c r="FY57" s="276" t="str">
        <f t="shared" ca="1" si="195"/>
        <v/>
      </c>
      <c r="FZ57" s="276" t="str">
        <f t="shared" ca="1" si="196"/>
        <v/>
      </c>
      <c r="GA57" s="276" t="str">
        <f t="shared" ca="1" si="197"/>
        <v/>
      </c>
      <c r="GB57" s="277" t="str">
        <f ca="1">IF(FY57="","",2+SUM(FO57:OFFSET(FO57,(FU57-1)*-1,0)))</f>
        <v/>
      </c>
      <c r="GC57" s="316" t="e">
        <f t="shared" si="198"/>
        <v>#N/A</v>
      </c>
      <c r="GD57" s="324" t="str">
        <f t="shared" si="171"/>
        <v/>
      </c>
      <c r="GE57" s="325" t="str">
        <f t="shared" si="172"/>
        <v/>
      </c>
      <c r="GF57" s="278" t="str">
        <f t="shared" si="173"/>
        <v/>
      </c>
      <c r="GG57" s="279" t="str">
        <f t="shared" si="174"/>
        <v/>
      </c>
      <c r="GH57" s="279" t="str">
        <f t="shared" si="175"/>
        <v/>
      </c>
      <c r="GI57" s="280" t="str">
        <f t="shared" si="176"/>
        <v/>
      </c>
      <c r="GJ57" s="530">
        <f t="shared" ca="1" si="177"/>
        <v>0</v>
      </c>
      <c r="GK57" s="895" t="str">
        <f t="shared" ca="1" si="199"/>
        <v/>
      </c>
    </row>
    <row r="58" spans="1:193" ht="12.6" hidden="1" customHeight="1" x14ac:dyDescent="0.2">
      <c r="BZ58" s="293"/>
      <c r="CA58" s="293"/>
      <c r="CB58" s="365" t="str">
        <f t="shared" si="104"/>
        <v/>
      </c>
      <c r="CC58" s="366" t="str">
        <f>IF(CG18="","",VLOOKUP(CG18,SectInfo!$B:$N,12,FALSE))</f>
        <v/>
      </c>
      <c r="CD58" s="1305" t="str">
        <f>IF(ISBLANK(CN18),IF(CG18="","",VLOOKUP(CG18,SectInfo!$B:$N,13,FALSE)),CN18)</f>
        <v/>
      </c>
      <c r="CE58" s="1305" t="str">
        <f>IF(CG18="","",IF(VLOOKUP(CG18,SectInfo!$B:$N,5,FALSE)="","R",UPPER(VLOOKUP(CG18,SectInfo!$B:$N,5,FALSE))))</f>
        <v/>
      </c>
      <c r="CF58" s="1305" t="str">
        <f>IF(ISBLANK(CP18),IF(CG18="","",VLOOKUP(CG18,SectInfo!$B:$N,6,FALSE)),CP18)</f>
        <v/>
      </c>
      <c r="CG58" s="1305" t="str">
        <f>IF(CG18="","",IF(VLOOKUP(CG18,SectInfo!$B:$N,10,FALSE)="","",(VLOOKUP(CG18,SectInfo!$B:$N,10,FALSE)*-1)))</f>
        <v/>
      </c>
      <c r="CH58" s="1305" t="str">
        <f>IF(CG18="","",IF(VLOOKUP(CG18,SectInfo!$B:$N,7,FALSE)="","",(VLOOKUP(CG18,SectInfo!$B:$N,7,FALSE)*-1)))</f>
        <v/>
      </c>
      <c r="CI58" s="1305" t="str">
        <f>IF(CG18="","",IF(VLOOKUP(CG18,SectInfo!$B:$N,8,FALSE)="",$FC$4,(VLOOKUP(CG18,SectInfo!$B:$N,8,FALSE))))</f>
        <v/>
      </c>
      <c r="CJ58" s="1305" t="str">
        <f>IF(CG18="","",VLOOKUP(CG18,SectInfo!$B:$N,9,FALSE))</f>
        <v/>
      </c>
      <c r="CK58" s="1306">
        <f t="shared" si="105"/>
        <v>0</v>
      </c>
      <c r="CL58" s="1304" t="str">
        <f>IF(CQ18="","",VLOOKUP(CQ18,SectInfo!$B:$N,12,FALSE))</f>
        <v/>
      </c>
      <c r="CM58" s="1305" t="str">
        <f>IF(ISBLANK(CX18),IF(CQ18="","",VLOOKUP(CQ18,SectInfo!$B:$N,13,FALSE)),CX18)</f>
        <v/>
      </c>
      <c r="CN58" s="1305" t="str">
        <f>IF(CQ18="","",IF(VLOOKUP(CQ18,SectInfo!$B:$N,5,FALSE)="","R",UPPER(VLOOKUP(CQ18,SectInfo!$B:$N,5,FALSE))))</f>
        <v/>
      </c>
      <c r="CO58" s="1305" t="str">
        <f>IF(ISBLANK(CZ18),IF(CQ18="","",VLOOKUP(CQ18,SectInfo!$B:$N,6,FALSE)),CZ18)</f>
        <v/>
      </c>
      <c r="CP58" s="1305" t="str">
        <f>IF(CQ18="","",IF(VLOOKUP(CQ18,SectInfo!$B:$N,10,FALSE)="","",(VLOOKUP(CQ18,SectInfo!$B:$N,10,FALSE)*-1)))</f>
        <v/>
      </c>
      <c r="CQ58" s="1305" t="str">
        <f>IF(CQ18="","",IF(VLOOKUP(CQ18,SectInfo!$B:$N,7,FALSE)="","",(VLOOKUP(CQ18,SectInfo!$B:$N,7,FALSE)*-1)))</f>
        <v/>
      </c>
      <c r="CR58" s="1305" t="str">
        <f>IF(CQ18="","",IF(VLOOKUP(CQ18,SectInfo!$B:$N,8,FALSE)="",$FC$4,(VLOOKUP(CQ18,SectInfo!$B:$N,8,FALSE))))</f>
        <v/>
      </c>
      <c r="CS58" s="1305" t="str">
        <f>IF(CQ18="","",VLOOKUP(CQ18,SectInfo!$B:$N,9,FALSE))</f>
        <v/>
      </c>
      <c r="CT58" s="1306">
        <f t="shared" si="106"/>
        <v>0</v>
      </c>
      <c r="CU58" s="1316">
        <f t="shared" si="107"/>
        <v>0</v>
      </c>
      <c r="CV58" s="1310" t="str">
        <f t="shared" si="108"/>
        <v/>
      </c>
      <c r="CW58" s="1310" t="str">
        <f t="shared" si="109"/>
        <v/>
      </c>
      <c r="CX58" s="1310" t="str">
        <f t="shared" si="110"/>
        <v/>
      </c>
      <c r="CY58" s="1312">
        <f t="shared" si="111"/>
        <v>0</v>
      </c>
      <c r="CZ58" s="1312">
        <f t="shared" si="112"/>
        <v>0</v>
      </c>
      <c r="DA58" s="1312" t="str">
        <f t="shared" si="113"/>
        <v/>
      </c>
      <c r="DB58" s="1310" t="str">
        <f t="shared" si="178"/>
        <v/>
      </c>
      <c r="DC58" s="1310" t="str">
        <f t="shared" si="114"/>
        <v/>
      </c>
      <c r="DD58" s="875">
        <f t="shared" si="179"/>
        <v>0</v>
      </c>
      <c r="DE58" s="873">
        <f t="shared" si="115"/>
        <v>0</v>
      </c>
      <c r="DF58" s="874">
        <f t="shared" si="116"/>
        <v>0</v>
      </c>
      <c r="DG58" s="874" t="str">
        <f t="shared" si="117"/>
        <v/>
      </c>
      <c r="DH58" s="1310" t="str">
        <f t="shared" si="180"/>
        <v/>
      </c>
      <c r="DI58" s="1310" t="str">
        <f t="shared" si="118"/>
        <v/>
      </c>
      <c r="DJ58" s="1311">
        <f t="shared" si="181"/>
        <v>0</v>
      </c>
      <c r="DK58" s="1310" t="str">
        <f t="shared" si="119"/>
        <v/>
      </c>
      <c r="DL58" s="1310" t="str">
        <f t="shared" si="120"/>
        <v/>
      </c>
      <c r="DM58" s="1310" t="str">
        <f t="shared" si="121"/>
        <v/>
      </c>
      <c r="DN58" s="1310" t="str">
        <f t="shared" si="122"/>
        <v/>
      </c>
      <c r="DO58" s="889" t="str">
        <f t="shared" si="123"/>
        <v>ERR</v>
      </c>
      <c r="DP58" s="889" t="str">
        <f t="shared" si="124"/>
        <v>ERR</v>
      </c>
      <c r="DQ58" s="1310" t="str">
        <f t="shared" si="125"/>
        <v/>
      </c>
      <c r="DR58" s="1310" t="str">
        <f t="shared" si="125"/>
        <v/>
      </c>
      <c r="DS58" s="1310" t="str">
        <f t="shared" si="126"/>
        <v/>
      </c>
      <c r="DT58" s="1310" t="str">
        <f t="shared" si="127"/>
        <v/>
      </c>
      <c r="DU58" s="1310" t="str">
        <f t="shared" si="128"/>
        <v/>
      </c>
      <c r="DV58" s="889" t="str">
        <f t="shared" si="129"/>
        <v>ERR</v>
      </c>
      <c r="DW58" s="889" t="str">
        <f t="shared" si="130"/>
        <v>ERR</v>
      </c>
      <c r="DX58" s="873" t="str">
        <f t="shared" si="131"/>
        <v/>
      </c>
      <c r="DY58" s="873" t="str">
        <f t="shared" si="132"/>
        <v/>
      </c>
      <c r="DZ58" s="873" t="str">
        <f t="shared" si="133"/>
        <v/>
      </c>
      <c r="EA58" s="873" t="str">
        <f t="shared" si="134"/>
        <v/>
      </c>
      <c r="EB58" s="876" t="str">
        <f t="shared" si="135"/>
        <v/>
      </c>
      <c r="EC58" s="877" t="str">
        <f t="shared" si="136"/>
        <v/>
      </c>
      <c r="ED58" s="876" t="str">
        <f t="shared" si="137"/>
        <v/>
      </c>
      <c r="EE58" s="876" t="str">
        <f t="shared" si="138"/>
        <v/>
      </c>
      <c r="EF58" s="876" t="str">
        <f t="shared" si="139"/>
        <v/>
      </c>
      <c r="EG58" s="876" t="str">
        <f t="shared" si="140"/>
        <v/>
      </c>
      <c r="EH58" s="876" t="str">
        <f t="shared" si="141"/>
        <v/>
      </c>
      <c r="EI58" s="876" t="str">
        <f t="shared" si="142"/>
        <v/>
      </c>
      <c r="EJ58" s="876" t="str">
        <f t="shared" si="143"/>
        <v/>
      </c>
      <c r="EK58" s="874">
        <f t="shared" si="144"/>
        <v>0</v>
      </c>
      <c r="EL58" s="874">
        <f t="shared" si="145"/>
        <v>0</v>
      </c>
      <c r="EM58" s="874">
        <f t="shared" si="146"/>
        <v>0</v>
      </c>
      <c r="EN58" s="874" t="str">
        <f t="shared" si="147"/>
        <v/>
      </c>
      <c r="EO58" s="873" t="str">
        <f t="shared" si="148"/>
        <v/>
      </c>
      <c r="EP58" s="874">
        <f t="shared" si="149"/>
        <v>0</v>
      </c>
      <c r="EQ58" s="874">
        <f t="shared" si="150"/>
        <v>0</v>
      </c>
      <c r="ER58" s="874">
        <f t="shared" si="151"/>
        <v>0</v>
      </c>
      <c r="ES58" s="874" t="str">
        <f t="shared" si="152"/>
        <v/>
      </c>
      <c r="ET58" s="873" t="str">
        <f t="shared" si="153"/>
        <v/>
      </c>
      <c r="EU58" s="873">
        <f t="shared" si="154"/>
        <v>0</v>
      </c>
      <c r="EV58" s="876" t="e">
        <f t="shared" si="155"/>
        <v>#VALUE!</v>
      </c>
      <c r="EW58" s="876" t="e">
        <f t="shared" si="156"/>
        <v>#VALUE!</v>
      </c>
      <c r="EX58" s="878" t="str">
        <f t="shared" si="157"/>
        <v/>
      </c>
      <c r="EY58" s="879" t="e">
        <f t="shared" si="158"/>
        <v>#DIV/0!</v>
      </c>
      <c r="EZ58" s="959" t="e">
        <f t="shared" si="159"/>
        <v>#DIV/0!</v>
      </c>
      <c r="FA58" s="960" t="e">
        <f t="shared" si="160"/>
        <v>#DIV/0!</v>
      </c>
      <c r="FB58" s="880" t="str">
        <f t="shared" si="161"/>
        <v/>
      </c>
      <c r="FC58" s="881" t="str">
        <f t="shared" si="162"/>
        <v/>
      </c>
      <c r="FD58" s="890">
        <f t="shared" si="163"/>
        <v>0</v>
      </c>
      <c r="FE58" s="833">
        <f t="shared" si="164"/>
        <v>0</v>
      </c>
      <c r="FF58" s="754" t="b">
        <f t="shared" si="165"/>
        <v>0</v>
      </c>
      <c r="FG58" s="754" t="b">
        <f t="shared" si="166"/>
        <v>0</v>
      </c>
      <c r="FH58" s="754" t="b">
        <f t="shared" si="167"/>
        <v>0</v>
      </c>
      <c r="FI58" s="754" t="b">
        <f t="shared" si="168"/>
        <v>0</v>
      </c>
      <c r="FJ58" s="920" t="str">
        <f t="shared" si="182"/>
        <v/>
      </c>
      <c r="FK58" s="919" t="str">
        <f t="shared" si="183"/>
        <v/>
      </c>
      <c r="FL58" s="320" t="e">
        <f t="shared" si="184"/>
        <v>#N/A</v>
      </c>
      <c r="FM58" s="312" t="str">
        <f t="shared" si="169"/>
        <v/>
      </c>
      <c r="FN58" s="272" t="str">
        <f t="shared" ca="1" si="185"/>
        <v/>
      </c>
      <c r="FO58" s="273" t="str">
        <f t="shared" ca="1" si="186"/>
        <v/>
      </c>
      <c r="FP58" s="274" t="str">
        <f t="shared" ca="1" si="187"/>
        <v/>
      </c>
      <c r="FQ58" s="274" t="str">
        <f t="shared" ca="1" si="188"/>
        <v/>
      </c>
      <c r="FR58" s="321">
        <f t="shared" ca="1" si="189"/>
        <v>0</v>
      </c>
      <c r="FS58" s="322">
        <f t="shared" ca="1" si="190"/>
        <v>0</v>
      </c>
      <c r="FT58" s="272" t="str">
        <f t="shared" ca="1" si="191"/>
        <v/>
      </c>
      <c r="FU58" s="275" t="str">
        <f t="shared" ca="1" si="192"/>
        <v/>
      </c>
      <c r="FV58" s="323" t="str">
        <f t="shared" ca="1" si="170"/>
        <v/>
      </c>
      <c r="FW58" s="276" t="str">
        <f t="shared" ca="1" si="193"/>
        <v/>
      </c>
      <c r="FX58" s="276" t="str">
        <f t="shared" ca="1" si="194"/>
        <v/>
      </c>
      <c r="FY58" s="276" t="str">
        <f t="shared" ca="1" si="195"/>
        <v/>
      </c>
      <c r="FZ58" s="276" t="str">
        <f t="shared" ca="1" si="196"/>
        <v/>
      </c>
      <c r="GA58" s="276" t="str">
        <f t="shared" ca="1" si="197"/>
        <v/>
      </c>
      <c r="GB58" s="277" t="str">
        <f ca="1">IF(FY58="","",2+SUM(FO58:OFFSET(FO58,(FU58-1)*-1,0)))</f>
        <v/>
      </c>
      <c r="GC58" s="316" t="e">
        <f t="shared" si="198"/>
        <v>#N/A</v>
      </c>
      <c r="GD58" s="324" t="str">
        <f t="shared" si="171"/>
        <v/>
      </c>
      <c r="GE58" s="325" t="str">
        <f t="shared" si="172"/>
        <v/>
      </c>
      <c r="GF58" s="278" t="str">
        <f t="shared" si="173"/>
        <v/>
      </c>
      <c r="GG58" s="279" t="str">
        <f t="shared" si="174"/>
        <v/>
      </c>
      <c r="GH58" s="279" t="str">
        <f t="shared" si="175"/>
        <v/>
      </c>
      <c r="GI58" s="280" t="str">
        <f t="shared" si="176"/>
        <v/>
      </c>
      <c r="GJ58" s="530">
        <f t="shared" ca="1" si="177"/>
        <v>0</v>
      </c>
      <c r="GK58" s="895" t="str">
        <f t="shared" ca="1" si="199"/>
        <v/>
      </c>
    </row>
    <row r="59" spans="1:193" ht="12.6" hidden="1" customHeight="1" x14ac:dyDescent="0.2">
      <c r="BZ59" s="293"/>
      <c r="CA59" s="293"/>
      <c r="CB59" s="365" t="str">
        <f t="shared" si="104"/>
        <v/>
      </c>
      <c r="CC59" s="366" t="str">
        <f>IF(CG19="","",VLOOKUP(CG19,SectInfo!$B:$N,12,FALSE))</f>
        <v/>
      </c>
      <c r="CD59" s="1305" t="str">
        <f>IF(ISBLANK(CN19),IF(CG19="","",VLOOKUP(CG19,SectInfo!$B:$N,13,FALSE)),CN19)</f>
        <v/>
      </c>
      <c r="CE59" s="1305" t="str">
        <f>IF(CG19="","",IF(VLOOKUP(CG19,SectInfo!$B:$N,5,FALSE)="","R",UPPER(VLOOKUP(CG19,SectInfo!$B:$N,5,FALSE))))</f>
        <v/>
      </c>
      <c r="CF59" s="1305" t="str">
        <f>IF(ISBLANK(CP19),IF(CG19="","",VLOOKUP(CG19,SectInfo!$B:$N,6,FALSE)),CP19)</f>
        <v/>
      </c>
      <c r="CG59" s="1305" t="str">
        <f>IF(CG19="","",IF(VLOOKUP(CG19,SectInfo!$B:$N,10,FALSE)="","",(VLOOKUP(CG19,SectInfo!$B:$N,10,FALSE)*-1)))</f>
        <v/>
      </c>
      <c r="CH59" s="1305" t="str">
        <f>IF(CG19="","",IF(VLOOKUP(CG19,SectInfo!$B:$N,7,FALSE)="","",(VLOOKUP(CG19,SectInfo!$B:$N,7,FALSE)*-1)))</f>
        <v/>
      </c>
      <c r="CI59" s="1305" t="str">
        <f>IF(CG19="","",IF(VLOOKUP(CG19,SectInfo!$B:$N,8,FALSE)="",$FC$4,(VLOOKUP(CG19,SectInfo!$B:$N,8,FALSE))))</f>
        <v/>
      </c>
      <c r="CJ59" s="1305" t="str">
        <f>IF(CG19="","",VLOOKUP(CG19,SectInfo!$B:$N,9,FALSE))</f>
        <v/>
      </c>
      <c r="CK59" s="1306">
        <f t="shared" si="105"/>
        <v>0</v>
      </c>
      <c r="CL59" s="1304" t="str">
        <f>IF(CQ19="","",VLOOKUP(CQ19,SectInfo!$B:$N,12,FALSE))</f>
        <v/>
      </c>
      <c r="CM59" s="1305" t="str">
        <f>IF(ISBLANK(CX19),IF(CQ19="","",VLOOKUP(CQ19,SectInfo!$B:$N,13,FALSE)),CX19)</f>
        <v/>
      </c>
      <c r="CN59" s="1305" t="str">
        <f>IF(CQ19="","",IF(VLOOKUP(CQ19,SectInfo!$B:$N,5,FALSE)="","R",UPPER(VLOOKUP(CQ19,SectInfo!$B:$N,5,FALSE))))</f>
        <v/>
      </c>
      <c r="CO59" s="1305" t="str">
        <f>IF(ISBLANK(CZ19),IF(CQ19="","",VLOOKUP(CQ19,SectInfo!$B:$N,6,FALSE)),CZ19)</f>
        <v/>
      </c>
      <c r="CP59" s="1305" t="str">
        <f>IF(CQ19="","",IF(VLOOKUP(CQ19,SectInfo!$B:$N,10,FALSE)="","",(VLOOKUP(CQ19,SectInfo!$B:$N,10,FALSE)*-1)))</f>
        <v/>
      </c>
      <c r="CQ59" s="1305" t="str">
        <f>IF(CQ19="","",IF(VLOOKUP(CQ19,SectInfo!$B:$N,7,FALSE)="","",(VLOOKUP(CQ19,SectInfo!$B:$N,7,FALSE)*-1)))</f>
        <v/>
      </c>
      <c r="CR59" s="1305" t="str">
        <f>IF(CQ19="","",IF(VLOOKUP(CQ19,SectInfo!$B:$N,8,FALSE)="",$FC$4,(VLOOKUP(CQ19,SectInfo!$B:$N,8,FALSE))))</f>
        <v/>
      </c>
      <c r="CS59" s="1305" t="str">
        <f>IF(CQ19="","",VLOOKUP(CQ19,SectInfo!$B:$N,9,FALSE))</f>
        <v/>
      </c>
      <c r="CT59" s="1306">
        <f t="shared" si="106"/>
        <v>0</v>
      </c>
      <c r="CU59" s="1316">
        <f t="shared" si="107"/>
        <v>0</v>
      </c>
      <c r="CV59" s="1310" t="str">
        <f t="shared" si="108"/>
        <v/>
      </c>
      <c r="CW59" s="1310" t="str">
        <f t="shared" si="109"/>
        <v/>
      </c>
      <c r="CX59" s="1310" t="str">
        <f t="shared" si="110"/>
        <v/>
      </c>
      <c r="CY59" s="1312">
        <f t="shared" si="111"/>
        <v>0</v>
      </c>
      <c r="CZ59" s="1312">
        <f t="shared" si="112"/>
        <v>0</v>
      </c>
      <c r="DA59" s="1312" t="str">
        <f t="shared" si="113"/>
        <v/>
      </c>
      <c r="DB59" s="1310" t="str">
        <f t="shared" si="178"/>
        <v/>
      </c>
      <c r="DC59" s="1310" t="str">
        <f t="shared" si="114"/>
        <v/>
      </c>
      <c r="DD59" s="875">
        <f t="shared" si="179"/>
        <v>0</v>
      </c>
      <c r="DE59" s="873">
        <f t="shared" si="115"/>
        <v>0</v>
      </c>
      <c r="DF59" s="874">
        <f t="shared" si="116"/>
        <v>0</v>
      </c>
      <c r="DG59" s="874" t="str">
        <f t="shared" si="117"/>
        <v/>
      </c>
      <c r="DH59" s="1310" t="str">
        <f t="shared" si="180"/>
        <v/>
      </c>
      <c r="DI59" s="1310" t="str">
        <f t="shared" si="118"/>
        <v/>
      </c>
      <c r="DJ59" s="1311">
        <f t="shared" si="181"/>
        <v>0</v>
      </c>
      <c r="DK59" s="1310" t="str">
        <f t="shared" si="119"/>
        <v/>
      </c>
      <c r="DL59" s="1310" t="str">
        <f t="shared" si="120"/>
        <v/>
      </c>
      <c r="DM59" s="1310" t="str">
        <f t="shared" si="121"/>
        <v/>
      </c>
      <c r="DN59" s="1310" t="str">
        <f t="shared" si="122"/>
        <v/>
      </c>
      <c r="DO59" s="889" t="str">
        <f t="shared" si="123"/>
        <v>ERR</v>
      </c>
      <c r="DP59" s="889" t="str">
        <f t="shared" si="124"/>
        <v>ERR</v>
      </c>
      <c r="DQ59" s="1310" t="str">
        <f t="shared" si="125"/>
        <v/>
      </c>
      <c r="DR59" s="1310" t="str">
        <f t="shared" si="125"/>
        <v/>
      </c>
      <c r="DS59" s="1310" t="str">
        <f t="shared" si="126"/>
        <v/>
      </c>
      <c r="DT59" s="1310" t="str">
        <f t="shared" si="127"/>
        <v/>
      </c>
      <c r="DU59" s="1310" t="str">
        <f t="shared" si="128"/>
        <v/>
      </c>
      <c r="DV59" s="889" t="str">
        <f t="shared" si="129"/>
        <v>ERR</v>
      </c>
      <c r="DW59" s="889" t="str">
        <f t="shared" si="130"/>
        <v>ERR</v>
      </c>
      <c r="DX59" s="873" t="str">
        <f t="shared" si="131"/>
        <v/>
      </c>
      <c r="DY59" s="873" t="str">
        <f t="shared" si="132"/>
        <v/>
      </c>
      <c r="DZ59" s="873" t="str">
        <f t="shared" si="133"/>
        <v/>
      </c>
      <c r="EA59" s="873" t="str">
        <f t="shared" si="134"/>
        <v/>
      </c>
      <c r="EB59" s="876" t="str">
        <f t="shared" si="135"/>
        <v/>
      </c>
      <c r="EC59" s="877" t="str">
        <f t="shared" si="136"/>
        <v/>
      </c>
      <c r="ED59" s="876" t="str">
        <f t="shared" si="137"/>
        <v/>
      </c>
      <c r="EE59" s="876" t="str">
        <f t="shared" si="138"/>
        <v/>
      </c>
      <c r="EF59" s="876" t="str">
        <f t="shared" si="139"/>
        <v/>
      </c>
      <c r="EG59" s="876" t="str">
        <f t="shared" si="140"/>
        <v/>
      </c>
      <c r="EH59" s="876" t="str">
        <f t="shared" si="141"/>
        <v/>
      </c>
      <c r="EI59" s="876" t="str">
        <f t="shared" si="142"/>
        <v/>
      </c>
      <c r="EJ59" s="876" t="str">
        <f t="shared" si="143"/>
        <v/>
      </c>
      <c r="EK59" s="874">
        <f t="shared" si="144"/>
        <v>0</v>
      </c>
      <c r="EL59" s="874">
        <f t="shared" si="145"/>
        <v>0</v>
      </c>
      <c r="EM59" s="874">
        <f t="shared" si="146"/>
        <v>0</v>
      </c>
      <c r="EN59" s="874" t="str">
        <f t="shared" si="147"/>
        <v/>
      </c>
      <c r="EO59" s="873" t="str">
        <f t="shared" si="148"/>
        <v/>
      </c>
      <c r="EP59" s="874">
        <f t="shared" si="149"/>
        <v>0</v>
      </c>
      <c r="EQ59" s="874">
        <f t="shared" si="150"/>
        <v>0</v>
      </c>
      <c r="ER59" s="874">
        <f t="shared" si="151"/>
        <v>0</v>
      </c>
      <c r="ES59" s="874" t="str">
        <f t="shared" si="152"/>
        <v/>
      </c>
      <c r="ET59" s="873" t="str">
        <f t="shared" si="153"/>
        <v/>
      </c>
      <c r="EU59" s="873">
        <f t="shared" si="154"/>
        <v>0</v>
      </c>
      <c r="EV59" s="876" t="e">
        <f t="shared" si="155"/>
        <v>#VALUE!</v>
      </c>
      <c r="EW59" s="876" t="e">
        <f t="shared" si="156"/>
        <v>#VALUE!</v>
      </c>
      <c r="EX59" s="878" t="str">
        <f t="shared" si="157"/>
        <v/>
      </c>
      <c r="EY59" s="879" t="e">
        <f t="shared" si="158"/>
        <v>#DIV/0!</v>
      </c>
      <c r="EZ59" s="959" t="e">
        <f t="shared" si="159"/>
        <v>#DIV/0!</v>
      </c>
      <c r="FA59" s="960" t="e">
        <f t="shared" si="160"/>
        <v>#DIV/0!</v>
      </c>
      <c r="FB59" s="880" t="str">
        <f t="shared" si="161"/>
        <v/>
      </c>
      <c r="FC59" s="881" t="str">
        <f t="shared" si="162"/>
        <v/>
      </c>
      <c r="FD59" s="890">
        <f t="shared" si="163"/>
        <v>0</v>
      </c>
      <c r="FE59" s="833">
        <f t="shared" si="164"/>
        <v>0</v>
      </c>
      <c r="FF59" s="754" t="b">
        <f t="shared" si="165"/>
        <v>0</v>
      </c>
      <c r="FG59" s="754" t="b">
        <f t="shared" si="166"/>
        <v>0</v>
      </c>
      <c r="FH59" s="754" t="b">
        <f t="shared" si="167"/>
        <v>0</v>
      </c>
      <c r="FI59" s="754" t="b">
        <f t="shared" si="168"/>
        <v>0</v>
      </c>
      <c r="FJ59" s="920" t="str">
        <f t="shared" si="182"/>
        <v/>
      </c>
      <c r="FK59" s="919" t="str">
        <f t="shared" si="183"/>
        <v/>
      </c>
      <c r="FL59" s="320" t="e">
        <f t="shared" si="184"/>
        <v>#N/A</v>
      </c>
      <c r="FM59" s="312" t="str">
        <f t="shared" si="169"/>
        <v/>
      </c>
      <c r="FN59" s="272" t="str">
        <f t="shared" ca="1" si="185"/>
        <v/>
      </c>
      <c r="FO59" s="273" t="str">
        <f t="shared" ca="1" si="186"/>
        <v/>
      </c>
      <c r="FP59" s="274" t="str">
        <f t="shared" ca="1" si="187"/>
        <v/>
      </c>
      <c r="FQ59" s="274" t="str">
        <f t="shared" ca="1" si="188"/>
        <v/>
      </c>
      <c r="FR59" s="321">
        <f t="shared" ca="1" si="189"/>
        <v>0</v>
      </c>
      <c r="FS59" s="322">
        <f t="shared" ca="1" si="190"/>
        <v>0</v>
      </c>
      <c r="FT59" s="272" t="str">
        <f t="shared" ca="1" si="191"/>
        <v/>
      </c>
      <c r="FU59" s="275" t="str">
        <f t="shared" ca="1" si="192"/>
        <v/>
      </c>
      <c r="FV59" s="323" t="str">
        <f t="shared" ca="1" si="170"/>
        <v/>
      </c>
      <c r="FW59" s="276" t="str">
        <f t="shared" ca="1" si="193"/>
        <v/>
      </c>
      <c r="FX59" s="276" t="str">
        <f t="shared" ca="1" si="194"/>
        <v/>
      </c>
      <c r="FY59" s="276" t="str">
        <f t="shared" ca="1" si="195"/>
        <v/>
      </c>
      <c r="FZ59" s="276" t="str">
        <f t="shared" ca="1" si="196"/>
        <v/>
      </c>
      <c r="GA59" s="276" t="str">
        <f t="shared" ca="1" si="197"/>
        <v/>
      </c>
      <c r="GB59" s="277" t="str">
        <f ca="1">IF(FY59="","",2+SUM(FO59:OFFSET(FO59,(FU59-1)*-1,0)))</f>
        <v/>
      </c>
      <c r="GC59" s="316" t="e">
        <f t="shared" si="198"/>
        <v>#N/A</v>
      </c>
      <c r="GD59" s="324" t="str">
        <f t="shared" si="171"/>
        <v/>
      </c>
      <c r="GE59" s="325" t="str">
        <f t="shared" si="172"/>
        <v/>
      </c>
      <c r="GF59" s="278" t="str">
        <f t="shared" si="173"/>
        <v/>
      </c>
      <c r="GG59" s="279" t="str">
        <f t="shared" si="174"/>
        <v/>
      </c>
      <c r="GH59" s="279" t="str">
        <f t="shared" si="175"/>
        <v/>
      </c>
      <c r="GI59" s="280" t="str">
        <f t="shared" si="176"/>
        <v/>
      </c>
      <c r="GJ59" s="530">
        <f t="shared" ca="1" si="177"/>
        <v>0</v>
      </c>
      <c r="GK59" s="895" t="str">
        <f t="shared" ca="1" si="199"/>
        <v/>
      </c>
    </row>
    <row r="60" spans="1:193" ht="12.6" hidden="1" customHeight="1" x14ac:dyDescent="0.2">
      <c r="A60" s="892" t="s">
        <v>1177</v>
      </c>
      <c r="BZ60" s="293"/>
      <c r="CA60" s="293"/>
      <c r="CB60" s="365" t="str">
        <f t="shared" si="104"/>
        <v/>
      </c>
      <c r="CC60" s="366" t="str">
        <f>IF(CG20="","",VLOOKUP(CG20,SectInfo!$B:$N,12,FALSE))</f>
        <v/>
      </c>
      <c r="CD60" s="1305" t="str">
        <f>IF(ISBLANK(CN20),IF(CG20="","",VLOOKUP(CG20,SectInfo!$B:$N,13,FALSE)),CN20)</f>
        <v/>
      </c>
      <c r="CE60" s="1305" t="str">
        <f>IF(CG20="","",IF(VLOOKUP(CG20,SectInfo!$B:$N,5,FALSE)="","R",UPPER(VLOOKUP(CG20,SectInfo!$B:$N,5,FALSE))))</f>
        <v/>
      </c>
      <c r="CF60" s="1305" t="str">
        <f>IF(ISBLANK(CP20),IF(CG20="","",VLOOKUP(CG20,SectInfo!$B:$N,6,FALSE)),CP20)</f>
        <v/>
      </c>
      <c r="CG60" s="1305" t="str">
        <f>IF(CG20="","",IF(VLOOKUP(CG20,SectInfo!$B:$N,10,FALSE)="","",(VLOOKUP(CG20,SectInfo!$B:$N,10,FALSE)*-1)))</f>
        <v/>
      </c>
      <c r="CH60" s="1305" t="str">
        <f>IF(CG20="","",IF(VLOOKUP(CG20,SectInfo!$B:$N,7,FALSE)="","",(VLOOKUP(CG20,SectInfo!$B:$N,7,FALSE)*-1)))</f>
        <v/>
      </c>
      <c r="CI60" s="1305" t="str">
        <f>IF(CG20="","",IF(VLOOKUP(CG20,SectInfo!$B:$N,8,FALSE)="",$FC$4,(VLOOKUP(CG20,SectInfo!$B:$N,8,FALSE))))</f>
        <v/>
      </c>
      <c r="CJ60" s="1305" t="str">
        <f>IF(CG20="","",VLOOKUP(CG20,SectInfo!$B:$N,9,FALSE))</f>
        <v/>
      </c>
      <c r="CK60" s="1306">
        <f t="shared" si="105"/>
        <v>0</v>
      </c>
      <c r="CL60" s="1304" t="str">
        <f>IF(CQ20="","",VLOOKUP(CQ20,SectInfo!$B:$N,12,FALSE))</f>
        <v/>
      </c>
      <c r="CM60" s="1305" t="str">
        <f>IF(ISBLANK(CX20),IF(CQ20="","",VLOOKUP(CQ20,SectInfo!$B:$N,13,FALSE)),CX20)</f>
        <v/>
      </c>
      <c r="CN60" s="1305" t="str">
        <f>IF(CQ20="","",IF(VLOOKUP(CQ20,SectInfo!$B:$N,5,FALSE)="","R",UPPER(VLOOKUP(CQ20,SectInfo!$B:$N,5,FALSE))))</f>
        <v/>
      </c>
      <c r="CO60" s="1305" t="str">
        <f>IF(ISBLANK(CZ20),IF(CQ20="","",VLOOKUP(CQ20,SectInfo!$B:$N,6,FALSE)),CZ20)</f>
        <v/>
      </c>
      <c r="CP60" s="1305" t="str">
        <f>IF(CQ20="","",IF(VLOOKUP(CQ20,SectInfo!$B:$N,10,FALSE)="","",(VLOOKUP(CQ20,SectInfo!$B:$N,10,FALSE)*-1)))</f>
        <v/>
      </c>
      <c r="CQ60" s="1305" t="str">
        <f>IF(CQ20="","",IF(VLOOKUP(CQ20,SectInfo!$B:$N,7,FALSE)="","",(VLOOKUP(CQ20,SectInfo!$B:$N,7,FALSE)*-1)))</f>
        <v/>
      </c>
      <c r="CR60" s="1305" t="str">
        <f>IF(CQ20="","",IF(VLOOKUP(CQ20,SectInfo!$B:$N,8,FALSE)="",$FC$4,(VLOOKUP(CQ20,SectInfo!$B:$N,8,FALSE))))</f>
        <v/>
      </c>
      <c r="CS60" s="1305" t="str">
        <f>IF(CQ20="","",VLOOKUP(CQ20,SectInfo!$B:$N,9,FALSE))</f>
        <v/>
      </c>
      <c r="CT60" s="1306">
        <f t="shared" si="106"/>
        <v>0</v>
      </c>
      <c r="CU60" s="1316">
        <f t="shared" si="107"/>
        <v>0</v>
      </c>
      <c r="CV60" s="1310" t="str">
        <f t="shared" si="108"/>
        <v/>
      </c>
      <c r="CW60" s="1310" t="str">
        <f t="shared" si="109"/>
        <v/>
      </c>
      <c r="CX60" s="1310" t="str">
        <f t="shared" si="110"/>
        <v/>
      </c>
      <c r="CY60" s="1312">
        <f t="shared" si="111"/>
        <v>0</v>
      </c>
      <c r="CZ60" s="1312">
        <f t="shared" si="112"/>
        <v>0</v>
      </c>
      <c r="DA60" s="1312" t="str">
        <f t="shared" si="113"/>
        <v/>
      </c>
      <c r="DB60" s="1310" t="str">
        <f t="shared" si="178"/>
        <v/>
      </c>
      <c r="DC60" s="1310" t="str">
        <f t="shared" si="114"/>
        <v/>
      </c>
      <c r="DD60" s="875">
        <f t="shared" si="179"/>
        <v>0</v>
      </c>
      <c r="DE60" s="873">
        <f t="shared" si="115"/>
        <v>0</v>
      </c>
      <c r="DF60" s="874">
        <f t="shared" si="116"/>
        <v>0</v>
      </c>
      <c r="DG60" s="874" t="str">
        <f t="shared" si="117"/>
        <v/>
      </c>
      <c r="DH60" s="1310" t="str">
        <f t="shared" si="180"/>
        <v/>
      </c>
      <c r="DI60" s="1310" t="str">
        <f t="shared" si="118"/>
        <v/>
      </c>
      <c r="DJ60" s="1311">
        <f t="shared" si="181"/>
        <v>0</v>
      </c>
      <c r="DK60" s="1310" t="str">
        <f t="shared" si="119"/>
        <v/>
      </c>
      <c r="DL60" s="1310" t="str">
        <f t="shared" si="120"/>
        <v/>
      </c>
      <c r="DM60" s="1310" t="str">
        <f t="shared" si="121"/>
        <v/>
      </c>
      <c r="DN60" s="1310" t="str">
        <f t="shared" si="122"/>
        <v/>
      </c>
      <c r="DO60" s="889" t="str">
        <f t="shared" si="123"/>
        <v>ERR</v>
      </c>
      <c r="DP60" s="889" t="str">
        <f t="shared" si="124"/>
        <v>ERR</v>
      </c>
      <c r="DQ60" s="1310" t="str">
        <f t="shared" si="125"/>
        <v/>
      </c>
      <c r="DR60" s="1310" t="str">
        <f t="shared" si="125"/>
        <v/>
      </c>
      <c r="DS60" s="1310" t="str">
        <f t="shared" si="126"/>
        <v/>
      </c>
      <c r="DT60" s="1310" t="str">
        <f t="shared" si="127"/>
        <v/>
      </c>
      <c r="DU60" s="1310" t="str">
        <f t="shared" si="128"/>
        <v/>
      </c>
      <c r="DV60" s="889" t="str">
        <f t="shared" si="129"/>
        <v>ERR</v>
      </c>
      <c r="DW60" s="889" t="str">
        <f t="shared" si="130"/>
        <v>ERR</v>
      </c>
      <c r="DX60" s="873" t="str">
        <f t="shared" si="131"/>
        <v/>
      </c>
      <c r="DY60" s="873" t="str">
        <f t="shared" si="132"/>
        <v/>
      </c>
      <c r="DZ60" s="873" t="str">
        <f t="shared" si="133"/>
        <v/>
      </c>
      <c r="EA60" s="873" t="str">
        <f t="shared" si="134"/>
        <v/>
      </c>
      <c r="EB60" s="876" t="str">
        <f t="shared" si="135"/>
        <v/>
      </c>
      <c r="EC60" s="877" t="str">
        <f t="shared" si="136"/>
        <v/>
      </c>
      <c r="ED60" s="876" t="str">
        <f t="shared" si="137"/>
        <v/>
      </c>
      <c r="EE60" s="876" t="str">
        <f t="shared" si="138"/>
        <v/>
      </c>
      <c r="EF60" s="876" t="str">
        <f t="shared" si="139"/>
        <v/>
      </c>
      <c r="EG60" s="876" t="str">
        <f t="shared" si="140"/>
        <v/>
      </c>
      <c r="EH60" s="876" t="str">
        <f t="shared" si="141"/>
        <v/>
      </c>
      <c r="EI60" s="876" t="str">
        <f t="shared" si="142"/>
        <v/>
      </c>
      <c r="EJ60" s="876" t="str">
        <f t="shared" si="143"/>
        <v/>
      </c>
      <c r="EK60" s="874">
        <f t="shared" si="144"/>
        <v>0</v>
      </c>
      <c r="EL60" s="874">
        <f t="shared" si="145"/>
        <v>0</v>
      </c>
      <c r="EM60" s="874">
        <f t="shared" si="146"/>
        <v>0</v>
      </c>
      <c r="EN60" s="874" t="str">
        <f t="shared" si="147"/>
        <v/>
      </c>
      <c r="EO60" s="873" t="str">
        <f t="shared" si="148"/>
        <v/>
      </c>
      <c r="EP60" s="874">
        <f t="shared" si="149"/>
        <v>0</v>
      </c>
      <c r="EQ60" s="874">
        <f t="shared" si="150"/>
        <v>0</v>
      </c>
      <c r="ER60" s="874">
        <f t="shared" si="151"/>
        <v>0</v>
      </c>
      <c r="ES60" s="874" t="str">
        <f t="shared" si="152"/>
        <v/>
      </c>
      <c r="ET60" s="873" t="str">
        <f t="shared" si="153"/>
        <v/>
      </c>
      <c r="EU60" s="873">
        <f t="shared" si="154"/>
        <v>0</v>
      </c>
      <c r="EV60" s="876" t="e">
        <f t="shared" si="155"/>
        <v>#VALUE!</v>
      </c>
      <c r="EW60" s="876" t="e">
        <f t="shared" si="156"/>
        <v>#VALUE!</v>
      </c>
      <c r="EX60" s="878" t="str">
        <f t="shared" si="157"/>
        <v/>
      </c>
      <c r="EY60" s="879" t="e">
        <f t="shared" si="158"/>
        <v>#DIV/0!</v>
      </c>
      <c r="EZ60" s="959" t="e">
        <f t="shared" si="159"/>
        <v>#DIV/0!</v>
      </c>
      <c r="FA60" s="960" t="e">
        <f t="shared" si="160"/>
        <v>#DIV/0!</v>
      </c>
      <c r="FB60" s="880" t="str">
        <f t="shared" si="161"/>
        <v/>
      </c>
      <c r="FC60" s="881" t="str">
        <f t="shared" si="162"/>
        <v/>
      </c>
      <c r="FD60" s="890">
        <f t="shared" si="163"/>
        <v>0</v>
      </c>
      <c r="FE60" s="833">
        <f t="shared" si="164"/>
        <v>0</v>
      </c>
      <c r="FF60" s="754" t="b">
        <f t="shared" si="165"/>
        <v>0</v>
      </c>
      <c r="FG60" s="754" t="b">
        <f t="shared" si="166"/>
        <v>0</v>
      </c>
      <c r="FH60" s="754" t="b">
        <f t="shared" si="167"/>
        <v>0</v>
      </c>
      <c r="FI60" s="754" t="b">
        <f t="shared" si="168"/>
        <v>0</v>
      </c>
      <c r="FJ60" s="920" t="str">
        <f t="shared" si="182"/>
        <v/>
      </c>
      <c r="FK60" s="919" t="str">
        <f t="shared" si="183"/>
        <v/>
      </c>
      <c r="FL60" s="320" t="e">
        <f t="shared" si="184"/>
        <v>#N/A</v>
      </c>
      <c r="FM60" s="312" t="str">
        <f t="shared" si="169"/>
        <v/>
      </c>
      <c r="FN60" s="272" t="str">
        <f t="shared" ca="1" si="185"/>
        <v/>
      </c>
      <c r="FO60" s="273" t="str">
        <f t="shared" ca="1" si="186"/>
        <v/>
      </c>
      <c r="FP60" s="274" t="str">
        <f t="shared" ca="1" si="187"/>
        <v/>
      </c>
      <c r="FQ60" s="274" t="str">
        <f t="shared" ca="1" si="188"/>
        <v/>
      </c>
      <c r="FR60" s="321">
        <f t="shared" ca="1" si="189"/>
        <v>0</v>
      </c>
      <c r="FS60" s="322">
        <f t="shared" ca="1" si="190"/>
        <v>0</v>
      </c>
      <c r="FT60" s="272" t="str">
        <f t="shared" ca="1" si="191"/>
        <v/>
      </c>
      <c r="FU60" s="275" t="str">
        <f t="shared" ca="1" si="192"/>
        <v/>
      </c>
      <c r="FV60" s="323" t="str">
        <f t="shared" ca="1" si="170"/>
        <v/>
      </c>
      <c r="FW60" s="276" t="str">
        <f t="shared" ca="1" si="193"/>
        <v/>
      </c>
      <c r="FX60" s="276" t="str">
        <f t="shared" ca="1" si="194"/>
        <v/>
      </c>
      <c r="FY60" s="276" t="str">
        <f t="shared" ca="1" si="195"/>
        <v/>
      </c>
      <c r="FZ60" s="276" t="str">
        <f t="shared" ca="1" si="196"/>
        <v/>
      </c>
      <c r="GA60" s="276" t="str">
        <f t="shared" ca="1" si="197"/>
        <v/>
      </c>
      <c r="GB60" s="277" t="str">
        <f ca="1">IF(FY60="","",2+SUM(FO60:OFFSET(FO60,(FU60-1)*-1,0)))</f>
        <v/>
      </c>
      <c r="GC60" s="316" t="e">
        <f t="shared" si="198"/>
        <v>#N/A</v>
      </c>
      <c r="GD60" s="324" t="str">
        <f t="shared" si="171"/>
        <v/>
      </c>
      <c r="GE60" s="325" t="str">
        <f t="shared" si="172"/>
        <v/>
      </c>
      <c r="GF60" s="278" t="str">
        <f t="shared" si="173"/>
        <v/>
      </c>
      <c r="GG60" s="279" t="str">
        <f t="shared" si="174"/>
        <v/>
      </c>
      <c r="GH60" s="279" t="str">
        <f t="shared" si="175"/>
        <v/>
      </c>
      <c r="GI60" s="280" t="str">
        <f t="shared" si="176"/>
        <v/>
      </c>
      <c r="GJ60" s="530">
        <f t="shared" ca="1" si="177"/>
        <v>0</v>
      </c>
      <c r="GK60" s="895" t="str">
        <f t="shared" ca="1" si="199"/>
        <v/>
      </c>
    </row>
    <row r="61" spans="1:193" ht="12.6" hidden="1" customHeight="1" x14ac:dyDescent="0.2">
      <c r="A61" s="894"/>
      <c r="BZ61" s="293"/>
      <c r="CA61" s="293"/>
      <c r="CB61" s="365" t="str">
        <f t="shared" si="104"/>
        <v/>
      </c>
      <c r="CC61" s="366" t="str">
        <f>IF(CG21="","",VLOOKUP(CG21,SectInfo!$B:$N,12,FALSE))</f>
        <v/>
      </c>
      <c r="CD61" s="1305" t="str">
        <f>IF(ISBLANK(CN21),IF(CG21="","",VLOOKUP(CG21,SectInfo!$B:$N,13,FALSE)),CN21)</f>
        <v/>
      </c>
      <c r="CE61" s="1305" t="str">
        <f>IF(CG21="","",IF(VLOOKUP(CG21,SectInfo!$B:$N,5,FALSE)="","R",UPPER(VLOOKUP(CG21,SectInfo!$B:$N,5,FALSE))))</f>
        <v/>
      </c>
      <c r="CF61" s="1305" t="str">
        <f>IF(ISBLANK(CP21),IF(CG21="","",VLOOKUP(CG21,SectInfo!$B:$N,6,FALSE)),CP21)</f>
        <v/>
      </c>
      <c r="CG61" s="1305" t="str">
        <f>IF(CG21="","",IF(VLOOKUP(CG21,SectInfo!$B:$N,10,FALSE)="","",(VLOOKUP(CG21,SectInfo!$B:$N,10,FALSE)*-1)))</f>
        <v/>
      </c>
      <c r="CH61" s="1305" t="str">
        <f>IF(CG21="","",IF(VLOOKUP(CG21,SectInfo!$B:$N,7,FALSE)="","",(VLOOKUP(CG21,SectInfo!$B:$N,7,FALSE)*-1)))</f>
        <v/>
      </c>
      <c r="CI61" s="1305" t="str">
        <f>IF(CG21="","",IF(VLOOKUP(CG21,SectInfo!$B:$N,8,FALSE)="",$FC$4,(VLOOKUP(CG21,SectInfo!$B:$N,8,FALSE))))</f>
        <v/>
      </c>
      <c r="CJ61" s="1305" t="str">
        <f>IF(CG21="","",VLOOKUP(CG21,SectInfo!$B:$N,9,FALSE))</f>
        <v/>
      </c>
      <c r="CK61" s="1306">
        <f t="shared" si="105"/>
        <v>0</v>
      </c>
      <c r="CL61" s="1304" t="str">
        <f>IF(CQ21="","",VLOOKUP(CQ21,SectInfo!$B:$N,12,FALSE))</f>
        <v/>
      </c>
      <c r="CM61" s="1305" t="str">
        <f>IF(ISBLANK(CX21),IF(CQ21="","",VLOOKUP(CQ21,SectInfo!$B:$N,13,FALSE)),CX21)</f>
        <v/>
      </c>
      <c r="CN61" s="1305" t="str">
        <f>IF(CQ21="","",IF(VLOOKUP(CQ21,SectInfo!$B:$N,5,FALSE)="","R",UPPER(VLOOKUP(CQ21,SectInfo!$B:$N,5,FALSE))))</f>
        <v/>
      </c>
      <c r="CO61" s="1305" t="str">
        <f>IF(ISBLANK(CZ21),IF(CQ21="","",VLOOKUP(CQ21,SectInfo!$B:$N,6,FALSE)),CZ21)</f>
        <v/>
      </c>
      <c r="CP61" s="1305" t="str">
        <f>IF(CQ21="","",IF(VLOOKUP(CQ21,SectInfo!$B:$N,10,FALSE)="","",(VLOOKUP(CQ21,SectInfo!$B:$N,10,FALSE)*-1)))</f>
        <v/>
      </c>
      <c r="CQ61" s="1305" t="str">
        <f>IF(CQ21="","",IF(VLOOKUP(CQ21,SectInfo!$B:$N,7,FALSE)="","",(VLOOKUP(CQ21,SectInfo!$B:$N,7,FALSE)*-1)))</f>
        <v/>
      </c>
      <c r="CR61" s="1305" t="str">
        <f>IF(CQ21="","",IF(VLOOKUP(CQ21,SectInfo!$B:$N,8,FALSE)="",$FC$4,(VLOOKUP(CQ21,SectInfo!$B:$N,8,FALSE))))</f>
        <v/>
      </c>
      <c r="CS61" s="1305" t="str">
        <f>IF(CQ21="","",VLOOKUP(CQ21,SectInfo!$B:$N,9,FALSE))</f>
        <v/>
      </c>
      <c r="CT61" s="1306">
        <f t="shared" si="106"/>
        <v>0</v>
      </c>
      <c r="CU61" s="1316">
        <f t="shared" si="107"/>
        <v>0</v>
      </c>
      <c r="CV61" s="1310" t="str">
        <f t="shared" si="108"/>
        <v/>
      </c>
      <c r="CW61" s="1310" t="str">
        <f t="shared" si="109"/>
        <v/>
      </c>
      <c r="CX61" s="1310" t="str">
        <f t="shared" si="110"/>
        <v/>
      </c>
      <c r="CY61" s="1312">
        <f t="shared" si="111"/>
        <v>0</v>
      </c>
      <c r="CZ61" s="1312">
        <f t="shared" si="112"/>
        <v>0</v>
      </c>
      <c r="DA61" s="1312" t="str">
        <f t="shared" si="113"/>
        <v/>
      </c>
      <c r="DB61" s="1310" t="str">
        <f t="shared" si="178"/>
        <v/>
      </c>
      <c r="DC61" s="1310" t="str">
        <f t="shared" si="114"/>
        <v/>
      </c>
      <c r="DD61" s="875">
        <f t="shared" si="179"/>
        <v>0</v>
      </c>
      <c r="DE61" s="873">
        <f t="shared" si="115"/>
        <v>0</v>
      </c>
      <c r="DF61" s="874">
        <f t="shared" si="116"/>
        <v>0</v>
      </c>
      <c r="DG61" s="874" t="str">
        <f t="shared" si="117"/>
        <v/>
      </c>
      <c r="DH61" s="1310" t="str">
        <f t="shared" si="180"/>
        <v/>
      </c>
      <c r="DI61" s="1310" t="str">
        <f t="shared" si="118"/>
        <v/>
      </c>
      <c r="DJ61" s="1311">
        <f t="shared" si="181"/>
        <v>0</v>
      </c>
      <c r="DK61" s="1310" t="str">
        <f t="shared" si="119"/>
        <v/>
      </c>
      <c r="DL61" s="1310" t="str">
        <f t="shared" si="120"/>
        <v/>
      </c>
      <c r="DM61" s="1310" t="str">
        <f t="shared" si="121"/>
        <v/>
      </c>
      <c r="DN61" s="1310" t="str">
        <f t="shared" si="122"/>
        <v/>
      </c>
      <c r="DO61" s="889" t="str">
        <f t="shared" si="123"/>
        <v>ERR</v>
      </c>
      <c r="DP61" s="889" t="str">
        <f t="shared" si="124"/>
        <v>ERR</v>
      </c>
      <c r="DQ61" s="1310" t="str">
        <f t="shared" si="125"/>
        <v/>
      </c>
      <c r="DR61" s="1310" t="str">
        <f t="shared" si="125"/>
        <v/>
      </c>
      <c r="DS61" s="1310" t="str">
        <f t="shared" si="126"/>
        <v/>
      </c>
      <c r="DT61" s="1310" t="str">
        <f t="shared" si="127"/>
        <v/>
      </c>
      <c r="DU61" s="1310" t="str">
        <f t="shared" si="128"/>
        <v/>
      </c>
      <c r="DV61" s="889" t="str">
        <f t="shared" si="129"/>
        <v>ERR</v>
      </c>
      <c r="DW61" s="889" t="str">
        <f t="shared" si="130"/>
        <v>ERR</v>
      </c>
      <c r="DX61" s="873" t="str">
        <f t="shared" si="131"/>
        <v/>
      </c>
      <c r="DY61" s="873" t="str">
        <f t="shared" si="132"/>
        <v/>
      </c>
      <c r="DZ61" s="873" t="str">
        <f t="shared" si="133"/>
        <v/>
      </c>
      <c r="EA61" s="873" t="str">
        <f t="shared" si="134"/>
        <v/>
      </c>
      <c r="EB61" s="876" t="str">
        <f t="shared" si="135"/>
        <v/>
      </c>
      <c r="EC61" s="877" t="str">
        <f t="shared" si="136"/>
        <v/>
      </c>
      <c r="ED61" s="876" t="str">
        <f t="shared" si="137"/>
        <v/>
      </c>
      <c r="EE61" s="876" t="str">
        <f t="shared" si="138"/>
        <v/>
      </c>
      <c r="EF61" s="876" t="str">
        <f t="shared" si="139"/>
        <v/>
      </c>
      <c r="EG61" s="876" t="str">
        <f t="shared" si="140"/>
        <v/>
      </c>
      <c r="EH61" s="876" t="str">
        <f t="shared" si="141"/>
        <v/>
      </c>
      <c r="EI61" s="876" t="str">
        <f t="shared" si="142"/>
        <v/>
      </c>
      <c r="EJ61" s="876" t="str">
        <f t="shared" si="143"/>
        <v/>
      </c>
      <c r="EK61" s="874">
        <f t="shared" si="144"/>
        <v>0</v>
      </c>
      <c r="EL61" s="874">
        <f t="shared" si="145"/>
        <v>0</v>
      </c>
      <c r="EM61" s="874">
        <f t="shared" si="146"/>
        <v>0</v>
      </c>
      <c r="EN61" s="874" t="str">
        <f t="shared" si="147"/>
        <v/>
      </c>
      <c r="EO61" s="873" t="str">
        <f t="shared" si="148"/>
        <v/>
      </c>
      <c r="EP61" s="874">
        <f t="shared" si="149"/>
        <v>0</v>
      </c>
      <c r="EQ61" s="874">
        <f t="shared" si="150"/>
        <v>0</v>
      </c>
      <c r="ER61" s="874">
        <f t="shared" si="151"/>
        <v>0</v>
      </c>
      <c r="ES61" s="874" t="str">
        <f t="shared" si="152"/>
        <v/>
      </c>
      <c r="ET61" s="873" t="str">
        <f t="shared" si="153"/>
        <v/>
      </c>
      <c r="EU61" s="873">
        <f t="shared" si="154"/>
        <v>0</v>
      </c>
      <c r="EV61" s="876" t="e">
        <f t="shared" si="155"/>
        <v>#VALUE!</v>
      </c>
      <c r="EW61" s="876" t="e">
        <f t="shared" si="156"/>
        <v>#VALUE!</v>
      </c>
      <c r="EX61" s="878" t="str">
        <f t="shared" si="157"/>
        <v/>
      </c>
      <c r="EY61" s="879" t="e">
        <f t="shared" si="158"/>
        <v>#DIV/0!</v>
      </c>
      <c r="EZ61" s="959" t="e">
        <f t="shared" si="159"/>
        <v>#DIV/0!</v>
      </c>
      <c r="FA61" s="960" t="e">
        <f t="shared" si="160"/>
        <v>#DIV/0!</v>
      </c>
      <c r="FB61" s="880" t="str">
        <f t="shared" si="161"/>
        <v/>
      </c>
      <c r="FC61" s="881" t="str">
        <f t="shared" si="162"/>
        <v/>
      </c>
      <c r="FD61" s="890">
        <f t="shared" si="163"/>
        <v>0</v>
      </c>
      <c r="FE61" s="833">
        <f t="shared" si="164"/>
        <v>0</v>
      </c>
      <c r="FF61" s="754" t="b">
        <f t="shared" si="165"/>
        <v>0</v>
      </c>
      <c r="FG61" s="754" t="b">
        <f t="shared" si="166"/>
        <v>0</v>
      </c>
      <c r="FH61" s="754" t="b">
        <f t="shared" si="167"/>
        <v>0</v>
      </c>
      <c r="FI61" s="754" t="b">
        <f t="shared" si="168"/>
        <v>0</v>
      </c>
      <c r="FJ61" s="920" t="str">
        <f t="shared" si="182"/>
        <v/>
      </c>
      <c r="FK61" s="919" t="str">
        <f t="shared" si="183"/>
        <v/>
      </c>
      <c r="FL61" s="320" t="e">
        <f t="shared" si="184"/>
        <v>#N/A</v>
      </c>
      <c r="FM61" s="312" t="str">
        <f t="shared" si="169"/>
        <v/>
      </c>
      <c r="FN61" s="272" t="str">
        <f t="shared" ca="1" si="185"/>
        <v/>
      </c>
      <c r="FO61" s="273" t="str">
        <f t="shared" ca="1" si="186"/>
        <v/>
      </c>
      <c r="FP61" s="274" t="str">
        <f t="shared" ca="1" si="187"/>
        <v/>
      </c>
      <c r="FQ61" s="274" t="str">
        <f t="shared" ca="1" si="188"/>
        <v/>
      </c>
      <c r="FR61" s="321">
        <f t="shared" ca="1" si="189"/>
        <v>0</v>
      </c>
      <c r="FS61" s="322">
        <f t="shared" ca="1" si="190"/>
        <v>0</v>
      </c>
      <c r="FT61" s="272" t="str">
        <f t="shared" ca="1" si="191"/>
        <v/>
      </c>
      <c r="FU61" s="275" t="str">
        <f t="shared" ca="1" si="192"/>
        <v/>
      </c>
      <c r="FV61" s="323" t="str">
        <f t="shared" ca="1" si="170"/>
        <v/>
      </c>
      <c r="FW61" s="276" t="str">
        <f t="shared" ca="1" si="193"/>
        <v/>
      </c>
      <c r="FX61" s="276" t="str">
        <f t="shared" ca="1" si="194"/>
        <v/>
      </c>
      <c r="FY61" s="276" t="str">
        <f t="shared" ca="1" si="195"/>
        <v/>
      </c>
      <c r="FZ61" s="276" t="str">
        <f t="shared" ca="1" si="196"/>
        <v/>
      </c>
      <c r="GA61" s="276" t="str">
        <f t="shared" ca="1" si="197"/>
        <v/>
      </c>
      <c r="GB61" s="277" t="str">
        <f ca="1">IF(FY61="","",2+SUM(FO61:OFFSET(FO61,(FU61-1)*-1,0)))</f>
        <v/>
      </c>
      <c r="GC61" s="316" t="e">
        <f t="shared" si="198"/>
        <v>#N/A</v>
      </c>
      <c r="GD61" s="324" t="str">
        <f t="shared" si="171"/>
        <v/>
      </c>
      <c r="GE61" s="325" t="str">
        <f t="shared" si="172"/>
        <v/>
      </c>
      <c r="GF61" s="278" t="str">
        <f t="shared" si="173"/>
        <v/>
      </c>
      <c r="GG61" s="279" t="str">
        <f t="shared" si="174"/>
        <v/>
      </c>
      <c r="GH61" s="279" t="str">
        <f t="shared" si="175"/>
        <v/>
      </c>
      <c r="GI61" s="280" t="str">
        <f t="shared" si="176"/>
        <v/>
      </c>
      <c r="GJ61" s="530">
        <f t="shared" ca="1" si="177"/>
        <v>0</v>
      </c>
      <c r="GK61" s="895" t="str">
        <f t="shared" ca="1" si="199"/>
        <v/>
      </c>
    </row>
    <row r="62" spans="1:193" ht="12.6" hidden="1" customHeight="1" x14ac:dyDescent="0.2">
      <c r="BZ62" s="293"/>
      <c r="CA62" s="293"/>
      <c r="CB62" s="365" t="str">
        <f t="shared" si="104"/>
        <v/>
      </c>
      <c r="CC62" s="366" t="str">
        <f>IF(CG22="","",VLOOKUP(CG22,SectInfo!$B:$N,12,FALSE))</f>
        <v/>
      </c>
      <c r="CD62" s="1305" t="str">
        <f>IF(ISBLANK(CN22),IF(CG22="","",VLOOKUP(CG22,SectInfo!$B:$N,13,FALSE)),CN22)</f>
        <v/>
      </c>
      <c r="CE62" s="1305" t="str">
        <f>IF(CG22="","",IF(VLOOKUP(CG22,SectInfo!$B:$N,5,FALSE)="","R",UPPER(VLOOKUP(CG22,SectInfo!$B:$N,5,FALSE))))</f>
        <v/>
      </c>
      <c r="CF62" s="1305" t="str">
        <f>IF(ISBLANK(CP22),IF(CG22="","",VLOOKUP(CG22,SectInfo!$B:$N,6,FALSE)),CP22)</f>
        <v/>
      </c>
      <c r="CG62" s="1305" t="str">
        <f>IF(CG22="","",IF(VLOOKUP(CG22,SectInfo!$B:$N,10,FALSE)="","",(VLOOKUP(CG22,SectInfo!$B:$N,10,FALSE)*-1)))</f>
        <v/>
      </c>
      <c r="CH62" s="1305" t="str">
        <f>IF(CG22="","",IF(VLOOKUP(CG22,SectInfo!$B:$N,7,FALSE)="","",(VLOOKUP(CG22,SectInfo!$B:$N,7,FALSE)*-1)))</f>
        <v/>
      </c>
      <c r="CI62" s="1305" t="str">
        <f>IF(CG22="","",IF(VLOOKUP(CG22,SectInfo!$B:$N,8,FALSE)="",$FC$4,(VLOOKUP(CG22,SectInfo!$B:$N,8,FALSE))))</f>
        <v/>
      </c>
      <c r="CJ62" s="1305" t="str">
        <f>IF(CG22="","",VLOOKUP(CG22,SectInfo!$B:$N,9,FALSE))</f>
        <v/>
      </c>
      <c r="CK62" s="1306">
        <f t="shared" si="105"/>
        <v>0</v>
      </c>
      <c r="CL62" s="1304" t="str">
        <f>IF(CQ22="","",VLOOKUP(CQ22,SectInfo!$B:$N,12,FALSE))</f>
        <v/>
      </c>
      <c r="CM62" s="1305" t="str">
        <f>IF(ISBLANK(CX22),IF(CQ22="","",VLOOKUP(CQ22,SectInfo!$B:$N,13,FALSE)),CX22)</f>
        <v/>
      </c>
      <c r="CN62" s="1305" t="str">
        <f>IF(CQ22="","",IF(VLOOKUP(CQ22,SectInfo!$B:$N,5,FALSE)="","R",UPPER(VLOOKUP(CQ22,SectInfo!$B:$N,5,FALSE))))</f>
        <v/>
      </c>
      <c r="CO62" s="1305" t="str">
        <f>IF(ISBLANK(CZ22),IF(CQ22="","",VLOOKUP(CQ22,SectInfo!$B:$N,6,FALSE)),CZ22)</f>
        <v/>
      </c>
      <c r="CP62" s="1305" t="str">
        <f>IF(CQ22="","",IF(VLOOKUP(CQ22,SectInfo!$B:$N,10,FALSE)="","",(VLOOKUP(CQ22,SectInfo!$B:$N,10,FALSE)*-1)))</f>
        <v/>
      </c>
      <c r="CQ62" s="1305" t="str">
        <f>IF(CQ22="","",IF(VLOOKUP(CQ22,SectInfo!$B:$N,7,FALSE)="","",(VLOOKUP(CQ22,SectInfo!$B:$N,7,FALSE)*-1)))</f>
        <v/>
      </c>
      <c r="CR62" s="1305" t="str">
        <f>IF(CQ22="","",IF(VLOOKUP(CQ22,SectInfo!$B:$N,8,FALSE)="",$FC$4,(VLOOKUP(CQ22,SectInfo!$B:$N,8,FALSE))))</f>
        <v/>
      </c>
      <c r="CS62" s="1305" t="str">
        <f>IF(CQ22="","",VLOOKUP(CQ22,SectInfo!$B:$N,9,FALSE))</f>
        <v/>
      </c>
      <c r="CT62" s="1306">
        <f t="shared" si="106"/>
        <v>0</v>
      </c>
      <c r="CU62" s="1316">
        <f t="shared" si="107"/>
        <v>0</v>
      </c>
      <c r="CV62" s="1310" t="str">
        <f t="shared" si="108"/>
        <v/>
      </c>
      <c r="CW62" s="1310" t="str">
        <f t="shared" si="109"/>
        <v/>
      </c>
      <c r="CX62" s="1310" t="str">
        <f t="shared" si="110"/>
        <v/>
      </c>
      <c r="CY62" s="1312">
        <f t="shared" si="111"/>
        <v>0</v>
      </c>
      <c r="CZ62" s="1312">
        <f t="shared" si="112"/>
        <v>0</v>
      </c>
      <c r="DA62" s="1312" t="str">
        <f t="shared" si="113"/>
        <v/>
      </c>
      <c r="DB62" s="1310" t="str">
        <f t="shared" si="178"/>
        <v/>
      </c>
      <c r="DC62" s="1310" t="str">
        <f t="shared" si="114"/>
        <v/>
      </c>
      <c r="DD62" s="875">
        <f t="shared" si="179"/>
        <v>0</v>
      </c>
      <c r="DE62" s="873">
        <f t="shared" si="115"/>
        <v>0</v>
      </c>
      <c r="DF62" s="874">
        <f t="shared" si="116"/>
        <v>0</v>
      </c>
      <c r="DG62" s="874" t="str">
        <f t="shared" si="117"/>
        <v/>
      </c>
      <c r="DH62" s="1310" t="str">
        <f t="shared" si="180"/>
        <v/>
      </c>
      <c r="DI62" s="1310" t="str">
        <f t="shared" si="118"/>
        <v/>
      </c>
      <c r="DJ62" s="1311">
        <f t="shared" si="181"/>
        <v>0</v>
      </c>
      <c r="DK62" s="1310" t="str">
        <f t="shared" si="119"/>
        <v/>
      </c>
      <c r="DL62" s="1310" t="str">
        <f t="shared" si="120"/>
        <v/>
      </c>
      <c r="DM62" s="1310" t="str">
        <f t="shared" si="121"/>
        <v/>
      </c>
      <c r="DN62" s="1310" t="str">
        <f t="shared" si="122"/>
        <v/>
      </c>
      <c r="DO62" s="889" t="str">
        <f t="shared" si="123"/>
        <v>ERR</v>
      </c>
      <c r="DP62" s="889" t="str">
        <f t="shared" si="124"/>
        <v>ERR</v>
      </c>
      <c r="DQ62" s="1310" t="str">
        <f t="shared" si="125"/>
        <v/>
      </c>
      <c r="DR62" s="1310" t="str">
        <f t="shared" si="125"/>
        <v/>
      </c>
      <c r="DS62" s="1310" t="str">
        <f t="shared" si="126"/>
        <v/>
      </c>
      <c r="DT62" s="1310" t="str">
        <f t="shared" si="127"/>
        <v/>
      </c>
      <c r="DU62" s="1310" t="str">
        <f t="shared" si="128"/>
        <v/>
      </c>
      <c r="DV62" s="889" t="str">
        <f t="shared" si="129"/>
        <v>ERR</v>
      </c>
      <c r="DW62" s="889" t="str">
        <f t="shared" si="130"/>
        <v>ERR</v>
      </c>
      <c r="DX62" s="873" t="str">
        <f t="shared" si="131"/>
        <v/>
      </c>
      <c r="DY62" s="873" t="str">
        <f t="shared" si="132"/>
        <v/>
      </c>
      <c r="DZ62" s="873" t="str">
        <f t="shared" si="133"/>
        <v/>
      </c>
      <c r="EA62" s="873" t="str">
        <f t="shared" si="134"/>
        <v/>
      </c>
      <c r="EB62" s="876" t="str">
        <f t="shared" si="135"/>
        <v/>
      </c>
      <c r="EC62" s="877" t="str">
        <f t="shared" si="136"/>
        <v/>
      </c>
      <c r="ED62" s="876" t="str">
        <f t="shared" si="137"/>
        <v/>
      </c>
      <c r="EE62" s="876" t="str">
        <f t="shared" si="138"/>
        <v/>
      </c>
      <c r="EF62" s="876" t="str">
        <f t="shared" si="139"/>
        <v/>
      </c>
      <c r="EG62" s="876" t="str">
        <f t="shared" si="140"/>
        <v/>
      </c>
      <c r="EH62" s="876" t="str">
        <f t="shared" si="141"/>
        <v/>
      </c>
      <c r="EI62" s="876" t="str">
        <f t="shared" si="142"/>
        <v/>
      </c>
      <c r="EJ62" s="876" t="str">
        <f t="shared" si="143"/>
        <v/>
      </c>
      <c r="EK62" s="874">
        <f t="shared" si="144"/>
        <v>0</v>
      </c>
      <c r="EL62" s="874">
        <f t="shared" si="145"/>
        <v>0</v>
      </c>
      <c r="EM62" s="874">
        <f t="shared" si="146"/>
        <v>0</v>
      </c>
      <c r="EN62" s="874" t="str">
        <f t="shared" si="147"/>
        <v/>
      </c>
      <c r="EO62" s="873" t="str">
        <f t="shared" si="148"/>
        <v/>
      </c>
      <c r="EP62" s="874">
        <f t="shared" si="149"/>
        <v>0</v>
      </c>
      <c r="EQ62" s="874">
        <f t="shared" si="150"/>
        <v>0</v>
      </c>
      <c r="ER62" s="874">
        <f t="shared" si="151"/>
        <v>0</v>
      </c>
      <c r="ES62" s="874" t="str">
        <f t="shared" si="152"/>
        <v/>
      </c>
      <c r="ET62" s="873" t="str">
        <f t="shared" si="153"/>
        <v/>
      </c>
      <c r="EU62" s="873">
        <f t="shared" si="154"/>
        <v>0</v>
      </c>
      <c r="EV62" s="876" t="e">
        <f t="shared" si="155"/>
        <v>#VALUE!</v>
      </c>
      <c r="EW62" s="876" t="e">
        <f t="shared" si="156"/>
        <v>#VALUE!</v>
      </c>
      <c r="EX62" s="878" t="str">
        <f t="shared" si="157"/>
        <v/>
      </c>
      <c r="EY62" s="879" t="e">
        <f t="shared" si="158"/>
        <v>#DIV/0!</v>
      </c>
      <c r="EZ62" s="959" t="e">
        <f t="shared" si="159"/>
        <v>#DIV/0!</v>
      </c>
      <c r="FA62" s="960" t="e">
        <f t="shared" si="160"/>
        <v>#DIV/0!</v>
      </c>
      <c r="FB62" s="880" t="str">
        <f t="shared" si="161"/>
        <v/>
      </c>
      <c r="FC62" s="881" t="str">
        <f t="shared" si="162"/>
        <v/>
      </c>
      <c r="FD62" s="890">
        <f t="shared" si="163"/>
        <v>0</v>
      </c>
      <c r="FE62" s="833">
        <f t="shared" si="164"/>
        <v>0</v>
      </c>
      <c r="FF62" s="754" t="b">
        <f t="shared" si="165"/>
        <v>0</v>
      </c>
      <c r="FG62" s="754" t="b">
        <f t="shared" si="166"/>
        <v>0</v>
      </c>
      <c r="FH62" s="754" t="b">
        <f t="shared" si="167"/>
        <v>0</v>
      </c>
      <c r="FI62" s="754" t="b">
        <f t="shared" si="168"/>
        <v>0</v>
      </c>
      <c r="FJ62" s="920" t="str">
        <f t="shared" si="182"/>
        <v/>
      </c>
      <c r="FK62" s="919" t="str">
        <f t="shared" si="183"/>
        <v/>
      </c>
      <c r="FL62" s="320" t="e">
        <f t="shared" si="184"/>
        <v>#N/A</v>
      </c>
      <c r="FM62" s="312" t="str">
        <f t="shared" si="169"/>
        <v/>
      </c>
      <c r="FN62" s="272" t="str">
        <f t="shared" ca="1" si="185"/>
        <v/>
      </c>
      <c r="FO62" s="273" t="str">
        <f t="shared" ca="1" si="186"/>
        <v/>
      </c>
      <c r="FP62" s="274" t="str">
        <f t="shared" ca="1" si="187"/>
        <v/>
      </c>
      <c r="FQ62" s="274" t="str">
        <f t="shared" ca="1" si="188"/>
        <v/>
      </c>
      <c r="FR62" s="321">
        <f t="shared" ca="1" si="189"/>
        <v>0</v>
      </c>
      <c r="FS62" s="322">
        <f t="shared" ca="1" si="190"/>
        <v>0</v>
      </c>
      <c r="FT62" s="272" t="str">
        <f t="shared" ca="1" si="191"/>
        <v/>
      </c>
      <c r="FU62" s="275" t="str">
        <f t="shared" ca="1" si="192"/>
        <v/>
      </c>
      <c r="FV62" s="323" t="str">
        <f t="shared" ca="1" si="170"/>
        <v/>
      </c>
      <c r="FW62" s="276" t="str">
        <f t="shared" ca="1" si="193"/>
        <v/>
      </c>
      <c r="FX62" s="276" t="str">
        <f t="shared" ca="1" si="194"/>
        <v/>
      </c>
      <c r="FY62" s="276" t="str">
        <f t="shared" ca="1" si="195"/>
        <v/>
      </c>
      <c r="FZ62" s="276" t="str">
        <f t="shared" ca="1" si="196"/>
        <v/>
      </c>
      <c r="GA62" s="276" t="str">
        <f t="shared" ca="1" si="197"/>
        <v/>
      </c>
      <c r="GB62" s="277" t="str">
        <f ca="1">IF(FY62="","",2+SUM(FO62:OFFSET(FO62,(FU62-1)*-1,0)))</f>
        <v/>
      </c>
      <c r="GC62" s="316" t="e">
        <f t="shared" si="198"/>
        <v>#N/A</v>
      </c>
      <c r="GD62" s="324" t="str">
        <f t="shared" si="171"/>
        <v/>
      </c>
      <c r="GE62" s="325" t="str">
        <f t="shared" si="172"/>
        <v/>
      </c>
      <c r="GF62" s="278" t="str">
        <f t="shared" si="173"/>
        <v/>
      </c>
      <c r="GG62" s="279" t="str">
        <f t="shared" si="174"/>
        <v/>
      </c>
      <c r="GH62" s="279" t="str">
        <f t="shared" si="175"/>
        <v/>
      </c>
      <c r="GI62" s="280" t="str">
        <f t="shared" si="176"/>
        <v/>
      </c>
      <c r="GJ62" s="530">
        <f t="shared" ca="1" si="177"/>
        <v>0</v>
      </c>
      <c r="GK62" s="895" t="str">
        <f t="shared" ca="1" si="199"/>
        <v/>
      </c>
    </row>
    <row r="63" spans="1:193" ht="12.6" hidden="1" customHeight="1" x14ac:dyDescent="0.2">
      <c r="BZ63" s="293"/>
      <c r="CA63" s="293"/>
      <c r="CB63" s="365" t="str">
        <f t="shared" si="104"/>
        <v/>
      </c>
      <c r="CC63" s="366" t="str">
        <f>IF(CG23="","",VLOOKUP(CG23,SectInfo!$B:$N,12,FALSE))</f>
        <v/>
      </c>
      <c r="CD63" s="1305" t="str">
        <f>IF(ISBLANK(CN23),IF(CG23="","",VLOOKUP(CG23,SectInfo!$B:$N,13,FALSE)),CN23)</f>
        <v/>
      </c>
      <c r="CE63" s="1305" t="str">
        <f>IF(CG23="","",IF(VLOOKUP(CG23,SectInfo!$B:$N,5,FALSE)="","R",UPPER(VLOOKUP(CG23,SectInfo!$B:$N,5,FALSE))))</f>
        <v/>
      </c>
      <c r="CF63" s="1305" t="str">
        <f>IF(ISBLANK(CP23),IF(CG23="","",VLOOKUP(CG23,SectInfo!$B:$N,6,FALSE)),CP23)</f>
        <v/>
      </c>
      <c r="CG63" s="1305" t="str">
        <f>IF(CG23="","",IF(VLOOKUP(CG23,SectInfo!$B:$N,10,FALSE)="","",(VLOOKUP(CG23,SectInfo!$B:$N,10,FALSE)*-1)))</f>
        <v/>
      </c>
      <c r="CH63" s="1305" t="str">
        <f>IF(CG23="","",IF(VLOOKUP(CG23,SectInfo!$B:$N,7,FALSE)="","",(VLOOKUP(CG23,SectInfo!$B:$N,7,FALSE)*-1)))</f>
        <v/>
      </c>
      <c r="CI63" s="1305" t="str">
        <f>IF(CG23="","",IF(VLOOKUP(CG23,SectInfo!$B:$N,8,FALSE)="",$FC$4,(VLOOKUP(CG23,SectInfo!$B:$N,8,FALSE))))</f>
        <v/>
      </c>
      <c r="CJ63" s="1305" t="str">
        <f>IF(CG23="","",VLOOKUP(CG23,SectInfo!$B:$N,9,FALSE))</f>
        <v/>
      </c>
      <c r="CK63" s="1306">
        <f t="shared" si="105"/>
        <v>0</v>
      </c>
      <c r="CL63" s="1304" t="str">
        <f>IF(CQ23="","",VLOOKUP(CQ23,SectInfo!$B:$N,12,FALSE))</f>
        <v/>
      </c>
      <c r="CM63" s="1305" t="str">
        <f>IF(ISBLANK(CX23),IF(CQ23="","",VLOOKUP(CQ23,SectInfo!$B:$N,13,FALSE)),CX23)</f>
        <v/>
      </c>
      <c r="CN63" s="1305" t="str">
        <f>IF(CQ23="","",IF(VLOOKUP(CQ23,SectInfo!$B:$N,5,FALSE)="","R",UPPER(VLOOKUP(CQ23,SectInfo!$B:$N,5,FALSE))))</f>
        <v/>
      </c>
      <c r="CO63" s="1305" t="str">
        <f>IF(ISBLANK(CZ23),IF(CQ23="","",VLOOKUP(CQ23,SectInfo!$B:$N,6,FALSE)),CZ23)</f>
        <v/>
      </c>
      <c r="CP63" s="1305" t="str">
        <f>IF(CQ23="","",IF(VLOOKUP(CQ23,SectInfo!$B:$N,10,FALSE)="","",(VLOOKUP(CQ23,SectInfo!$B:$N,10,FALSE)*-1)))</f>
        <v/>
      </c>
      <c r="CQ63" s="1305" t="str">
        <f>IF(CQ23="","",IF(VLOOKUP(CQ23,SectInfo!$B:$N,7,FALSE)="","",(VLOOKUP(CQ23,SectInfo!$B:$N,7,FALSE)*-1)))</f>
        <v/>
      </c>
      <c r="CR63" s="1305" t="str">
        <f>IF(CQ23="","",IF(VLOOKUP(CQ23,SectInfo!$B:$N,8,FALSE)="",$FC$4,(VLOOKUP(CQ23,SectInfo!$B:$N,8,FALSE))))</f>
        <v/>
      </c>
      <c r="CS63" s="1305" t="str">
        <f>IF(CQ23="","",VLOOKUP(CQ23,SectInfo!$B:$N,9,FALSE))</f>
        <v/>
      </c>
      <c r="CT63" s="1306">
        <f t="shared" si="106"/>
        <v>0</v>
      </c>
      <c r="CU63" s="1316">
        <f t="shared" si="107"/>
        <v>0</v>
      </c>
      <c r="CV63" s="1310" t="str">
        <f t="shared" si="108"/>
        <v/>
      </c>
      <c r="CW63" s="1310" t="str">
        <f t="shared" si="109"/>
        <v/>
      </c>
      <c r="CX63" s="1310" t="str">
        <f t="shared" si="110"/>
        <v/>
      </c>
      <c r="CY63" s="1312">
        <f t="shared" si="111"/>
        <v>0</v>
      </c>
      <c r="CZ63" s="1312">
        <f t="shared" si="112"/>
        <v>0</v>
      </c>
      <c r="DA63" s="1312" t="str">
        <f t="shared" si="113"/>
        <v/>
      </c>
      <c r="DB63" s="1310" t="str">
        <f t="shared" si="178"/>
        <v/>
      </c>
      <c r="DC63" s="1310" t="str">
        <f t="shared" si="114"/>
        <v/>
      </c>
      <c r="DD63" s="875">
        <f t="shared" si="179"/>
        <v>0</v>
      </c>
      <c r="DE63" s="873">
        <f t="shared" si="115"/>
        <v>0</v>
      </c>
      <c r="DF63" s="874">
        <f t="shared" si="116"/>
        <v>0</v>
      </c>
      <c r="DG63" s="874" t="str">
        <f t="shared" si="117"/>
        <v/>
      </c>
      <c r="DH63" s="1310" t="str">
        <f t="shared" si="180"/>
        <v/>
      </c>
      <c r="DI63" s="1310" t="str">
        <f t="shared" si="118"/>
        <v/>
      </c>
      <c r="DJ63" s="1311">
        <f t="shared" si="181"/>
        <v>0</v>
      </c>
      <c r="DK63" s="1310" t="str">
        <f t="shared" si="119"/>
        <v/>
      </c>
      <c r="DL63" s="1310" t="str">
        <f t="shared" si="120"/>
        <v/>
      </c>
      <c r="DM63" s="1310" t="str">
        <f t="shared" si="121"/>
        <v/>
      </c>
      <c r="DN63" s="1310" t="str">
        <f t="shared" si="122"/>
        <v/>
      </c>
      <c r="DO63" s="889" t="str">
        <f t="shared" si="123"/>
        <v>ERR</v>
      </c>
      <c r="DP63" s="889" t="str">
        <f t="shared" si="124"/>
        <v>ERR</v>
      </c>
      <c r="DQ63" s="1310" t="str">
        <f t="shared" si="125"/>
        <v/>
      </c>
      <c r="DR63" s="1310" t="str">
        <f t="shared" si="125"/>
        <v/>
      </c>
      <c r="DS63" s="1310" t="str">
        <f t="shared" si="126"/>
        <v/>
      </c>
      <c r="DT63" s="1310" t="str">
        <f t="shared" si="127"/>
        <v/>
      </c>
      <c r="DU63" s="1310" t="str">
        <f t="shared" si="128"/>
        <v/>
      </c>
      <c r="DV63" s="889" t="str">
        <f t="shared" si="129"/>
        <v>ERR</v>
      </c>
      <c r="DW63" s="889" t="str">
        <f t="shared" si="130"/>
        <v>ERR</v>
      </c>
      <c r="DX63" s="873" t="str">
        <f t="shared" si="131"/>
        <v/>
      </c>
      <c r="DY63" s="873" t="str">
        <f t="shared" si="132"/>
        <v/>
      </c>
      <c r="DZ63" s="873" t="str">
        <f t="shared" si="133"/>
        <v/>
      </c>
      <c r="EA63" s="873" t="str">
        <f t="shared" si="134"/>
        <v/>
      </c>
      <c r="EB63" s="876" t="str">
        <f t="shared" si="135"/>
        <v/>
      </c>
      <c r="EC63" s="877" t="str">
        <f t="shared" si="136"/>
        <v/>
      </c>
      <c r="ED63" s="876" t="str">
        <f t="shared" si="137"/>
        <v/>
      </c>
      <c r="EE63" s="876" t="str">
        <f t="shared" si="138"/>
        <v/>
      </c>
      <c r="EF63" s="876" t="str">
        <f t="shared" si="139"/>
        <v/>
      </c>
      <c r="EG63" s="876" t="str">
        <f t="shared" si="140"/>
        <v/>
      </c>
      <c r="EH63" s="876" t="str">
        <f t="shared" si="141"/>
        <v/>
      </c>
      <c r="EI63" s="876" t="str">
        <f t="shared" si="142"/>
        <v/>
      </c>
      <c r="EJ63" s="876" t="str">
        <f t="shared" si="143"/>
        <v/>
      </c>
      <c r="EK63" s="874">
        <f t="shared" si="144"/>
        <v>0</v>
      </c>
      <c r="EL63" s="874">
        <f t="shared" si="145"/>
        <v>0</v>
      </c>
      <c r="EM63" s="874">
        <f t="shared" si="146"/>
        <v>0</v>
      </c>
      <c r="EN63" s="874" t="str">
        <f t="shared" si="147"/>
        <v/>
      </c>
      <c r="EO63" s="873" t="str">
        <f t="shared" si="148"/>
        <v/>
      </c>
      <c r="EP63" s="874">
        <f t="shared" si="149"/>
        <v>0</v>
      </c>
      <c r="EQ63" s="874">
        <f t="shared" si="150"/>
        <v>0</v>
      </c>
      <c r="ER63" s="874">
        <f t="shared" si="151"/>
        <v>0</v>
      </c>
      <c r="ES63" s="874" t="str">
        <f t="shared" si="152"/>
        <v/>
      </c>
      <c r="ET63" s="873" t="str">
        <f t="shared" si="153"/>
        <v/>
      </c>
      <c r="EU63" s="873">
        <f t="shared" si="154"/>
        <v>0</v>
      </c>
      <c r="EV63" s="876" t="e">
        <f t="shared" si="155"/>
        <v>#VALUE!</v>
      </c>
      <c r="EW63" s="876" t="e">
        <f t="shared" si="156"/>
        <v>#VALUE!</v>
      </c>
      <c r="EX63" s="878" t="str">
        <f t="shared" si="157"/>
        <v/>
      </c>
      <c r="EY63" s="879" t="e">
        <f t="shared" si="158"/>
        <v>#DIV/0!</v>
      </c>
      <c r="EZ63" s="959" t="e">
        <f t="shared" si="159"/>
        <v>#DIV/0!</v>
      </c>
      <c r="FA63" s="960" t="e">
        <f t="shared" si="160"/>
        <v>#DIV/0!</v>
      </c>
      <c r="FB63" s="880" t="str">
        <f t="shared" si="161"/>
        <v/>
      </c>
      <c r="FC63" s="881" t="str">
        <f t="shared" si="162"/>
        <v/>
      </c>
      <c r="FD63" s="890">
        <f t="shared" si="163"/>
        <v>0</v>
      </c>
      <c r="FE63" s="833">
        <f t="shared" si="164"/>
        <v>0</v>
      </c>
      <c r="FF63" s="754" t="b">
        <f t="shared" si="165"/>
        <v>0</v>
      </c>
      <c r="FG63" s="754" t="b">
        <f t="shared" si="166"/>
        <v>0</v>
      </c>
      <c r="FH63" s="754" t="b">
        <f t="shared" si="167"/>
        <v>0</v>
      </c>
      <c r="FI63" s="754" t="b">
        <f t="shared" si="168"/>
        <v>0</v>
      </c>
      <c r="FJ63" s="920" t="str">
        <f t="shared" si="182"/>
        <v/>
      </c>
      <c r="FK63" s="919" t="str">
        <f t="shared" si="183"/>
        <v/>
      </c>
      <c r="FL63" s="320" t="e">
        <f t="shared" si="184"/>
        <v>#N/A</v>
      </c>
      <c r="FM63" s="312" t="str">
        <f t="shared" si="169"/>
        <v/>
      </c>
      <c r="FN63" s="272" t="str">
        <f t="shared" ca="1" si="185"/>
        <v/>
      </c>
      <c r="FO63" s="273" t="str">
        <f t="shared" ca="1" si="186"/>
        <v/>
      </c>
      <c r="FP63" s="274" t="str">
        <f t="shared" ca="1" si="187"/>
        <v/>
      </c>
      <c r="FQ63" s="274" t="str">
        <f t="shared" ca="1" si="188"/>
        <v/>
      </c>
      <c r="FR63" s="321">
        <f t="shared" ca="1" si="189"/>
        <v>0</v>
      </c>
      <c r="FS63" s="322">
        <f t="shared" ca="1" si="190"/>
        <v>0</v>
      </c>
      <c r="FT63" s="272" t="str">
        <f t="shared" ca="1" si="191"/>
        <v/>
      </c>
      <c r="FU63" s="275" t="str">
        <f t="shared" ca="1" si="192"/>
        <v/>
      </c>
      <c r="FV63" s="323" t="str">
        <f t="shared" ca="1" si="170"/>
        <v/>
      </c>
      <c r="FW63" s="276" t="str">
        <f t="shared" ca="1" si="193"/>
        <v/>
      </c>
      <c r="FX63" s="276" t="str">
        <f t="shared" ca="1" si="194"/>
        <v/>
      </c>
      <c r="FY63" s="276" t="str">
        <f t="shared" ca="1" si="195"/>
        <v/>
      </c>
      <c r="FZ63" s="276" t="str">
        <f t="shared" ca="1" si="196"/>
        <v/>
      </c>
      <c r="GA63" s="276" t="str">
        <f t="shared" ca="1" si="197"/>
        <v/>
      </c>
      <c r="GB63" s="277" t="str">
        <f ca="1">IF(FY63="","",2+SUM(FO63:OFFSET(FO63,(FU63-1)*-1,0)))</f>
        <v/>
      </c>
      <c r="GC63" s="316" t="e">
        <f t="shared" si="198"/>
        <v>#N/A</v>
      </c>
      <c r="GD63" s="324" t="str">
        <f t="shared" si="171"/>
        <v/>
      </c>
      <c r="GE63" s="325" t="str">
        <f t="shared" si="172"/>
        <v/>
      </c>
      <c r="GF63" s="278" t="str">
        <f t="shared" si="173"/>
        <v/>
      </c>
      <c r="GG63" s="279" t="str">
        <f t="shared" si="174"/>
        <v/>
      </c>
      <c r="GH63" s="279" t="str">
        <f t="shared" si="175"/>
        <v/>
      </c>
      <c r="GI63" s="280" t="str">
        <f t="shared" si="176"/>
        <v/>
      </c>
      <c r="GJ63" s="530">
        <f t="shared" ca="1" si="177"/>
        <v>0</v>
      </c>
      <c r="GK63" s="895" t="str">
        <f t="shared" ca="1" si="199"/>
        <v/>
      </c>
    </row>
    <row r="64" spans="1:193" ht="12.6" hidden="1" customHeight="1" x14ac:dyDescent="0.2">
      <c r="BZ64" s="293"/>
      <c r="CA64" s="293"/>
      <c r="CB64" s="365" t="str">
        <f t="shared" si="104"/>
        <v/>
      </c>
      <c r="CC64" s="366" t="str">
        <f>IF(CG24="","",VLOOKUP(CG24,SectInfo!$B:$N,12,FALSE))</f>
        <v/>
      </c>
      <c r="CD64" s="1305" t="str">
        <f>IF(ISBLANK(CN24),IF(CG24="","",VLOOKUP(CG24,SectInfo!$B:$N,13,FALSE)),CN24)</f>
        <v/>
      </c>
      <c r="CE64" s="1305" t="str">
        <f>IF(CG24="","",IF(VLOOKUP(CG24,SectInfo!$B:$N,5,FALSE)="","R",UPPER(VLOOKUP(CG24,SectInfo!$B:$N,5,FALSE))))</f>
        <v/>
      </c>
      <c r="CF64" s="1305" t="str">
        <f>IF(ISBLANK(CP24),IF(CG24="","",VLOOKUP(CG24,SectInfo!$B:$N,6,FALSE)),CP24)</f>
        <v/>
      </c>
      <c r="CG64" s="1305" t="str">
        <f>IF(CG24="","",IF(VLOOKUP(CG24,SectInfo!$B:$N,10,FALSE)="","",(VLOOKUP(CG24,SectInfo!$B:$N,10,FALSE)*-1)))</f>
        <v/>
      </c>
      <c r="CH64" s="1305" t="str">
        <f>IF(CG24="","",IF(VLOOKUP(CG24,SectInfo!$B:$N,7,FALSE)="","",(VLOOKUP(CG24,SectInfo!$B:$N,7,FALSE)*-1)))</f>
        <v/>
      </c>
      <c r="CI64" s="1305" t="str">
        <f>IF(CG24="","",IF(VLOOKUP(CG24,SectInfo!$B:$N,8,FALSE)="",$FC$4,(VLOOKUP(CG24,SectInfo!$B:$N,8,FALSE))))</f>
        <v/>
      </c>
      <c r="CJ64" s="1305" t="str">
        <f>IF(CG24="","",VLOOKUP(CG24,SectInfo!$B:$N,9,FALSE))</f>
        <v/>
      </c>
      <c r="CK64" s="1306">
        <f t="shared" si="105"/>
        <v>0</v>
      </c>
      <c r="CL64" s="1304" t="str">
        <f>IF(CQ24="","",VLOOKUP(CQ24,SectInfo!$B:$N,12,FALSE))</f>
        <v/>
      </c>
      <c r="CM64" s="1305" t="str">
        <f>IF(ISBLANK(CX24),IF(CQ24="","",VLOOKUP(CQ24,SectInfo!$B:$N,13,FALSE)),CX24)</f>
        <v/>
      </c>
      <c r="CN64" s="1305" t="str">
        <f>IF(CQ24="","",IF(VLOOKUP(CQ24,SectInfo!$B:$N,5,FALSE)="","R",UPPER(VLOOKUP(CQ24,SectInfo!$B:$N,5,FALSE))))</f>
        <v/>
      </c>
      <c r="CO64" s="1305" t="str">
        <f>IF(ISBLANK(CZ24),IF(CQ24="","",VLOOKUP(CQ24,SectInfo!$B:$N,6,FALSE)),CZ24)</f>
        <v/>
      </c>
      <c r="CP64" s="1305" t="str">
        <f>IF(CQ24="","",IF(VLOOKUP(CQ24,SectInfo!$B:$N,10,FALSE)="","",(VLOOKUP(CQ24,SectInfo!$B:$N,10,FALSE)*-1)))</f>
        <v/>
      </c>
      <c r="CQ64" s="1305" t="str">
        <f>IF(CQ24="","",IF(VLOOKUP(CQ24,SectInfo!$B:$N,7,FALSE)="","",(VLOOKUP(CQ24,SectInfo!$B:$N,7,FALSE)*-1)))</f>
        <v/>
      </c>
      <c r="CR64" s="1305" t="str">
        <f>IF(CQ24="","",IF(VLOOKUP(CQ24,SectInfo!$B:$N,8,FALSE)="",$FC$4,(VLOOKUP(CQ24,SectInfo!$B:$N,8,FALSE))))</f>
        <v/>
      </c>
      <c r="CS64" s="1305" t="str">
        <f>IF(CQ24="","",VLOOKUP(CQ24,SectInfo!$B:$N,9,FALSE))</f>
        <v/>
      </c>
      <c r="CT64" s="1306">
        <f t="shared" si="106"/>
        <v>0</v>
      </c>
      <c r="CU64" s="1316">
        <f t="shared" si="107"/>
        <v>0</v>
      </c>
      <c r="CV64" s="1310" t="str">
        <f t="shared" si="108"/>
        <v/>
      </c>
      <c r="CW64" s="1310" t="str">
        <f t="shared" si="109"/>
        <v/>
      </c>
      <c r="CX64" s="1310" t="str">
        <f t="shared" si="110"/>
        <v/>
      </c>
      <c r="CY64" s="1312">
        <f t="shared" si="111"/>
        <v>0</v>
      </c>
      <c r="CZ64" s="1312">
        <f t="shared" si="112"/>
        <v>0</v>
      </c>
      <c r="DA64" s="1312" t="str">
        <f t="shared" si="113"/>
        <v/>
      </c>
      <c r="DB64" s="1310" t="str">
        <f t="shared" si="178"/>
        <v/>
      </c>
      <c r="DC64" s="1310" t="str">
        <f t="shared" si="114"/>
        <v/>
      </c>
      <c r="DD64" s="875">
        <f t="shared" si="179"/>
        <v>0</v>
      </c>
      <c r="DE64" s="873">
        <f t="shared" si="115"/>
        <v>0</v>
      </c>
      <c r="DF64" s="874">
        <f t="shared" si="116"/>
        <v>0</v>
      </c>
      <c r="DG64" s="874" t="str">
        <f t="shared" si="117"/>
        <v/>
      </c>
      <c r="DH64" s="1310" t="str">
        <f t="shared" si="180"/>
        <v/>
      </c>
      <c r="DI64" s="1310" t="str">
        <f t="shared" si="118"/>
        <v/>
      </c>
      <c r="DJ64" s="1311">
        <f t="shared" si="181"/>
        <v>0</v>
      </c>
      <c r="DK64" s="1310" t="str">
        <f t="shared" si="119"/>
        <v/>
      </c>
      <c r="DL64" s="1310" t="str">
        <f t="shared" si="120"/>
        <v/>
      </c>
      <c r="DM64" s="1310" t="str">
        <f t="shared" si="121"/>
        <v/>
      </c>
      <c r="DN64" s="1310" t="str">
        <f t="shared" si="122"/>
        <v/>
      </c>
      <c r="DO64" s="889" t="str">
        <f t="shared" si="123"/>
        <v>ERR</v>
      </c>
      <c r="DP64" s="889" t="str">
        <f t="shared" si="124"/>
        <v>ERR</v>
      </c>
      <c r="DQ64" s="1310" t="str">
        <f t="shared" si="125"/>
        <v/>
      </c>
      <c r="DR64" s="1310" t="str">
        <f t="shared" si="125"/>
        <v/>
      </c>
      <c r="DS64" s="1310" t="str">
        <f t="shared" si="126"/>
        <v/>
      </c>
      <c r="DT64" s="1310" t="str">
        <f t="shared" si="127"/>
        <v/>
      </c>
      <c r="DU64" s="1310" t="str">
        <f t="shared" si="128"/>
        <v/>
      </c>
      <c r="DV64" s="889" t="str">
        <f t="shared" si="129"/>
        <v>ERR</v>
      </c>
      <c r="DW64" s="889" t="str">
        <f t="shared" si="130"/>
        <v>ERR</v>
      </c>
      <c r="DX64" s="873" t="str">
        <f t="shared" si="131"/>
        <v/>
      </c>
      <c r="DY64" s="873" t="str">
        <f t="shared" si="132"/>
        <v/>
      </c>
      <c r="DZ64" s="873" t="str">
        <f t="shared" si="133"/>
        <v/>
      </c>
      <c r="EA64" s="873" t="str">
        <f t="shared" si="134"/>
        <v/>
      </c>
      <c r="EB64" s="876" t="str">
        <f t="shared" si="135"/>
        <v/>
      </c>
      <c r="EC64" s="877" t="str">
        <f t="shared" si="136"/>
        <v/>
      </c>
      <c r="ED64" s="876" t="str">
        <f t="shared" si="137"/>
        <v/>
      </c>
      <c r="EE64" s="876" t="str">
        <f t="shared" si="138"/>
        <v/>
      </c>
      <c r="EF64" s="876" t="str">
        <f t="shared" si="139"/>
        <v/>
      </c>
      <c r="EG64" s="876" t="str">
        <f t="shared" si="140"/>
        <v/>
      </c>
      <c r="EH64" s="876" t="str">
        <f t="shared" si="141"/>
        <v/>
      </c>
      <c r="EI64" s="876" t="str">
        <f t="shared" si="142"/>
        <v/>
      </c>
      <c r="EJ64" s="876" t="str">
        <f t="shared" si="143"/>
        <v/>
      </c>
      <c r="EK64" s="874">
        <f t="shared" si="144"/>
        <v>0</v>
      </c>
      <c r="EL64" s="874">
        <f t="shared" si="145"/>
        <v>0</v>
      </c>
      <c r="EM64" s="874">
        <f t="shared" si="146"/>
        <v>0</v>
      </c>
      <c r="EN64" s="874" t="str">
        <f t="shared" si="147"/>
        <v/>
      </c>
      <c r="EO64" s="873" t="str">
        <f t="shared" si="148"/>
        <v/>
      </c>
      <c r="EP64" s="874">
        <f t="shared" si="149"/>
        <v>0</v>
      </c>
      <c r="EQ64" s="874">
        <f t="shared" si="150"/>
        <v>0</v>
      </c>
      <c r="ER64" s="874">
        <f t="shared" si="151"/>
        <v>0</v>
      </c>
      <c r="ES64" s="874" t="str">
        <f t="shared" si="152"/>
        <v/>
      </c>
      <c r="ET64" s="873" t="str">
        <f t="shared" si="153"/>
        <v/>
      </c>
      <c r="EU64" s="873">
        <f t="shared" si="154"/>
        <v>0</v>
      </c>
      <c r="EV64" s="876" t="e">
        <f t="shared" si="155"/>
        <v>#VALUE!</v>
      </c>
      <c r="EW64" s="876" t="e">
        <f t="shared" si="156"/>
        <v>#VALUE!</v>
      </c>
      <c r="EX64" s="878" t="str">
        <f t="shared" si="157"/>
        <v/>
      </c>
      <c r="EY64" s="879" t="e">
        <f t="shared" si="158"/>
        <v>#DIV/0!</v>
      </c>
      <c r="EZ64" s="959" t="e">
        <f t="shared" si="159"/>
        <v>#DIV/0!</v>
      </c>
      <c r="FA64" s="960" t="e">
        <f t="shared" si="160"/>
        <v>#DIV/0!</v>
      </c>
      <c r="FB64" s="880" t="str">
        <f t="shared" si="161"/>
        <v/>
      </c>
      <c r="FC64" s="881" t="str">
        <f t="shared" si="162"/>
        <v/>
      </c>
      <c r="FD64" s="890">
        <f t="shared" si="163"/>
        <v>0</v>
      </c>
      <c r="FE64" s="833">
        <f t="shared" si="164"/>
        <v>0</v>
      </c>
      <c r="FF64" s="754" t="b">
        <f t="shared" si="165"/>
        <v>0</v>
      </c>
      <c r="FG64" s="754" t="b">
        <f t="shared" si="166"/>
        <v>0</v>
      </c>
      <c r="FH64" s="754" t="b">
        <f t="shared" si="167"/>
        <v>0</v>
      </c>
      <c r="FI64" s="754" t="b">
        <f t="shared" si="168"/>
        <v>0</v>
      </c>
      <c r="FJ64" s="920" t="str">
        <f t="shared" si="182"/>
        <v/>
      </c>
      <c r="FK64" s="919" t="str">
        <f t="shared" si="183"/>
        <v/>
      </c>
      <c r="FL64" s="320" t="e">
        <f t="shared" si="184"/>
        <v>#N/A</v>
      </c>
      <c r="FM64" s="312" t="str">
        <f t="shared" si="169"/>
        <v/>
      </c>
      <c r="FN64" s="272" t="str">
        <f t="shared" ca="1" si="185"/>
        <v/>
      </c>
      <c r="FO64" s="273" t="str">
        <f t="shared" ca="1" si="186"/>
        <v/>
      </c>
      <c r="FP64" s="274" t="str">
        <f t="shared" ca="1" si="187"/>
        <v/>
      </c>
      <c r="FQ64" s="274" t="str">
        <f t="shared" ca="1" si="188"/>
        <v/>
      </c>
      <c r="FR64" s="321">
        <f t="shared" ca="1" si="189"/>
        <v>0</v>
      </c>
      <c r="FS64" s="322">
        <f t="shared" ca="1" si="190"/>
        <v>0</v>
      </c>
      <c r="FT64" s="272" t="str">
        <f t="shared" ca="1" si="191"/>
        <v/>
      </c>
      <c r="FU64" s="275" t="str">
        <f t="shared" ca="1" si="192"/>
        <v/>
      </c>
      <c r="FV64" s="323" t="str">
        <f t="shared" ca="1" si="170"/>
        <v/>
      </c>
      <c r="FW64" s="276" t="str">
        <f t="shared" ca="1" si="193"/>
        <v/>
      </c>
      <c r="FX64" s="276" t="str">
        <f t="shared" ca="1" si="194"/>
        <v/>
      </c>
      <c r="FY64" s="276" t="str">
        <f t="shared" ca="1" si="195"/>
        <v/>
      </c>
      <c r="FZ64" s="276" t="str">
        <f t="shared" ca="1" si="196"/>
        <v/>
      </c>
      <c r="GA64" s="276" t="str">
        <f t="shared" ca="1" si="197"/>
        <v/>
      </c>
      <c r="GB64" s="277" t="str">
        <f ca="1">IF(FY64="","",2+SUM(FO64:OFFSET(FO64,(FU64-1)*-1,0)))</f>
        <v/>
      </c>
      <c r="GC64" s="316" t="e">
        <f t="shared" si="198"/>
        <v>#N/A</v>
      </c>
      <c r="GD64" s="324" t="str">
        <f t="shared" si="171"/>
        <v/>
      </c>
      <c r="GE64" s="325" t="str">
        <f t="shared" si="172"/>
        <v/>
      </c>
      <c r="GF64" s="278" t="str">
        <f t="shared" si="173"/>
        <v/>
      </c>
      <c r="GG64" s="279" t="str">
        <f t="shared" si="174"/>
        <v/>
      </c>
      <c r="GH64" s="279" t="str">
        <f t="shared" si="175"/>
        <v/>
      </c>
      <c r="GI64" s="280" t="str">
        <f t="shared" si="176"/>
        <v/>
      </c>
      <c r="GJ64" s="530">
        <f t="shared" ca="1" si="177"/>
        <v>0</v>
      </c>
      <c r="GK64" s="895" t="str">
        <f t="shared" ca="1" si="199"/>
        <v/>
      </c>
    </row>
    <row r="65" spans="78:193" ht="12.6" hidden="1" customHeight="1" x14ac:dyDescent="0.2">
      <c r="BZ65" s="293"/>
      <c r="CA65" s="293"/>
      <c r="CB65" s="365" t="str">
        <f t="shared" si="104"/>
        <v/>
      </c>
      <c r="CC65" s="366" t="str">
        <f>IF(CG25="","",VLOOKUP(CG25,SectInfo!$B:$N,12,FALSE))</f>
        <v/>
      </c>
      <c r="CD65" s="1305" t="str">
        <f>IF(ISBLANK(CN25),IF(CG25="","",VLOOKUP(CG25,SectInfo!$B:$N,13,FALSE)),CN25)</f>
        <v/>
      </c>
      <c r="CE65" s="1305" t="str">
        <f>IF(CG25="","",IF(VLOOKUP(CG25,SectInfo!$B:$N,5,FALSE)="","R",UPPER(VLOOKUP(CG25,SectInfo!$B:$N,5,FALSE))))</f>
        <v/>
      </c>
      <c r="CF65" s="1305" t="str">
        <f>IF(ISBLANK(CP25),IF(CG25="","",VLOOKUP(CG25,SectInfo!$B:$N,6,FALSE)),CP25)</f>
        <v/>
      </c>
      <c r="CG65" s="1305" t="str">
        <f>IF(CG25="","",IF(VLOOKUP(CG25,SectInfo!$B:$N,10,FALSE)="","",(VLOOKUP(CG25,SectInfo!$B:$N,10,FALSE)*-1)))</f>
        <v/>
      </c>
      <c r="CH65" s="1305" t="str">
        <f>IF(CG25="","",IF(VLOOKUP(CG25,SectInfo!$B:$N,7,FALSE)="","",(VLOOKUP(CG25,SectInfo!$B:$N,7,FALSE)*-1)))</f>
        <v/>
      </c>
      <c r="CI65" s="1305" t="str">
        <f>IF(CG25="","",IF(VLOOKUP(CG25,SectInfo!$B:$N,8,FALSE)="",$FC$4,(VLOOKUP(CG25,SectInfo!$B:$N,8,FALSE))))</f>
        <v/>
      </c>
      <c r="CJ65" s="1305" t="str">
        <f>IF(CG25="","",VLOOKUP(CG25,SectInfo!$B:$N,9,FALSE))</f>
        <v/>
      </c>
      <c r="CK65" s="1306">
        <f t="shared" si="105"/>
        <v>0</v>
      </c>
      <c r="CL65" s="1304" t="str">
        <f>IF(CQ25="","",VLOOKUP(CQ25,SectInfo!$B:$N,12,FALSE))</f>
        <v/>
      </c>
      <c r="CM65" s="1305" t="str">
        <f>IF(ISBLANK(CX25),IF(CQ25="","",VLOOKUP(CQ25,SectInfo!$B:$N,13,FALSE)),CX25)</f>
        <v/>
      </c>
      <c r="CN65" s="1305" t="str">
        <f>IF(CQ25="","",IF(VLOOKUP(CQ25,SectInfo!$B:$N,5,FALSE)="","R",UPPER(VLOOKUP(CQ25,SectInfo!$B:$N,5,FALSE))))</f>
        <v/>
      </c>
      <c r="CO65" s="1305" t="str">
        <f>IF(ISBLANK(CZ25),IF(CQ25="","",VLOOKUP(CQ25,SectInfo!$B:$N,6,FALSE)),CZ25)</f>
        <v/>
      </c>
      <c r="CP65" s="1305" t="str">
        <f>IF(CQ25="","",IF(VLOOKUP(CQ25,SectInfo!$B:$N,10,FALSE)="","",(VLOOKUP(CQ25,SectInfo!$B:$N,10,FALSE)*-1)))</f>
        <v/>
      </c>
      <c r="CQ65" s="1305" t="str">
        <f>IF(CQ25="","",IF(VLOOKUP(CQ25,SectInfo!$B:$N,7,FALSE)="","",(VLOOKUP(CQ25,SectInfo!$B:$N,7,FALSE)*-1)))</f>
        <v/>
      </c>
      <c r="CR65" s="1305" t="str">
        <f>IF(CQ25="","",IF(VLOOKUP(CQ25,SectInfo!$B:$N,8,FALSE)="",$FC$4,(VLOOKUP(CQ25,SectInfo!$B:$N,8,FALSE))))</f>
        <v/>
      </c>
      <c r="CS65" s="1305" t="str">
        <f>IF(CQ25="","",VLOOKUP(CQ25,SectInfo!$B:$N,9,FALSE))</f>
        <v/>
      </c>
      <c r="CT65" s="1306">
        <f t="shared" si="106"/>
        <v>0</v>
      </c>
      <c r="CU65" s="1316">
        <f t="shared" si="107"/>
        <v>0</v>
      </c>
      <c r="CV65" s="1310" t="str">
        <f t="shared" si="108"/>
        <v/>
      </c>
      <c r="CW65" s="1310" t="str">
        <f t="shared" si="109"/>
        <v/>
      </c>
      <c r="CX65" s="1310" t="str">
        <f t="shared" si="110"/>
        <v/>
      </c>
      <c r="CY65" s="1312">
        <f t="shared" si="111"/>
        <v>0</v>
      </c>
      <c r="CZ65" s="1312">
        <f t="shared" si="112"/>
        <v>0</v>
      </c>
      <c r="DA65" s="1312" t="str">
        <f t="shared" si="113"/>
        <v/>
      </c>
      <c r="DB65" s="1310" t="str">
        <f t="shared" si="178"/>
        <v/>
      </c>
      <c r="DC65" s="1310" t="str">
        <f t="shared" si="114"/>
        <v/>
      </c>
      <c r="DD65" s="875">
        <f t="shared" si="179"/>
        <v>0</v>
      </c>
      <c r="DE65" s="873">
        <f t="shared" si="115"/>
        <v>0</v>
      </c>
      <c r="DF65" s="874">
        <f t="shared" si="116"/>
        <v>0</v>
      </c>
      <c r="DG65" s="874" t="str">
        <f t="shared" si="117"/>
        <v/>
      </c>
      <c r="DH65" s="1310" t="str">
        <f t="shared" si="180"/>
        <v/>
      </c>
      <c r="DI65" s="1310" t="str">
        <f t="shared" si="118"/>
        <v/>
      </c>
      <c r="DJ65" s="1311">
        <f t="shared" si="181"/>
        <v>0</v>
      </c>
      <c r="DK65" s="1310" t="str">
        <f t="shared" si="119"/>
        <v/>
      </c>
      <c r="DL65" s="1310" t="str">
        <f t="shared" si="120"/>
        <v/>
      </c>
      <c r="DM65" s="1310" t="str">
        <f t="shared" si="121"/>
        <v/>
      </c>
      <c r="DN65" s="1310" t="str">
        <f t="shared" si="122"/>
        <v/>
      </c>
      <c r="DO65" s="889" t="str">
        <f t="shared" si="123"/>
        <v>ERR</v>
      </c>
      <c r="DP65" s="889" t="str">
        <f t="shared" si="124"/>
        <v>ERR</v>
      </c>
      <c r="DQ65" s="1310" t="str">
        <f t="shared" si="125"/>
        <v/>
      </c>
      <c r="DR65" s="1310" t="str">
        <f t="shared" si="125"/>
        <v/>
      </c>
      <c r="DS65" s="1310" t="str">
        <f t="shared" si="126"/>
        <v/>
      </c>
      <c r="DT65" s="1310" t="str">
        <f t="shared" si="127"/>
        <v/>
      </c>
      <c r="DU65" s="1310" t="str">
        <f t="shared" si="128"/>
        <v/>
      </c>
      <c r="DV65" s="889" t="str">
        <f t="shared" si="129"/>
        <v>ERR</v>
      </c>
      <c r="DW65" s="889" t="str">
        <f t="shared" si="130"/>
        <v>ERR</v>
      </c>
      <c r="DX65" s="873" t="str">
        <f t="shared" si="131"/>
        <v/>
      </c>
      <c r="DY65" s="873" t="str">
        <f t="shared" si="132"/>
        <v/>
      </c>
      <c r="DZ65" s="873" t="str">
        <f t="shared" si="133"/>
        <v/>
      </c>
      <c r="EA65" s="873" t="str">
        <f t="shared" si="134"/>
        <v/>
      </c>
      <c r="EB65" s="876" t="str">
        <f t="shared" si="135"/>
        <v/>
      </c>
      <c r="EC65" s="877" t="str">
        <f t="shared" si="136"/>
        <v/>
      </c>
      <c r="ED65" s="876" t="str">
        <f t="shared" si="137"/>
        <v/>
      </c>
      <c r="EE65" s="876" t="str">
        <f t="shared" si="138"/>
        <v/>
      </c>
      <c r="EF65" s="876" t="str">
        <f t="shared" si="139"/>
        <v/>
      </c>
      <c r="EG65" s="876" t="str">
        <f t="shared" si="140"/>
        <v/>
      </c>
      <c r="EH65" s="876" t="str">
        <f t="shared" si="141"/>
        <v/>
      </c>
      <c r="EI65" s="876" t="str">
        <f t="shared" si="142"/>
        <v/>
      </c>
      <c r="EJ65" s="876" t="str">
        <f t="shared" si="143"/>
        <v/>
      </c>
      <c r="EK65" s="874">
        <f t="shared" si="144"/>
        <v>0</v>
      </c>
      <c r="EL65" s="874">
        <f t="shared" si="145"/>
        <v>0</v>
      </c>
      <c r="EM65" s="874">
        <f t="shared" si="146"/>
        <v>0</v>
      </c>
      <c r="EN65" s="874" t="str">
        <f t="shared" si="147"/>
        <v/>
      </c>
      <c r="EO65" s="873" t="str">
        <f t="shared" si="148"/>
        <v/>
      </c>
      <c r="EP65" s="874">
        <f t="shared" si="149"/>
        <v>0</v>
      </c>
      <c r="EQ65" s="874">
        <f t="shared" si="150"/>
        <v>0</v>
      </c>
      <c r="ER65" s="874">
        <f t="shared" si="151"/>
        <v>0</v>
      </c>
      <c r="ES65" s="874" t="str">
        <f t="shared" si="152"/>
        <v/>
      </c>
      <c r="ET65" s="873" t="str">
        <f t="shared" si="153"/>
        <v/>
      </c>
      <c r="EU65" s="873">
        <f t="shared" si="154"/>
        <v>0</v>
      </c>
      <c r="EV65" s="876" t="e">
        <f t="shared" si="155"/>
        <v>#VALUE!</v>
      </c>
      <c r="EW65" s="876" t="e">
        <f t="shared" si="156"/>
        <v>#VALUE!</v>
      </c>
      <c r="EX65" s="878" t="str">
        <f t="shared" si="157"/>
        <v/>
      </c>
      <c r="EY65" s="879" t="e">
        <f t="shared" si="158"/>
        <v>#DIV/0!</v>
      </c>
      <c r="EZ65" s="959" t="e">
        <f t="shared" si="159"/>
        <v>#DIV/0!</v>
      </c>
      <c r="FA65" s="960" t="e">
        <f t="shared" si="160"/>
        <v>#DIV/0!</v>
      </c>
      <c r="FB65" s="880" t="str">
        <f t="shared" si="161"/>
        <v/>
      </c>
      <c r="FC65" s="881" t="str">
        <f t="shared" si="162"/>
        <v/>
      </c>
      <c r="FD65" s="890">
        <f t="shared" si="163"/>
        <v>0</v>
      </c>
      <c r="FE65" s="833">
        <f t="shared" si="164"/>
        <v>0</v>
      </c>
      <c r="FF65" s="754" t="b">
        <f t="shared" si="165"/>
        <v>0</v>
      </c>
      <c r="FG65" s="754" t="b">
        <f t="shared" si="166"/>
        <v>0</v>
      </c>
      <c r="FH65" s="754" t="b">
        <f t="shared" si="167"/>
        <v>0</v>
      </c>
      <c r="FI65" s="754" t="b">
        <f t="shared" si="168"/>
        <v>0</v>
      </c>
      <c r="FJ65" s="920" t="str">
        <f t="shared" si="182"/>
        <v/>
      </c>
      <c r="FK65" s="919" t="str">
        <f t="shared" si="183"/>
        <v/>
      </c>
      <c r="FL65" s="320" t="e">
        <f t="shared" si="184"/>
        <v>#N/A</v>
      </c>
      <c r="FM65" s="312" t="str">
        <f t="shared" si="169"/>
        <v/>
      </c>
      <c r="FN65" s="272" t="str">
        <f t="shared" ca="1" si="185"/>
        <v/>
      </c>
      <c r="FO65" s="273" t="str">
        <f t="shared" ca="1" si="186"/>
        <v/>
      </c>
      <c r="FP65" s="274" t="str">
        <f t="shared" ca="1" si="187"/>
        <v/>
      </c>
      <c r="FQ65" s="274" t="str">
        <f t="shared" ca="1" si="188"/>
        <v/>
      </c>
      <c r="FR65" s="321">
        <f t="shared" ca="1" si="189"/>
        <v>0</v>
      </c>
      <c r="FS65" s="322">
        <f t="shared" ca="1" si="190"/>
        <v>0</v>
      </c>
      <c r="FT65" s="272" t="str">
        <f t="shared" ca="1" si="191"/>
        <v/>
      </c>
      <c r="FU65" s="275" t="str">
        <f t="shared" ca="1" si="192"/>
        <v/>
      </c>
      <c r="FV65" s="323" t="str">
        <f t="shared" ca="1" si="170"/>
        <v/>
      </c>
      <c r="FW65" s="276" t="str">
        <f t="shared" ca="1" si="193"/>
        <v/>
      </c>
      <c r="FX65" s="276" t="str">
        <f t="shared" ca="1" si="194"/>
        <v/>
      </c>
      <c r="FY65" s="276" t="str">
        <f t="shared" ca="1" si="195"/>
        <v/>
      </c>
      <c r="FZ65" s="276" t="str">
        <f t="shared" ca="1" si="196"/>
        <v/>
      </c>
      <c r="GA65" s="276" t="str">
        <f t="shared" ca="1" si="197"/>
        <v/>
      </c>
      <c r="GB65" s="277" t="str">
        <f ca="1">IF(FY65="","",2+SUM(FO65:OFFSET(FO65,(FU65-1)*-1,0)))</f>
        <v/>
      </c>
      <c r="GC65" s="316" t="e">
        <f t="shared" si="198"/>
        <v>#N/A</v>
      </c>
      <c r="GD65" s="324" t="str">
        <f t="shared" si="171"/>
        <v/>
      </c>
      <c r="GE65" s="325" t="str">
        <f t="shared" si="172"/>
        <v/>
      </c>
      <c r="GF65" s="278" t="str">
        <f t="shared" si="173"/>
        <v/>
      </c>
      <c r="GG65" s="279" t="str">
        <f t="shared" si="174"/>
        <v/>
      </c>
      <c r="GH65" s="279" t="str">
        <f t="shared" si="175"/>
        <v/>
      </c>
      <c r="GI65" s="280" t="str">
        <f t="shared" si="176"/>
        <v/>
      </c>
      <c r="GJ65" s="530">
        <f t="shared" ca="1" si="177"/>
        <v>0</v>
      </c>
      <c r="GK65" s="895" t="str">
        <f t="shared" ca="1" si="199"/>
        <v/>
      </c>
    </row>
    <row r="66" spans="78:193" ht="12.6" hidden="1" customHeight="1" x14ac:dyDescent="0.2">
      <c r="BZ66" s="293"/>
      <c r="CA66" s="293"/>
      <c r="CB66" s="365" t="str">
        <f t="shared" si="104"/>
        <v/>
      </c>
      <c r="CC66" s="366" t="str">
        <f>IF(CG26="","",VLOOKUP(CG26,SectInfo!$B:$N,12,FALSE))</f>
        <v/>
      </c>
      <c r="CD66" s="1305" t="str">
        <f>IF(ISBLANK(CN26),IF(CG26="","",VLOOKUP(CG26,SectInfo!$B:$N,13,FALSE)),CN26)</f>
        <v/>
      </c>
      <c r="CE66" s="1305" t="str">
        <f>IF(CG26="","",IF(VLOOKUP(CG26,SectInfo!$B:$N,5,FALSE)="","R",UPPER(VLOOKUP(CG26,SectInfo!$B:$N,5,FALSE))))</f>
        <v/>
      </c>
      <c r="CF66" s="1305" t="str">
        <f>IF(ISBLANK(CP26),IF(CG26="","",VLOOKUP(CG26,SectInfo!$B:$N,6,FALSE)),CP26)</f>
        <v/>
      </c>
      <c r="CG66" s="1305" t="str">
        <f>IF(CG26="","",IF(VLOOKUP(CG26,SectInfo!$B:$N,10,FALSE)="","",(VLOOKUP(CG26,SectInfo!$B:$N,10,FALSE)*-1)))</f>
        <v/>
      </c>
      <c r="CH66" s="1305" t="str">
        <f>IF(CG26="","",IF(VLOOKUP(CG26,SectInfo!$B:$N,7,FALSE)="","",(VLOOKUP(CG26,SectInfo!$B:$N,7,FALSE)*-1)))</f>
        <v/>
      </c>
      <c r="CI66" s="1305" t="str">
        <f>IF(CG26="","",IF(VLOOKUP(CG26,SectInfo!$B:$N,8,FALSE)="",$FC$4,(VLOOKUP(CG26,SectInfo!$B:$N,8,FALSE))))</f>
        <v/>
      </c>
      <c r="CJ66" s="1305" t="str">
        <f>IF(CG26="","",VLOOKUP(CG26,SectInfo!$B:$N,9,FALSE))</f>
        <v/>
      </c>
      <c r="CK66" s="1306">
        <f t="shared" si="105"/>
        <v>0</v>
      </c>
      <c r="CL66" s="1304" t="str">
        <f>IF(CQ26="","",VLOOKUP(CQ26,SectInfo!$B:$N,12,FALSE))</f>
        <v/>
      </c>
      <c r="CM66" s="1305" t="str">
        <f>IF(ISBLANK(CX26),IF(CQ26="","",VLOOKUP(CQ26,SectInfo!$B:$N,13,FALSE)),CX26)</f>
        <v/>
      </c>
      <c r="CN66" s="1305" t="str">
        <f>IF(CQ26="","",IF(VLOOKUP(CQ26,SectInfo!$B:$N,5,FALSE)="","R",UPPER(VLOOKUP(CQ26,SectInfo!$B:$N,5,FALSE))))</f>
        <v/>
      </c>
      <c r="CO66" s="1305" t="str">
        <f>IF(ISBLANK(CZ26),IF(CQ26="","",VLOOKUP(CQ26,SectInfo!$B:$N,6,FALSE)),CZ26)</f>
        <v/>
      </c>
      <c r="CP66" s="1305" t="str">
        <f>IF(CQ26="","",IF(VLOOKUP(CQ26,SectInfo!$B:$N,10,FALSE)="","",(VLOOKUP(CQ26,SectInfo!$B:$N,10,FALSE)*-1)))</f>
        <v/>
      </c>
      <c r="CQ66" s="1305" t="str">
        <f>IF(CQ26="","",IF(VLOOKUP(CQ26,SectInfo!$B:$N,7,FALSE)="","",(VLOOKUP(CQ26,SectInfo!$B:$N,7,FALSE)*-1)))</f>
        <v/>
      </c>
      <c r="CR66" s="1305" t="str">
        <f>IF(CQ26="","",IF(VLOOKUP(CQ26,SectInfo!$B:$N,8,FALSE)="",$FC$4,(VLOOKUP(CQ26,SectInfo!$B:$N,8,FALSE))))</f>
        <v/>
      </c>
      <c r="CS66" s="1305" t="str">
        <f>IF(CQ26="","",VLOOKUP(CQ26,SectInfo!$B:$N,9,FALSE))</f>
        <v/>
      </c>
      <c r="CT66" s="1306">
        <f t="shared" si="106"/>
        <v>0</v>
      </c>
      <c r="CU66" s="1316">
        <f t="shared" si="107"/>
        <v>0</v>
      </c>
      <c r="CV66" s="1310" t="str">
        <f t="shared" si="108"/>
        <v/>
      </c>
      <c r="CW66" s="1310" t="str">
        <f t="shared" si="109"/>
        <v/>
      </c>
      <c r="CX66" s="1310" t="str">
        <f t="shared" si="110"/>
        <v/>
      </c>
      <c r="CY66" s="1312">
        <f t="shared" si="111"/>
        <v>0</v>
      </c>
      <c r="CZ66" s="1312">
        <f t="shared" si="112"/>
        <v>0</v>
      </c>
      <c r="DA66" s="1312" t="str">
        <f t="shared" si="113"/>
        <v/>
      </c>
      <c r="DB66" s="1310" t="str">
        <f t="shared" si="178"/>
        <v/>
      </c>
      <c r="DC66" s="1310" t="str">
        <f t="shared" si="114"/>
        <v/>
      </c>
      <c r="DD66" s="875">
        <f t="shared" si="179"/>
        <v>0</v>
      </c>
      <c r="DE66" s="873">
        <f t="shared" si="115"/>
        <v>0</v>
      </c>
      <c r="DF66" s="874">
        <f t="shared" si="116"/>
        <v>0</v>
      </c>
      <c r="DG66" s="874" t="str">
        <f t="shared" si="117"/>
        <v/>
      </c>
      <c r="DH66" s="1310" t="str">
        <f t="shared" si="180"/>
        <v/>
      </c>
      <c r="DI66" s="1310" t="str">
        <f t="shared" si="118"/>
        <v/>
      </c>
      <c r="DJ66" s="1311">
        <f t="shared" si="181"/>
        <v>0</v>
      </c>
      <c r="DK66" s="1310" t="str">
        <f t="shared" si="119"/>
        <v/>
      </c>
      <c r="DL66" s="1310" t="str">
        <f t="shared" si="120"/>
        <v/>
      </c>
      <c r="DM66" s="1310" t="str">
        <f t="shared" si="121"/>
        <v/>
      </c>
      <c r="DN66" s="1310" t="str">
        <f t="shared" si="122"/>
        <v/>
      </c>
      <c r="DO66" s="889" t="str">
        <f t="shared" si="123"/>
        <v>ERR</v>
      </c>
      <c r="DP66" s="889" t="str">
        <f t="shared" si="124"/>
        <v>ERR</v>
      </c>
      <c r="DQ66" s="1310" t="str">
        <f t="shared" si="125"/>
        <v/>
      </c>
      <c r="DR66" s="1310" t="str">
        <f t="shared" si="125"/>
        <v/>
      </c>
      <c r="DS66" s="1310" t="str">
        <f t="shared" si="126"/>
        <v/>
      </c>
      <c r="DT66" s="1310" t="str">
        <f t="shared" si="127"/>
        <v/>
      </c>
      <c r="DU66" s="1310" t="str">
        <f t="shared" si="128"/>
        <v/>
      </c>
      <c r="DV66" s="889" t="str">
        <f t="shared" si="129"/>
        <v>ERR</v>
      </c>
      <c r="DW66" s="889" t="str">
        <f t="shared" si="130"/>
        <v>ERR</v>
      </c>
      <c r="DX66" s="873" t="str">
        <f t="shared" si="131"/>
        <v/>
      </c>
      <c r="DY66" s="873" t="str">
        <f t="shared" si="132"/>
        <v/>
      </c>
      <c r="DZ66" s="873" t="str">
        <f t="shared" si="133"/>
        <v/>
      </c>
      <c r="EA66" s="873" t="str">
        <f t="shared" si="134"/>
        <v/>
      </c>
      <c r="EB66" s="876" t="str">
        <f t="shared" si="135"/>
        <v/>
      </c>
      <c r="EC66" s="877" t="str">
        <f t="shared" si="136"/>
        <v/>
      </c>
      <c r="ED66" s="876" t="str">
        <f t="shared" si="137"/>
        <v/>
      </c>
      <c r="EE66" s="876" t="str">
        <f t="shared" si="138"/>
        <v/>
      </c>
      <c r="EF66" s="876" t="str">
        <f t="shared" si="139"/>
        <v/>
      </c>
      <c r="EG66" s="876" t="str">
        <f t="shared" si="140"/>
        <v/>
      </c>
      <c r="EH66" s="876" t="str">
        <f t="shared" si="141"/>
        <v/>
      </c>
      <c r="EI66" s="876" t="str">
        <f t="shared" si="142"/>
        <v/>
      </c>
      <c r="EJ66" s="876" t="str">
        <f t="shared" si="143"/>
        <v/>
      </c>
      <c r="EK66" s="874">
        <f t="shared" si="144"/>
        <v>0</v>
      </c>
      <c r="EL66" s="874">
        <f t="shared" si="145"/>
        <v>0</v>
      </c>
      <c r="EM66" s="874">
        <f t="shared" si="146"/>
        <v>0</v>
      </c>
      <c r="EN66" s="874" t="str">
        <f t="shared" si="147"/>
        <v/>
      </c>
      <c r="EO66" s="873" t="str">
        <f t="shared" si="148"/>
        <v/>
      </c>
      <c r="EP66" s="874">
        <f t="shared" si="149"/>
        <v>0</v>
      </c>
      <c r="EQ66" s="874">
        <f t="shared" si="150"/>
        <v>0</v>
      </c>
      <c r="ER66" s="874">
        <f t="shared" si="151"/>
        <v>0</v>
      </c>
      <c r="ES66" s="874" t="str">
        <f t="shared" si="152"/>
        <v/>
      </c>
      <c r="ET66" s="873" t="str">
        <f t="shared" si="153"/>
        <v/>
      </c>
      <c r="EU66" s="873">
        <f t="shared" si="154"/>
        <v>0</v>
      </c>
      <c r="EV66" s="876" t="e">
        <f t="shared" si="155"/>
        <v>#VALUE!</v>
      </c>
      <c r="EW66" s="876" t="e">
        <f t="shared" si="156"/>
        <v>#VALUE!</v>
      </c>
      <c r="EX66" s="878" t="str">
        <f t="shared" si="157"/>
        <v/>
      </c>
      <c r="EY66" s="879" t="e">
        <f t="shared" si="158"/>
        <v>#DIV/0!</v>
      </c>
      <c r="EZ66" s="959" t="e">
        <f t="shared" si="159"/>
        <v>#DIV/0!</v>
      </c>
      <c r="FA66" s="960" t="e">
        <f t="shared" si="160"/>
        <v>#DIV/0!</v>
      </c>
      <c r="FB66" s="880" t="str">
        <f t="shared" si="161"/>
        <v/>
      </c>
      <c r="FC66" s="881" t="str">
        <f t="shared" si="162"/>
        <v/>
      </c>
      <c r="FD66" s="890">
        <f t="shared" si="163"/>
        <v>0</v>
      </c>
      <c r="FE66" s="833">
        <f t="shared" si="164"/>
        <v>0</v>
      </c>
      <c r="FF66" s="754" t="b">
        <f t="shared" si="165"/>
        <v>0</v>
      </c>
      <c r="FG66" s="754" t="b">
        <f t="shared" si="166"/>
        <v>0</v>
      </c>
      <c r="FH66" s="754" t="b">
        <f t="shared" si="167"/>
        <v>0</v>
      </c>
      <c r="FI66" s="754" t="b">
        <f t="shared" si="168"/>
        <v>0</v>
      </c>
      <c r="FJ66" s="920" t="str">
        <f t="shared" si="182"/>
        <v/>
      </c>
      <c r="FK66" s="919" t="str">
        <f t="shared" si="183"/>
        <v/>
      </c>
      <c r="FL66" s="320" t="e">
        <f t="shared" si="184"/>
        <v>#N/A</v>
      </c>
      <c r="FM66" s="312" t="str">
        <f t="shared" si="169"/>
        <v/>
      </c>
      <c r="FN66" s="272" t="str">
        <f t="shared" ca="1" si="185"/>
        <v/>
      </c>
      <c r="FO66" s="273" t="str">
        <f t="shared" ca="1" si="186"/>
        <v/>
      </c>
      <c r="FP66" s="274" t="str">
        <f t="shared" ca="1" si="187"/>
        <v/>
      </c>
      <c r="FQ66" s="274" t="str">
        <f t="shared" ca="1" si="188"/>
        <v/>
      </c>
      <c r="FR66" s="321">
        <f t="shared" ca="1" si="189"/>
        <v>0</v>
      </c>
      <c r="FS66" s="322">
        <f t="shared" ca="1" si="190"/>
        <v>0</v>
      </c>
      <c r="FT66" s="272" t="str">
        <f t="shared" ca="1" si="191"/>
        <v/>
      </c>
      <c r="FU66" s="275" t="str">
        <f t="shared" ca="1" si="192"/>
        <v/>
      </c>
      <c r="FV66" s="323" t="str">
        <f t="shared" ca="1" si="170"/>
        <v/>
      </c>
      <c r="FW66" s="276" t="str">
        <f t="shared" ca="1" si="193"/>
        <v/>
      </c>
      <c r="FX66" s="276" t="str">
        <f t="shared" ca="1" si="194"/>
        <v/>
      </c>
      <c r="FY66" s="276" t="str">
        <f t="shared" ca="1" si="195"/>
        <v/>
      </c>
      <c r="FZ66" s="276" t="str">
        <f t="shared" ca="1" si="196"/>
        <v/>
      </c>
      <c r="GA66" s="276" t="str">
        <f t="shared" ca="1" si="197"/>
        <v/>
      </c>
      <c r="GB66" s="277" t="str">
        <f ca="1">IF(FY66="","",2+SUM(FO66:OFFSET(FO66,(FU66-1)*-1,0)))</f>
        <v/>
      </c>
      <c r="GC66" s="316" t="e">
        <f t="shared" si="198"/>
        <v>#N/A</v>
      </c>
      <c r="GD66" s="324" t="str">
        <f t="shared" si="171"/>
        <v/>
      </c>
      <c r="GE66" s="325" t="str">
        <f t="shared" si="172"/>
        <v/>
      </c>
      <c r="GF66" s="278" t="str">
        <f t="shared" si="173"/>
        <v/>
      </c>
      <c r="GG66" s="279" t="str">
        <f t="shared" si="174"/>
        <v/>
      </c>
      <c r="GH66" s="279" t="str">
        <f t="shared" si="175"/>
        <v/>
      </c>
      <c r="GI66" s="280" t="str">
        <f t="shared" si="176"/>
        <v/>
      </c>
      <c r="GJ66" s="530">
        <f t="shared" ca="1" si="177"/>
        <v>0</v>
      </c>
      <c r="GK66" s="895" t="str">
        <f t="shared" ca="1" si="199"/>
        <v/>
      </c>
    </row>
    <row r="67" spans="78:193" ht="12.6" hidden="1" customHeight="1" x14ac:dyDescent="0.2">
      <c r="BZ67" s="293"/>
      <c r="CA67" s="293"/>
      <c r="CB67" s="365" t="str">
        <f t="shared" si="104"/>
        <v/>
      </c>
      <c r="CC67" s="366" t="str">
        <f>IF(CG27="","",VLOOKUP(CG27,SectInfo!$B:$N,12,FALSE))</f>
        <v/>
      </c>
      <c r="CD67" s="1305" t="str">
        <f>IF(ISBLANK(CN27),IF(CG27="","",VLOOKUP(CG27,SectInfo!$B:$N,13,FALSE)),CN27)</f>
        <v/>
      </c>
      <c r="CE67" s="1305" t="str">
        <f>IF(CG27="","",IF(VLOOKUP(CG27,SectInfo!$B:$N,5,FALSE)="","R",UPPER(VLOOKUP(CG27,SectInfo!$B:$N,5,FALSE))))</f>
        <v/>
      </c>
      <c r="CF67" s="1305" t="str">
        <f>IF(ISBLANK(CP27),IF(CG27="","",VLOOKUP(CG27,SectInfo!$B:$N,6,FALSE)),CP27)</f>
        <v/>
      </c>
      <c r="CG67" s="1305" t="str">
        <f>IF(CG27="","",IF(VLOOKUP(CG27,SectInfo!$B:$N,10,FALSE)="","",(VLOOKUP(CG27,SectInfo!$B:$N,10,FALSE)*-1)))</f>
        <v/>
      </c>
      <c r="CH67" s="1305" t="str">
        <f>IF(CG27="","",IF(VLOOKUP(CG27,SectInfo!$B:$N,7,FALSE)="","",(VLOOKUP(CG27,SectInfo!$B:$N,7,FALSE)*-1)))</f>
        <v/>
      </c>
      <c r="CI67" s="1305" t="str">
        <f>IF(CG27="","",IF(VLOOKUP(CG27,SectInfo!$B:$N,8,FALSE)="",$FC$4,(VLOOKUP(CG27,SectInfo!$B:$N,8,FALSE))))</f>
        <v/>
      </c>
      <c r="CJ67" s="1305" t="str">
        <f>IF(CG27="","",VLOOKUP(CG27,SectInfo!$B:$N,9,FALSE))</f>
        <v/>
      </c>
      <c r="CK67" s="1306">
        <f t="shared" si="105"/>
        <v>0</v>
      </c>
      <c r="CL67" s="1304" t="str">
        <f>IF(CQ27="","",VLOOKUP(CQ27,SectInfo!$B:$N,12,FALSE))</f>
        <v/>
      </c>
      <c r="CM67" s="1305" t="str">
        <f>IF(ISBLANK(CX27),IF(CQ27="","",VLOOKUP(CQ27,SectInfo!$B:$N,13,FALSE)),CX27)</f>
        <v/>
      </c>
      <c r="CN67" s="1305" t="str">
        <f>IF(CQ27="","",IF(VLOOKUP(CQ27,SectInfo!$B:$N,5,FALSE)="","R",UPPER(VLOOKUP(CQ27,SectInfo!$B:$N,5,FALSE))))</f>
        <v/>
      </c>
      <c r="CO67" s="1305" t="str">
        <f>IF(ISBLANK(CZ27),IF(CQ27="","",VLOOKUP(CQ27,SectInfo!$B:$N,6,FALSE)),CZ27)</f>
        <v/>
      </c>
      <c r="CP67" s="1305" t="str">
        <f>IF(CQ27="","",IF(VLOOKUP(CQ27,SectInfo!$B:$N,10,FALSE)="","",(VLOOKUP(CQ27,SectInfo!$B:$N,10,FALSE)*-1)))</f>
        <v/>
      </c>
      <c r="CQ67" s="1305" t="str">
        <f>IF(CQ27="","",IF(VLOOKUP(CQ27,SectInfo!$B:$N,7,FALSE)="","",(VLOOKUP(CQ27,SectInfo!$B:$N,7,FALSE)*-1)))</f>
        <v/>
      </c>
      <c r="CR67" s="1305" t="str">
        <f>IF(CQ27="","",IF(VLOOKUP(CQ27,SectInfo!$B:$N,8,FALSE)="",$FC$4,(VLOOKUP(CQ27,SectInfo!$B:$N,8,FALSE))))</f>
        <v/>
      </c>
      <c r="CS67" s="1305" t="str">
        <f>IF(CQ27="","",VLOOKUP(CQ27,SectInfo!$B:$N,9,FALSE))</f>
        <v/>
      </c>
      <c r="CT67" s="1306">
        <f t="shared" si="106"/>
        <v>0</v>
      </c>
      <c r="CU67" s="1316">
        <f t="shared" si="107"/>
        <v>0</v>
      </c>
      <c r="CV67" s="1310" t="str">
        <f t="shared" si="108"/>
        <v/>
      </c>
      <c r="CW67" s="1310" t="str">
        <f t="shared" si="109"/>
        <v/>
      </c>
      <c r="CX67" s="1310" t="str">
        <f t="shared" si="110"/>
        <v/>
      </c>
      <c r="CY67" s="1312">
        <f t="shared" si="111"/>
        <v>0</v>
      </c>
      <c r="CZ67" s="1312">
        <f t="shared" si="112"/>
        <v>0</v>
      </c>
      <c r="DA67" s="1312" t="str">
        <f t="shared" si="113"/>
        <v/>
      </c>
      <c r="DB67" s="1310" t="str">
        <f t="shared" si="178"/>
        <v/>
      </c>
      <c r="DC67" s="1310" t="str">
        <f t="shared" si="114"/>
        <v/>
      </c>
      <c r="DD67" s="875">
        <f t="shared" si="179"/>
        <v>0</v>
      </c>
      <c r="DE67" s="873">
        <f t="shared" si="115"/>
        <v>0</v>
      </c>
      <c r="DF67" s="874">
        <f t="shared" si="116"/>
        <v>0</v>
      </c>
      <c r="DG67" s="874" t="str">
        <f t="shared" si="117"/>
        <v/>
      </c>
      <c r="DH67" s="1310" t="str">
        <f t="shared" si="180"/>
        <v/>
      </c>
      <c r="DI67" s="1310" t="str">
        <f t="shared" si="118"/>
        <v/>
      </c>
      <c r="DJ67" s="1311">
        <f t="shared" si="181"/>
        <v>0</v>
      </c>
      <c r="DK67" s="1310" t="str">
        <f t="shared" si="119"/>
        <v/>
      </c>
      <c r="DL67" s="1310" t="str">
        <f t="shared" si="120"/>
        <v/>
      </c>
      <c r="DM67" s="1310" t="str">
        <f t="shared" si="121"/>
        <v/>
      </c>
      <c r="DN67" s="1310" t="str">
        <f t="shared" si="122"/>
        <v/>
      </c>
      <c r="DO67" s="889" t="str">
        <f t="shared" si="123"/>
        <v>ERR</v>
      </c>
      <c r="DP67" s="889" t="str">
        <f t="shared" si="124"/>
        <v>ERR</v>
      </c>
      <c r="DQ67" s="1310" t="str">
        <f t="shared" si="125"/>
        <v/>
      </c>
      <c r="DR67" s="1310" t="str">
        <f t="shared" si="125"/>
        <v/>
      </c>
      <c r="DS67" s="1310" t="str">
        <f t="shared" si="126"/>
        <v/>
      </c>
      <c r="DT67" s="1310" t="str">
        <f t="shared" si="127"/>
        <v/>
      </c>
      <c r="DU67" s="1310" t="str">
        <f t="shared" si="128"/>
        <v/>
      </c>
      <c r="DV67" s="889" t="str">
        <f t="shared" si="129"/>
        <v>ERR</v>
      </c>
      <c r="DW67" s="889" t="str">
        <f t="shared" si="130"/>
        <v>ERR</v>
      </c>
      <c r="DX67" s="873" t="str">
        <f t="shared" si="131"/>
        <v/>
      </c>
      <c r="DY67" s="873" t="str">
        <f t="shared" si="132"/>
        <v/>
      </c>
      <c r="DZ67" s="873" t="str">
        <f t="shared" si="133"/>
        <v/>
      </c>
      <c r="EA67" s="873" t="str">
        <f t="shared" si="134"/>
        <v/>
      </c>
      <c r="EB67" s="876" t="str">
        <f t="shared" si="135"/>
        <v/>
      </c>
      <c r="EC67" s="877" t="str">
        <f t="shared" si="136"/>
        <v/>
      </c>
      <c r="ED67" s="876" t="str">
        <f t="shared" si="137"/>
        <v/>
      </c>
      <c r="EE67" s="876" t="str">
        <f t="shared" si="138"/>
        <v/>
      </c>
      <c r="EF67" s="876" t="str">
        <f t="shared" si="139"/>
        <v/>
      </c>
      <c r="EG67" s="876" t="str">
        <f t="shared" si="140"/>
        <v/>
      </c>
      <c r="EH67" s="876" t="str">
        <f t="shared" si="141"/>
        <v/>
      </c>
      <c r="EI67" s="876" t="str">
        <f t="shared" si="142"/>
        <v/>
      </c>
      <c r="EJ67" s="876" t="str">
        <f t="shared" si="143"/>
        <v/>
      </c>
      <c r="EK67" s="874">
        <f t="shared" si="144"/>
        <v>0</v>
      </c>
      <c r="EL67" s="874">
        <f t="shared" si="145"/>
        <v>0</v>
      </c>
      <c r="EM67" s="874">
        <f t="shared" si="146"/>
        <v>0</v>
      </c>
      <c r="EN67" s="874" t="str">
        <f t="shared" si="147"/>
        <v/>
      </c>
      <c r="EO67" s="873" t="str">
        <f t="shared" si="148"/>
        <v/>
      </c>
      <c r="EP67" s="874">
        <f t="shared" si="149"/>
        <v>0</v>
      </c>
      <c r="EQ67" s="874">
        <f t="shared" si="150"/>
        <v>0</v>
      </c>
      <c r="ER67" s="874">
        <f t="shared" si="151"/>
        <v>0</v>
      </c>
      <c r="ES67" s="874" t="str">
        <f t="shared" si="152"/>
        <v/>
      </c>
      <c r="ET67" s="873" t="str">
        <f t="shared" si="153"/>
        <v/>
      </c>
      <c r="EU67" s="873">
        <f t="shared" si="154"/>
        <v>0</v>
      </c>
      <c r="EV67" s="876" t="e">
        <f t="shared" si="155"/>
        <v>#VALUE!</v>
      </c>
      <c r="EW67" s="876" t="e">
        <f t="shared" si="156"/>
        <v>#VALUE!</v>
      </c>
      <c r="EX67" s="878" t="str">
        <f t="shared" si="157"/>
        <v/>
      </c>
      <c r="EY67" s="879" t="e">
        <f t="shared" si="158"/>
        <v>#DIV/0!</v>
      </c>
      <c r="EZ67" s="959" t="e">
        <f t="shared" si="159"/>
        <v>#DIV/0!</v>
      </c>
      <c r="FA67" s="960" t="e">
        <f t="shared" si="160"/>
        <v>#DIV/0!</v>
      </c>
      <c r="FB67" s="880" t="str">
        <f t="shared" si="161"/>
        <v/>
      </c>
      <c r="FC67" s="881" t="str">
        <f t="shared" si="162"/>
        <v/>
      </c>
      <c r="FD67" s="890">
        <f t="shared" si="163"/>
        <v>0</v>
      </c>
      <c r="FE67" s="833">
        <f t="shared" si="164"/>
        <v>0</v>
      </c>
      <c r="FF67" s="754" t="b">
        <f t="shared" si="165"/>
        <v>0</v>
      </c>
      <c r="FG67" s="754" t="b">
        <f t="shared" si="166"/>
        <v>0</v>
      </c>
      <c r="FH67" s="754" t="b">
        <f t="shared" si="167"/>
        <v>0</v>
      </c>
      <c r="FI67" s="754" t="b">
        <f t="shared" si="168"/>
        <v>0</v>
      </c>
      <c r="FJ67" s="920" t="str">
        <f t="shared" si="182"/>
        <v/>
      </c>
      <c r="FK67" s="919" t="str">
        <f t="shared" si="183"/>
        <v/>
      </c>
      <c r="FL67" s="320" t="e">
        <f t="shared" si="184"/>
        <v>#N/A</v>
      </c>
      <c r="FM67" s="312" t="str">
        <f t="shared" si="169"/>
        <v/>
      </c>
      <c r="FN67" s="272" t="str">
        <f t="shared" ca="1" si="185"/>
        <v/>
      </c>
      <c r="FO67" s="273" t="str">
        <f t="shared" ca="1" si="186"/>
        <v/>
      </c>
      <c r="FP67" s="274" t="str">
        <f t="shared" ca="1" si="187"/>
        <v/>
      </c>
      <c r="FQ67" s="274" t="str">
        <f t="shared" ca="1" si="188"/>
        <v/>
      </c>
      <c r="FR67" s="321">
        <f t="shared" ca="1" si="189"/>
        <v>0</v>
      </c>
      <c r="FS67" s="322">
        <f t="shared" ca="1" si="190"/>
        <v>0</v>
      </c>
      <c r="FT67" s="272" t="str">
        <f t="shared" ca="1" si="191"/>
        <v/>
      </c>
      <c r="FU67" s="275" t="str">
        <f t="shared" ca="1" si="192"/>
        <v/>
      </c>
      <c r="FV67" s="323" t="str">
        <f t="shared" ca="1" si="170"/>
        <v/>
      </c>
      <c r="FW67" s="276" t="str">
        <f t="shared" ca="1" si="193"/>
        <v/>
      </c>
      <c r="FX67" s="276" t="str">
        <f t="shared" ca="1" si="194"/>
        <v/>
      </c>
      <c r="FY67" s="276" t="str">
        <f t="shared" ca="1" si="195"/>
        <v/>
      </c>
      <c r="FZ67" s="276" t="str">
        <f t="shared" ca="1" si="196"/>
        <v/>
      </c>
      <c r="GA67" s="276" t="str">
        <f t="shared" ca="1" si="197"/>
        <v/>
      </c>
      <c r="GB67" s="277" t="str">
        <f ca="1">IF(FY67="","",2+SUM(FO67:OFFSET(FO67,(FU67-1)*-1,0)))</f>
        <v/>
      </c>
      <c r="GC67" s="316" t="e">
        <f t="shared" si="198"/>
        <v>#N/A</v>
      </c>
      <c r="GD67" s="324" t="str">
        <f t="shared" si="171"/>
        <v/>
      </c>
      <c r="GE67" s="325" t="str">
        <f t="shared" si="172"/>
        <v/>
      </c>
      <c r="GF67" s="278" t="str">
        <f t="shared" si="173"/>
        <v/>
      </c>
      <c r="GG67" s="279" t="str">
        <f t="shared" si="174"/>
        <v/>
      </c>
      <c r="GH67" s="279" t="str">
        <f t="shared" si="175"/>
        <v/>
      </c>
      <c r="GI67" s="280" t="str">
        <f t="shared" si="176"/>
        <v/>
      </c>
      <c r="GJ67" s="530">
        <f t="shared" ca="1" si="177"/>
        <v>0</v>
      </c>
      <c r="GK67" s="895" t="str">
        <f t="shared" ca="1" si="199"/>
        <v/>
      </c>
    </row>
    <row r="68" spans="78:193" ht="12.6" hidden="1" customHeight="1" x14ac:dyDescent="0.2">
      <c r="BZ68" s="293"/>
      <c r="CA68" s="293"/>
      <c r="CB68" s="365" t="str">
        <f t="shared" si="104"/>
        <v/>
      </c>
      <c r="CC68" s="366"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si="105"/>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1305" t="str">
        <f>IF(CQ28="","",IF(VLOOKUP(CQ28,SectInfo!$B:$N,7,FALSE)="","",(VLOOKUP(CQ28,SectInfo!$B:$N,7,FALSE)*-1)))</f>
        <v/>
      </c>
      <c r="CR68" s="1305" t="str">
        <f>IF(CQ28="","",IF(VLOOKUP(CQ28,SectInfo!$B:$N,8,FALSE)="",$FC$4,(VLOOKUP(CQ28,SectInfo!$B:$N,8,FALSE))))</f>
        <v/>
      </c>
      <c r="CS68" s="1305" t="str">
        <f>IF(CQ28="","",VLOOKUP(CQ28,SectInfo!$B:$N,9,FALSE))</f>
        <v/>
      </c>
      <c r="CT68" s="1306">
        <f t="shared" si="106"/>
        <v>0</v>
      </c>
      <c r="CU68" s="1316">
        <f t="shared" si="107"/>
        <v>0</v>
      </c>
      <c r="CV68" s="1310" t="str">
        <f t="shared" si="108"/>
        <v/>
      </c>
      <c r="CW68" s="1310" t="str">
        <f t="shared" si="109"/>
        <v/>
      </c>
      <c r="CX68" s="1310" t="str">
        <f t="shared" si="110"/>
        <v/>
      </c>
      <c r="CY68" s="1312">
        <f t="shared" si="111"/>
        <v>0</v>
      </c>
      <c r="CZ68" s="1312">
        <f t="shared" si="112"/>
        <v>0</v>
      </c>
      <c r="DA68" s="1312" t="str">
        <f t="shared" si="113"/>
        <v/>
      </c>
      <c r="DB68" s="1310" t="str">
        <f t="shared" si="178"/>
        <v/>
      </c>
      <c r="DC68" s="1310" t="str">
        <f t="shared" si="114"/>
        <v/>
      </c>
      <c r="DD68" s="875">
        <f t="shared" si="179"/>
        <v>0</v>
      </c>
      <c r="DE68" s="873">
        <f t="shared" si="115"/>
        <v>0</v>
      </c>
      <c r="DF68" s="874">
        <f t="shared" si="116"/>
        <v>0</v>
      </c>
      <c r="DG68" s="874" t="str">
        <f t="shared" si="117"/>
        <v/>
      </c>
      <c r="DH68" s="1310" t="str">
        <f t="shared" si="180"/>
        <v/>
      </c>
      <c r="DI68" s="1310" t="str">
        <f t="shared" si="118"/>
        <v/>
      </c>
      <c r="DJ68" s="1311">
        <f t="shared" si="181"/>
        <v>0</v>
      </c>
      <c r="DK68" s="1310" t="str">
        <f t="shared" si="119"/>
        <v/>
      </c>
      <c r="DL68" s="1310" t="str">
        <f t="shared" si="120"/>
        <v/>
      </c>
      <c r="DM68" s="1310" t="str">
        <f t="shared" si="121"/>
        <v/>
      </c>
      <c r="DN68" s="1310" t="str">
        <f t="shared" si="122"/>
        <v/>
      </c>
      <c r="DO68" s="889" t="str">
        <f t="shared" si="123"/>
        <v>ERR</v>
      </c>
      <c r="DP68" s="889" t="str">
        <f t="shared" si="124"/>
        <v>ERR</v>
      </c>
      <c r="DQ68" s="1310" t="str">
        <f t="shared" si="125"/>
        <v/>
      </c>
      <c r="DR68" s="1310" t="str">
        <f t="shared" si="125"/>
        <v/>
      </c>
      <c r="DS68" s="1310" t="str">
        <f t="shared" si="126"/>
        <v/>
      </c>
      <c r="DT68" s="1310" t="str">
        <f t="shared" si="127"/>
        <v/>
      </c>
      <c r="DU68" s="1310" t="str">
        <f t="shared" si="128"/>
        <v/>
      </c>
      <c r="DV68" s="889" t="str">
        <f t="shared" si="129"/>
        <v>ERR</v>
      </c>
      <c r="DW68" s="889" t="str">
        <f t="shared" si="130"/>
        <v>ERR</v>
      </c>
      <c r="DX68" s="873" t="str">
        <f t="shared" si="131"/>
        <v/>
      </c>
      <c r="DY68" s="873" t="str">
        <f t="shared" si="132"/>
        <v/>
      </c>
      <c r="DZ68" s="873" t="str">
        <f t="shared" si="133"/>
        <v/>
      </c>
      <c r="EA68" s="873" t="str">
        <f t="shared" si="134"/>
        <v/>
      </c>
      <c r="EB68" s="876" t="str">
        <f t="shared" si="135"/>
        <v/>
      </c>
      <c r="EC68" s="877" t="str">
        <f t="shared" si="136"/>
        <v/>
      </c>
      <c r="ED68" s="876" t="str">
        <f t="shared" si="137"/>
        <v/>
      </c>
      <c r="EE68" s="876" t="str">
        <f t="shared" si="138"/>
        <v/>
      </c>
      <c r="EF68" s="876" t="str">
        <f t="shared" si="139"/>
        <v/>
      </c>
      <c r="EG68" s="876" t="str">
        <f t="shared" si="140"/>
        <v/>
      </c>
      <c r="EH68" s="876" t="str">
        <f t="shared" si="141"/>
        <v/>
      </c>
      <c r="EI68" s="876" t="str">
        <f t="shared" si="142"/>
        <v/>
      </c>
      <c r="EJ68" s="876" t="str">
        <f t="shared" si="143"/>
        <v/>
      </c>
      <c r="EK68" s="874">
        <f t="shared" si="144"/>
        <v>0</v>
      </c>
      <c r="EL68" s="874">
        <f t="shared" si="145"/>
        <v>0</v>
      </c>
      <c r="EM68" s="874">
        <f t="shared" si="146"/>
        <v>0</v>
      </c>
      <c r="EN68" s="874" t="str">
        <f t="shared" si="147"/>
        <v/>
      </c>
      <c r="EO68" s="873" t="str">
        <f t="shared" si="148"/>
        <v/>
      </c>
      <c r="EP68" s="874">
        <f t="shared" si="149"/>
        <v>0</v>
      </c>
      <c r="EQ68" s="874">
        <f t="shared" si="150"/>
        <v>0</v>
      </c>
      <c r="ER68" s="874">
        <f t="shared" si="151"/>
        <v>0</v>
      </c>
      <c r="ES68" s="874" t="str">
        <f t="shared" si="152"/>
        <v/>
      </c>
      <c r="ET68" s="873" t="str">
        <f t="shared" si="153"/>
        <v/>
      </c>
      <c r="EU68" s="873">
        <f t="shared" si="154"/>
        <v>0</v>
      </c>
      <c r="EV68" s="876" t="e">
        <f t="shared" si="155"/>
        <v>#VALUE!</v>
      </c>
      <c r="EW68" s="876" t="e">
        <f t="shared" si="156"/>
        <v>#VALUE!</v>
      </c>
      <c r="EX68" s="878" t="str">
        <f t="shared" si="157"/>
        <v/>
      </c>
      <c r="EY68" s="879" t="e">
        <f t="shared" si="158"/>
        <v>#DIV/0!</v>
      </c>
      <c r="EZ68" s="959" t="e">
        <f t="shared" si="159"/>
        <v>#DIV/0!</v>
      </c>
      <c r="FA68" s="960" t="e">
        <f t="shared" si="160"/>
        <v>#DIV/0!</v>
      </c>
      <c r="FB68" s="880" t="str">
        <f t="shared" si="161"/>
        <v/>
      </c>
      <c r="FC68" s="881" t="str">
        <f t="shared" si="162"/>
        <v/>
      </c>
      <c r="FD68" s="890">
        <f t="shared" si="163"/>
        <v>0</v>
      </c>
      <c r="FE68" s="833">
        <f t="shared" si="164"/>
        <v>0</v>
      </c>
      <c r="FF68" s="754" t="b">
        <f t="shared" si="165"/>
        <v>0</v>
      </c>
      <c r="FG68" s="754" t="b">
        <f t="shared" si="166"/>
        <v>0</v>
      </c>
      <c r="FH68" s="754" t="b">
        <f t="shared" si="167"/>
        <v>0</v>
      </c>
      <c r="FI68" s="754" t="b">
        <f t="shared" si="168"/>
        <v>0</v>
      </c>
      <c r="FJ68" s="920" t="str">
        <f t="shared" si="182"/>
        <v/>
      </c>
      <c r="FK68" s="919" t="str">
        <f t="shared" si="183"/>
        <v/>
      </c>
      <c r="FL68" s="320" t="e">
        <f t="shared" si="184"/>
        <v>#N/A</v>
      </c>
      <c r="FM68" s="312" t="str">
        <f t="shared" si="169"/>
        <v/>
      </c>
      <c r="FN68" s="272" t="str">
        <f t="shared" ca="1" si="185"/>
        <v/>
      </c>
      <c r="FO68" s="273" t="str">
        <f t="shared" ca="1" si="186"/>
        <v/>
      </c>
      <c r="FP68" s="274" t="str">
        <f t="shared" ca="1" si="187"/>
        <v/>
      </c>
      <c r="FQ68" s="274" t="str">
        <f t="shared" ca="1" si="188"/>
        <v/>
      </c>
      <c r="FR68" s="321">
        <f t="shared" ca="1" si="189"/>
        <v>0</v>
      </c>
      <c r="FS68" s="322">
        <f t="shared" ca="1" si="190"/>
        <v>0</v>
      </c>
      <c r="FT68" s="272" t="str">
        <f t="shared" ca="1" si="191"/>
        <v/>
      </c>
      <c r="FU68" s="275" t="str">
        <f t="shared" ca="1" si="192"/>
        <v/>
      </c>
      <c r="FV68" s="323" t="str">
        <f t="shared" ca="1" si="170"/>
        <v/>
      </c>
      <c r="FW68" s="276" t="str">
        <f t="shared" ca="1" si="193"/>
        <v/>
      </c>
      <c r="FX68" s="276" t="str">
        <f t="shared" ca="1" si="194"/>
        <v/>
      </c>
      <c r="FY68" s="276" t="str">
        <f t="shared" ca="1" si="195"/>
        <v/>
      </c>
      <c r="FZ68" s="276" t="str">
        <f t="shared" ca="1" si="196"/>
        <v/>
      </c>
      <c r="GA68" s="276" t="str">
        <f t="shared" ca="1" si="197"/>
        <v/>
      </c>
      <c r="GB68" s="277" t="str">
        <f ca="1">IF(FY68="","",2+SUM(FO68:OFFSET(FO68,(FU68-1)*-1,0)))</f>
        <v/>
      </c>
      <c r="GC68" s="316" t="e">
        <f t="shared" si="198"/>
        <v>#N/A</v>
      </c>
      <c r="GD68" s="324" t="str">
        <f t="shared" si="171"/>
        <v/>
      </c>
      <c r="GE68" s="325" t="str">
        <f t="shared" si="172"/>
        <v/>
      </c>
      <c r="GF68" s="278" t="str">
        <f t="shared" si="173"/>
        <v/>
      </c>
      <c r="GG68" s="279" t="str">
        <f t="shared" si="174"/>
        <v/>
      </c>
      <c r="GH68" s="279" t="str">
        <f t="shared" si="175"/>
        <v/>
      </c>
      <c r="GI68" s="280" t="str">
        <f t="shared" si="176"/>
        <v/>
      </c>
      <c r="GJ68" s="530">
        <f t="shared" ca="1" si="177"/>
        <v>0</v>
      </c>
      <c r="GK68" s="895" t="str">
        <f t="shared" ca="1" si="199"/>
        <v/>
      </c>
    </row>
    <row r="69" spans="78:193" ht="12.6" hidden="1" customHeight="1" x14ac:dyDescent="0.2">
      <c r="BZ69" s="293"/>
      <c r="CA69" s="293"/>
      <c r="CB69" s="365" t="str">
        <f t="shared" si="104"/>
        <v/>
      </c>
      <c r="CC69" s="366"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05"/>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1305" t="str">
        <f>IF(CQ29="","",IF(VLOOKUP(CQ29,SectInfo!$B:$N,7,FALSE)="","",(VLOOKUP(CQ29,SectInfo!$B:$N,7,FALSE)*-1)))</f>
        <v/>
      </c>
      <c r="CR69" s="1305" t="str">
        <f>IF(CQ29="","",IF(VLOOKUP(CQ29,SectInfo!$B:$N,8,FALSE)="",$FC$4,(VLOOKUP(CQ29,SectInfo!$B:$N,8,FALSE))))</f>
        <v/>
      </c>
      <c r="CS69" s="1305" t="str">
        <f>IF(CQ29="","",VLOOKUP(CQ29,SectInfo!$B:$N,9,FALSE))</f>
        <v/>
      </c>
      <c r="CT69" s="1306">
        <f t="shared" si="106"/>
        <v>0</v>
      </c>
      <c r="CU69" s="1316">
        <f t="shared" si="107"/>
        <v>0</v>
      </c>
      <c r="CV69" s="1310" t="str">
        <f t="shared" si="108"/>
        <v/>
      </c>
      <c r="CW69" s="1310" t="str">
        <f t="shared" si="109"/>
        <v/>
      </c>
      <c r="CX69" s="1310" t="str">
        <f t="shared" si="110"/>
        <v/>
      </c>
      <c r="CY69" s="1312">
        <f t="shared" si="111"/>
        <v>0</v>
      </c>
      <c r="CZ69" s="1312">
        <f t="shared" si="112"/>
        <v>0</v>
      </c>
      <c r="DA69" s="1312" t="str">
        <f t="shared" si="113"/>
        <v/>
      </c>
      <c r="DB69" s="1310" t="str">
        <f t="shared" si="178"/>
        <v/>
      </c>
      <c r="DC69" s="1310" t="str">
        <f t="shared" si="114"/>
        <v/>
      </c>
      <c r="DD69" s="875">
        <f t="shared" si="179"/>
        <v>0</v>
      </c>
      <c r="DE69" s="873">
        <f t="shared" si="115"/>
        <v>0</v>
      </c>
      <c r="DF69" s="874">
        <f t="shared" si="116"/>
        <v>0</v>
      </c>
      <c r="DG69" s="874" t="str">
        <f t="shared" si="117"/>
        <v/>
      </c>
      <c r="DH69" s="1310" t="str">
        <f t="shared" si="180"/>
        <v/>
      </c>
      <c r="DI69" s="1310" t="str">
        <f t="shared" si="118"/>
        <v/>
      </c>
      <c r="DJ69" s="1311">
        <f t="shared" si="181"/>
        <v>0</v>
      </c>
      <c r="DK69" s="1310" t="str">
        <f t="shared" si="119"/>
        <v/>
      </c>
      <c r="DL69" s="1310" t="str">
        <f t="shared" si="120"/>
        <v/>
      </c>
      <c r="DM69" s="1310" t="str">
        <f t="shared" si="121"/>
        <v/>
      </c>
      <c r="DN69" s="1310" t="str">
        <f t="shared" si="122"/>
        <v/>
      </c>
      <c r="DO69" s="889" t="str">
        <f t="shared" si="123"/>
        <v>ERR</v>
      </c>
      <c r="DP69" s="889" t="str">
        <f t="shared" si="124"/>
        <v>ERR</v>
      </c>
      <c r="DQ69" s="1310" t="str">
        <f t="shared" si="125"/>
        <v/>
      </c>
      <c r="DR69" s="1310" t="str">
        <f t="shared" si="125"/>
        <v/>
      </c>
      <c r="DS69" s="1310" t="str">
        <f t="shared" si="126"/>
        <v/>
      </c>
      <c r="DT69" s="1310" t="str">
        <f t="shared" si="127"/>
        <v/>
      </c>
      <c r="DU69" s="1310" t="str">
        <f t="shared" si="128"/>
        <v/>
      </c>
      <c r="DV69" s="889" t="str">
        <f t="shared" si="129"/>
        <v>ERR</v>
      </c>
      <c r="DW69" s="889" t="str">
        <f t="shared" si="130"/>
        <v>ERR</v>
      </c>
      <c r="DX69" s="873" t="str">
        <f t="shared" si="131"/>
        <v/>
      </c>
      <c r="DY69" s="873" t="str">
        <f t="shared" si="132"/>
        <v/>
      </c>
      <c r="DZ69" s="873" t="str">
        <f t="shared" si="133"/>
        <v/>
      </c>
      <c r="EA69" s="873" t="str">
        <f t="shared" si="134"/>
        <v/>
      </c>
      <c r="EB69" s="876" t="str">
        <f t="shared" si="135"/>
        <v/>
      </c>
      <c r="EC69" s="877" t="str">
        <f t="shared" si="136"/>
        <v/>
      </c>
      <c r="ED69" s="876" t="str">
        <f t="shared" si="137"/>
        <v/>
      </c>
      <c r="EE69" s="876" t="str">
        <f t="shared" si="138"/>
        <v/>
      </c>
      <c r="EF69" s="876" t="str">
        <f t="shared" si="139"/>
        <v/>
      </c>
      <c r="EG69" s="876" t="str">
        <f t="shared" si="140"/>
        <v/>
      </c>
      <c r="EH69" s="876" t="str">
        <f t="shared" si="141"/>
        <v/>
      </c>
      <c r="EI69" s="876" t="str">
        <f t="shared" si="142"/>
        <v/>
      </c>
      <c r="EJ69" s="876" t="str">
        <f t="shared" si="143"/>
        <v/>
      </c>
      <c r="EK69" s="874">
        <f t="shared" si="144"/>
        <v>0</v>
      </c>
      <c r="EL69" s="874">
        <f t="shared" si="145"/>
        <v>0</v>
      </c>
      <c r="EM69" s="874">
        <f t="shared" si="146"/>
        <v>0</v>
      </c>
      <c r="EN69" s="874" t="str">
        <f t="shared" si="147"/>
        <v/>
      </c>
      <c r="EO69" s="873" t="str">
        <f t="shared" si="148"/>
        <v/>
      </c>
      <c r="EP69" s="874">
        <f t="shared" si="149"/>
        <v>0</v>
      </c>
      <c r="EQ69" s="874">
        <f t="shared" si="150"/>
        <v>0</v>
      </c>
      <c r="ER69" s="874">
        <f t="shared" si="151"/>
        <v>0</v>
      </c>
      <c r="ES69" s="874" t="str">
        <f t="shared" si="152"/>
        <v/>
      </c>
      <c r="ET69" s="873" t="str">
        <f t="shared" si="153"/>
        <v/>
      </c>
      <c r="EU69" s="873">
        <f t="shared" si="154"/>
        <v>0</v>
      </c>
      <c r="EV69" s="876" t="e">
        <f t="shared" si="155"/>
        <v>#VALUE!</v>
      </c>
      <c r="EW69" s="876" t="e">
        <f t="shared" si="156"/>
        <v>#VALUE!</v>
      </c>
      <c r="EX69" s="878" t="str">
        <f t="shared" si="157"/>
        <v/>
      </c>
      <c r="EY69" s="879" t="e">
        <f t="shared" si="158"/>
        <v>#DIV/0!</v>
      </c>
      <c r="EZ69" s="959" t="e">
        <f t="shared" si="159"/>
        <v>#DIV/0!</v>
      </c>
      <c r="FA69" s="960" t="e">
        <f t="shared" si="160"/>
        <v>#DIV/0!</v>
      </c>
      <c r="FB69" s="880" t="str">
        <f t="shared" si="161"/>
        <v/>
      </c>
      <c r="FC69" s="881" t="str">
        <f t="shared" si="162"/>
        <v/>
      </c>
      <c r="FD69" s="890">
        <f t="shared" si="163"/>
        <v>0</v>
      </c>
      <c r="FE69" s="833">
        <f t="shared" si="164"/>
        <v>0</v>
      </c>
      <c r="FF69" s="754" t="b">
        <f t="shared" si="165"/>
        <v>0</v>
      </c>
      <c r="FG69" s="754" t="b">
        <f t="shared" si="166"/>
        <v>0</v>
      </c>
      <c r="FH69" s="754" t="b">
        <f t="shared" si="167"/>
        <v>0</v>
      </c>
      <c r="FI69" s="754" t="b">
        <f t="shared" si="168"/>
        <v>0</v>
      </c>
      <c r="FJ69" s="920" t="str">
        <f t="shared" si="182"/>
        <v/>
      </c>
      <c r="FK69" s="919" t="str">
        <f t="shared" si="183"/>
        <v/>
      </c>
      <c r="FL69" s="320" t="e">
        <f t="shared" si="184"/>
        <v>#N/A</v>
      </c>
      <c r="FM69" s="312" t="str">
        <f t="shared" si="169"/>
        <v/>
      </c>
      <c r="FN69" s="272" t="str">
        <f t="shared" ca="1" si="185"/>
        <v/>
      </c>
      <c r="FO69" s="273" t="str">
        <f t="shared" ca="1" si="186"/>
        <v/>
      </c>
      <c r="FP69" s="274" t="str">
        <f t="shared" ca="1" si="187"/>
        <v/>
      </c>
      <c r="FQ69" s="274" t="str">
        <f t="shared" ca="1" si="188"/>
        <v/>
      </c>
      <c r="FR69" s="321">
        <f t="shared" ca="1" si="189"/>
        <v>0</v>
      </c>
      <c r="FS69" s="322">
        <f t="shared" ca="1" si="190"/>
        <v>0</v>
      </c>
      <c r="FT69" s="272" t="str">
        <f t="shared" ca="1" si="191"/>
        <v/>
      </c>
      <c r="FU69" s="275" t="str">
        <f t="shared" ca="1" si="192"/>
        <v/>
      </c>
      <c r="FV69" s="323" t="str">
        <f t="shared" ca="1" si="170"/>
        <v/>
      </c>
      <c r="FW69" s="276" t="str">
        <f t="shared" ca="1" si="193"/>
        <v/>
      </c>
      <c r="FX69" s="276" t="str">
        <f t="shared" ca="1" si="194"/>
        <v/>
      </c>
      <c r="FY69" s="276" t="str">
        <f t="shared" ca="1" si="195"/>
        <v/>
      </c>
      <c r="FZ69" s="276" t="str">
        <f t="shared" ca="1" si="196"/>
        <v/>
      </c>
      <c r="GA69" s="276" t="str">
        <f t="shared" ca="1" si="197"/>
        <v/>
      </c>
      <c r="GB69" s="277" t="str">
        <f ca="1">IF(FY69="","",2+SUM(FO69:OFFSET(FO69,(FU69-1)*-1,0)))</f>
        <v/>
      </c>
      <c r="GC69" s="316" t="e">
        <f t="shared" si="198"/>
        <v>#N/A</v>
      </c>
      <c r="GD69" s="324" t="str">
        <f t="shared" si="171"/>
        <v/>
      </c>
      <c r="GE69" s="325" t="str">
        <f t="shared" si="172"/>
        <v/>
      </c>
      <c r="GF69" s="278" t="str">
        <f t="shared" si="173"/>
        <v/>
      </c>
      <c r="GG69" s="279" t="str">
        <f t="shared" si="174"/>
        <v/>
      </c>
      <c r="GH69" s="279" t="str">
        <f t="shared" si="175"/>
        <v/>
      </c>
      <c r="GI69" s="280" t="str">
        <f t="shared" si="176"/>
        <v/>
      </c>
      <c r="GJ69" s="530">
        <f t="shared" ca="1" si="177"/>
        <v>0</v>
      </c>
      <c r="GK69" s="895" t="str">
        <f t="shared" ca="1" si="199"/>
        <v/>
      </c>
    </row>
    <row r="70" spans="78:193" ht="12.6" hidden="1" customHeight="1" x14ac:dyDescent="0.2">
      <c r="BZ70" s="293"/>
      <c r="CA70" s="293"/>
      <c r="CB70" s="365" t="str">
        <f t="shared" si="104"/>
        <v/>
      </c>
      <c r="CC70" s="366"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05"/>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1305" t="str">
        <f>IF(CQ30="","",IF(VLOOKUP(CQ30,SectInfo!$B:$N,7,FALSE)="","",(VLOOKUP(CQ30,SectInfo!$B:$N,7,FALSE)*-1)))</f>
        <v/>
      </c>
      <c r="CR70" s="1305" t="str">
        <f>IF(CQ30="","",IF(VLOOKUP(CQ30,SectInfo!$B:$N,8,FALSE)="",$FC$4,(VLOOKUP(CQ30,SectInfo!$B:$N,8,FALSE))))</f>
        <v/>
      </c>
      <c r="CS70" s="1305" t="str">
        <f>IF(CQ30="","",VLOOKUP(CQ30,SectInfo!$B:$N,9,FALSE))</f>
        <v/>
      </c>
      <c r="CT70" s="1306">
        <f t="shared" si="106"/>
        <v>0</v>
      </c>
      <c r="CU70" s="1316">
        <f t="shared" si="107"/>
        <v>0</v>
      </c>
      <c r="CV70" s="1310" t="str">
        <f t="shared" si="108"/>
        <v/>
      </c>
      <c r="CW70" s="1310" t="str">
        <f t="shared" si="109"/>
        <v/>
      </c>
      <c r="CX70" s="1310" t="str">
        <f t="shared" si="110"/>
        <v/>
      </c>
      <c r="CY70" s="1312">
        <f t="shared" si="111"/>
        <v>0</v>
      </c>
      <c r="CZ70" s="1312">
        <f t="shared" si="112"/>
        <v>0</v>
      </c>
      <c r="DA70" s="1312" t="str">
        <f t="shared" si="113"/>
        <v/>
      </c>
      <c r="DB70" s="1310" t="str">
        <f t="shared" si="178"/>
        <v/>
      </c>
      <c r="DC70" s="1310" t="str">
        <f t="shared" si="114"/>
        <v/>
      </c>
      <c r="DD70" s="875">
        <f t="shared" si="179"/>
        <v>0</v>
      </c>
      <c r="DE70" s="873">
        <f t="shared" si="115"/>
        <v>0</v>
      </c>
      <c r="DF70" s="874">
        <f t="shared" si="116"/>
        <v>0</v>
      </c>
      <c r="DG70" s="874" t="str">
        <f t="shared" si="117"/>
        <v/>
      </c>
      <c r="DH70" s="1310" t="str">
        <f t="shared" si="180"/>
        <v/>
      </c>
      <c r="DI70" s="1310" t="str">
        <f t="shared" si="118"/>
        <v/>
      </c>
      <c r="DJ70" s="1311">
        <f t="shared" si="181"/>
        <v>0</v>
      </c>
      <c r="DK70" s="1310" t="str">
        <f t="shared" si="119"/>
        <v/>
      </c>
      <c r="DL70" s="1310" t="str">
        <f t="shared" si="120"/>
        <v/>
      </c>
      <c r="DM70" s="1310" t="str">
        <f t="shared" si="121"/>
        <v/>
      </c>
      <c r="DN70" s="1310" t="str">
        <f t="shared" si="122"/>
        <v/>
      </c>
      <c r="DO70" s="889" t="str">
        <f t="shared" si="123"/>
        <v>ERR</v>
      </c>
      <c r="DP70" s="889" t="str">
        <f t="shared" si="124"/>
        <v>ERR</v>
      </c>
      <c r="DQ70" s="1310" t="str">
        <f t="shared" si="125"/>
        <v/>
      </c>
      <c r="DR70" s="1310" t="str">
        <f t="shared" si="125"/>
        <v/>
      </c>
      <c r="DS70" s="1310" t="str">
        <f t="shared" si="126"/>
        <v/>
      </c>
      <c r="DT70" s="1310" t="str">
        <f t="shared" si="127"/>
        <v/>
      </c>
      <c r="DU70" s="1310" t="str">
        <f t="shared" si="128"/>
        <v/>
      </c>
      <c r="DV70" s="889" t="str">
        <f t="shared" si="129"/>
        <v>ERR</v>
      </c>
      <c r="DW70" s="889" t="str">
        <f t="shared" si="130"/>
        <v>ERR</v>
      </c>
      <c r="DX70" s="873" t="str">
        <f t="shared" si="131"/>
        <v/>
      </c>
      <c r="DY70" s="873" t="str">
        <f t="shared" si="132"/>
        <v/>
      </c>
      <c r="DZ70" s="873" t="str">
        <f t="shared" si="133"/>
        <v/>
      </c>
      <c r="EA70" s="873" t="str">
        <f t="shared" si="134"/>
        <v/>
      </c>
      <c r="EB70" s="876" t="str">
        <f t="shared" si="135"/>
        <v/>
      </c>
      <c r="EC70" s="877" t="str">
        <f t="shared" si="136"/>
        <v/>
      </c>
      <c r="ED70" s="876" t="str">
        <f t="shared" si="137"/>
        <v/>
      </c>
      <c r="EE70" s="876" t="str">
        <f t="shared" si="138"/>
        <v/>
      </c>
      <c r="EF70" s="876" t="str">
        <f t="shared" si="139"/>
        <v/>
      </c>
      <c r="EG70" s="876" t="str">
        <f t="shared" si="140"/>
        <v/>
      </c>
      <c r="EH70" s="876" t="str">
        <f t="shared" si="141"/>
        <v/>
      </c>
      <c r="EI70" s="876" t="str">
        <f t="shared" si="142"/>
        <v/>
      </c>
      <c r="EJ70" s="876" t="str">
        <f t="shared" si="143"/>
        <v/>
      </c>
      <c r="EK70" s="874">
        <f t="shared" si="144"/>
        <v>0</v>
      </c>
      <c r="EL70" s="874">
        <f t="shared" si="145"/>
        <v>0</v>
      </c>
      <c r="EM70" s="874">
        <f t="shared" si="146"/>
        <v>0</v>
      </c>
      <c r="EN70" s="874" t="str">
        <f t="shared" si="147"/>
        <v/>
      </c>
      <c r="EO70" s="873" t="str">
        <f t="shared" si="148"/>
        <v/>
      </c>
      <c r="EP70" s="874">
        <f t="shared" si="149"/>
        <v>0</v>
      </c>
      <c r="EQ70" s="874">
        <f t="shared" si="150"/>
        <v>0</v>
      </c>
      <c r="ER70" s="874">
        <f t="shared" si="151"/>
        <v>0</v>
      </c>
      <c r="ES70" s="874" t="str">
        <f t="shared" si="152"/>
        <v/>
      </c>
      <c r="ET70" s="873" t="str">
        <f t="shared" si="153"/>
        <v/>
      </c>
      <c r="EU70" s="873">
        <f t="shared" si="154"/>
        <v>0</v>
      </c>
      <c r="EV70" s="876" t="e">
        <f t="shared" si="155"/>
        <v>#VALUE!</v>
      </c>
      <c r="EW70" s="876" t="e">
        <f t="shared" si="156"/>
        <v>#VALUE!</v>
      </c>
      <c r="EX70" s="878" t="str">
        <f t="shared" si="157"/>
        <v/>
      </c>
      <c r="EY70" s="879" t="e">
        <f t="shared" si="158"/>
        <v>#DIV/0!</v>
      </c>
      <c r="EZ70" s="959" t="e">
        <f t="shared" si="159"/>
        <v>#DIV/0!</v>
      </c>
      <c r="FA70" s="960" t="e">
        <f t="shared" si="160"/>
        <v>#DIV/0!</v>
      </c>
      <c r="FB70" s="880" t="str">
        <f t="shared" si="161"/>
        <v/>
      </c>
      <c r="FC70" s="881" t="str">
        <f t="shared" si="162"/>
        <v/>
      </c>
      <c r="FD70" s="890">
        <f t="shared" si="163"/>
        <v>0</v>
      </c>
      <c r="FE70" s="833">
        <f t="shared" si="164"/>
        <v>0</v>
      </c>
      <c r="FF70" s="755" t="b">
        <f t="shared" si="165"/>
        <v>0</v>
      </c>
      <c r="FG70" s="755" t="b">
        <f t="shared" si="166"/>
        <v>0</v>
      </c>
      <c r="FH70" s="755" t="b">
        <f t="shared" si="167"/>
        <v>0</v>
      </c>
      <c r="FI70" s="755" t="b">
        <f t="shared" si="168"/>
        <v>0</v>
      </c>
      <c r="FJ70" s="920" t="str">
        <f t="shared" si="182"/>
        <v/>
      </c>
      <c r="FK70" s="919" t="str">
        <f t="shared" si="183"/>
        <v/>
      </c>
      <c r="FL70" s="320" t="e">
        <f t="shared" si="184"/>
        <v>#N/A</v>
      </c>
      <c r="FM70" s="312" t="str">
        <f t="shared" si="169"/>
        <v/>
      </c>
      <c r="FN70" s="272" t="str">
        <f t="shared" ca="1" si="185"/>
        <v/>
      </c>
      <c r="FO70" s="273" t="str">
        <f t="shared" ca="1" si="186"/>
        <v/>
      </c>
      <c r="FP70" s="274" t="str">
        <f t="shared" ca="1" si="187"/>
        <v/>
      </c>
      <c r="FQ70" s="274" t="str">
        <f t="shared" ca="1" si="188"/>
        <v/>
      </c>
      <c r="FR70" s="321">
        <f t="shared" ca="1" si="189"/>
        <v>0</v>
      </c>
      <c r="FS70" s="322">
        <f t="shared" ca="1" si="190"/>
        <v>0</v>
      </c>
      <c r="FT70" s="272" t="str">
        <f t="shared" ca="1" si="191"/>
        <v/>
      </c>
      <c r="FU70" s="275" t="str">
        <f t="shared" ca="1" si="192"/>
        <v/>
      </c>
      <c r="FV70" s="323" t="str">
        <f t="shared" ca="1" si="170"/>
        <v/>
      </c>
      <c r="FW70" s="276" t="str">
        <f t="shared" ca="1" si="193"/>
        <v/>
      </c>
      <c r="FX70" s="276" t="str">
        <f t="shared" ca="1" si="194"/>
        <v/>
      </c>
      <c r="FY70" s="276" t="str">
        <f t="shared" ca="1" si="195"/>
        <v/>
      </c>
      <c r="FZ70" s="276" t="str">
        <f t="shared" ca="1" si="196"/>
        <v/>
      </c>
      <c r="GA70" s="276" t="str">
        <f t="shared" ca="1" si="197"/>
        <v/>
      </c>
      <c r="GB70" s="277" t="str">
        <f ca="1">IF(FY70="","",2+SUM(FO70:OFFSET(FO70,(FU70-1)*-1,0)))</f>
        <v/>
      </c>
      <c r="GC70" s="316" t="e">
        <f t="shared" si="198"/>
        <v>#N/A</v>
      </c>
      <c r="GD70" s="324" t="str">
        <f t="shared" si="171"/>
        <v/>
      </c>
      <c r="GE70" s="325" t="str">
        <f t="shared" si="172"/>
        <v/>
      </c>
      <c r="GF70" s="278" t="str">
        <f t="shared" si="173"/>
        <v/>
      </c>
      <c r="GG70" s="279" t="str">
        <f t="shared" si="174"/>
        <v/>
      </c>
      <c r="GH70" s="279" t="str">
        <f t="shared" si="175"/>
        <v/>
      </c>
      <c r="GI70" s="280" t="str">
        <f t="shared" si="176"/>
        <v/>
      </c>
      <c r="GJ70" s="530">
        <f t="shared" ca="1" si="177"/>
        <v>0</v>
      </c>
      <c r="GK70" s="895" t="str">
        <f t="shared" ca="1" si="199"/>
        <v/>
      </c>
    </row>
    <row r="71" spans="78:193" ht="12.6" hidden="1" customHeight="1" x14ac:dyDescent="0.2">
      <c r="BZ71" s="293"/>
      <c r="CA71" s="293"/>
      <c r="CB71" s="365" t="str">
        <f t="shared" si="104"/>
        <v/>
      </c>
      <c r="CC71" s="366"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05"/>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1305" t="str">
        <f>IF(CQ31="","",IF(VLOOKUP(CQ31,SectInfo!$B:$N,7,FALSE)="","",(VLOOKUP(CQ31,SectInfo!$B:$N,7,FALSE)*-1)))</f>
        <v/>
      </c>
      <c r="CR71" s="1305" t="str">
        <f>IF(CQ31="","",IF(VLOOKUP(CQ31,SectInfo!$B:$N,8,FALSE)="",$FC$4,(VLOOKUP(CQ31,SectInfo!$B:$N,8,FALSE))))</f>
        <v/>
      </c>
      <c r="CS71" s="1305" t="str">
        <f>IF(CQ31="","",VLOOKUP(CQ31,SectInfo!$B:$N,9,FALSE))</f>
        <v/>
      </c>
      <c r="CT71" s="1306">
        <f t="shared" si="106"/>
        <v>0</v>
      </c>
      <c r="CU71" s="1316">
        <f t="shared" si="107"/>
        <v>0</v>
      </c>
      <c r="CV71" s="1310" t="str">
        <f t="shared" si="108"/>
        <v/>
      </c>
      <c r="CW71" s="1310" t="str">
        <f t="shared" si="109"/>
        <v/>
      </c>
      <c r="CX71" s="1310" t="str">
        <f t="shared" si="110"/>
        <v/>
      </c>
      <c r="CY71" s="1312">
        <f t="shared" si="111"/>
        <v>0</v>
      </c>
      <c r="CZ71" s="1312">
        <f t="shared" si="112"/>
        <v>0</v>
      </c>
      <c r="DA71" s="1312" t="str">
        <f t="shared" si="113"/>
        <v/>
      </c>
      <c r="DB71" s="1310" t="str">
        <f t="shared" si="178"/>
        <v/>
      </c>
      <c r="DC71" s="1310" t="str">
        <f t="shared" si="114"/>
        <v/>
      </c>
      <c r="DD71" s="875">
        <f t="shared" si="179"/>
        <v>0</v>
      </c>
      <c r="DE71" s="873">
        <f t="shared" si="115"/>
        <v>0</v>
      </c>
      <c r="DF71" s="874">
        <f t="shared" si="116"/>
        <v>0</v>
      </c>
      <c r="DG71" s="874" t="str">
        <f t="shared" si="117"/>
        <v/>
      </c>
      <c r="DH71" s="1310" t="str">
        <f t="shared" si="180"/>
        <v/>
      </c>
      <c r="DI71" s="1310" t="str">
        <f t="shared" si="118"/>
        <v/>
      </c>
      <c r="DJ71" s="1311">
        <f t="shared" si="181"/>
        <v>0</v>
      </c>
      <c r="DK71" s="1310" t="str">
        <f t="shared" si="119"/>
        <v/>
      </c>
      <c r="DL71" s="1310" t="str">
        <f t="shared" si="120"/>
        <v/>
      </c>
      <c r="DM71" s="1310" t="str">
        <f t="shared" si="121"/>
        <v/>
      </c>
      <c r="DN71" s="1310" t="str">
        <f t="shared" si="122"/>
        <v/>
      </c>
      <c r="DO71" s="889" t="str">
        <f t="shared" si="123"/>
        <v>ERR</v>
      </c>
      <c r="DP71" s="889" t="str">
        <f t="shared" si="124"/>
        <v>ERR</v>
      </c>
      <c r="DQ71" s="1310" t="str">
        <f t="shared" si="125"/>
        <v/>
      </c>
      <c r="DR71" s="1310" t="str">
        <f t="shared" si="125"/>
        <v/>
      </c>
      <c r="DS71" s="1310" t="str">
        <f t="shared" si="126"/>
        <v/>
      </c>
      <c r="DT71" s="1310" t="str">
        <f t="shared" si="127"/>
        <v/>
      </c>
      <c r="DU71" s="1310" t="str">
        <f t="shared" si="128"/>
        <v/>
      </c>
      <c r="DV71" s="889" t="str">
        <f t="shared" si="129"/>
        <v>ERR</v>
      </c>
      <c r="DW71" s="889" t="str">
        <f t="shared" si="130"/>
        <v>ERR</v>
      </c>
      <c r="DX71" s="873" t="str">
        <f t="shared" si="131"/>
        <v/>
      </c>
      <c r="DY71" s="873" t="str">
        <f t="shared" si="132"/>
        <v/>
      </c>
      <c r="DZ71" s="873" t="str">
        <f t="shared" si="133"/>
        <v/>
      </c>
      <c r="EA71" s="873" t="str">
        <f t="shared" si="134"/>
        <v/>
      </c>
      <c r="EB71" s="876" t="str">
        <f t="shared" si="135"/>
        <v/>
      </c>
      <c r="EC71" s="877" t="str">
        <f t="shared" si="136"/>
        <v/>
      </c>
      <c r="ED71" s="876" t="str">
        <f t="shared" si="137"/>
        <v/>
      </c>
      <c r="EE71" s="876" t="str">
        <f t="shared" si="138"/>
        <v/>
      </c>
      <c r="EF71" s="876" t="str">
        <f t="shared" si="139"/>
        <v/>
      </c>
      <c r="EG71" s="876" t="str">
        <f t="shared" si="140"/>
        <v/>
      </c>
      <c r="EH71" s="876" t="str">
        <f t="shared" si="141"/>
        <v/>
      </c>
      <c r="EI71" s="876" t="str">
        <f t="shared" si="142"/>
        <v/>
      </c>
      <c r="EJ71" s="876" t="str">
        <f t="shared" si="143"/>
        <v/>
      </c>
      <c r="EK71" s="874">
        <f t="shared" si="144"/>
        <v>0</v>
      </c>
      <c r="EL71" s="874">
        <f t="shared" si="145"/>
        <v>0</v>
      </c>
      <c r="EM71" s="874">
        <f t="shared" si="146"/>
        <v>0</v>
      </c>
      <c r="EN71" s="874" t="str">
        <f t="shared" si="147"/>
        <v/>
      </c>
      <c r="EO71" s="873" t="str">
        <f t="shared" si="148"/>
        <v/>
      </c>
      <c r="EP71" s="874">
        <f t="shared" si="149"/>
        <v>0</v>
      </c>
      <c r="EQ71" s="874">
        <f t="shared" si="150"/>
        <v>0</v>
      </c>
      <c r="ER71" s="874">
        <f t="shared" si="151"/>
        <v>0</v>
      </c>
      <c r="ES71" s="874" t="str">
        <f t="shared" si="152"/>
        <v/>
      </c>
      <c r="ET71" s="873" t="str">
        <f t="shared" si="153"/>
        <v/>
      </c>
      <c r="EU71" s="873">
        <f t="shared" si="154"/>
        <v>0</v>
      </c>
      <c r="EV71" s="876" t="e">
        <f t="shared" si="155"/>
        <v>#VALUE!</v>
      </c>
      <c r="EW71" s="876" t="e">
        <f t="shared" si="156"/>
        <v>#VALUE!</v>
      </c>
      <c r="EX71" s="878" t="str">
        <f t="shared" si="157"/>
        <v/>
      </c>
      <c r="EY71" s="879" t="e">
        <f t="shared" si="158"/>
        <v>#DIV/0!</v>
      </c>
      <c r="EZ71" s="959" t="e">
        <f t="shared" si="159"/>
        <v>#DIV/0!</v>
      </c>
      <c r="FA71" s="960" t="e">
        <f t="shared" si="160"/>
        <v>#DIV/0!</v>
      </c>
      <c r="FB71" s="880" t="str">
        <f t="shared" si="161"/>
        <v/>
      </c>
      <c r="FC71" s="881" t="str">
        <f t="shared" si="162"/>
        <v/>
      </c>
      <c r="FD71" s="890">
        <f t="shared" si="163"/>
        <v>0</v>
      </c>
      <c r="FE71" s="833">
        <f t="shared" si="164"/>
        <v>0</v>
      </c>
      <c r="FF71" s="755" t="b">
        <f t="shared" si="165"/>
        <v>0</v>
      </c>
      <c r="FG71" s="755" t="b">
        <f t="shared" si="166"/>
        <v>0</v>
      </c>
      <c r="FH71" s="755" t="b">
        <f t="shared" si="167"/>
        <v>0</v>
      </c>
      <c r="FI71" s="755" t="b">
        <f t="shared" si="168"/>
        <v>0</v>
      </c>
      <c r="FJ71" s="920" t="str">
        <f t="shared" si="182"/>
        <v/>
      </c>
      <c r="FK71" s="919" t="str">
        <f t="shared" si="183"/>
        <v/>
      </c>
      <c r="FL71" s="320" t="e">
        <f t="shared" si="184"/>
        <v>#N/A</v>
      </c>
      <c r="FM71" s="312" t="str">
        <f t="shared" si="169"/>
        <v/>
      </c>
      <c r="FN71" s="272" t="str">
        <f t="shared" ca="1" si="185"/>
        <v/>
      </c>
      <c r="FO71" s="273" t="str">
        <f t="shared" ca="1" si="186"/>
        <v/>
      </c>
      <c r="FP71" s="274" t="str">
        <f t="shared" ca="1" si="187"/>
        <v/>
      </c>
      <c r="FQ71" s="274" t="str">
        <f t="shared" ca="1" si="188"/>
        <v/>
      </c>
      <c r="FR71" s="321">
        <f t="shared" ca="1" si="189"/>
        <v>0</v>
      </c>
      <c r="FS71" s="322">
        <f t="shared" ca="1" si="190"/>
        <v>0</v>
      </c>
      <c r="FT71" s="272" t="str">
        <f t="shared" ca="1" si="191"/>
        <v/>
      </c>
      <c r="FU71" s="275" t="str">
        <f t="shared" ca="1" si="192"/>
        <v/>
      </c>
      <c r="FV71" s="323" t="str">
        <f t="shared" ca="1" si="170"/>
        <v/>
      </c>
      <c r="FW71" s="276" t="str">
        <f t="shared" ca="1" si="193"/>
        <v/>
      </c>
      <c r="FX71" s="276" t="str">
        <f t="shared" ca="1" si="194"/>
        <v/>
      </c>
      <c r="FY71" s="276" t="str">
        <f t="shared" ca="1" si="195"/>
        <v/>
      </c>
      <c r="FZ71" s="276" t="str">
        <f t="shared" ca="1" si="196"/>
        <v/>
      </c>
      <c r="GA71" s="276" t="str">
        <f t="shared" ca="1" si="197"/>
        <v/>
      </c>
      <c r="GB71" s="277" t="str">
        <f ca="1">IF(FY71="","",2+SUM(FO71:OFFSET(FO71,(FU71-1)*-1,0)))</f>
        <v/>
      </c>
      <c r="GC71" s="316" t="e">
        <f t="shared" si="198"/>
        <v>#N/A</v>
      </c>
      <c r="GD71" s="324" t="str">
        <f t="shared" si="171"/>
        <v/>
      </c>
      <c r="GE71" s="325" t="str">
        <f t="shared" si="172"/>
        <v/>
      </c>
      <c r="GF71" s="278" t="str">
        <f t="shared" si="173"/>
        <v/>
      </c>
      <c r="GG71" s="279" t="str">
        <f t="shared" si="174"/>
        <v/>
      </c>
      <c r="GH71" s="279" t="str">
        <f t="shared" si="175"/>
        <v/>
      </c>
      <c r="GI71" s="280" t="str">
        <f t="shared" si="176"/>
        <v/>
      </c>
      <c r="GJ71" s="530">
        <f t="shared" ca="1" si="177"/>
        <v>0</v>
      </c>
      <c r="GK71" s="895" t="str">
        <f t="shared" ca="1" si="199"/>
        <v/>
      </c>
    </row>
    <row r="72" spans="78:193" ht="12.6" hidden="1" customHeight="1" x14ac:dyDescent="0.2">
      <c r="BZ72" s="293"/>
      <c r="CA72" s="293"/>
      <c r="CB72" s="365" t="str">
        <f t="shared" si="104"/>
        <v/>
      </c>
      <c r="CC72" s="366"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05"/>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1305" t="str">
        <f>IF(CQ32="","",IF(VLOOKUP(CQ32,SectInfo!$B:$N,7,FALSE)="","",(VLOOKUP(CQ32,SectInfo!$B:$N,7,FALSE)*-1)))</f>
        <v/>
      </c>
      <c r="CR72" s="1305" t="str">
        <f>IF(CQ32="","",IF(VLOOKUP(CQ32,SectInfo!$B:$N,8,FALSE)="",$FC$4,(VLOOKUP(CQ32,SectInfo!$B:$N,8,FALSE))))</f>
        <v/>
      </c>
      <c r="CS72" s="1305" t="str">
        <f>IF(CQ32="","",VLOOKUP(CQ32,SectInfo!$B:$N,9,FALSE))</f>
        <v/>
      </c>
      <c r="CT72" s="1306">
        <f t="shared" si="106"/>
        <v>0</v>
      </c>
      <c r="CU72" s="1316">
        <f t="shared" si="107"/>
        <v>0</v>
      </c>
      <c r="CV72" s="1310" t="str">
        <f t="shared" si="108"/>
        <v/>
      </c>
      <c r="CW72" s="1310" t="str">
        <f t="shared" si="109"/>
        <v/>
      </c>
      <c r="CX72" s="1310" t="str">
        <f t="shared" si="110"/>
        <v/>
      </c>
      <c r="CY72" s="1312">
        <f t="shared" si="111"/>
        <v>0</v>
      </c>
      <c r="CZ72" s="1312">
        <f t="shared" si="112"/>
        <v>0</v>
      </c>
      <c r="DA72" s="1312" t="str">
        <f t="shared" si="113"/>
        <v/>
      </c>
      <c r="DB72" s="1310" t="str">
        <f t="shared" si="178"/>
        <v/>
      </c>
      <c r="DC72" s="1310" t="str">
        <f t="shared" si="114"/>
        <v/>
      </c>
      <c r="DD72" s="875">
        <f t="shared" si="179"/>
        <v>0</v>
      </c>
      <c r="DE72" s="873">
        <f t="shared" si="115"/>
        <v>0</v>
      </c>
      <c r="DF72" s="874">
        <f t="shared" si="116"/>
        <v>0</v>
      </c>
      <c r="DG72" s="874" t="str">
        <f t="shared" si="117"/>
        <v/>
      </c>
      <c r="DH72" s="1310" t="str">
        <f t="shared" si="180"/>
        <v/>
      </c>
      <c r="DI72" s="1310" t="str">
        <f t="shared" si="118"/>
        <v/>
      </c>
      <c r="DJ72" s="1311">
        <f t="shared" si="181"/>
        <v>0</v>
      </c>
      <c r="DK72" s="1310" t="str">
        <f t="shared" si="119"/>
        <v/>
      </c>
      <c r="DL72" s="1310" t="str">
        <f t="shared" si="120"/>
        <v/>
      </c>
      <c r="DM72" s="1310" t="str">
        <f t="shared" si="121"/>
        <v/>
      </c>
      <c r="DN72" s="1310" t="str">
        <f t="shared" si="122"/>
        <v/>
      </c>
      <c r="DO72" s="889" t="str">
        <f t="shared" si="123"/>
        <v>ERR</v>
      </c>
      <c r="DP72" s="889" t="str">
        <f t="shared" si="124"/>
        <v>ERR</v>
      </c>
      <c r="DQ72" s="1310" t="str">
        <f t="shared" si="125"/>
        <v/>
      </c>
      <c r="DR72" s="1310" t="str">
        <f t="shared" si="125"/>
        <v/>
      </c>
      <c r="DS72" s="1310" t="str">
        <f t="shared" si="126"/>
        <v/>
      </c>
      <c r="DT72" s="1310" t="str">
        <f t="shared" si="127"/>
        <v/>
      </c>
      <c r="DU72" s="1310" t="str">
        <f t="shared" si="128"/>
        <v/>
      </c>
      <c r="DV72" s="889" t="str">
        <f t="shared" si="129"/>
        <v>ERR</v>
      </c>
      <c r="DW72" s="889" t="str">
        <f t="shared" si="130"/>
        <v>ERR</v>
      </c>
      <c r="DX72" s="873" t="str">
        <f t="shared" si="131"/>
        <v/>
      </c>
      <c r="DY72" s="873" t="str">
        <f t="shared" si="132"/>
        <v/>
      </c>
      <c r="DZ72" s="873" t="str">
        <f t="shared" si="133"/>
        <v/>
      </c>
      <c r="EA72" s="873" t="str">
        <f t="shared" si="134"/>
        <v/>
      </c>
      <c r="EB72" s="876" t="str">
        <f t="shared" si="135"/>
        <v/>
      </c>
      <c r="EC72" s="877" t="str">
        <f t="shared" si="136"/>
        <v/>
      </c>
      <c r="ED72" s="876" t="str">
        <f t="shared" si="137"/>
        <v/>
      </c>
      <c r="EE72" s="876" t="str">
        <f t="shared" si="138"/>
        <v/>
      </c>
      <c r="EF72" s="876" t="str">
        <f t="shared" si="139"/>
        <v/>
      </c>
      <c r="EG72" s="876" t="str">
        <f t="shared" si="140"/>
        <v/>
      </c>
      <c r="EH72" s="876" t="str">
        <f t="shared" si="141"/>
        <v/>
      </c>
      <c r="EI72" s="876" t="str">
        <f t="shared" si="142"/>
        <v/>
      </c>
      <c r="EJ72" s="876" t="str">
        <f t="shared" si="143"/>
        <v/>
      </c>
      <c r="EK72" s="874">
        <f t="shared" si="144"/>
        <v>0</v>
      </c>
      <c r="EL72" s="874">
        <f t="shared" si="145"/>
        <v>0</v>
      </c>
      <c r="EM72" s="874">
        <f t="shared" si="146"/>
        <v>0</v>
      </c>
      <c r="EN72" s="874" t="str">
        <f t="shared" si="147"/>
        <v/>
      </c>
      <c r="EO72" s="873" t="str">
        <f t="shared" si="148"/>
        <v/>
      </c>
      <c r="EP72" s="874">
        <f t="shared" si="149"/>
        <v>0</v>
      </c>
      <c r="EQ72" s="874">
        <f t="shared" si="150"/>
        <v>0</v>
      </c>
      <c r="ER72" s="874">
        <f t="shared" si="151"/>
        <v>0</v>
      </c>
      <c r="ES72" s="874" t="str">
        <f t="shared" si="152"/>
        <v/>
      </c>
      <c r="ET72" s="873" t="str">
        <f t="shared" si="153"/>
        <v/>
      </c>
      <c r="EU72" s="873">
        <f t="shared" si="154"/>
        <v>0</v>
      </c>
      <c r="EV72" s="876" t="e">
        <f t="shared" si="155"/>
        <v>#VALUE!</v>
      </c>
      <c r="EW72" s="876" t="e">
        <f t="shared" si="156"/>
        <v>#VALUE!</v>
      </c>
      <c r="EX72" s="878" t="str">
        <f t="shared" si="157"/>
        <v/>
      </c>
      <c r="EY72" s="879" t="e">
        <f t="shared" si="158"/>
        <v>#DIV/0!</v>
      </c>
      <c r="EZ72" s="959" t="e">
        <f t="shared" si="159"/>
        <v>#DIV/0!</v>
      </c>
      <c r="FA72" s="960" t="e">
        <f t="shared" si="160"/>
        <v>#DIV/0!</v>
      </c>
      <c r="FB72" s="880" t="str">
        <f t="shared" si="161"/>
        <v/>
      </c>
      <c r="FC72" s="881" t="str">
        <f t="shared" si="162"/>
        <v/>
      </c>
      <c r="FD72" s="890">
        <f t="shared" si="163"/>
        <v>0</v>
      </c>
      <c r="FE72" s="833">
        <f t="shared" si="164"/>
        <v>0</v>
      </c>
      <c r="FF72" s="754" t="b">
        <f t="shared" si="165"/>
        <v>0</v>
      </c>
      <c r="FG72" s="754" t="b">
        <f t="shared" si="166"/>
        <v>0</v>
      </c>
      <c r="FH72" s="754" t="b">
        <f t="shared" si="167"/>
        <v>0</v>
      </c>
      <c r="FI72" s="754" t="b">
        <f t="shared" si="168"/>
        <v>0</v>
      </c>
      <c r="FJ72" s="920" t="str">
        <f t="shared" si="182"/>
        <v/>
      </c>
      <c r="FK72" s="919" t="str">
        <f t="shared" si="183"/>
        <v/>
      </c>
      <c r="FL72" s="320" t="e">
        <f t="shared" si="184"/>
        <v>#N/A</v>
      </c>
      <c r="FM72" s="312" t="str">
        <f t="shared" si="169"/>
        <v/>
      </c>
      <c r="FN72" s="272" t="str">
        <f t="shared" ca="1" si="185"/>
        <v/>
      </c>
      <c r="FO72" s="273" t="str">
        <f t="shared" ca="1" si="186"/>
        <v/>
      </c>
      <c r="FP72" s="274" t="str">
        <f t="shared" ca="1" si="187"/>
        <v/>
      </c>
      <c r="FQ72" s="274" t="str">
        <f t="shared" ca="1" si="188"/>
        <v/>
      </c>
      <c r="FR72" s="321">
        <f t="shared" ca="1" si="189"/>
        <v>0</v>
      </c>
      <c r="FS72" s="322">
        <f t="shared" ca="1" si="190"/>
        <v>0</v>
      </c>
      <c r="FT72" s="272" t="str">
        <f t="shared" ca="1" si="191"/>
        <v/>
      </c>
      <c r="FU72" s="275" t="str">
        <f t="shared" ca="1" si="192"/>
        <v/>
      </c>
      <c r="FV72" s="323" t="str">
        <f t="shared" ca="1" si="170"/>
        <v/>
      </c>
      <c r="FW72" s="276" t="str">
        <f t="shared" ca="1" si="193"/>
        <v/>
      </c>
      <c r="FX72" s="276" t="str">
        <f t="shared" ca="1" si="194"/>
        <v/>
      </c>
      <c r="FY72" s="276" t="str">
        <f t="shared" ca="1" si="195"/>
        <v/>
      </c>
      <c r="FZ72" s="276" t="str">
        <f t="shared" ca="1" si="196"/>
        <v/>
      </c>
      <c r="GA72" s="276" t="str">
        <f t="shared" ca="1" si="197"/>
        <v/>
      </c>
      <c r="GB72" s="277" t="str">
        <f ca="1">IF(FY72="","",2+SUM(FO72:OFFSET(FO72,(FU72-1)*-1,0)))</f>
        <v/>
      </c>
      <c r="GC72" s="316" t="e">
        <f t="shared" si="198"/>
        <v>#N/A</v>
      </c>
      <c r="GD72" s="324" t="str">
        <f t="shared" si="171"/>
        <v/>
      </c>
      <c r="GE72" s="325" t="str">
        <f t="shared" si="172"/>
        <v/>
      </c>
      <c r="GF72" s="278" t="str">
        <f t="shared" si="173"/>
        <v/>
      </c>
      <c r="GG72" s="279" t="str">
        <f t="shared" si="174"/>
        <v/>
      </c>
      <c r="GH72" s="279" t="str">
        <f t="shared" si="175"/>
        <v/>
      </c>
      <c r="GI72" s="280" t="str">
        <f t="shared" si="176"/>
        <v/>
      </c>
      <c r="GJ72" s="530">
        <f t="shared" ca="1" si="177"/>
        <v>0</v>
      </c>
      <c r="GK72" s="895" t="str">
        <f t="shared" ca="1" si="199"/>
        <v/>
      </c>
    </row>
    <row r="73" spans="78:193" ht="12.6" hidden="1" customHeight="1" x14ac:dyDescent="0.2">
      <c r="BZ73" s="293"/>
      <c r="CA73" s="293"/>
      <c r="CB73" s="365" t="str">
        <f t="shared" si="104"/>
        <v/>
      </c>
      <c r="CC73" s="366"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05"/>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1305" t="str">
        <f>IF(CQ33="","",IF(VLOOKUP(CQ33,SectInfo!$B:$N,7,FALSE)="","",(VLOOKUP(CQ33,SectInfo!$B:$N,7,FALSE)*-1)))</f>
        <v/>
      </c>
      <c r="CR73" s="1305" t="str">
        <f>IF(CQ33="","",IF(VLOOKUP(CQ33,SectInfo!$B:$N,8,FALSE)="",$FC$4,(VLOOKUP(CQ33,SectInfo!$B:$N,8,FALSE))))</f>
        <v/>
      </c>
      <c r="CS73" s="1305" t="str">
        <f>IF(CQ33="","",VLOOKUP(CQ33,SectInfo!$B:$N,9,FALSE))</f>
        <v/>
      </c>
      <c r="CT73" s="1306">
        <f t="shared" si="106"/>
        <v>0</v>
      </c>
      <c r="CU73" s="1316">
        <f t="shared" si="107"/>
        <v>0</v>
      </c>
      <c r="CV73" s="1310" t="str">
        <f t="shared" si="108"/>
        <v/>
      </c>
      <c r="CW73" s="1310" t="str">
        <f t="shared" si="109"/>
        <v/>
      </c>
      <c r="CX73" s="1310" t="str">
        <f t="shared" si="110"/>
        <v/>
      </c>
      <c r="CY73" s="1312">
        <f t="shared" si="111"/>
        <v>0</v>
      </c>
      <c r="CZ73" s="1312">
        <f t="shared" si="112"/>
        <v>0</v>
      </c>
      <c r="DA73" s="1312" t="str">
        <f t="shared" si="113"/>
        <v/>
      </c>
      <c r="DB73" s="1310" t="str">
        <f t="shared" si="178"/>
        <v/>
      </c>
      <c r="DC73" s="1310" t="str">
        <f t="shared" si="114"/>
        <v/>
      </c>
      <c r="DD73" s="875">
        <f t="shared" si="179"/>
        <v>0</v>
      </c>
      <c r="DE73" s="873">
        <f t="shared" si="115"/>
        <v>0</v>
      </c>
      <c r="DF73" s="874">
        <f t="shared" si="116"/>
        <v>0</v>
      </c>
      <c r="DG73" s="874" t="str">
        <f t="shared" si="117"/>
        <v/>
      </c>
      <c r="DH73" s="1310" t="str">
        <f t="shared" si="180"/>
        <v/>
      </c>
      <c r="DI73" s="1310" t="str">
        <f t="shared" si="118"/>
        <v/>
      </c>
      <c r="DJ73" s="1311">
        <f t="shared" si="181"/>
        <v>0</v>
      </c>
      <c r="DK73" s="1310" t="str">
        <f t="shared" si="119"/>
        <v/>
      </c>
      <c r="DL73" s="1310" t="str">
        <f t="shared" si="120"/>
        <v/>
      </c>
      <c r="DM73" s="1310" t="str">
        <f t="shared" si="121"/>
        <v/>
      </c>
      <c r="DN73" s="1310" t="str">
        <f t="shared" si="122"/>
        <v/>
      </c>
      <c r="DO73" s="889" t="str">
        <f t="shared" si="123"/>
        <v>ERR</v>
      </c>
      <c r="DP73" s="889" t="str">
        <f t="shared" si="124"/>
        <v>ERR</v>
      </c>
      <c r="DQ73" s="1310" t="str">
        <f t="shared" si="125"/>
        <v/>
      </c>
      <c r="DR73" s="1310" t="str">
        <f t="shared" si="125"/>
        <v/>
      </c>
      <c r="DS73" s="1310" t="str">
        <f t="shared" si="126"/>
        <v/>
      </c>
      <c r="DT73" s="1310" t="str">
        <f t="shared" si="127"/>
        <v/>
      </c>
      <c r="DU73" s="1310" t="str">
        <f t="shared" si="128"/>
        <v/>
      </c>
      <c r="DV73" s="889" t="str">
        <f t="shared" si="129"/>
        <v>ERR</v>
      </c>
      <c r="DW73" s="889" t="str">
        <f t="shared" si="130"/>
        <v>ERR</v>
      </c>
      <c r="DX73" s="873" t="str">
        <f t="shared" si="131"/>
        <v/>
      </c>
      <c r="DY73" s="873" t="str">
        <f t="shared" si="132"/>
        <v/>
      </c>
      <c r="DZ73" s="873" t="str">
        <f t="shared" si="133"/>
        <v/>
      </c>
      <c r="EA73" s="873" t="str">
        <f t="shared" si="134"/>
        <v/>
      </c>
      <c r="EB73" s="876" t="str">
        <f t="shared" si="135"/>
        <v/>
      </c>
      <c r="EC73" s="877" t="str">
        <f t="shared" si="136"/>
        <v/>
      </c>
      <c r="ED73" s="876" t="str">
        <f t="shared" si="137"/>
        <v/>
      </c>
      <c r="EE73" s="876" t="str">
        <f t="shared" si="138"/>
        <v/>
      </c>
      <c r="EF73" s="876" t="str">
        <f t="shared" si="139"/>
        <v/>
      </c>
      <c r="EG73" s="876" t="str">
        <f t="shared" si="140"/>
        <v/>
      </c>
      <c r="EH73" s="876" t="str">
        <f t="shared" si="141"/>
        <v/>
      </c>
      <c r="EI73" s="876" t="str">
        <f t="shared" si="142"/>
        <v/>
      </c>
      <c r="EJ73" s="876" t="str">
        <f t="shared" si="143"/>
        <v/>
      </c>
      <c r="EK73" s="874">
        <f t="shared" si="144"/>
        <v>0</v>
      </c>
      <c r="EL73" s="874">
        <f t="shared" si="145"/>
        <v>0</v>
      </c>
      <c r="EM73" s="874">
        <f t="shared" si="146"/>
        <v>0</v>
      </c>
      <c r="EN73" s="874" t="str">
        <f t="shared" si="147"/>
        <v/>
      </c>
      <c r="EO73" s="873" t="str">
        <f t="shared" si="148"/>
        <v/>
      </c>
      <c r="EP73" s="874">
        <f t="shared" si="149"/>
        <v>0</v>
      </c>
      <c r="EQ73" s="874">
        <f t="shared" si="150"/>
        <v>0</v>
      </c>
      <c r="ER73" s="874">
        <f t="shared" si="151"/>
        <v>0</v>
      </c>
      <c r="ES73" s="874" t="str">
        <f t="shared" si="152"/>
        <v/>
      </c>
      <c r="ET73" s="873" t="str">
        <f t="shared" si="153"/>
        <v/>
      </c>
      <c r="EU73" s="873">
        <f t="shared" si="154"/>
        <v>0</v>
      </c>
      <c r="EV73" s="876" t="e">
        <f t="shared" si="155"/>
        <v>#VALUE!</v>
      </c>
      <c r="EW73" s="876" t="e">
        <f t="shared" si="156"/>
        <v>#VALUE!</v>
      </c>
      <c r="EX73" s="878" t="str">
        <f t="shared" si="157"/>
        <v/>
      </c>
      <c r="EY73" s="879" t="e">
        <f t="shared" si="158"/>
        <v>#DIV/0!</v>
      </c>
      <c r="EZ73" s="959" t="e">
        <f t="shared" si="159"/>
        <v>#DIV/0!</v>
      </c>
      <c r="FA73" s="960" t="e">
        <f t="shared" si="160"/>
        <v>#DIV/0!</v>
      </c>
      <c r="FB73" s="880" t="str">
        <f t="shared" si="161"/>
        <v/>
      </c>
      <c r="FC73" s="881" t="str">
        <f t="shared" si="162"/>
        <v/>
      </c>
      <c r="FD73" s="890">
        <f t="shared" si="163"/>
        <v>0</v>
      </c>
      <c r="FE73" s="833">
        <f t="shared" si="164"/>
        <v>0</v>
      </c>
      <c r="FF73" s="754" t="b">
        <f t="shared" si="165"/>
        <v>0</v>
      </c>
      <c r="FG73" s="754" t="b">
        <f t="shared" si="166"/>
        <v>0</v>
      </c>
      <c r="FH73" s="754" t="b">
        <f t="shared" si="167"/>
        <v>0</v>
      </c>
      <c r="FI73" s="754" t="b">
        <f t="shared" si="168"/>
        <v>0</v>
      </c>
      <c r="FJ73" s="920" t="str">
        <f t="shared" si="182"/>
        <v/>
      </c>
      <c r="FK73" s="919" t="str">
        <f t="shared" si="183"/>
        <v/>
      </c>
      <c r="FL73" s="320" t="e">
        <f t="shared" si="184"/>
        <v>#N/A</v>
      </c>
      <c r="FM73" s="312" t="str">
        <f t="shared" si="169"/>
        <v/>
      </c>
      <c r="FN73" s="272" t="str">
        <f t="shared" ca="1" si="185"/>
        <v/>
      </c>
      <c r="FO73" s="273" t="str">
        <f t="shared" ca="1" si="186"/>
        <v/>
      </c>
      <c r="FP73" s="274" t="str">
        <f t="shared" ca="1" si="187"/>
        <v/>
      </c>
      <c r="FQ73" s="274" t="str">
        <f t="shared" ca="1" si="188"/>
        <v/>
      </c>
      <c r="FR73" s="321">
        <f t="shared" ca="1" si="189"/>
        <v>0</v>
      </c>
      <c r="FS73" s="322">
        <f t="shared" ca="1" si="190"/>
        <v>0</v>
      </c>
      <c r="FT73" s="272" t="str">
        <f t="shared" ca="1" si="191"/>
        <v/>
      </c>
      <c r="FU73" s="275" t="str">
        <f t="shared" ca="1" si="192"/>
        <v/>
      </c>
      <c r="FV73" s="323" t="str">
        <f t="shared" ca="1" si="170"/>
        <v/>
      </c>
      <c r="FW73" s="276" t="str">
        <f t="shared" ca="1" si="193"/>
        <v/>
      </c>
      <c r="FX73" s="276" t="str">
        <f t="shared" ca="1" si="194"/>
        <v/>
      </c>
      <c r="FY73" s="276" t="str">
        <f t="shared" ca="1" si="195"/>
        <v/>
      </c>
      <c r="FZ73" s="276" t="str">
        <f t="shared" ca="1" si="196"/>
        <v/>
      </c>
      <c r="GA73" s="276" t="str">
        <f t="shared" ca="1" si="197"/>
        <v/>
      </c>
      <c r="GB73" s="277" t="str">
        <f ca="1">IF(FY73="","",2+SUM(FO73:OFFSET(FO73,(FU73-1)*-1,0)))</f>
        <v/>
      </c>
      <c r="GC73" s="316" t="e">
        <f t="shared" si="198"/>
        <v>#N/A</v>
      </c>
      <c r="GD73" s="324" t="str">
        <f t="shared" si="171"/>
        <v/>
      </c>
      <c r="GE73" s="325" t="str">
        <f t="shared" si="172"/>
        <v/>
      </c>
      <c r="GF73" s="278" t="str">
        <f t="shared" si="173"/>
        <v/>
      </c>
      <c r="GG73" s="279" t="str">
        <f t="shared" si="174"/>
        <v/>
      </c>
      <c r="GH73" s="279" t="str">
        <f t="shared" si="175"/>
        <v/>
      </c>
      <c r="GI73" s="280" t="str">
        <f t="shared" si="176"/>
        <v/>
      </c>
      <c r="GJ73" s="530">
        <f t="shared" ca="1" si="177"/>
        <v>0</v>
      </c>
      <c r="GK73" s="895" t="str">
        <f t="shared" ca="1" si="199"/>
        <v/>
      </c>
    </row>
    <row r="74" spans="78:193" ht="12.6" hidden="1" customHeight="1" x14ac:dyDescent="0.2">
      <c r="BZ74" s="293"/>
      <c r="CA74" s="293"/>
      <c r="CB74" s="365" t="str">
        <f t="shared" si="104"/>
        <v/>
      </c>
      <c r="CC74" s="366"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05"/>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1305" t="str">
        <f>IF(CQ34="","",IF(VLOOKUP(CQ34,SectInfo!$B:$N,7,FALSE)="","",(VLOOKUP(CQ34,SectInfo!$B:$N,7,FALSE)*-1)))</f>
        <v/>
      </c>
      <c r="CR74" s="1305" t="str">
        <f>IF(CQ34="","",IF(VLOOKUP(CQ34,SectInfo!$B:$N,8,FALSE)="",$FC$4,(VLOOKUP(CQ34,SectInfo!$B:$N,8,FALSE))))</f>
        <v/>
      </c>
      <c r="CS74" s="1305" t="str">
        <f>IF(CQ34="","",VLOOKUP(CQ34,SectInfo!$B:$N,9,FALSE))</f>
        <v/>
      </c>
      <c r="CT74" s="1306">
        <f t="shared" si="106"/>
        <v>0</v>
      </c>
      <c r="CU74" s="1316">
        <f t="shared" si="107"/>
        <v>0</v>
      </c>
      <c r="CV74" s="1310" t="str">
        <f t="shared" si="108"/>
        <v/>
      </c>
      <c r="CW74" s="1310" t="str">
        <f t="shared" si="109"/>
        <v/>
      </c>
      <c r="CX74" s="1310" t="str">
        <f t="shared" si="110"/>
        <v/>
      </c>
      <c r="CY74" s="1312">
        <f t="shared" si="111"/>
        <v>0</v>
      </c>
      <c r="CZ74" s="1312">
        <f t="shared" si="112"/>
        <v>0</v>
      </c>
      <c r="DA74" s="1312" t="str">
        <f t="shared" si="113"/>
        <v/>
      </c>
      <c r="DB74" s="1310" t="str">
        <f t="shared" si="178"/>
        <v/>
      </c>
      <c r="DC74" s="1310" t="str">
        <f t="shared" si="114"/>
        <v/>
      </c>
      <c r="DD74" s="875">
        <f t="shared" si="179"/>
        <v>0</v>
      </c>
      <c r="DE74" s="873">
        <f t="shared" si="115"/>
        <v>0</v>
      </c>
      <c r="DF74" s="874">
        <f t="shared" si="116"/>
        <v>0</v>
      </c>
      <c r="DG74" s="874" t="str">
        <f t="shared" si="117"/>
        <v/>
      </c>
      <c r="DH74" s="1310" t="str">
        <f t="shared" si="180"/>
        <v/>
      </c>
      <c r="DI74" s="1310" t="str">
        <f t="shared" si="118"/>
        <v/>
      </c>
      <c r="DJ74" s="1311">
        <f t="shared" si="181"/>
        <v>0</v>
      </c>
      <c r="DK74" s="1310" t="str">
        <f t="shared" si="119"/>
        <v/>
      </c>
      <c r="DL74" s="1310" t="str">
        <f t="shared" si="120"/>
        <v/>
      </c>
      <c r="DM74" s="1310" t="str">
        <f t="shared" si="121"/>
        <v/>
      </c>
      <c r="DN74" s="1310" t="str">
        <f t="shared" si="122"/>
        <v/>
      </c>
      <c r="DO74" s="889" t="str">
        <f t="shared" si="123"/>
        <v>ERR</v>
      </c>
      <c r="DP74" s="889" t="str">
        <f t="shared" si="124"/>
        <v>ERR</v>
      </c>
      <c r="DQ74" s="1310" t="str">
        <f t="shared" si="125"/>
        <v/>
      </c>
      <c r="DR74" s="1310" t="str">
        <f t="shared" si="125"/>
        <v/>
      </c>
      <c r="DS74" s="1310" t="str">
        <f t="shared" si="126"/>
        <v/>
      </c>
      <c r="DT74" s="1310" t="str">
        <f t="shared" si="127"/>
        <v/>
      </c>
      <c r="DU74" s="1310" t="str">
        <f t="shared" si="128"/>
        <v/>
      </c>
      <c r="DV74" s="889" t="str">
        <f t="shared" si="129"/>
        <v>ERR</v>
      </c>
      <c r="DW74" s="889" t="str">
        <f t="shared" si="130"/>
        <v>ERR</v>
      </c>
      <c r="DX74" s="873" t="str">
        <f t="shared" si="131"/>
        <v/>
      </c>
      <c r="DY74" s="873" t="str">
        <f t="shared" si="132"/>
        <v/>
      </c>
      <c r="DZ74" s="873" t="str">
        <f t="shared" si="133"/>
        <v/>
      </c>
      <c r="EA74" s="873" t="str">
        <f t="shared" si="134"/>
        <v/>
      </c>
      <c r="EB74" s="876" t="str">
        <f t="shared" si="135"/>
        <v/>
      </c>
      <c r="EC74" s="877" t="str">
        <f t="shared" si="136"/>
        <v/>
      </c>
      <c r="ED74" s="876" t="str">
        <f t="shared" si="137"/>
        <v/>
      </c>
      <c r="EE74" s="876" t="str">
        <f t="shared" si="138"/>
        <v/>
      </c>
      <c r="EF74" s="876" t="str">
        <f t="shared" si="139"/>
        <v/>
      </c>
      <c r="EG74" s="876" t="str">
        <f t="shared" si="140"/>
        <v/>
      </c>
      <c r="EH74" s="876" t="str">
        <f t="shared" si="141"/>
        <v/>
      </c>
      <c r="EI74" s="876" t="str">
        <f t="shared" si="142"/>
        <v/>
      </c>
      <c r="EJ74" s="876" t="str">
        <f t="shared" si="143"/>
        <v/>
      </c>
      <c r="EK74" s="874">
        <f t="shared" si="144"/>
        <v>0</v>
      </c>
      <c r="EL74" s="874">
        <f t="shared" si="145"/>
        <v>0</v>
      </c>
      <c r="EM74" s="874">
        <f t="shared" si="146"/>
        <v>0</v>
      </c>
      <c r="EN74" s="874" t="str">
        <f t="shared" si="147"/>
        <v/>
      </c>
      <c r="EO74" s="873" t="str">
        <f t="shared" si="148"/>
        <v/>
      </c>
      <c r="EP74" s="874">
        <f t="shared" si="149"/>
        <v>0</v>
      </c>
      <c r="EQ74" s="874">
        <f t="shared" si="150"/>
        <v>0</v>
      </c>
      <c r="ER74" s="874">
        <f t="shared" si="151"/>
        <v>0</v>
      </c>
      <c r="ES74" s="874" t="str">
        <f t="shared" si="152"/>
        <v/>
      </c>
      <c r="ET74" s="873" t="str">
        <f t="shared" si="153"/>
        <v/>
      </c>
      <c r="EU74" s="873">
        <f t="shared" si="154"/>
        <v>0</v>
      </c>
      <c r="EV74" s="876" t="e">
        <f t="shared" si="155"/>
        <v>#VALUE!</v>
      </c>
      <c r="EW74" s="876" t="e">
        <f t="shared" si="156"/>
        <v>#VALUE!</v>
      </c>
      <c r="EX74" s="878" t="str">
        <f t="shared" si="157"/>
        <v/>
      </c>
      <c r="EY74" s="879" t="e">
        <f t="shared" si="158"/>
        <v>#DIV/0!</v>
      </c>
      <c r="EZ74" s="959" t="e">
        <f t="shared" si="159"/>
        <v>#DIV/0!</v>
      </c>
      <c r="FA74" s="960" t="e">
        <f t="shared" si="160"/>
        <v>#DIV/0!</v>
      </c>
      <c r="FB74" s="880" t="str">
        <f t="shared" si="161"/>
        <v/>
      </c>
      <c r="FC74" s="881" t="str">
        <f t="shared" si="162"/>
        <v/>
      </c>
      <c r="FD74" s="890">
        <f t="shared" si="163"/>
        <v>0</v>
      </c>
      <c r="FE74" s="833">
        <f t="shared" si="164"/>
        <v>0</v>
      </c>
      <c r="FF74" s="754" t="b">
        <f t="shared" si="165"/>
        <v>0</v>
      </c>
      <c r="FG74" s="754" t="b">
        <f t="shared" si="166"/>
        <v>0</v>
      </c>
      <c r="FH74" s="754" t="b">
        <f t="shared" si="167"/>
        <v>0</v>
      </c>
      <c r="FI74" s="754" t="b">
        <f t="shared" si="168"/>
        <v>0</v>
      </c>
      <c r="FJ74" s="920" t="str">
        <f t="shared" si="182"/>
        <v/>
      </c>
      <c r="FK74" s="919" t="str">
        <f t="shared" si="183"/>
        <v/>
      </c>
      <c r="FL74" s="320" t="e">
        <f t="shared" si="184"/>
        <v>#N/A</v>
      </c>
      <c r="FM74" s="312" t="str">
        <f t="shared" si="169"/>
        <v/>
      </c>
      <c r="FN74" s="272" t="str">
        <f t="shared" ca="1" si="185"/>
        <v/>
      </c>
      <c r="FO74" s="273" t="str">
        <f t="shared" ca="1" si="186"/>
        <v/>
      </c>
      <c r="FP74" s="274" t="str">
        <f t="shared" ca="1" si="187"/>
        <v/>
      </c>
      <c r="FQ74" s="274" t="str">
        <f t="shared" ca="1" si="188"/>
        <v/>
      </c>
      <c r="FR74" s="321">
        <f t="shared" ca="1" si="189"/>
        <v>0</v>
      </c>
      <c r="FS74" s="322">
        <f t="shared" ca="1" si="190"/>
        <v>0</v>
      </c>
      <c r="FT74" s="272" t="str">
        <f t="shared" ca="1" si="191"/>
        <v/>
      </c>
      <c r="FU74" s="275" t="str">
        <f t="shared" ca="1" si="192"/>
        <v/>
      </c>
      <c r="FV74" s="323" t="str">
        <f t="shared" ca="1" si="170"/>
        <v/>
      </c>
      <c r="FW74" s="276" t="str">
        <f t="shared" ca="1" si="193"/>
        <v/>
      </c>
      <c r="FX74" s="276" t="str">
        <f t="shared" ca="1" si="194"/>
        <v/>
      </c>
      <c r="FY74" s="276" t="str">
        <f t="shared" ca="1" si="195"/>
        <v/>
      </c>
      <c r="FZ74" s="276" t="str">
        <f t="shared" ca="1" si="196"/>
        <v/>
      </c>
      <c r="GA74" s="276" t="str">
        <f t="shared" ca="1" si="197"/>
        <v/>
      </c>
      <c r="GB74" s="277" t="str">
        <f ca="1">IF(FY74="","",2+SUM(FO74:OFFSET(FO74,(FU74-1)*-1,0)))</f>
        <v/>
      </c>
      <c r="GC74" s="316" t="e">
        <f t="shared" si="198"/>
        <v>#N/A</v>
      </c>
      <c r="GD74" s="324" t="str">
        <f t="shared" si="171"/>
        <v/>
      </c>
      <c r="GE74" s="325" t="str">
        <f t="shared" si="172"/>
        <v/>
      </c>
      <c r="GF74" s="278" t="str">
        <f t="shared" si="173"/>
        <v/>
      </c>
      <c r="GG74" s="279" t="str">
        <f t="shared" si="174"/>
        <v/>
      </c>
      <c r="GH74" s="279" t="str">
        <f t="shared" si="175"/>
        <v/>
      </c>
      <c r="GI74" s="280" t="str">
        <f t="shared" si="176"/>
        <v/>
      </c>
      <c r="GJ74" s="530">
        <f t="shared" ca="1" si="177"/>
        <v>0</v>
      </c>
      <c r="GK74" s="895" t="str">
        <f t="shared" ca="1" si="199"/>
        <v/>
      </c>
    </row>
    <row r="75" spans="78:193" ht="12.6" hidden="1" customHeight="1" x14ac:dyDescent="0.2">
      <c r="BZ75" s="293"/>
      <c r="CA75" s="293"/>
      <c r="CB75" s="365" t="str">
        <f t="shared" si="104"/>
        <v/>
      </c>
      <c r="CC75" s="366"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05"/>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1305" t="str">
        <f>IF(CQ35="","",IF(VLOOKUP(CQ35,SectInfo!$B:$N,7,FALSE)="","",(VLOOKUP(CQ35,SectInfo!$B:$N,7,FALSE)*-1)))</f>
        <v/>
      </c>
      <c r="CR75" s="1305" t="str">
        <f>IF(CQ35="","",IF(VLOOKUP(CQ35,SectInfo!$B:$N,8,FALSE)="",$FC$4,(VLOOKUP(CQ35,SectInfo!$B:$N,8,FALSE))))</f>
        <v/>
      </c>
      <c r="CS75" s="1305" t="str">
        <f>IF(CQ35="","",VLOOKUP(CQ35,SectInfo!$B:$N,9,FALSE))</f>
        <v/>
      </c>
      <c r="CT75" s="1306">
        <f t="shared" si="106"/>
        <v>0</v>
      </c>
      <c r="CU75" s="1316">
        <f t="shared" si="107"/>
        <v>0</v>
      </c>
      <c r="CV75" s="1310" t="str">
        <f t="shared" si="108"/>
        <v/>
      </c>
      <c r="CW75" s="1310" t="str">
        <f t="shared" si="109"/>
        <v/>
      </c>
      <c r="CX75" s="1310" t="str">
        <f t="shared" si="110"/>
        <v/>
      </c>
      <c r="CY75" s="1312">
        <f t="shared" si="111"/>
        <v>0</v>
      </c>
      <c r="CZ75" s="1312">
        <f t="shared" si="112"/>
        <v>0</v>
      </c>
      <c r="DA75" s="1312" t="str">
        <f t="shared" si="113"/>
        <v/>
      </c>
      <c r="DB75" s="1310" t="str">
        <f t="shared" si="178"/>
        <v/>
      </c>
      <c r="DC75" s="1310" t="str">
        <f t="shared" si="114"/>
        <v/>
      </c>
      <c r="DD75" s="875">
        <f t="shared" si="179"/>
        <v>0</v>
      </c>
      <c r="DE75" s="873">
        <f t="shared" si="115"/>
        <v>0</v>
      </c>
      <c r="DF75" s="874">
        <f t="shared" si="116"/>
        <v>0</v>
      </c>
      <c r="DG75" s="874" t="str">
        <f t="shared" si="117"/>
        <v/>
      </c>
      <c r="DH75" s="1310" t="str">
        <f t="shared" si="180"/>
        <v/>
      </c>
      <c r="DI75" s="1310" t="str">
        <f t="shared" si="118"/>
        <v/>
      </c>
      <c r="DJ75" s="1311">
        <f t="shared" si="181"/>
        <v>0</v>
      </c>
      <c r="DK75" s="1310" t="str">
        <f t="shared" ref="DK75:DK85" si="200">IF(CV75="","",CEILING(CV75-DD75-DJ75-0.0625,0.125))</f>
        <v/>
      </c>
      <c r="DL75" s="1310" t="str">
        <f t="shared" ref="DL75:DL85" si="201">IF(AND(EG75="",CH75=""),"",IF(EG75="ERR","ERR",IF(ISNUMBER(EG75),(EG75/2)*-1,CH75)))</f>
        <v/>
      </c>
      <c r="DM75" s="1310" t="str">
        <f t="shared" si="121"/>
        <v/>
      </c>
      <c r="DN75" s="1310" t="str">
        <f t="shared" si="122"/>
        <v/>
      </c>
      <c r="DO75" s="889" t="str">
        <f t="shared" si="123"/>
        <v>ERR</v>
      </c>
      <c r="DP75" s="889" t="str">
        <f t="shared" si="124"/>
        <v>ERR</v>
      </c>
      <c r="DQ75" s="1310" t="str">
        <f t="shared" si="125"/>
        <v/>
      </c>
      <c r="DR75" s="1310" t="str">
        <f t="shared" si="125"/>
        <v/>
      </c>
      <c r="DS75" s="1310" t="str">
        <f t="shared" si="126"/>
        <v/>
      </c>
      <c r="DT75" s="1310" t="str">
        <f t="shared" si="127"/>
        <v/>
      </c>
      <c r="DU75" s="1310" t="str">
        <f t="shared" si="128"/>
        <v/>
      </c>
      <c r="DV75" s="889" t="str">
        <f t="shared" si="129"/>
        <v>ERR</v>
      </c>
      <c r="DW75" s="889" t="str">
        <f t="shared" si="130"/>
        <v>ERR</v>
      </c>
      <c r="DX75" s="873" t="str">
        <f t="shared" ref="DX75:DX85" si="202">IF(ISERROR(DT75),"ERR",IF(DT75="","",IF(DV75="ERR","ERR",CEILING(DV75-0.0625,0.125))))</f>
        <v/>
      </c>
      <c r="DY75" s="873" t="str">
        <f t="shared" ref="DY75:DY85" si="203">IF(ISERROR(DU75),"ERR",IF(DU75="","",IF(DW75="ERR","ERR",CEILING(DW75-0.0625,0.125))))</f>
        <v/>
      </c>
      <c r="DZ75" s="873" t="str">
        <f t="shared" si="133"/>
        <v/>
      </c>
      <c r="EA75" s="873" t="str">
        <f t="shared" si="134"/>
        <v/>
      </c>
      <c r="EB75" s="876" t="str">
        <f t="shared" si="135"/>
        <v/>
      </c>
      <c r="EC75" s="877" t="str">
        <f t="shared" ref="EC75:EC85" si="204">IF(AND(DR75="",DY75=""),"",IF(OR(CI75=EB75,CR75=EB75),EB75,CI75))</f>
        <v/>
      </c>
      <c r="ED75" s="876" t="str">
        <f t="shared" si="137"/>
        <v/>
      </c>
      <c r="EE75" s="876" t="str">
        <f t="shared" si="138"/>
        <v/>
      </c>
      <c r="EF75" s="876" t="str">
        <f t="shared" si="139"/>
        <v/>
      </c>
      <c r="EG75" s="876" t="str">
        <f t="shared" si="140"/>
        <v/>
      </c>
      <c r="EH75" s="876" t="str">
        <f t="shared" si="141"/>
        <v/>
      </c>
      <c r="EI75" s="876" t="str">
        <f t="shared" si="142"/>
        <v/>
      </c>
      <c r="EJ75" s="876" t="str">
        <f t="shared" si="143"/>
        <v/>
      </c>
      <c r="EK75" s="874">
        <f t="shared" ref="EK75:EK85" si="205">IF(CK75="",0,ATAN(CK75/12))</f>
        <v>0</v>
      </c>
      <c r="EL75" s="874">
        <f t="shared" ref="EL75:EL85" si="206">CU75-EK75</f>
        <v>0</v>
      </c>
      <c r="EM75" s="874">
        <f t="shared" ref="EM75:EM85" si="207">TAN(EL75)*12</f>
        <v>0</v>
      </c>
      <c r="EN75" s="874" t="str">
        <f t="shared" si="147"/>
        <v/>
      </c>
      <c r="EO75" s="873" t="str">
        <f t="shared" ref="EO75:EO85" si="208">IF(CF75="","",CF75*TAN(EK75))</f>
        <v/>
      </c>
      <c r="EP75" s="874">
        <f t="shared" ref="EP75:EP85" si="209">IF(CT75="",0,ATAN(CT75/12))</f>
        <v>0</v>
      </c>
      <c r="EQ75" s="874">
        <f t="shared" ref="EQ75:EQ85" si="210">CU75+EP75</f>
        <v>0</v>
      </c>
      <c r="ER75" s="874">
        <f t="shared" ref="ER75:ER85" si="211">TAN(EQ75)*-12</f>
        <v>0</v>
      </c>
      <c r="ES75" s="874" t="str">
        <f t="shared" si="152"/>
        <v/>
      </c>
      <c r="ET75" s="873" t="str">
        <f t="shared" ref="ET75:ET85" si="212">IF(CO75="","",CO75*TAN(EP75))</f>
        <v/>
      </c>
      <c r="EU75" s="873">
        <f t="shared" si="154"/>
        <v>0</v>
      </c>
      <c r="EV75" s="876" t="e">
        <f t="shared" si="155"/>
        <v>#VALUE!</v>
      </c>
      <c r="EW75" s="876" t="e">
        <f t="shared" si="156"/>
        <v>#VALUE!</v>
      </c>
      <c r="EX75" s="878" t="str">
        <f t="shared" si="157"/>
        <v/>
      </c>
      <c r="EY75" s="879" t="e">
        <f t="shared" ref="EY75:EY85" si="213">TRUNC(IF(FA75&lt;1.03,25.667,IF(FA75&lt;1.2,29.667,IF(FA75&lt;1.79,33.583,IF(FA75&lt;2.3,37.75,IF(FA75&lt;3.76,42,IF(FA75&lt;4.76,50.167,IF(FA75&lt;8.45,58.167,"ERR"))))))))</f>
        <v>#DIV/0!</v>
      </c>
      <c r="EZ75" s="959" t="e">
        <f t="shared" si="159"/>
        <v>#DIV/0!</v>
      </c>
      <c r="FA75" s="960" t="e">
        <f t="shared" si="160"/>
        <v>#DIV/0!</v>
      </c>
      <c r="FB75" s="880" t="str">
        <f t="shared" si="161"/>
        <v/>
      </c>
      <c r="FC75" s="881" t="str">
        <f t="shared" si="162"/>
        <v/>
      </c>
      <c r="FD75" s="890">
        <f t="shared" si="163"/>
        <v>0</v>
      </c>
      <c r="FE75" s="833">
        <f t="shared" si="164"/>
        <v>0</v>
      </c>
      <c r="FF75" s="754" t="b">
        <f t="shared" si="165"/>
        <v>0</v>
      </c>
      <c r="FG75" s="754" t="b">
        <f t="shared" si="166"/>
        <v>0</v>
      </c>
      <c r="FH75" s="754" t="b">
        <f t="shared" si="167"/>
        <v>0</v>
      </c>
      <c r="FI75" s="754" t="b">
        <f t="shared" si="168"/>
        <v>0</v>
      </c>
      <c r="FJ75" s="920" t="str">
        <f t="shared" si="182"/>
        <v/>
      </c>
      <c r="FK75" s="919" t="str">
        <f t="shared" si="183"/>
        <v/>
      </c>
      <c r="FL75" s="320" t="e">
        <f t="shared" si="184"/>
        <v>#N/A</v>
      </c>
      <c r="FM75" s="312" t="str">
        <f t="shared" si="169"/>
        <v/>
      </c>
      <c r="FN75" s="272" t="str">
        <f t="shared" ca="1" si="185"/>
        <v/>
      </c>
      <c r="FO75" s="273" t="str">
        <f t="shared" ca="1" si="186"/>
        <v/>
      </c>
      <c r="FP75" s="274" t="str">
        <f t="shared" ca="1" si="187"/>
        <v/>
      </c>
      <c r="FQ75" s="274" t="str">
        <f t="shared" ca="1" si="188"/>
        <v/>
      </c>
      <c r="FR75" s="321">
        <f t="shared" ca="1" si="189"/>
        <v>0</v>
      </c>
      <c r="FS75" s="322">
        <f t="shared" ca="1" si="190"/>
        <v>0</v>
      </c>
      <c r="FT75" s="272" t="str">
        <f t="shared" ca="1" si="191"/>
        <v/>
      </c>
      <c r="FU75" s="275" t="str">
        <f t="shared" ca="1" si="192"/>
        <v/>
      </c>
      <c r="FV75" s="323" t="str">
        <f t="shared" ca="1" si="170"/>
        <v/>
      </c>
      <c r="FW75" s="276" t="str">
        <f t="shared" ca="1" si="193"/>
        <v/>
      </c>
      <c r="FX75" s="276" t="str">
        <f t="shared" ca="1" si="194"/>
        <v/>
      </c>
      <c r="FY75" s="276" t="str">
        <f t="shared" ca="1" si="195"/>
        <v/>
      </c>
      <c r="FZ75" s="276" t="str">
        <f t="shared" ca="1" si="196"/>
        <v/>
      </c>
      <c r="GA75" s="276" t="str">
        <f t="shared" ca="1" si="197"/>
        <v/>
      </c>
      <c r="GB75" s="277" t="str">
        <f ca="1">IF(FY75="","",2+SUM(FO75:OFFSET(FO75,(FU75-1)*-1,0)))</f>
        <v/>
      </c>
      <c r="GC75" s="316" t="e">
        <f t="shared" si="198"/>
        <v>#N/A</v>
      </c>
      <c r="GD75" s="324" t="str">
        <f t="shared" si="171"/>
        <v/>
      </c>
      <c r="GE75" s="325" t="str">
        <f t="shared" si="172"/>
        <v/>
      </c>
      <c r="GF75" s="278" t="str">
        <f t="shared" si="173"/>
        <v/>
      </c>
      <c r="GG75" s="279" t="str">
        <f t="shared" si="174"/>
        <v/>
      </c>
      <c r="GH75" s="279" t="str">
        <f t="shared" si="175"/>
        <v/>
      </c>
      <c r="GI75" s="280" t="str">
        <f t="shared" si="176"/>
        <v/>
      </c>
      <c r="GJ75" s="530">
        <f t="shared" ca="1" si="177"/>
        <v>0</v>
      </c>
      <c r="GK75" s="895" t="str">
        <f t="shared" ca="1" si="199"/>
        <v/>
      </c>
    </row>
    <row r="76" spans="78:193" ht="12.6" hidden="1" customHeight="1" x14ac:dyDescent="0.2">
      <c r="BZ76" s="293"/>
      <c r="CA76" s="293"/>
      <c r="CB76" s="365" t="str">
        <f t="shared" si="104"/>
        <v/>
      </c>
      <c r="CC76" s="366"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05"/>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1305" t="str">
        <f>IF(CQ36="","",IF(VLOOKUP(CQ36,SectInfo!$B:$N,7,FALSE)="","",(VLOOKUP(CQ36,SectInfo!$B:$N,7,FALSE)*-1)))</f>
        <v/>
      </c>
      <c r="CR76" s="1305" t="str">
        <f>IF(CQ36="","",IF(VLOOKUP(CQ36,SectInfo!$B:$N,8,FALSE)="",$FC$4,(VLOOKUP(CQ36,SectInfo!$B:$N,8,FALSE))))</f>
        <v/>
      </c>
      <c r="CS76" s="1305" t="str">
        <f>IF(CQ36="","",VLOOKUP(CQ36,SectInfo!$B:$N,9,FALSE))</f>
        <v/>
      </c>
      <c r="CT76" s="1306">
        <f t="shared" si="106"/>
        <v>0</v>
      </c>
      <c r="CU76" s="1316">
        <f t="shared" si="107"/>
        <v>0</v>
      </c>
      <c r="CV76" s="1310" t="str">
        <f t="shared" si="108"/>
        <v/>
      </c>
      <c r="CW76" s="1310" t="str">
        <f t="shared" si="109"/>
        <v/>
      </c>
      <c r="CX76" s="1310" t="str">
        <f t="shared" si="110"/>
        <v/>
      </c>
      <c r="CY76" s="1312">
        <f t="shared" si="111"/>
        <v>0</v>
      </c>
      <c r="CZ76" s="1312">
        <f t="shared" si="112"/>
        <v>0</v>
      </c>
      <c r="DA76" s="1312" t="str">
        <f t="shared" si="113"/>
        <v/>
      </c>
      <c r="DB76" s="1310" t="str">
        <f t="shared" si="178"/>
        <v/>
      </c>
      <c r="DC76" s="1310" t="str">
        <f t="shared" si="114"/>
        <v/>
      </c>
      <c r="DD76" s="875">
        <f t="shared" si="179"/>
        <v>0</v>
      </c>
      <c r="DE76" s="873">
        <f t="shared" si="115"/>
        <v>0</v>
      </c>
      <c r="DF76" s="874">
        <f t="shared" si="116"/>
        <v>0</v>
      </c>
      <c r="DG76" s="874" t="str">
        <f t="shared" si="117"/>
        <v/>
      </c>
      <c r="DH76" s="1310" t="str">
        <f t="shared" si="180"/>
        <v/>
      </c>
      <c r="DI76" s="1310" t="str">
        <f t="shared" si="118"/>
        <v/>
      </c>
      <c r="DJ76" s="1311">
        <f t="shared" si="181"/>
        <v>0</v>
      </c>
      <c r="DK76" s="1310" t="str">
        <f t="shared" si="200"/>
        <v/>
      </c>
      <c r="DL76" s="1310" t="str">
        <f t="shared" si="201"/>
        <v/>
      </c>
      <c r="DM76" s="1310" t="str">
        <f t="shared" si="121"/>
        <v/>
      </c>
      <c r="DN76" s="1310" t="str">
        <f t="shared" si="122"/>
        <v/>
      </c>
      <c r="DO76" s="889" t="str">
        <f t="shared" si="123"/>
        <v>ERR</v>
      </c>
      <c r="DP76" s="889" t="str">
        <f t="shared" si="124"/>
        <v>ERR</v>
      </c>
      <c r="DQ76" s="1310" t="str">
        <f t="shared" si="125"/>
        <v/>
      </c>
      <c r="DR76" s="1310" t="str">
        <f t="shared" si="125"/>
        <v/>
      </c>
      <c r="DS76" s="1310" t="str">
        <f t="shared" si="126"/>
        <v/>
      </c>
      <c r="DT76" s="1310" t="str">
        <f t="shared" si="127"/>
        <v/>
      </c>
      <c r="DU76" s="1310" t="str">
        <f t="shared" si="128"/>
        <v/>
      </c>
      <c r="DV76" s="889" t="str">
        <f t="shared" si="129"/>
        <v>ERR</v>
      </c>
      <c r="DW76" s="889" t="str">
        <f t="shared" si="130"/>
        <v>ERR</v>
      </c>
      <c r="DX76" s="873" t="str">
        <f t="shared" si="202"/>
        <v/>
      </c>
      <c r="DY76" s="873" t="str">
        <f t="shared" si="203"/>
        <v/>
      </c>
      <c r="DZ76" s="873" t="str">
        <f t="shared" si="133"/>
        <v/>
      </c>
      <c r="EA76" s="873" t="str">
        <f t="shared" si="134"/>
        <v/>
      </c>
      <c r="EB76" s="876" t="str">
        <f t="shared" si="135"/>
        <v/>
      </c>
      <c r="EC76" s="877" t="str">
        <f t="shared" si="204"/>
        <v/>
      </c>
      <c r="ED76" s="876" t="str">
        <f t="shared" si="137"/>
        <v/>
      </c>
      <c r="EE76" s="876" t="str">
        <f t="shared" si="138"/>
        <v/>
      </c>
      <c r="EF76" s="876" t="str">
        <f t="shared" si="139"/>
        <v/>
      </c>
      <c r="EG76" s="876" t="str">
        <f t="shared" si="140"/>
        <v/>
      </c>
      <c r="EH76" s="876" t="str">
        <f t="shared" si="141"/>
        <v/>
      </c>
      <c r="EI76" s="876" t="str">
        <f t="shared" si="142"/>
        <v/>
      </c>
      <c r="EJ76" s="876" t="str">
        <f t="shared" si="143"/>
        <v/>
      </c>
      <c r="EK76" s="874">
        <f t="shared" si="205"/>
        <v>0</v>
      </c>
      <c r="EL76" s="874">
        <f t="shared" si="206"/>
        <v>0</v>
      </c>
      <c r="EM76" s="874">
        <f t="shared" si="207"/>
        <v>0</v>
      </c>
      <c r="EN76" s="874" t="str">
        <f t="shared" si="147"/>
        <v/>
      </c>
      <c r="EO76" s="873" t="str">
        <f t="shared" si="208"/>
        <v/>
      </c>
      <c r="EP76" s="874">
        <f t="shared" si="209"/>
        <v>0</v>
      </c>
      <c r="EQ76" s="874">
        <f t="shared" si="210"/>
        <v>0</v>
      </c>
      <c r="ER76" s="874">
        <f t="shared" si="211"/>
        <v>0</v>
      </c>
      <c r="ES76" s="874" t="str">
        <f t="shared" si="152"/>
        <v/>
      </c>
      <c r="ET76" s="873" t="str">
        <f t="shared" si="212"/>
        <v/>
      </c>
      <c r="EU76" s="873">
        <f t="shared" si="154"/>
        <v>0</v>
      </c>
      <c r="EV76" s="876" t="e">
        <f t="shared" si="155"/>
        <v>#VALUE!</v>
      </c>
      <c r="EW76" s="876" t="e">
        <f t="shared" si="156"/>
        <v>#VALUE!</v>
      </c>
      <c r="EX76" s="878" t="str">
        <f t="shared" si="157"/>
        <v/>
      </c>
      <c r="EY76" s="879" t="e">
        <f t="shared" si="213"/>
        <v>#DIV/0!</v>
      </c>
      <c r="EZ76" s="959" t="e">
        <f t="shared" si="159"/>
        <v>#DIV/0!</v>
      </c>
      <c r="FA76" s="960" t="e">
        <f t="shared" si="160"/>
        <v>#DIV/0!</v>
      </c>
      <c r="FB76" s="880" t="str">
        <f t="shared" si="161"/>
        <v/>
      </c>
      <c r="FC76" s="881" t="str">
        <f t="shared" si="162"/>
        <v/>
      </c>
      <c r="FD76" s="890">
        <f t="shared" si="163"/>
        <v>0</v>
      </c>
      <c r="FE76" s="833">
        <f t="shared" si="164"/>
        <v>0</v>
      </c>
      <c r="FF76" s="754" t="b">
        <f t="shared" si="165"/>
        <v>0</v>
      </c>
      <c r="FG76" s="754" t="b">
        <f t="shared" si="166"/>
        <v>0</v>
      </c>
      <c r="FH76" s="754" t="b">
        <f t="shared" si="167"/>
        <v>0</v>
      </c>
      <c r="FI76" s="754" t="b">
        <f t="shared" si="168"/>
        <v>0</v>
      </c>
      <c r="FJ76" s="920" t="str">
        <f t="shared" si="182"/>
        <v/>
      </c>
      <c r="FK76" s="919" t="str">
        <f t="shared" si="183"/>
        <v/>
      </c>
      <c r="FL76" s="320" t="e">
        <f t="shared" si="184"/>
        <v>#N/A</v>
      </c>
      <c r="FM76" s="312" t="str">
        <f t="shared" si="169"/>
        <v/>
      </c>
      <c r="FN76" s="272" t="str">
        <f t="shared" ca="1" si="185"/>
        <v/>
      </c>
      <c r="FO76" s="273" t="str">
        <f t="shared" ca="1" si="186"/>
        <v/>
      </c>
      <c r="FP76" s="274" t="str">
        <f t="shared" ca="1" si="187"/>
        <v/>
      </c>
      <c r="FQ76" s="274" t="str">
        <f t="shared" ca="1" si="188"/>
        <v/>
      </c>
      <c r="FR76" s="321">
        <f t="shared" ca="1" si="189"/>
        <v>0</v>
      </c>
      <c r="FS76" s="322">
        <f t="shared" ca="1" si="190"/>
        <v>0</v>
      </c>
      <c r="FT76" s="272" t="str">
        <f t="shared" ca="1" si="191"/>
        <v/>
      </c>
      <c r="FU76" s="275" t="str">
        <f t="shared" ca="1" si="192"/>
        <v/>
      </c>
      <c r="FV76" s="323" t="str">
        <f t="shared" ca="1" si="170"/>
        <v/>
      </c>
      <c r="FW76" s="276" t="str">
        <f t="shared" ca="1" si="193"/>
        <v/>
      </c>
      <c r="FX76" s="276" t="str">
        <f t="shared" ca="1" si="194"/>
        <v/>
      </c>
      <c r="FY76" s="276" t="str">
        <f t="shared" ca="1" si="195"/>
        <v/>
      </c>
      <c r="FZ76" s="276" t="str">
        <f t="shared" ca="1" si="196"/>
        <v/>
      </c>
      <c r="GA76" s="276" t="str">
        <f t="shared" ca="1" si="197"/>
        <v/>
      </c>
      <c r="GB76" s="277" t="str">
        <f ca="1">IF(FY76="","",2+SUM(FO76:OFFSET(FO76,(FU76-1)*-1,0)))</f>
        <v/>
      </c>
      <c r="GC76" s="316" t="e">
        <f t="shared" si="198"/>
        <v>#N/A</v>
      </c>
      <c r="GD76" s="324" t="str">
        <f t="shared" si="171"/>
        <v/>
      </c>
      <c r="GE76" s="325" t="str">
        <f t="shared" si="172"/>
        <v/>
      </c>
      <c r="GF76" s="278" t="str">
        <f t="shared" si="173"/>
        <v/>
      </c>
      <c r="GG76" s="279" t="str">
        <f t="shared" si="174"/>
        <v/>
      </c>
      <c r="GH76" s="279" t="str">
        <f t="shared" si="175"/>
        <v/>
      </c>
      <c r="GI76" s="280" t="str">
        <f t="shared" si="176"/>
        <v/>
      </c>
      <c r="GJ76" s="530">
        <f t="shared" ca="1" si="177"/>
        <v>0</v>
      </c>
      <c r="GK76" s="895" t="str">
        <f t="shared" ca="1" si="199"/>
        <v/>
      </c>
    </row>
    <row r="77" spans="78:193" ht="12.6" hidden="1" customHeight="1" x14ac:dyDescent="0.2">
      <c r="BZ77" s="293"/>
      <c r="CA77" s="293"/>
      <c r="CB77" s="365" t="str">
        <f t="shared" si="104"/>
        <v/>
      </c>
      <c r="CC77" s="366"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05"/>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1305" t="str">
        <f>IF(CQ37="","",IF(VLOOKUP(CQ37,SectInfo!$B:$N,7,FALSE)="","",(VLOOKUP(CQ37,SectInfo!$B:$N,7,FALSE)*-1)))</f>
        <v/>
      </c>
      <c r="CR77" s="1305" t="str">
        <f>IF(CQ37="","",IF(VLOOKUP(CQ37,SectInfo!$B:$N,8,FALSE)="",$FC$4,(VLOOKUP(CQ37,SectInfo!$B:$N,8,FALSE))))</f>
        <v/>
      </c>
      <c r="CS77" s="1305" t="str">
        <f>IF(CQ37="","",VLOOKUP(CQ37,SectInfo!$B:$N,9,FALSE))</f>
        <v/>
      </c>
      <c r="CT77" s="1306">
        <f t="shared" si="106"/>
        <v>0</v>
      </c>
      <c r="CU77" s="1316">
        <f t="shared" si="107"/>
        <v>0</v>
      </c>
      <c r="CV77" s="1310" t="str">
        <f t="shared" si="108"/>
        <v/>
      </c>
      <c r="CW77" s="1310" t="str">
        <f t="shared" si="109"/>
        <v/>
      </c>
      <c r="CX77" s="1310" t="str">
        <f t="shared" si="110"/>
        <v/>
      </c>
      <c r="CY77" s="1312">
        <f t="shared" si="111"/>
        <v>0</v>
      </c>
      <c r="CZ77" s="1312">
        <f t="shared" si="112"/>
        <v>0</v>
      </c>
      <c r="DA77" s="1312" t="str">
        <f t="shared" si="113"/>
        <v/>
      </c>
      <c r="DB77" s="1310" t="str">
        <f t="shared" si="178"/>
        <v/>
      </c>
      <c r="DC77" s="1310" t="str">
        <f t="shared" si="114"/>
        <v/>
      </c>
      <c r="DD77" s="875">
        <f t="shared" si="179"/>
        <v>0</v>
      </c>
      <c r="DE77" s="873">
        <f t="shared" si="115"/>
        <v>0</v>
      </c>
      <c r="DF77" s="874">
        <f t="shared" si="116"/>
        <v>0</v>
      </c>
      <c r="DG77" s="874" t="str">
        <f t="shared" si="117"/>
        <v/>
      </c>
      <c r="DH77" s="1310" t="str">
        <f t="shared" si="180"/>
        <v/>
      </c>
      <c r="DI77" s="1310" t="str">
        <f t="shared" si="118"/>
        <v/>
      </c>
      <c r="DJ77" s="1311">
        <f t="shared" si="181"/>
        <v>0</v>
      </c>
      <c r="DK77" s="1310" t="str">
        <f t="shared" si="200"/>
        <v/>
      </c>
      <c r="DL77" s="1310" t="str">
        <f t="shared" si="201"/>
        <v/>
      </c>
      <c r="DM77" s="1310" t="str">
        <f t="shared" si="121"/>
        <v/>
      </c>
      <c r="DN77" s="1310" t="str">
        <f t="shared" si="122"/>
        <v/>
      </c>
      <c r="DO77" s="889" t="str">
        <f t="shared" si="123"/>
        <v>ERR</v>
      </c>
      <c r="DP77" s="889" t="str">
        <f t="shared" si="124"/>
        <v>ERR</v>
      </c>
      <c r="DQ77" s="1310" t="str">
        <f t="shared" si="125"/>
        <v/>
      </c>
      <c r="DR77" s="1310" t="str">
        <f t="shared" si="125"/>
        <v/>
      </c>
      <c r="DS77" s="1310" t="str">
        <f t="shared" si="126"/>
        <v/>
      </c>
      <c r="DT77" s="1310" t="str">
        <f t="shared" si="127"/>
        <v/>
      </c>
      <c r="DU77" s="1310" t="str">
        <f t="shared" si="128"/>
        <v/>
      </c>
      <c r="DV77" s="889" t="str">
        <f t="shared" si="129"/>
        <v>ERR</v>
      </c>
      <c r="DW77" s="889" t="str">
        <f t="shared" si="130"/>
        <v>ERR</v>
      </c>
      <c r="DX77" s="873" t="str">
        <f t="shared" si="202"/>
        <v/>
      </c>
      <c r="DY77" s="873" t="str">
        <f t="shared" si="203"/>
        <v/>
      </c>
      <c r="DZ77" s="873" t="str">
        <f t="shared" si="133"/>
        <v/>
      </c>
      <c r="EA77" s="873" t="str">
        <f t="shared" si="134"/>
        <v/>
      </c>
      <c r="EB77" s="876" t="str">
        <f t="shared" si="135"/>
        <v/>
      </c>
      <c r="EC77" s="877" t="str">
        <f t="shared" si="204"/>
        <v/>
      </c>
      <c r="ED77" s="876" t="str">
        <f t="shared" si="137"/>
        <v/>
      </c>
      <c r="EE77" s="876" t="str">
        <f t="shared" si="138"/>
        <v/>
      </c>
      <c r="EF77" s="876" t="str">
        <f t="shared" si="139"/>
        <v/>
      </c>
      <c r="EG77" s="876" t="str">
        <f t="shared" si="140"/>
        <v/>
      </c>
      <c r="EH77" s="876" t="str">
        <f t="shared" si="141"/>
        <v/>
      </c>
      <c r="EI77" s="876" t="str">
        <f t="shared" si="142"/>
        <v/>
      </c>
      <c r="EJ77" s="876" t="str">
        <f t="shared" si="143"/>
        <v/>
      </c>
      <c r="EK77" s="874">
        <f t="shared" si="205"/>
        <v>0</v>
      </c>
      <c r="EL77" s="874">
        <f t="shared" si="206"/>
        <v>0</v>
      </c>
      <c r="EM77" s="874">
        <f t="shared" si="207"/>
        <v>0</v>
      </c>
      <c r="EN77" s="874" t="str">
        <f t="shared" si="147"/>
        <v/>
      </c>
      <c r="EO77" s="873" t="str">
        <f t="shared" si="208"/>
        <v/>
      </c>
      <c r="EP77" s="874">
        <f t="shared" si="209"/>
        <v>0</v>
      </c>
      <c r="EQ77" s="874">
        <f t="shared" si="210"/>
        <v>0</v>
      </c>
      <c r="ER77" s="874">
        <f t="shared" si="211"/>
        <v>0</v>
      </c>
      <c r="ES77" s="874" t="str">
        <f t="shared" si="152"/>
        <v/>
      </c>
      <c r="ET77" s="873" t="str">
        <f t="shared" si="212"/>
        <v/>
      </c>
      <c r="EU77" s="873">
        <f t="shared" si="154"/>
        <v>0</v>
      </c>
      <c r="EV77" s="876" t="e">
        <f t="shared" si="155"/>
        <v>#VALUE!</v>
      </c>
      <c r="EW77" s="876" t="e">
        <f t="shared" si="156"/>
        <v>#VALUE!</v>
      </c>
      <c r="EX77" s="878" t="str">
        <f t="shared" si="157"/>
        <v/>
      </c>
      <c r="EY77" s="879" t="e">
        <f t="shared" si="213"/>
        <v>#DIV/0!</v>
      </c>
      <c r="EZ77" s="959" t="e">
        <f t="shared" si="159"/>
        <v>#DIV/0!</v>
      </c>
      <c r="FA77" s="960" t="e">
        <f t="shared" si="160"/>
        <v>#DIV/0!</v>
      </c>
      <c r="FB77" s="880" t="str">
        <f t="shared" si="161"/>
        <v/>
      </c>
      <c r="FC77" s="881" t="str">
        <f t="shared" si="162"/>
        <v/>
      </c>
      <c r="FD77" s="890">
        <f t="shared" si="163"/>
        <v>0</v>
      </c>
      <c r="FE77" s="833">
        <f t="shared" si="164"/>
        <v>0</v>
      </c>
      <c r="FF77" s="754" t="b">
        <f t="shared" si="165"/>
        <v>0</v>
      </c>
      <c r="FG77" s="754" t="b">
        <f t="shared" si="166"/>
        <v>0</v>
      </c>
      <c r="FH77" s="754" t="b">
        <f t="shared" si="167"/>
        <v>0</v>
      </c>
      <c r="FI77" s="754" t="b">
        <f t="shared" si="168"/>
        <v>0</v>
      </c>
      <c r="FJ77" s="920" t="str">
        <f t="shared" si="182"/>
        <v/>
      </c>
      <c r="FK77" s="919" t="str">
        <f t="shared" si="183"/>
        <v/>
      </c>
      <c r="FL77" s="320" t="e">
        <f t="shared" si="184"/>
        <v>#N/A</v>
      </c>
      <c r="FM77" s="312" t="str">
        <f t="shared" si="169"/>
        <v/>
      </c>
      <c r="FN77" s="272" t="str">
        <f t="shared" ca="1" si="185"/>
        <v/>
      </c>
      <c r="FO77" s="273" t="str">
        <f t="shared" ca="1" si="186"/>
        <v/>
      </c>
      <c r="FP77" s="274" t="str">
        <f t="shared" ca="1" si="187"/>
        <v/>
      </c>
      <c r="FQ77" s="274" t="str">
        <f t="shared" ca="1" si="188"/>
        <v/>
      </c>
      <c r="FR77" s="321">
        <f t="shared" ca="1" si="189"/>
        <v>0</v>
      </c>
      <c r="FS77" s="322">
        <f t="shared" ca="1" si="190"/>
        <v>0</v>
      </c>
      <c r="FT77" s="272" t="str">
        <f t="shared" ca="1" si="191"/>
        <v/>
      </c>
      <c r="FU77" s="275" t="str">
        <f t="shared" ca="1" si="192"/>
        <v/>
      </c>
      <c r="FV77" s="323" t="str">
        <f t="shared" ca="1" si="170"/>
        <v/>
      </c>
      <c r="FW77" s="276" t="str">
        <f t="shared" ca="1" si="193"/>
        <v/>
      </c>
      <c r="FX77" s="276" t="str">
        <f t="shared" ca="1" si="194"/>
        <v/>
      </c>
      <c r="FY77" s="276" t="str">
        <f t="shared" ca="1" si="195"/>
        <v/>
      </c>
      <c r="FZ77" s="276" t="str">
        <f t="shared" ca="1" si="196"/>
        <v/>
      </c>
      <c r="GA77" s="276" t="str">
        <f t="shared" ca="1" si="197"/>
        <v/>
      </c>
      <c r="GB77" s="277" t="str">
        <f ca="1">IF(FY77="","",2+SUM(FO77:OFFSET(FO77,(FU77-1)*-1,0)))</f>
        <v/>
      </c>
      <c r="GC77" s="316" t="e">
        <f t="shared" si="198"/>
        <v>#N/A</v>
      </c>
      <c r="GD77" s="324" t="str">
        <f t="shared" si="171"/>
        <v/>
      </c>
      <c r="GE77" s="325" t="str">
        <f t="shared" si="172"/>
        <v/>
      </c>
      <c r="GF77" s="278" t="str">
        <f t="shared" si="173"/>
        <v/>
      </c>
      <c r="GG77" s="279" t="str">
        <f t="shared" si="174"/>
        <v/>
      </c>
      <c r="GH77" s="279" t="str">
        <f t="shared" si="175"/>
        <v/>
      </c>
      <c r="GI77" s="280" t="str">
        <f t="shared" si="176"/>
        <v/>
      </c>
      <c r="GJ77" s="530">
        <f t="shared" ca="1" si="177"/>
        <v>0</v>
      </c>
      <c r="GK77" s="895" t="str">
        <f t="shared" ca="1" si="199"/>
        <v/>
      </c>
    </row>
    <row r="78" spans="78:193" ht="12.6" hidden="1" customHeight="1" x14ac:dyDescent="0.2">
      <c r="BZ78" s="293"/>
      <c r="CA78" s="293"/>
      <c r="CB78" s="365" t="str">
        <f t="shared" si="104"/>
        <v/>
      </c>
      <c r="CC78" s="366"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05"/>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1305" t="str">
        <f>IF(CQ38="","",IF(VLOOKUP(CQ38,SectInfo!$B:$N,7,FALSE)="","",(VLOOKUP(CQ38,SectInfo!$B:$N,7,FALSE)*-1)))</f>
        <v/>
      </c>
      <c r="CR78" s="1305" t="str">
        <f>IF(CQ38="","",IF(VLOOKUP(CQ38,SectInfo!$B:$N,8,FALSE)="",$FC$4,(VLOOKUP(CQ38,SectInfo!$B:$N,8,FALSE))))</f>
        <v/>
      </c>
      <c r="CS78" s="1305" t="str">
        <f>IF(CQ38="","",VLOOKUP(CQ38,SectInfo!$B:$N,9,FALSE))</f>
        <v/>
      </c>
      <c r="CT78" s="1306">
        <f t="shared" si="106"/>
        <v>0</v>
      </c>
      <c r="CU78" s="1316">
        <f t="shared" si="107"/>
        <v>0</v>
      </c>
      <c r="CV78" s="1310" t="str">
        <f t="shared" si="108"/>
        <v/>
      </c>
      <c r="CW78" s="1310" t="str">
        <f t="shared" si="109"/>
        <v/>
      </c>
      <c r="CX78" s="1310" t="str">
        <f t="shared" si="110"/>
        <v/>
      </c>
      <c r="CY78" s="1312">
        <f t="shared" si="111"/>
        <v>0</v>
      </c>
      <c r="CZ78" s="1312">
        <f t="shared" si="112"/>
        <v>0</v>
      </c>
      <c r="DA78" s="1312" t="str">
        <f t="shared" si="113"/>
        <v/>
      </c>
      <c r="DB78" s="1310" t="str">
        <f t="shared" si="178"/>
        <v/>
      </c>
      <c r="DC78" s="1310" t="str">
        <f t="shared" si="114"/>
        <v/>
      </c>
      <c r="DD78" s="875">
        <f t="shared" si="179"/>
        <v>0</v>
      </c>
      <c r="DE78" s="873">
        <f t="shared" si="115"/>
        <v>0</v>
      </c>
      <c r="DF78" s="874">
        <f t="shared" si="116"/>
        <v>0</v>
      </c>
      <c r="DG78" s="874" t="str">
        <f t="shared" si="117"/>
        <v/>
      </c>
      <c r="DH78" s="1310" t="str">
        <f t="shared" si="180"/>
        <v/>
      </c>
      <c r="DI78" s="1310" t="str">
        <f t="shared" si="118"/>
        <v/>
      </c>
      <c r="DJ78" s="1311">
        <f t="shared" si="181"/>
        <v>0</v>
      </c>
      <c r="DK78" s="1310" t="str">
        <f t="shared" si="200"/>
        <v/>
      </c>
      <c r="DL78" s="1310" t="str">
        <f t="shared" si="201"/>
        <v/>
      </c>
      <c r="DM78" s="1310" t="str">
        <f t="shared" si="121"/>
        <v/>
      </c>
      <c r="DN78" s="1310" t="str">
        <f t="shared" si="122"/>
        <v/>
      </c>
      <c r="DO78" s="889" t="str">
        <f t="shared" si="123"/>
        <v>ERR</v>
      </c>
      <c r="DP78" s="889" t="str">
        <f t="shared" si="124"/>
        <v>ERR</v>
      </c>
      <c r="DQ78" s="1310" t="str">
        <f t="shared" si="125"/>
        <v/>
      </c>
      <c r="DR78" s="1310" t="str">
        <f t="shared" si="125"/>
        <v/>
      </c>
      <c r="DS78" s="1310" t="str">
        <f t="shared" si="126"/>
        <v/>
      </c>
      <c r="DT78" s="1310" t="str">
        <f t="shared" si="127"/>
        <v/>
      </c>
      <c r="DU78" s="1310" t="str">
        <f t="shared" si="128"/>
        <v/>
      </c>
      <c r="DV78" s="889" t="str">
        <f t="shared" si="129"/>
        <v>ERR</v>
      </c>
      <c r="DW78" s="889" t="str">
        <f t="shared" si="130"/>
        <v>ERR</v>
      </c>
      <c r="DX78" s="873" t="str">
        <f t="shared" si="202"/>
        <v/>
      </c>
      <c r="DY78" s="873" t="str">
        <f t="shared" si="203"/>
        <v/>
      </c>
      <c r="DZ78" s="873" t="str">
        <f t="shared" si="133"/>
        <v/>
      </c>
      <c r="EA78" s="873" t="str">
        <f t="shared" si="134"/>
        <v/>
      </c>
      <c r="EB78" s="876" t="str">
        <f t="shared" si="135"/>
        <v/>
      </c>
      <c r="EC78" s="877" t="str">
        <f t="shared" si="204"/>
        <v/>
      </c>
      <c r="ED78" s="876" t="str">
        <f t="shared" si="137"/>
        <v/>
      </c>
      <c r="EE78" s="876" t="str">
        <f t="shared" si="138"/>
        <v/>
      </c>
      <c r="EF78" s="876" t="str">
        <f t="shared" si="139"/>
        <v/>
      </c>
      <c r="EG78" s="876" t="str">
        <f t="shared" si="140"/>
        <v/>
      </c>
      <c r="EH78" s="876" t="str">
        <f t="shared" si="141"/>
        <v/>
      </c>
      <c r="EI78" s="876" t="str">
        <f t="shared" si="142"/>
        <v/>
      </c>
      <c r="EJ78" s="876" t="str">
        <f t="shared" si="143"/>
        <v/>
      </c>
      <c r="EK78" s="874">
        <f t="shared" si="205"/>
        <v>0</v>
      </c>
      <c r="EL78" s="874">
        <f t="shared" si="206"/>
        <v>0</v>
      </c>
      <c r="EM78" s="874">
        <f t="shared" si="207"/>
        <v>0</v>
      </c>
      <c r="EN78" s="874" t="str">
        <f t="shared" si="147"/>
        <v/>
      </c>
      <c r="EO78" s="873" t="str">
        <f t="shared" si="208"/>
        <v/>
      </c>
      <c r="EP78" s="874">
        <f t="shared" si="209"/>
        <v>0</v>
      </c>
      <c r="EQ78" s="874">
        <f t="shared" si="210"/>
        <v>0</v>
      </c>
      <c r="ER78" s="874">
        <f t="shared" si="211"/>
        <v>0</v>
      </c>
      <c r="ES78" s="874" t="str">
        <f t="shared" si="152"/>
        <v/>
      </c>
      <c r="ET78" s="873" t="str">
        <f t="shared" si="212"/>
        <v/>
      </c>
      <c r="EU78" s="873">
        <f t="shared" si="154"/>
        <v>0</v>
      </c>
      <c r="EV78" s="876" t="e">
        <f t="shared" si="155"/>
        <v>#VALUE!</v>
      </c>
      <c r="EW78" s="876" t="e">
        <f t="shared" si="156"/>
        <v>#VALUE!</v>
      </c>
      <c r="EX78" s="878" t="str">
        <f t="shared" si="157"/>
        <v/>
      </c>
      <c r="EY78" s="879" t="e">
        <f t="shared" si="213"/>
        <v>#DIV/0!</v>
      </c>
      <c r="EZ78" s="959" t="e">
        <f t="shared" si="159"/>
        <v>#DIV/0!</v>
      </c>
      <c r="FA78" s="960" t="e">
        <f t="shared" si="160"/>
        <v>#DIV/0!</v>
      </c>
      <c r="FB78" s="880" t="str">
        <f t="shared" si="161"/>
        <v/>
      </c>
      <c r="FC78" s="881" t="str">
        <f t="shared" si="162"/>
        <v/>
      </c>
      <c r="FD78" s="890">
        <f t="shared" si="163"/>
        <v>0</v>
      </c>
      <c r="FE78" s="833">
        <f t="shared" si="164"/>
        <v>0</v>
      </c>
      <c r="FF78" s="754" t="b">
        <f t="shared" si="165"/>
        <v>0</v>
      </c>
      <c r="FG78" s="754" t="b">
        <f t="shared" si="166"/>
        <v>0</v>
      </c>
      <c r="FH78" s="754" t="b">
        <f t="shared" si="167"/>
        <v>0</v>
      </c>
      <c r="FI78" s="754" t="b">
        <f t="shared" si="168"/>
        <v>0</v>
      </c>
      <c r="FJ78" s="920" t="str">
        <f t="shared" si="182"/>
        <v/>
      </c>
      <c r="FK78" s="919" t="str">
        <f t="shared" si="183"/>
        <v/>
      </c>
      <c r="FL78" s="320" t="e">
        <f t="shared" si="184"/>
        <v>#N/A</v>
      </c>
      <c r="FM78" s="312" t="str">
        <f t="shared" si="169"/>
        <v/>
      </c>
      <c r="FN78" s="272" t="str">
        <f t="shared" ca="1" si="185"/>
        <v/>
      </c>
      <c r="FO78" s="273" t="str">
        <f t="shared" ca="1" si="186"/>
        <v/>
      </c>
      <c r="FP78" s="274" t="str">
        <f t="shared" ca="1" si="187"/>
        <v/>
      </c>
      <c r="FQ78" s="274" t="str">
        <f t="shared" ca="1" si="188"/>
        <v/>
      </c>
      <c r="FR78" s="321">
        <f t="shared" ca="1" si="189"/>
        <v>0</v>
      </c>
      <c r="FS78" s="322">
        <f t="shared" ca="1" si="190"/>
        <v>0</v>
      </c>
      <c r="FT78" s="272" t="str">
        <f t="shared" ca="1" si="191"/>
        <v/>
      </c>
      <c r="FU78" s="275" t="str">
        <f t="shared" ca="1" si="192"/>
        <v/>
      </c>
      <c r="FV78" s="323" t="str">
        <f t="shared" ca="1" si="170"/>
        <v/>
      </c>
      <c r="FW78" s="276" t="str">
        <f t="shared" ca="1" si="193"/>
        <v/>
      </c>
      <c r="FX78" s="276" t="str">
        <f t="shared" ca="1" si="194"/>
        <v/>
      </c>
      <c r="FY78" s="276" t="str">
        <f t="shared" ca="1" si="195"/>
        <v/>
      </c>
      <c r="FZ78" s="276" t="str">
        <f t="shared" ca="1" si="196"/>
        <v/>
      </c>
      <c r="GA78" s="276" t="str">
        <f t="shared" ca="1" si="197"/>
        <v/>
      </c>
      <c r="GB78" s="277" t="str">
        <f ca="1">IF(FY78="","",2+SUM(FO78:OFFSET(FO78,(FU78-1)*-1,0)))</f>
        <v/>
      </c>
      <c r="GC78" s="316" t="e">
        <f t="shared" si="198"/>
        <v>#N/A</v>
      </c>
      <c r="GD78" s="324" t="str">
        <f t="shared" si="171"/>
        <v/>
      </c>
      <c r="GE78" s="325" t="str">
        <f t="shared" si="172"/>
        <v/>
      </c>
      <c r="GF78" s="278" t="str">
        <f t="shared" si="173"/>
        <v/>
      </c>
      <c r="GG78" s="279" t="str">
        <f t="shared" si="174"/>
        <v/>
      </c>
      <c r="GH78" s="279" t="str">
        <f t="shared" si="175"/>
        <v/>
      </c>
      <c r="GI78" s="280" t="str">
        <f t="shared" si="176"/>
        <v/>
      </c>
      <c r="GJ78" s="530">
        <f t="shared" ca="1" si="177"/>
        <v>0</v>
      </c>
      <c r="GK78" s="895" t="str">
        <f t="shared" ca="1" si="199"/>
        <v/>
      </c>
    </row>
    <row r="79" spans="78:193" ht="12.6" hidden="1" customHeight="1" x14ac:dyDescent="0.2">
      <c r="BZ79" s="293"/>
      <c r="CA79" s="293"/>
      <c r="CB79" s="365" t="str">
        <f t="shared" si="104"/>
        <v/>
      </c>
      <c r="CC79" s="366"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05"/>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1305" t="str">
        <f>IF(CQ39="","",IF(VLOOKUP(CQ39,SectInfo!$B:$N,7,FALSE)="","",(VLOOKUP(CQ39,SectInfo!$B:$N,7,FALSE)*-1)))</f>
        <v/>
      </c>
      <c r="CR79" s="1305" t="str">
        <f>IF(CQ39="","",IF(VLOOKUP(CQ39,SectInfo!$B:$N,8,FALSE)="",$FC$4,(VLOOKUP(CQ39,SectInfo!$B:$N,8,FALSE))))</f>
        <v/>
      </c>
      <c r="CS79" s="1305" t="str">
        <f>IF(CQ39="","",VLOOKUP(CQ39,SectInfo!$B:$N,9,FALSE))</f>
        <v/>
      </c>
      <c r="CT79" s="1306">
        <f t="shared" si="106"/>
        <v>0</v>
      </c>
      <c r="CU79" s="1316">
        <f t="shared" si="107"/>
        <v>0</v>
      </c>
      <c r="CV79" s="1310" t="str">
        <f t="shared" si="108"/>
        <v/>
      </c>
      <c r="CW79" s="1310" t="str">
        <f t="shared" si="109"/>
        <v/>
      </c>
      <c r="CX79" s="1310" t="str">
        <f t="shared" si="110"/>
        <v/>
      </c>
      <c r="CY79" s="1312">
        <f t="shared" si="111"/>
        <v>0</v>
      </c>
      <c r="CZ79" s="1312">
        <f t="shared" si="112"/>
        <v>0</v>
      </c>
      <c r="DA79" s="1312" t="str">
        <f t="shared" si="113"/>
        <v/>
      </c>
      <c r="DB79" s="1310" t="str">
        <f t="shared" si="178"/>
        <v/>
      </c>
      <c r="DC79" s="1310" t="str">
        <f t="shared" si="114"/>
        <v/>
      </c>
      <c r="DD79" s="875">
        <f t="shared" si="179"/>
        <v>0</v>
      </c>
      <c r="DE79" s="873">
        <f t="shared" si="115"/>
        <v>0</v>
      </c>
      <c r="DF79" s="874">
        <f t="shared" si="116"/>
        <v>0</v>
      </c>
      <c r="DG79" s="874" t="str">
        <f t="shared" si="117"/>
        <v/>
      </c>
      <c r="DH79" s="1310" t="str">
        <f t="shared" si="180"/>
        <v/>
      </c>
      <c r="DI79" s="1310" t="str">
        <f t="shared" si="118"/>
        <v/>
      </c>
      <c r="DJ79" s="1311">
        <f t="shared" si="181"/>
        <v>0</v>
      </c>
      <c r="DK79" s="1310" t="str">
        <f t="shared" si="200"/>
        <v/>
      </c>
      <c r="DL79" s="1310" t="str">
        <f t="shared" si="201"/>
        <v/>
      </c>
      <c r="DM79" s="1310" t="str">
        <f t="shared" si="121"/>
        <v/>
      </c>
      <c r="DN79" s="1310" t="str">
        <f t="shared" si="122"/>
        <v/>
      </c>
      <c r="DO79" s="889" t="str">
        <f t="shared" si="123"/>
        <v>ERR</v>
      </c>
      <c r="DP79" s="889" t="str">
        <f t="shared" si="124"/>
        <v>ERR</v>
      </c>
      <c r="DQ79" s="1310" t="str">
        <f t="shared" si="125"/>
        <v/>
      </c>
      <c r="DR79" s="1310" t="str">
        <f t="shared" si="125"/>
        <v/>
      </c>
      <c r="DS79" s="1310" t="str">
        <f t="shared" si="126"/>
        <v/>
      </c>
      <c r="DT79" s="1310" t="str">
        <f t="shared" si="127"/>
        <v/>
      </c>
      <c r="DU79" s="1310" t="str">
        <f t="shared" si="128"/>
        <v/>
      </c>
      <c r="DV79" s="889" t="str">
        <f t="shared" si="129"/>
        <v>ERR</v>
      </c>
      <c r="DW79" s="889" t="str">
        <f t="shared" si="130"/>
        <v>ERR</v>
      </c>
      <c r="DX79" s="873" t="str">
        <f t="shared" si="202"/>
        <v/>
      </c>
      <c r="DY79" s="873" t="str">
        <f t="shared" si="203"/>
        <v/>
      </c>
      <c r="DZ79" s="873" t="str">
        <f t="shared" si="133"/>
        <v/>
      </c>
      <c r="EA79" s="873" t="str">
        <f t="shared" si="134"/>
        <v/>
      </c>
      <c r="EB79" s="876" t="str">
        <f t="shared" si="135"/>
        <v/>
      </c>
      <c r="EC79" s="877" t="str">
        <f t="shared" si="204"/>
        <v/>
      </c>
      <c r="ED79" s="876" t="str">
        <f t="shared" si="137"/>
        <v/>
      </c>
      <c r="EE79" s="876" t="str">
        <f t="shared" si="138"/>
        <v/>
      </c>
      <c r="EF79" s="876" t="str">
        <f t="shared" si="139"/>
        <v/>
      </c>
      <c r="EG79" s="876" t="str">
        <f t="shared" si="140"/>
        <v/>
      </c>
      <c r="EH79" s="876" t="str">
        <f t="shared" si="141"/>
        <v/>
      </c>
      <c r="EI79" s="876" t="str">
        <f t="shared" si="142"/>
        <v/>
      </c>
      <c r="EJ79" s="876" t="str">
        <f t="shared" si="143"/>
        <v/>
      </c>
      <c r="EK79" s="874">
        <f t="shared" si="205"/>
        <v>0</v>
      </c>
      <c r="EL79" s="874">
        <f t="shared" si="206"/>
        <v>0</v>
      </c>
      <c r="EM79" s="874">
        <f t="shared" si="207"/>
        <v>0</v>
      </c>
      <c r="EN79" s="874" t="str">
        <f t="shared" si="147"/>
        <v/>
      </c>
      <c r="EO79" s="873" t="str">
        <f t="shared" si="208"/>
        <v/>
      </c>
      <c r="EP79" s="874">
        <f t="shared" si="209"/>
        <v>0</v>
      </c>
      <c r="EQ79" s="874">
        <f t="shared" si="210"/>
        <v>0</v>
      </c>
      <c r="ER79" s="874">
        <f t="shared" si="211"/>
        <v>0</v>
      </c>
      <c r="ES79" s="874" t="str">
        <f t="shared" si="152"/>
        <v/>
      </c>
      <c r="ET79" s="873" t="str">
        <f t="shared" si="212"/>
        <v/>
      </c>
      <c r="EU79" s="873">
        <f t="shared" si="154"/>
        <v>0</v>
      </c>
      <c r="EV79" s="876" t="e">
        <f t="shared" si="155"/>
        <v>#VALUE!</v>
      </c>
      <c r="EW79" s="876" t="e">
        <f t="shared" si="156"/>
        <v>#VALUE!</v>
      </c>
      <c r="EX79" s="878" t="str">
        <f t="shared" si="157"/>
        <v/>
      </c>
      <c r="EY79" s="879" t="e">
        <f t="shared" si="213"/>
        <v>#DIV/0!</v>
      </c>
      <c r="EZ79" s="959" t="e">
        <f t="shared" si="159"/>
        <v>#DIV/0!</v>
      </c>
      <c r="FA79" s="960" t="e">
        <f t="shared" si="160"/>
        <v>#DIV/0!</v>
      </c>
      <c r="FB79" s="880" t="str">
        <f t="shared" si="161"/>
        <v/>
      </c>
      <c r="FC79" s="881" t="str">
        <f t="shared" si="162"/>
        <v/>
      </c>
      <c r="FD79" s="890">
        <f t="shared" si="163"/>
        <v>0</v>
      </c>
      <c r="FE79" s="833">
        <f t="shared" si="164"/>
        <v>0</v>
      </c>
      <c r="FF79" s="754" t="b">
        <f t="shared" si="165"/>
        <v>0</v>
      </c>
      <c r="FG79" s="754" t="b">
        <f t="shared" si="166"/>
        <v>0</v>
      </c>
      <c r="FH79" s="754" t="b">
        <f t="shared" si="167"/>
        <v>0</v>
      </c>
      <c r="FI79" s="754" t="b">
        <f t="shared" si="168"/>
        <v>0</v>
      </c>
      <c r="FJ79" s="920" t="str">
        <f t="shared" si="182"/>
        <v/>
      </c>
      <c r="FK79" s="919" t="str">
        <f t="shared" si="183"/>
        <v/>
      </c>
      <c r="FL79" s="320" t="e">
        <f t="shared" si="184"/>
        <v>#N/A</v>
      </c>
      <c r="FM79" s="312" t="str">
        <f t="shared" si="169"/>
        <v/>
      </c>
      <c r="FN79" s="272" t="str">
        <f t="shared" ca="1" si="185"/>
        <v/>
      </c>
      <c r="FO79" s="273" t="str">
        <f t="shared" ca="1" si="186"/>
        <v/>
      </c>
      <c r="FP79" s="274" t="str">
        <f t="shared" ca="1" si="187"/>
        <v/>
      </c>
      <c r="FQ79" s="274" t="str">
        <f t="shared" ca="1" si="188"/>
        <v/>
      </c>
      <c r="FR79" s="321">
        <f t="shared" ca="1" si="189"/>
        <v>0</v>
      </c>
      <c r="FS79" s="322">
        <f t="shared" ca="1" si="190"/>
        <v>0</v>
      </c>
      <c r="FT79" s="272" t="str">
        <f t="shared" ca="1" si="191"/>
        <v/>
      </c>
      <c r="FU79" s="275" t="str">
        <f t="shared" ca="1" si="192"/>
        <v/>
      </c>
      <c r="FV79" s="323" t="str">
        <f t="shared" ca="1" si="170"/>
        <v/>
      </c>
      <c r="FW79" s="276" t="str">
        <f t="shared" ca="1" si="193"/>
        <v/>
      </c>
      <c r="FX79" s="276" t="str">
        <f t="shared" ca="1" si="194"/>
        <v/>
      </c>
      <c r="FY79" s="276" t="str">
        <f t="shared" ca="1" si="195"/>
        <v/>
      </c>
      <c r="FZ79" s="276" t="str">
        <f t="shared" ca="1" si="196"/>
        <v/>
      </c>
      <c r="GA79" s="276" t="str">
        <f t="shared" ca="1" si="197"/>
        <v/>
      </c>
      <c r="GB79" s="277" t="str">
        <f ca="1">IF(FY79="","",2+SUM(FO79:OFFSET(FO79,(FU79-1)*-1,0)))</f>
        <v/>
      </c>
      <c r="GC79" s="316" t="e">
        <f t="shared" si="198"/>
        <v>#N/A</v>
      </c>
      <c r="GD79" s="324" t="str">
        <f t="shared" si="171"/>
        <v/>
      </c>
      <c r="GE79" s="325" t="str">
        <f t="shared" si="172"/>
        <v/>
      </c>
      <c r="GF79" s="278" t="str">
        <f t="shared" si="173"/>
        <v/>
      </c>
      <c r="GG79" s="279" t="str">
        <f t="shared" si="174"/>
        <v/>
      </c>
      <c r="GH79" s="279" t="str">
        <f t="shared" si="175"/>
        <v/>
      </c>
      <c r="GI79" s="280" t="str">
        <f t="shared" si="176"/>
        <v/>
      </c>
      <c r="GJ79" s="530">
        <f t="shared" ca="1" si="177"/>
        <v>0</v>
      </c>
      <c r="GK79" s="895" t="str">
        <f t="shared" ca="1" si="199"/>
        <v/>
      </c>
    </row>
    <row r="80" spans="78:193" ht="12.6" hidden="1" customHeight="1" x14ac:dyDescent="0.2">
      <c r="BZ80" s="293"/>
      <c r="CA80" s="293"/>
      <c r="CB80" s="365" t="str">
        <f t="shared" si="104"/>
        <v/>
      </c>
      <c r="CC80" s="366"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05"/>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1305" t="str">
        <f>IF(CQ40="","",IF(VLOOKUP(CQ40,SectInfo!$B:$N,7,FALSE)="","",(VLOOKUP(CQ40,SectInfo!$B:$N,7,FALSE)*-1)))</f>
        <v/>
      </c>
      <c r="CR80" s="1305" t="str">
        <f>IF(CQ40="","",IF(VLOOKUP(CQ40,SectInfo!$B:$N,8,FALSE)="",$FC$4,(VLOOKUP(CQ40,SectInfo!$B:$N,8,FALSE))))</f>
        <v/>
      </c>
      <c r="CS80" s="1305" t="str">
        <f>IF(CQ40="","",VLOOKUP(CQ40,SectInfo!$B:$N,9,FALSE))</f>
        <v/>
      </c>
      <c r="CT80" s="1306">
        <f t="shared" si="106"/>
        <v>0</v>
      </c>
      <c r="CU80" s="1316">
        <f t="shared" si="107"/>
        <v>0</v>
      </c>
      <c r="CV80" s="1310" t="str">
        <f t="shared" si="108"/>
        <v/>
      </c>
      <c r="CW80" s="1310" t="str">
        <f t="shared" si="109"/>
        <v/>
      </c>
      <c r="CX80" s="1310" t="str">
        <f t="shared" si="110"/>
        <v/>
      </c>
      <c r="CY80" s="1312">
        <f t="shared" si="111"/>
        <v>0</v>
      </c>
      <c r="CZ80" s="1312">
        <f t="shared" si="112"/>
        <v>0</v>
      </c>
      <c r="DA80" s="1312" t="str">
        <f t="shared" si="113"/>
        <v/>
      </c>
      <c r="DB80" s="1310" t="str">
        <f t="shared" si="178"/>
        <v/>
      </c>
      <c r="DC80" s="1310" t="str">
        <f t="shared" si="114"/>
        <v/>
      </c>
      <c r="DD80" s="875">
        <f t="shared" si="179"/>
        <v>0</v>
      </c>
      <c r="DE80" s="873">
        <f t="shared" si="115"/>
        <v>0</v>
      </c>
      <c r="DF80" s="874">
        <f t="shared" si="116"/>
        <v>0</v>
      </c>
      <c r="DG80" s="874" t="str">
        <f t="shared" si="117"/>
        <v/>
      </c>
      <c r="DH80" s="1310" t="str">
        <f t="shared" si="180"/>
        <v/>
      </c>
      <c r="DI80" s="1310" t="str">
        <f t="shared" si="118"/>
        <v/>
      </c>
      <c r="DJ80" s="1311">
        <f t="shared" si="181"/>
        <v>0</v>
      </c>
      <c r="DK80" s="1310" t="str">
        <f t="shared" si="200"/>
        <v/>
      </c>
      <c r="DL80" s="1310" t="str">
        <f t="shared" si="201"/>
        <v/>
      </c>
      <c r="DM80" s="1310" t="str">
        <f t="shared" si="121"/>
        <v/>
      </c>
      <c r="DN80" s="1310" t="str">
        <f t="shared" si="122"/>
        <v/>
      </c>
      <c r="DO80" s="889" t="str">
        <f t="shared" si="123"/>
        <v>ERR</v>
      </c>
      <c r="DP80" s="889" t="str">
        <f t="shared" si="124"/>
        <v>ERR</v>
      </c>
      <c r="DQ80" s="1310" t="str">
        <f t="shared" si="125"/>
        <v/>
      </c>
      <c r="DR80" s="1310" t="str">
        <f t="shared" si="125"/>
        <v/>
      </c>
      <c r="DS80" s="1310" t="str">
        <f t="shared" si="126"/>
        <v/>
      </c>
      <c r="DT80" s="1310" t="str">
        <f t="shared" si="127"/>
        <v/>
      </c>
      <c r="DU80" s="1310" t="str">
        <f t="shared" si="128"/>
        <v/>
      </c>
      <c r="DV80" s="889" t="str">
        <f t="shared" si="129"/>
        <v>ERR</v>
      </c>
      <c r="DW80" s="889" t="str">
        <f t="shared" si="130"/>
        <v>ERR</v>
      </c>
      <c r="DX80" s="873" t="str">
        <f t="shared" si="202"/>
        <v/>
      </c>
      <c r="DY80" s="873" t="str">
        <f t="shared" si="203"/>
        <v/>
      </c>
      <c r="DZ80" s="873" t="str">
        <f t="shared" si="133"/>
        <v/>
      </c>
      <c r="EA80" s="873" t="str">
        <f t="shared" si="134"/>
        <v/>
      </c>
      <c r="EB80" s="876" t="str">
        <f t="shared" si="135"/>
        <v/>
      </c>
      <c r="EC80" s="877" t="str">
        <f t="shared" si="204"/>
        <v/>
      </c>
      <c r="ED80" s="876" t="str">
        <f t="shared" si="137"/>
        <v/>
      </c>
      <c r="EE80" s="876" t="str">
        <f t="shared" si="138"/>
        <v/>
      </c>
      <c r="EF80" s="876" t="str">
        <f t="shared" si="139"/>
        <v/>
      </c>
      <c r="EG80" s="876" t="str">
        <f t="shared" si="140"/>
        <v/>
      </c>
      <c r="EH80" s="876" t="str">
        <f t="shared" si="141"/>
        <v/>
      </c>
      <c r="EI80" s="876" t="str">
        <f t="shared" si="142"/>
        <v/>
      </c>
      <c r="EJ80" s="876" t="str">
        <f t="shared" si="143"/>
        <v/>
      </c>
      <c r="EK80" s="874">
        <f t="shared" si="205"/>
        <v>0</v>
      </c>
      <c r="EL80" s="874">
        <f t="shared" si="206"/>
        <v>0</v>
      </c>
      <c r="EM80" s="874">
        <f t="shared" si="207"/>
        <v>0</v>
      </c>
      <c r="EN80" s="874" t="str">
        <f t="shared" si="147"/>
        <v/>
      </c>
      <c r="EO80" s="873" t="str">
        <f t="shared" si="208"/>
        <v/>
      </c>
      <c r="EP80" s="874">
        <f t="shared" si="209"/>
        <v>0</v>
      </c>
      <c r="EQ80" s="874">
        <f t="shared" si="210"/>
        <v>0</v>
      </c>
      <c r="ER80" s="874">
        <f t="shared" si="211"/>
        <v>0</v>
      </c>
      <c r="ES80" s="874" t="str">
        <f t="shared" si="152"/>
        <v/>
      </c>
      <c r="ET80" s="873" t="str">
        <f t="shared" si="212"/>
        <v/>
      </c>
      <c r="EU80" s="873">
        <f t="shared" si="154"/>
        <v>0</v>
      </c>
      <c r="EV80" s="876" t="e">
        <f t="shared" si="155"/>
        <v>#VALUE!</v>
      </c>
      <c r="EW80" s="876" t="e">
        <f t="shared" si="156"/>
        <v>#VALUE!</v>
      </c>
      <c r="EX80" s="878" t="str">
        <f t="shared" si="157"/>
        <v/>
      </c>
      <c r="EY80" s="879" t="e">
        <f t="shared" si="213"/>
        <v>#DIV/0!</v>
      </c>
      <c r="EZ80" s="959" t="e">
        <f t="shared" si="159"/>
        <v>#DIV/0!</v>
      </c>
      <c r="FA80" s="960" t="e">
        <f t="shared" si="160"/>
        <v>#DIV/0!</v>
      </c>
      <c r="FB80" s="880" t="str">
        <f t="shared" si="161"/>
        <v/>
      </c>
      <c r="FC80" s="881" t="str">
        <f t="shared" si="162"/>
        <v/>
      </c>
      <c r="FD80" s="890">
        <f t="shared" si="163"/>
        <v>0</v>
      </c>
      <c r="FE80" s="833">
        <f t="shared" si="164"/>
        <v>0</v>
      </c>
      <c r="FF80" s="754" t="b">
        <f t="shared" si="165"/>
        <v>0</v>
      </c>
      <c r="FG80" s="754" t="b">
        <f t="shared" si="166"/>
        <v>0</v>
      </c>
      <c r="FH80" s="754" t="b">
        <f t="shared" si="167"/>
        <v>0</v>
      </c>
      <c r="FI80" s="754" t="b">
        <f t="shared" si="168"/>
        <v>0</v>
      </c>
      <c r="FJ80" s="920" t="str">
        <f t="shared" si="182"/>
        <v/>
      </c>
      <c r="FK80" s="919" t="str">
        <f t="shared" si="183"/>
        <v/>
      </c>
      <c r="FL80" s="320" t="e">
        <f t="shared" si="184"/>
        <v>#N/A</v>
      </c>
      <c r="FM80" s="312" t="str">
        <f t="shared" si="169"/>
        <v/>
      </c>
      <c r="FN80" s="272" t="str">
        <f t="shared" ca="1" si="185"/>
        <v/>
      </c>
      <c r="FO80" s="273" t="str">
        <f t="shared" ca="1" si="186"/>
        <v/>
      </c>
      <c r="FP80" s="274" t="str">
        <f t="shared" ca="1" si="187"/>
        <v/>
      </c>
      <c r="FQ80" s="274" t="str">
        <f t="shared" ca="1" si="188"/>
        <v/>
      </c>
      <c r="FR80" s="321">
        <f t="shared" ca="1" si="189"/>
        <v>0</v>
      </c>
      <c r="FS80" s="322">
        <f t="shared" ca="1" si="190"/>
        <v>0</v>
      </c>
      <c r="FT80" s="272" t="str">
        <f t="shared" ca="1" si="191"/>
        <v/>
      </c>
      <c r="FU80" s="275" t="str">
        <f t="shared" ca="1" si="192"/>
        <v/>
      </c>
      <c r="FV80" s="323" t="str">
        <f t="shared" ca="1" si="170"/>
        <v/>
      </c>
      <c r="FW80" s="276" t="str">
        <f t="shared" ca="1" si="193"/>
        <v/>
      </c>
      <c r="FX80" s="276" t="str">
        <f t="shared" ca="1" si="194"/>
        <v/>
      </c>
      <c r="FY80" s="276" t="str">
        <f t="shared" ca="1" si="195"/>
        <v/>
      </c>
      <c r="FZ80" s="276" t="str">
        <f t="shared" ca="1" si="196"/>
        <v/>
      </c>
      <c r="GA80" s="276" t="str">
        <f t="shared" ca="1" si="197"/>
        <v/>
      </c>
      <c r="GB80" s="277" t="str">
        <f ca="1">IF(FY80="","",2+SUM(FO80:OFFSET(FO80,(FU80-1)*-1,0)))</f>
        <v/>
      </c>
      <c r="GC80" s="316" t="e">
        <f t="shared" si="198"/>
        <v>#N/A</v>
      </c>
      <c r="GD80" s="324" t="str">
        <f t="shared" si="171"/>
        <v/>
      </c>
      <c r="GE80" s="325" t="str">
        <f t="shared" si="172"/>
        <v/>
      </c>
      <c r="GF80" s="278" t="str">
        <f t="shared" si="173"/>
        <v/>
      </c>
      <c r="GG80" s="279" t="str">
        <f t="shared" si="174"/>
        <v/>
      </c>
      <c r="GH80" s="279" t="str">
        <f t="shared" si="175"/>
        <v/>
      </c>
      <c r="GI80" s="280" t="str">
        <f t="shared" si="176"/>
        <v/>
      </c>
      <c r="GJ80" s="530">
        <f t="shared" ca="1" si="177"/>
        <v>0</v>
      </c>
      <c r="GK80" s="895" t="str">
        <f t="shared" ca="1" si="199"/>
        <v/>
      </c>
    </row>
    <row r="81" spans="1:193" ht="12.6" hidden="1" customHeight="1" x14ac:dyDescent="0.2">
      <c r="BZ81" s="293"/>
      <c r="CA81" s="293"/>
      <c r="CB81" s="365" t="str">
        <f t="shared" si="104"/>
        <v/>
      </c>
      <c r="CC81" s="366"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05"/>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1305" t="str">
        <f>IF(CQ41="","",IF(VLOOKUP(CQ41,SectInfo!$B:$N,7,FALSE)="","",(VLOOKUP(CQ41,SectInfo!$B:$N,7,FALSE)*-1)))</f>
        <v/>
      </c>
      <c r="CR81" s="1305" t="str">
        <f>IF(CQ41="","",IF(VLOOKUP(CQ41,SectInfo!$B:$N,8,FALSE)="",$FC$4,(VLOOKUP(CQ41,SectInfo!$B:$N,8,FALSE))))</f>
        <v/>
      </c>
      <c r="CS81" s="1305" t="str">
        <f>IF(CQ41="","",VLOOKUP(CQ41,SectInfo!$B:$N,9,FALSE))</f>
        <v/>
      </c>
      <c r="CT81" s="1306">
        <f t="shared" si="106"/>
        <v>0</v>
      </c>
      <c r="CU81" s="1316">
        <f t="shared" si="107"/>
        <v>0</v>
      </c>
      <c r="CV81" s="1310" t="str">
        <f t="shared" si="108"/>
        <v/>
      </c>
      <c r="CW81" s="1310" t="str">
        <f t="shared" si="109"/>
        <v/>
      </c>
      <c r="CX81" s="1310" t="str">
        <f t="shared" si="110"/>
        <v/>
      </c>
      <c r="CY81" s="1312">
        <f t="shared" si="111"/>
        <v>0</v>
      </c>
      <c r="CZ81" s="1312">
        <f t="shared" si="112"/>
        <v>0</v>
      </c>
      <c r="DA81" s="1312" t="str">
        <f t="shared" si="113"/>
        <v/>
      </c>
      <c r="DB81" s="1310" t="str">
        <f t="shared" si="178"/>
        <v/>
      </c>
      <c r="DC81" s="1310" t="str">
        <f t="shared" si="114"/>
        <v/>
      </c>
      <c r="DD81" s="875">
        <f t="shared" si="179"/>
        <v>0</v>
      </c>
      <c r="DE81" s="873">
        <f t="shared" si="115"/>
        <v>0</v>
      </c>
      <c r="DF81" s="874">
        <f t="shared" si="116"/>
        <v>0</v>
      </c>
      <c r="DG81" s="874" t="str">
        <f t="shared" si="117"/>
        <v/>
      </c>
      <c r="DH81" s="1310" t="str">
        <f t="shared" si="180"/>
        <v/>
      </c>
      <c r="DI81" s="1310" t="str">
        <f t="shared" si="118"/>
        <v/>
      </c>
      <c r="DJ81" s="1311">
        <f t="shared" si="181"/>
        <v>0</v>
      </c>
      <c r="DK81" s="1310" t="str">
        <f t="shared" si="200"/>
        <v/>
      </c>
      <c r="DL81" s="1310" t="str">
        <f t="shared" si="201"/>
        <v/>
      </c>
      <c r="DM81" s="1310" t="str">
        <f t="shared" si="121"/>
        <v/>
      </c>
      <c r="DN81" s="1310" t="str">
        <f t="shared" si="122"/>
        <v/>
      </c>
      <c r="DO81" s="889" t="str">
        <f t="shared" si="123"/>
        <v>ERR</v>
      </c>
      <c r="DP81" s="889" t="str">
        <f t="shared" si="124"/>
        <v>ERR</v>
      </c>
      <c r="DQ81" s="1310" t="str">
        <f t="shared" si="125"/>
        <v/>
      </c>
      <c r="DR81" s="1310" t="str">
        <f t="shared" si="125"/>
        <v/>
      </c>
      <c r="DS81" s="1310" t="str">
        <f t="shared" si="126"/>
        <v/>
      </c>
      <c r="DT81" s="1310" t="str">
        <f t="shared" si="127"/>
        <v/>
      </c>
      <c r="DU81" s="1310" t="str">
        <f t="shared" si="128"/>
        <v/>
      </c>
      <c r="DV81" s="889" t="str">
        <f t="shared" si="129"/>
        <v>ERR</v>
      </c>
      <c r="DW81" s="889" t="str">
        <f t="shared" si="130"/>
        <v>ERR</v>
      </c>
      <c r="DX81" s="873" t="str">
        <f t="shared" si="202"/>
        <v/>
      </c>
      <c r="DY81" s="873" t="str">
        <f t="shared" si="203"/>
        <v/>
      </c>
      <c r="DZ81" s="873" t="str">
        <f t="shared" si="133"/>
        <v/>
      </c>
      <c r="EA81" s="873" t="str">
        <f t="shared" si="134"/>
        <v/>
      </c>
      <c r="EB81" s="876" t="str">
        <f t="shared" si="135"/>
        <v/>
      </c>
      <c r="EC81" s="877" t="str">
        <f t="shared" si="204"/>
        <v/>
      </c>
      <c r="ED81" s="876" t="str">
        <f t="shared" si="137"/>
        <v/>
      </c>
      <c r="EE81" s="876" t="str">
        <f t="shared" si="138"/>
        <v/>
      </c>
      <c r="EF81" s="876" t="str">
        <f t="shared" si="139"/>
        <v/>
      </c>
      <c r="EG81" s="876" t="str">
        <f t="shared" si="140"/>
        <v/>
      </c>
      <c r="EH81" s="876" t="str">
        <f t="shared" si="141"/>
        <v/>
      </c>
      <c r="EI81" s="876" t="str">
        <f t="shared" si="142"/>
        <v/>
      </c>
      <c r="EJ81" s="876" t="str">
        <f t="shared" si="143"/>
        <v/>
      </c>
      <c r="EK81" s="874">
        <f t="shared" si="205"/>
        <v>0</v>
      </c>
      <c r="EL81" s="874">
        <f t="shared" si="206"/>
        <v>0</v>
      </c>
      <c r="EM81" s="874">
        <f t="shared" si="207"/>
        <v>0</v>
      </c>
      <c r="EN81" s="874" t="str">
        <f t="shared" si="147"/>
        <v/>
      </c>
      <c r="EO81" s="873" t="str">
        <f t="shared" si="208"/>
        <v/>
      </c>
      <c r="EP81" s="874">
        <f t="shared" si="209"/>
        <v>0</v>
      </c>
      <c r="EQ81" s="874">
        <f t="shared" si="210"/>
        <v>0</v>
      </c>
      <c r="ER81" s="874">
        <f t="shared" si="211"/>
        <v>0</v>
      </c>
      <c r="ES81" s="874" t="str">
        <f t="shared" si="152"/>
        <v/>
      </c>
      <c r="ET81" s="873" t="str">
        <f t="shared" si="212"/>
        <v/>
      </c>
      <c r="EU81" s="873">
        <f t="shared" si="154"/>
        <v>0</v>
      </c>
      <c r="EV81" s="876" t="e">
        <f t="shared" si="155"/>
        <v>#VALUE!</v>
      </c>
      <c r="EW81" s="876" t="e">
        <f t="shared" si="156"/>
        <v>#VALUE!</v>
      </c>
      <c r="EX81" s="878" t="str">
        <f t="shared" si="157"/>
        <v/>
      </c>
      <c r="EY81" s="879" t="e">
        <f t="shared" si="213"/>
        <v>#DIV/0!</v>
      </c>
      <c r="EZ81" s="959" t="e">
        <f t="shared" si="159"/>
        <v>#DIV/0!</v>
      </c>
      <c r="FA81" s="960" t="e">
        <f t="shared" si="160"/>
        <v>#DIV/0!</v>
      </c>
      <c r="FB81" s="880" t="str">
        <f t="shared" si="161"/>
        <v/>
      </c>
      <c r="FC81" s="881" t="str">
        <f t="shared" si="162"/>
        <v/>
      </c>
      <c r="FD81" s="890">
        <f t="shared" si="163"/>
        <v>0</v>
      </c>
      <c r="FE81" s="833">
        <f t="shared" si="164"/>
        <v>0</v>
      </c>
      <c r="FF81" s="754" t="b">
        <f t="shared" si="165"/>
        <v>0</v>
      </c>
      <c r="FG81" s="754" t="b">
        <f t="shared" si="166"/>
        <v>0</v>
      </c>
      <c r="FH81" s="754" t="b">
        <f t="shared" si="167"/>
        <v>0</v>
      </c>
      <c r="FI81" s="754" t="b">
        <f t="shared" si="168"/>
        <v>0</v>
      </c>
      <c r="FJ81" s="920" t="str">
        <f t="shared" si="182"/>
        <v/>
      </c>
      <c r="FK81" s="919" t="str">
        <f t="shared" si="183"/>
        <v/>
      </c>
      <c r="FL81" s="320" t="e">
        <f t="shared" si="184"/>
        <v>#N/A</v>
      </c>
      <c r="FM81" s="312" t="str">
        <f t="shared" si="169"/>
        <v/>
      </c>
      <c r="FN81" s="272" t="str">
        <f t="shared" ca="1" si="185"/>
        <v/>
      </c>
      <c r="FO81" s="273" t="str">
        <f t="shared" ca="1" si="186"/>
        <v/>
      </c>
      <c r="FP81" s="274" t="str">
        <f t="shared" ca="1" si="187"/>
        <v/>
      </c>
      <c r="FQ81" s="274" t="str">
        <f t="shared" ca="1" si="188"/>
        <v/>
      </c>
      <c r="FR81" s="321">
        <f t="shared" ca="1" si="189"/>
        <v>0</v>
      </c>
      <c r="FS81" s="322">
        <f t="shared" ca="1" si="190"/>
        <v>0</v>
      </c>
      <c r="FT81" s="272" t="str">
        <f t="shared" ca="1" si="191"/>
        <v/>
      </c>
      <c r="FU81" s="275" t="str">
        <f t="shared" ca="1" si="192"/>
        <v/>
      </c>
      <c r="FV81" s="323" t="str">
        <f t="shared" ca="1" si="170"/>
        <v/>
      </c>
      <c r="FW81" s="276" t="str">
        <f t="shared" ca="1" si="193"/>
        <v/>
      </c>
      <c r="FX81" s="276" t="str">
        <f t="shared" ca="1" si="194"/>
        <v/>
      </c>
      <c r="FY81" s="276" t="str">
        <f t="shared" ca="1" si="195"/>
        <v/>
      </c>
      <c r="FZ81" s="276" t="str">
        <f t="shared" ca="1" si="196"/>
        <v/>
      </c>
      <c r="GA81" s="276" t="str">
        <f t="shared" ca="1" si="197"/>
        <v/>
      </c>
      <c r="GB81" s="277" t="str">
        <f ca="1">IF(FY81="","",2+SUM(FO81:OFFSET(FO81,(FU81-1)*-1,0)))</f>
        <v/>
      </c>
      <c r="GC81" s="316" t="e">
        <f t="shared" si="198"/>
        <v>#N/A</v>
      </c>
      <c r="GD81" s="324" t="str">
        <f t="shared" si="171"/>
        <v/>
      </c>
      <c r="GE81" s="325" t="str">
        <f t="shared" si="172"/>
        <v/>
      </c>
      <c r="GF81" s="278" t="str">
        <f t="shared" si="173"/>
        <v/>
      </c>
      <c r="GG81" s="279" t="str">
        <f t="shared" si="174"/>
        <v/>
      </c>
      <c r="GH81" s="279" t="str">
        <f t="shared" si="175"/>
        <v/>
      </c>
      <c r="GI81" s="280" t="str">
        <f t="shared" si="176"/>
        <v/>
      </c>
      <c r="GJ81" s="530">
        <f t="shared" ca="1" si="177"/>
        <v>0</v>
      </c>
      <c r="GK81" s="895" t="str">
        <f t="shared" ca="1" si="199"/>
        <v/>
      </c>
    </row>
    <row r="82" spans="1:193" ht="12.6" hidden="1" customHeight="1" x14ac:dyDescent="0.2">
      <c r="BZ82" s="293"/>
      <c r="CA82" s="293"/>
      <c r="CB82" s="365" t="str">
        <f t="shared" si="104"/>
        <v/>
      </c>
      <c r="CC82" s="366"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05"/>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1305" t="str">
        <f>IF(CQ42="","",IF(VLOOKUP(CQ42,SectInfo!$B:$N,7,FALSE)="","",(VLOOKUP(CQ42,SectInfo!$B:$N,7,FALSE)*-1)))</f>
        <v/>
      </c>
      <c r="CR82" s="1305" t="str">
        <f>IF(CQ42="","",IF(VLOOKUP(CQ42,SectInfo!$B:$N,8,FALSE)="",$FC$4,(VLOOKUP(CQ42,SectInfo!$B:$N,8,FALSE))))</f>
        <v/>
      </c>
      <c r="CS82" s="1305" t="str">
        <f>IF(CQ42="","",VLOOKUP(CQ42,SectInfo!$B:$N,9,FALSE))</f>
        <v/>
      </c>
      <c r="CT82" s="1306">
        <f t="shared" si="106"/>
        <v>0</v>
      </c>
      <c r="CU82" s="1316">
        <f t="shared" si="107"/>
        <v>0</v>
      </c>
      <c r="CV82" s="1310" t="str">
        <f t="shared" si="108"/>
        <v/>
      </c>
      <c r="CW82" s="1310" t="str">
        <f t="shared" si="109"/>
        <v/>
      </c>
      <c r="CX82" s="1310" t="str">
        <f t="shared" si="110"/>
        <v/>
      </c>
      <c r="CY82" s="1312">
        <f t="shared" si="111"/>
        <v>0</v>
      </c>
      <c r="CZ82" s="1312">
        <f t="shared" si="112"/>
        <v>0</v>
      </c>
      <c r="DA82" s="1312" t="str">
        <f t="shared" si="113"/>
        <v/>
      </c>
      <c r="DB82" s="1310" t="str">
        <f t="shared" si="178"/>
        <v/>
      </c>
      <c r="DC82" s="1310" t="str">
        <f t="shared" si="114"/>
        <v/>
      </c>
      <c r="DD82" s="875">
        <f t="shared" si="179"/>
        <v>0</v>
      </c>
      <c r="DE82" s="873">
        <f t="shared" si="115"/>
        <v>0</v>
      </c>
      <c r="DF82" s="874">
        <f t="shared" si="116"/>
        <v>0</v>
      </c>
      <c r="DG82" s="874" t="str">
        <f t="shared" si="117"/>
        <v/>
      </c>
      <c r="DH82" s="1310" t="str">
        <f t="shared" si="180"/>
        <v/>
      </c>
      <c r="DI82" s="1310" t="str">
        <f t="shared" si="118"/>
        <v/>
      </c>
      <c r="DJ82" s="1311">
        <f t="shared" si="181"/>
        <v>0</v>
      </c>
      <c r="DK82" s="1310" t="str">
        <f t="shared" si="200"/>
        <v/>
      </c>
      <c r="DL82" s="1310" t="str">
        <f t="shared" si="201"/>
        <v/>
      </c>
      <c r="DM82" s="1310" t="str">
        <f t="shared" si="121"/>
        <v/>
      </c>
      <c r="DN82" s="1310" t="str">
        <f t="shared" si="122"/>
        <v/>
      </c>
      <c r="DO82" s="889" t="str">
        <f t="shared" si="123"/>
        <v>ERR</v>
      </c>
      <c r="DP82" s="889" t="str">
        <f t="shared" si="124"/>
        <v>ERR</v>
      </c>
      <c r="DQ82" s="1310" t="str">
        <f t="shared" si="125"/>
        <v/>
      </c>
      <c r="DR82" s="1310" t="str">
        <f t="shared" si="125"/>
        <v/>
      </c>
      <c r="DS82" s="1310" t="str">
        <f t="shared" si="126"/>
        <v/>
      </c>
      <c r="DT82" s="1310" t="str">
        <f t="shared" si="127"/>
        <v/>
      </c>
      <c r="DU82" s="1310" t="str">
        <f t="shared" si="128"/>
        <v/>
      </c>
      <c r="DV82" s="889" t="str">
        <f t="shared" si="129"/>
        <v>ERR</v>
      </c>
      <c r="DW82" s="889" t="str">
        <f t="shared" si="130"/>
        <v>ERR</v>
      </c>
      <c r="DX82" s="873" t="str">
        <f t="shared" si="202"/>
        <v/>
      </c>
      <c r="DY82" s="873" t="str">
        <f t="shared" si="203"/>
        <v/>
      </c>
      <c r="DZ82" s="873" t="str">
        <f t="shared" si="133"/>
        <v/>
      </c>
      <c r="EA82" s="873" t="str">
        <f t="shared" si="134"/>
        <v/>
      </c>
      <c r="EB82" s="876" t="str">
        <f t="shared" si="135"/>
        <v/>
      </c>
      <c r="EC82" s="877" t="str">
        <f t="shared" si="204"/>
        <v/>
      </c>
      <c r="ED82" s="876" t="str">
        <f t="shared" si="137"/>
        <v/>
      </c>
      <c r="EE82" s="876" t="str">
        <f t="shared" si="138"/>
        <v/>
      </c>
      <c r="EF82" s="876" t="str">
        <f t="shared" si="139"/>
        <v/>
      </c>
      <c r="EG82" s="876" t="str">
        <f t="shared" si="140"/>
        <v/>
      </c>
      <c r="EH82" s="876" t="str">
        <f t="shared" si="141"/>
        <v/>
      </c>
      <c r="EI82" s="876" t="str">
        <f t="shared" si="142"/>
        <v/>
      </c>
      <c r="EJ82" s="876" t="str">
        <f t="shared" si="143"/>
        <v/>
      </c>
      <c r="EK82" s="874">
        <f t="shared" si="205"/>
        <v>0</v>
      </c>
      <c r="EL82" s="874">
        <f t="shared" si="206"/>
        <v>0</v>
      </c>
      <c r="EM82" s="874">
        <f t="shared" si="207"/>
        <v>0</v>
      </c>
      <c r="EN82" s="874" t="str">
        <f t="shared" si="147"/>
        <v/>
      </c>
      <c r="EO82" s="873" t="str">
        <f t="shared" si="208"/>
        <v/>
      </c>
      <c r="EP82" s="874">
        <f t="shared" si="209"/>
        <v>0</v>
      </c>
      <c r="EQ82" s="874">
        <f t="shared" si="210"/>
        <v>0</v>
      </c>
      <c r="ER82" s="874">
        <f t="shared" si="211"/>
        <v>0</v>
      </c>
      <c r="ES82" s="874" t="str">
        <f t="shared" si="152"/>
        <v/>
      </c>
      <c r="ET82" s="873" t="str">
        <f t="shared" si="212"/>
        <v/>
      </c>
      <c r="EU82" s="873">
        <f t="shared" si="154"/>
        <v>0</v>
      </c>
      <c r="EV82" s="876" t="e">
        <f t="shared" si="155"/>
        <v>#VALUE!</v>
      </c>
      <c r="EW82" s="876" t="e">
        <f t="shared" si="156"/>
        <v>#VALUE!</v>
      </c>
      <c r="EX82" s="878" t="str">
        <f t="shared" si="157"/>
        <v/>
      </c>
      <c r="EY82" s="879" t="e">
        <f t="shared" si="213"/>
        <v>#DIV/0!</v>
      </c>
      <c r="EZ82" s="959" t="e">
        <f t="shared" si="159"/>
        <v>#DIV/0!</v>
      </c>
      <c r="FA82" s="960" t="e">
        <f t="shared" si="160"/>
        <v>#DIV/0!</v>
      </c>
      <c r="FB82" s="880" t="str">
        <f t="shared" si="161"/>
        <v/>
      </c>
      <c r="FC82" s="881" t="str">
        <f t="shared" si="162"/>
        <v/>
      </c>
      <c r="FD82" s="890">
        <f t="shared" si="163"/>
        <v>0</v>
      </c>
      <c r="FE82" s="833">
        <f t="shared" si="164"/>
        <v>0</v>
      </c>
      <c r="FF82" s="754" t="b">
        <f t="shared" si="165"/>
        <v>0</v>
      </c>
      <c r="FG82" s="754" t="b">
        <f t="shared" si="166"/>
        <v>0</v>
      </c>
      <c r="FH82" s="754" t="b">
        <f t="shared" si="167"/>
        <v>0</v>
      </c>
      <c r="FI82" s="754" t="b">
        <f t="shared" si="168"/>
        <v>0</v>
      </c>
      <c r="FJ82" s="920" t="str">
        <f t="shared" si="182"/>
        <v/>
      </c>
      <c r="FK82" s="919" t="str">
        <f t="shared" si="183"/>
        <v/>
      </c>
      <c r="FL82" s="320" t="e">
        <f t="shared" si="184"/>
        <v>#N/A</v>
      </c>
      <c r="FM82" s="312" t="str">
        <f t="shared" si="169"/>
        <v/>
      </c>
      <c r="FN82" s="272" t="str">
        <f t="shared" ca="1" si="185"/>
        <v/>
      </c>
      <c r="FO82" s="273" t="str">
        <f t="shared" ca="1" si="186"/>
        <v/>
      </c>
      <c r="FP82" s="274" t="str">
        <f t="shared" ca="1" si="187"/>
        <v/>
      </c>
      <c r="FQ82" s="274" t="str">
        <f t="shared" ca="1" si="188"/>
        <v/>
      </c>
      <c r="FR82" s="321">
        <f t="shared" ca="1" si="189"/>
        <v>0</v>
      </c>
      <c r="FS82" s="322">
        <f t="shared" ca="1" si="190"/>
        <v>0</v>
      </c>
      <c r="FT82" s="272" t="str">
        <f t="shared" ca="1" si="191"/>
        <v/>
      </c>
      <c r="FU82" s="275" t="str">
        <f t="shared" ca="1" si="192"/>
        <v/>
      </c>
      <c r="FV82" s="323" t="str">
        <f t="shared" ca="1" si="170"/>
        <v/>
      </c>
      <c r="FW82" s="276" t="str">
        <f t="shared" ca="1" si="193"/>
        <v/>
      </c>
      <c r="FX82" s="276" t="str">
        <f t="shared" ca="1" si="194"/>
        <v/>
      </c>
      <c r="FY82" s="276" t="str">
        <f t="shared" ca="1" si="195"/>
        <v/>
      </c>
      <c r="FZ82" s="276" t="str">
        <f t="shared" ca="1" si="196"/>
        <v/>
      </c>
      <c r="GA82" s="276" t="str">
        <f t="shared" ca="1" si="197"/>
        <v/>
      </c>
      <c r="GB82" s="277" t="str">
        <f ca="1">IF(FY82="","",2+SUM(FO82:OFFSET(FO82,(FU82-1)*-1,0)))</f>
        <v/>
      </c>
      <c r="GC82" s="316" t="e">
        <f t="shared" si="198"/>
        <v>#N/A</v>
      </c>
      <c r="GD82" s="324" t="str">
        <f t="shared" si="171"/>
        <v/>
      </c>
      <c r="GE82" s="325" t="str">
        <f t="shared" si="172"/>
        <v/>
      </c>
      <c r="GF82" s="278" t="str">
        <f t="shared" si="173"/>
        <v/>
      </c>
      <c r="GG82" s="279" t="str">
        <f t="shared" si="174"/>
        <v/>
      </c>
      <c r="GH82" s="279" t="str">
        <f t="shared" si="175"/>
        <v/>
      </c>
      <c r="GI82" s="280" t="str">
        <f t="shared" si="176"/>
        <v/>
      </c>
      <c r="GJ82" s="530">
        <f t="shared" ca="1" si="177"/>
        <v>0</v>
      </c>
      <c r="GK82" s="895" t="str">
        <f t="shared" ca="1" si="199"/>
        <v/>
      </c>
    </row>
    <row r="83" spans="1:193" ht="12.6" hidden="1" customHeight="1" x14ac:dyDescent="0.2">
      <c r="BZ83" s="293"/>
      <c r="CA83" s="293"/>
      <c r="CB83" s="365" t="str">
        <f t="shared" si="104"/>
        <v/>
      </c>
      <c r="CC83" s="366"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05"/>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1305" t="str">
        <f>IF(CQ43="","",IF(VLOOKUP(CQ43,SectInfo!$B:$N,7,FALSE)="","",(VLOOKUP(CQ43,SectInfo!$B:$N,7,FALSE)*-1)))</f>
        <v/>
      </c>
      <c r="CR83" s="1305" t="str">
        <f>IF(CQ43="","",IF(VLOOKUP(CQ43,SectInfo!$B:$N,8,FALSE)="",$FC$4,(VLOOKUP(CQ43,SectInfo!$B:$N,8,FALSE))))</f>
        <v/>
      </c>
      <c r="CS83" s="1305" t="str">
        <f>IF(CQ43="","",VLOOKUP(CQ43,SectInfo!$B:$N,9,FALSE))</f>
        <v/>
      </c>
      <c r="CT83" s="1306">
        <f t="shared" si="106"/>
        <v>0</v>
      </c>
      <c r="CU83" s="1316">
        <f t="shared" si="107"/>
        <v>0</v>
      </c>
      <c r="CV83" s="1310" t="str">
        <f t="shared" si="108"/>
        <v/>
      </c>
      <c r="CW83" s="1310" t="str">
        <f t="shared" si="109"/>
        <v/>
      </c>
      <c r="CX83" s="1310" t="str">
        <f t="shared" si="110"/>
        <v/>
      </c>
      <c r="CY83" s="1312">
        <f t="shared" si="111"/>
        <v>0</v>
      </c>
      <c r="CZ83" s="1312">
        <f t="shared" si="112"/>
        <v>0</v>
      </c>
      <c r="DA83" s="1312" t="str">
        <f t="shared" si="113"/>
        <v/>
      </c>
      <c r="DB83" s="1310" t="str">
        <f t="shared" si="178"/>
        <v/>
      </c>
      <c r="DC83" s="1310" t="str">
        <f t="shared" si="114"/>
        <v/>
      </c>
      <c r="DD83" s="875">
        <f t="shared" si="179"/>
        <v>0</v>
      </c>
      <c r="DE83" s="873">
        <f t="shared" si="115"/>
        <v>0</v>
      </c>
      <c r="DF83" s="874">
        <f t="shared" si="116"/>
        <v>0</v>
      </c>
      <c r="DG83" s="874" t="str">
        <f t="shared" si="117"/>
        <v/>
      </c>
      <c r="DH83" s="1310" t="str">
        <f t="shared" si="180"/>
        <v/>
      </c>
      <c r="DI83" s="1310" t="str">
        <f t="shared" si="118"/>
        <v/>
      </c>
      <c r="DJ83" s="1311">
        <f t="shared" si="181"/>
        <v>0</v>
      </c>
      <c r="DK83" s="1310" t="str">
        <f t="shared" si="200"/>
        <v/>
      </c>
      <c r="DL83" s="1310" t="str">
        <f t="shared" si="201"/>
        <v/>
      </c>
      <c r="DM83" s="1310" t="str">
        <f t="shared" si="121"/>
        <v/>
      </c>
      <c r="DN83" s="1310" t="str">
        <f t="shared" si="122"/>
        <v/>
      </c>
      <c r="DO83" s="889" t="str">
        <f t="shared" si="123"/>
        <v>ERR</v>
      </c>
      <c r="DP83" s="889" t="str">
        <f t="shared" si="124"/>
        <v>ERR</v>
      </c>
      <c r="DQ83" s="1310" t="str">
        <f t="shared" si="125"/>
        <v/>
      </c>
      <c r="DR83" s="1310" t="str">
        <f t="shared" si="125"/>
        <v/>
      </c>
      <c r="DS83" s="1310" t="str">
        <f t="shared" si="126"/>
        <v/>
      </c>
      <c r="DT83" s="1310" t="str">
        <f t="shared" si="127"/>
        <v/>
      </c>
      <c r="DU83" s="1310" t="str">
        <f t="shared" si="128"/>
        <v/>
      </c>
      <c r="DV83" s="889" t="str">
        <f t="shared" si="129"/>
        <v>ERR</v>
      </c>
      <c r="DW83" s="889" t="str">
        <f t="shared" si="130"/>
        <v>ERR</v>
      </c>
      <c r="DX83" s="873" t="str">
        <f t="shared" si="202"/>
        <v/>
      </c>
      <c r="DY83" s="873" t="str">
        <f t="shared" si="203"/>
        <v/>
      </c>
      <c r="DZ83" s="873" t="str">
        <f t="shared" si="133"/>
        <v/>
      </c>
      <c r="EA83" s="873" t="str">
        <f t="shared" si="134"/>
        <v/>
      </c>
      <c r="EB83" s="876" t="str">
        <f t="shared" si="135"/>
        <v/>
      </c>
      <c r="EC83" s="877" t="str">
        <f t="shared" si="204"/>
        <v/>
      </c>
      <c r="ED83" s="876" t="str">
        <f t="shared" si="137"/>
        <v/>
      </c>
      <c r="EE83" s="876" t="str">
        <f t="shared" si="138"/>
        <v/>
      </c>
      <c r="EF83" s="876" t="str">
        <f t="shared" si="139"/>
        <v/>
      </c>
      <c r="EG83" s="876" t="str">
        <f t="shared" si="140"/>
        <v/>
      </c>
      <c r="EH83" s="876" t="str">
        <f t="shared" si="141"/>
        <v/>
      </c>
      <c r="EI83" s="876" t="str">
        <f t="shared" si="142"/>
        <v/>
      </c>
      <c r="EJ83" s="876" t="str">
        <f t="shared" si="143"/>
        <v/>
      </c>
      <c r="EK83" s="874">
        <f t="shared" si="205"/>
        <v>0</v>
      </c>
      <c r="EL83" s="874">
        <f t="shared" si="206"/>
        <v>0</v>
      </c>
      <c r="EM83" s="874">
        <f t="shared" si="207"/>
        <v>0</v>
      </c>
      <c r="EN83" s="874" t="str">
        <f t="shared" si="147"/>
        <v/>
      </c>
      <c r="EO83" s="873" t="str">
        <f t="shared" si="208"/>
        <v/>
      </c>
      <c r="EP83" s="874">
        <f t="shared" si="209"/>
        <v>0</v>
      </c>
      <c r="EQ83" s="874">
        <f t="shared" si="210"/>
        <v>0</v>
      </c>
      <c r="ER83" s="874">
        <f t="shared" si="211"/>
        <v>0</v>
      </c>
      <c r="ES83" s="874" t="str">
        <f t="shared" si="152"/>
        <v/>
      </c>
      <c r="ET83" s="873" t="str">
        <f t="shared" si="212"/>
        <v/>
      </c>
      <c r="EU83" s="873">
        <f t="shared" si="154"/>
        <v>0</v>
      </c>
      <c r="EV83" s="876" t="e">
        <f t="shared" si="155"/>
        <v>#VALUE!</v>
      </c>
      <c r="EW83" s="876" t="e">
        <f t="shared" si="156"/>
        <v>#VALUE!</v>
      </c>
      <c r="EX83" s="878" t="str">
        <f t="shared" si="157"/>
        <v/>
      </c>
      <c r="EY83" s="879" t="e">
        <f t="shared" si="213"/>
        <v>#DIV/0!</v>
      </c>
      <c r="EZ83" s="959" t="e">
        <f t="shared" si="159"/>
        <v>#DIV/0!</v>
      </c>
      <c r="FA83" s="960" t="e">
        <f t="shared" si="160"/>
        <v>#DIV/0!</v>
      </c>
      <c r="FB83" s="880" t="str">
        <f t="shared" si="161"/>
        <v/>
      </c>
      <c r="FC83" s="881" t="str">
        <f t="shared" si="162"/>
        <v/>
      </c>
      <c r="FD83" s="890">
        <f t="shared" si="163"/>
        <v>0</v>
      </c>
      <c r="FE83" s="833">
        <f t="shared" si="164"/>
        <v>0</v>
      </c>
      <c r="FF83" s="754" t="b">
        <f t="shared" si="165"/>
        <v>0</v>
      </c>
      <c r="FG83" s="754" t="b">
        <f t="shared" si="166"/>
        <v>0</v>
      </c>
      <c r="FH83" s="754" t="b">
        <f t="shared" si="167"/>
        <v>0</v>
      </c>
      <c r="FI83" s="754" t="b">
        <f t="shared" si="168"/>
        <v>0</v>
      </c>
      <c r="FJ83" s="920" t="str">
        <f t="shared" si="182"/>
        <v/>
      </c>
      <c r="FK83" s="919" t="str">
        <f t="shared" si="183"/>
        <v/>
      </c>
      <c r="FL83" s="320" t="e">
        <f t="shared" si="184"/>
        <v>#N/A</v>
      </c>
      <c r="FM83" s="312" t="str">
        <f t="shared" si="169"/>
        <v/>
      </c>
      <c r="FN83" s="272" t="str">
        <f t="shared" ca="1" si="185"/>
        <v/>
      </c>
      <c r="FO83" s="273" t="str">
        <f t="shared" ca="1" si="186"/>
        <v/>
      </c>
      <c r="FP83" s="274" t="str">
        <f t="shared" ca="1" si="187"/>
        <v/>
      </c>
      <c r="FQ83" s="274" t="str">
        <f t="shared" ca="1" si="188"/>
        <v/>
      </c>
      <c r="FR83" s="321">
        <f t="shared" ca="1" si="189"/>
        <v>0</v>
      </c>
      <c r="FS83" s="322">
        <f t="shared" ca="1" si="190"/>
        <v>0</v>
      </c>
      <c r="FT83" s="272" t="str">
        <f t="shared" ca="1" si="191"/>
        <v/>
      </c>
      <c r="FU83" s="275" t="str">
        <f t="shared" ca="1" si="192"/>
        <v/>
      </c>
      <c r="FV83" s="323" t="str">
        <f t="shared" ca="1" si="170"/>
        <v/>
      </c>
      <c r="FW83" s="276" t="str">
        <f t="shared" ca="1" si="193"/>
        <v/>
      </c>
      <c r="FX83" s="276" t="str">
        <f t="shared" ca="1" si="194"/>
        <v/>
      </c>
      <c r="FY83" s="276" t="str">
        <f t="shared" ca="1" si="195"/>
        <v/>
      </c>
      <c r="FZ83" s="276" t="str">
        <f t="shared" ca="1" si="196"/>
        <v/>
      </c>
      <c r="GA83" s="276" t="str">
        <f t="shared" ca="1" si="197"/>
        <v/>
      </c>
      <c r="GB83" s="277" t="str">
        <f ca="1">IF(FY83="","",2+SUM(FO83:OFFSET(FO83,(FU83-1)*-1,0)))</f>
        <v/>
      </c>
      <c r="GC83" s="316" t="e">
        <f t="shared" si="198"/>
        <v>#N/A</v>
      </c>
      <c r="GD83" s="324" t="str">
        <f t="shared" si="171"/>
        <v/>
      </c>
      <c r="GE83" s="325" t="str">
        <f t="shared" si="172"/>
        <v/>
      </c>
      <c r="GF83" s="278" t="str">
        <f t="shared" si="173"/>
        <v/>
      </c>
      <c r="GG83" s="279" t="str">
        <f t="shared" si="174"/>
        <v/>
      </c>
      <c r="GH83" s="279" t="str">
        <f t="shared" si="175"/>
        <v/>
      </c>
      <c r="GI83" s="280" t="str">
        <f t="shared" si="176"/>
        <v/>
      </c>
      <c r="GJ83" s="530">
        <f t="shared" ca="1" si="177"/>
        <v>0</v>
      </c>
      <c r="GK83" s="895" t="str">
        <f t="shared" ca="1" si="199"/>
        <v/>
      </c>
    </row>
    <row r="84" spans="1:193" ht="12.6" hidden="1" customHeight="1" x14ac:dyDescent="0.2">
      <c r="BZ84" s="293"/>
      <c r="CA84" s="293"/>
      <c r="CB84" s="365" t="str">
        <f t="shared" si="104"/>
        <v/>
      </c>
      <c r="CC84" s="366"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05"/>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1305" t="str">
        <f>IF(CQ44="","",IF(VLOOKUP(CQ44,SectInfo!$B:$N,7,FALSE)="","",(VLOOKUP(CQ44,SectInfo!$B:$N,7,FALSE)*-1)))</f>
        <v/>
      </c>
      <c r="CR84" s="1305" t="str">
        <f>IF(CQ44="","",IF(VLOOKUP(CQ44,SectInfo!$B:$N,8,FALSE)="",$FC$4,(VLOOKUP(CQ44,SectInfo!$B:$N,8,FALSE))))</f>
        <v/>
      </c>
      <c r="CS84" s="1305" t="str">
        <f>IF(CQ44="","",VLOOKUP(CQ44,SectInfo!$B:$N,9,FALSE))</f>
        <v/>
      </c>
      <c r="CT84" s="1306">
        <f t="shared" si="106"/>
        <v>0</v>
      </c>
      <c r="CU84" s="1316">
        <f t="shared" si="107"/>
        <v>0</v>
      </c>
      <c r="CV84" s="1310" t="str">
        <f t="shared" si="108"/>
        <v/>
      </c>
      <c r="CW84" s="1310" t="str">
        <f t="shared" si="109"/>
        <v/>
      </c>
      <c r="CX84" s="1310" t="str">
        <f t="shared" si="110"/>
        <v/>
      </c>
      <c r="CY84" s="1312">
        <f t="shared" si="111"/>
        <v>0</v>
      </c>
      <c r="CZ84" s="1312">
        <f t="shared" si="112"/>
        <v>0</v>
      </c>
      <c r="DA84" s="1312" t="str">
        <f t="shared" si="113"/>
        <v/>
      </c>
      <c r="DB84" s="1310" t="str">
        <f t="shared" si="178"/>
        <v/>
      </c>
      <c r="DC84" s="1310" t="str">
        <f t="shared" si="114"/>
        <v/>
      </c>
      <c r="DD84" s="875">
        <f t="shared" si="179"/>
        <v>0</v>
      </c>
      <c r="DE84" s="873">
        <f t="shared" si="115"/>
        <v>0</v>
      </c>
      <c r="DF84" s="874">
        <f t="shared" si="116"/>
        <v>0</v>
      </c>
      <c r="DG84" s="874" t="str">
        <f t="shared" si="117"/>
        <v/>
      </c>
      <c r="DH84" s="1310" t="str">
        <f t="shared" si="180"/>
        <v/>
      </c>
      <c r="DI84" s="1310" t="str">
        <f t="shared" si="118"/>
        <v/>
      </c>
      <c r="DJ84" s="1311">
        <f t="shared" si="181"/>
        <v>0</v>
      </c>
      <c r="DK84" s="1310" t="str">
        <f t="shared" si="200"/>
        <v/>
      </c>
      <c r="DL84" s="1310" t="str">
        <f t="shared" si="201"/>
        <v/>
      </c>
      <c r="DM84" s="1310" t="str">
        <f t="shared" si="121"/>
        <v/>
      </c>
      <c r="DN84" s="1310" t="str">
        <f t="shared" si="122"/>
        <v/>
      </c>
      <c r="DO84" s="889" t="str">
        <f t="shared" si="123"/>
        <v>ERR</v>
      </c>
      <c r="DP84" s="889" t="str">
        <f t="shared" si="124"/>
        <v>ERR</v>
      </c>
      <c r="DQ84" s="1310" t="str">
        <f t="shared" si="125"/>
        <v/>
      </c>
      <c r="DR84" s="1310" t="str">
        <f t="shared" si="125"/>
        <v/>
      </c>
      <c r="DS84" s="1310" t="str">
        <f t="shared" si="126"/>
        <v/>
      </c>
      <c r="DT84" s="1310" t="str">
        <f t="shared" si="127"/>
        <v/>
      </c>
      <c r="DU84" s="1310" t="str">
        <f t="shared" si="128"/>
        <v/>
      </c>
      <c r="DV84" s="889" t="str">
        <f t="shared" si="129"/>
        <v>ERR</v>
      </c>
      <c r="DW84" s="889" t="str">
        <f t="shared" si="130"/>
        <v>ERR</v>
      </c>
      <c r="DX84" s="873" t="str">
        <f t="shared" si="202"/>
        <v/>
      </c>
      <c r="DY84" s="873" t="str">
        <f t="shared" si="203"/>
        <v/>
      </c>
      <c r="DZ84" s="873" t="str">
        <f t="shared" si="133"/>
        <v/>
      </c>
      <c r="EA84" s="873" t="str">
        <f t="shared" si="134"/>
        <v/>
      </c>
      <c r="EB84" s="876" t="str">
        <f t="shared" si="135"/>
        <v/>
      </c>
      <c r="EC84" s="877" t="str">
        <f t="shared" si="204"/>
        <v/>
      </c>
      <c r="ED84" s="876" t="str">
        <f t="shared" si="137"/>
        <v/>
      </c>
      <c r="EE84" s="876" t="str">
        <f t="shared" si="138"/>
        <v/>
      </c>
      <c r="EF84" s="876" t="str">
        <f t="shared" si="139"/>
        <v/>
      </c>
      <c r="EG84" s="876" t="str">
        <f t="shared" si="140"/>
        <v/>
      </c>
      <c r="EH84" s="876" t="str">
        <f t="shared" si="141"/>
        <v/>
      </c>
      <c r="EI84" s="876" t="str">
        <f t="shared" si="142"/>
        <v/>
      </c>
      <c r="EJ84" s="876" t="str">
        <f t="shared" si="143"/>
        <v/>
      </c>
      <c r="EK84" s="874">
        <f t="shared" si="205"/>
        <v>0</v>
      </c>
      <c r="EL84" s="874">
        <f t="shared" si="206"/>
        <v>0</v>
      </c>
      <c r="EM84" s="874">
        <f t="shared" si="207"/>
        <v>0</v>
      </c>
      <c r="EN84" s="874" t="str">
        <f t="shared" si="147"/>
        <v/>
      </c>
      <c r="EO84" s="873" t="str">
        <f t="shared" si="208"/>
        <v/>
      </c>
      <c r="EP84" s="874">
        <f t="shared" si="209"/>
        <v>0</v>
      </c>
      <c r="EQ84" s="874">
        <f t="shared" si="210"/>
        <v>0</v>
      </c>
      <c r="ER84" s="874">
        <f t="shared" si="211"/>
        <v>0</v>
      </c>
      <c r="ES84" s="874" t="str">
        <f t="shared" si="152"/>
        <v/>
      </c>
      <c r="ET84" s="873" t="str">
        <f t="shared" si="212"/>
        <v/>
      </c>
      <c r="EU84" s="873">
        <f t="shared" si="154"/>
        <v>0</v>
      </c>
      <c r="EV84" s="876" t="e">
        <f t="shared" si="155"/>
        <v>#VALUE!</v>
      </c>
      <c r="EW84" s="876" t="e">
        <f t="shared" si="156"/>
        <v>#VALUE!</v>
      </c>
      <c r="EX84" s="878" t="str">
        <f t="shared" si="157"/>
        <v/>
      </c>
      <c r="EY84" s="879" t="e">
        <f t="shared" si="213"/>
        <v>#DIV/0!</v>
      </c>
      <c r="EZ84" s="959" t="e">
        <f t="shared" si="159"/>
        <v>#DIV/0!</v>
      </c>
      <c r="FA84" s="960" t="e">
        <f t="shared" si="160"/>
        <v>#DIV/0!</v>
      </c>
      <c r="FB84" s="880" t="str">
        <f t="shared" si="161"/>
        <v/>
      </c>
      <c r="FC84" s="881" t="str">
        <f t="shared" si="162"/>
        <v/>
      </c>
      <c r="FD84" s="890">
        <f t="shared" si="163"/>
        <v>0</v>
      </c>
      <c r="FE84" s="833">
        <f t="shared" si="164"/>
        <v>0</v>
      </c>
      <c r="FF84" s="754" t="b">
        <f t="shared" si="165"/>
        <v>0</v>
      </c>
      <c r="FG84" s="754" t="b">
        <f t="shared" si="166"/>
        <v>0</v>
      </c>
      <c r="FH84" s="754" t="b">
        <f t="shared" si="167"/>
        <v>0</v>
      </c>
      <c r="FI84" s="754" t="b">
        <f t="shared" si="168"/>
        <v>0</v>
      </c>
      <c r="FJ84" s="920" t="str">
        <f t="shared" si="182"/>
        <v/>
      </c>
      <c r="FK84" s="919" t="str">
        <f t="shared" si="183"/>
        <v/>
      </c>
      <c r="FL84" s="320" t="e">
        <f t="shared" si="184"/>
        <v>#N/A</v>
      </c>
      <c r="FM84" s="312" t="str">
        <f t="shared" si="169"/>
        <v/>
      </c>
      <c r="FN84" s="272" t="str">
        <f t="shared" ca="1" si="185"/>
        <v/>
      </c>
      <c r="FO84" s="273" t="str">
        <f t="shared" ca="1" si="186"/>
        <v/>
      </c>
      <c r="FP84" s="274" t="str">
        <f t="shared" ca="1" si="187"/>
        <v/>
      </c>
      <c r="FQ84" s="274" t="str">
        <f t="shared" ca="1" si="188"/>
        <v/>
      </c>
      <c r="FR84" s="321">
        <f t="shared" ca="1" si="189"/>
        <v>0</v>
      </c>
      <c r="FS84" s="322">
        <f t="shared" ca="1" si="190"/>
        <v>0</v>
      </c>
      <c r="FT84" s="272" t="str">
        <f t="shared" ca="1" si="191"/>
        <v/>
      </c>
      <c r="FU84" s="275" t="str">
        <f t="shared" ca="1" si="192"/>
        <v/>
      </c>
      <c r="FV84" s="323" t="str">
        <f t="shared" ca="1" si="170"/>
        <v/>
      </c>
      <c r="FW84" s="276" t="str">
        <f t="shared" ca="1" si="193"/>
        <v/>
      </c>
      <c r="FX84" s="276" t="str">
        <f t="shared" ca="1" si="194"/>
        <v/>
      </c>
      <c r="FY84" s="276" t="str">
        <f t="shared" ca="1" si="195"/>
        <v/>
      </c>
      <c r="FZ84" s="276" t="str">
        <f t="shared" ca="1" si="196"/>
        <v/>
      </c>
      <c r="GA84" s="276" t="str">
        <f t="shared" ca="1" si="197"/>
        <v/>
      </c>
      <c r="GB84" s="277" t="str">
        <f ca="1">IF(FY84="","",2+SUM(FO84:OFFSET(FO84,(FU84-1)*-1,0)))</f>
        <v/>
      </c>
      <c r="GC84" s="316" t="e">
        <f t="shared" si="198"/>
        <v>#N/A</v>
      </c>
      <c r="GD84" s="324" t="str">
        <f t="shared" si="171"/>
        <v/>
      </c>
      <c r="GE84" s="325" t="str">
        <f t="shared" si="172"/>
        <v/>
      </c>
      <c r="GF84" s="278" t="str">
        <f t="shared" si="173"/>
        <v/>
      </c>
      <c r="GG84" s="279" t="str">
        <f t="shared" si="174"/>
        <v/>
      </c>
      <c r="GH84" s="279" t="str">
        <f t="shared" si="175"/>
        <v/>
      </c>
      <c r="GI84" s="280" t="str">
        <f t="shared" si="176"/>
        <v/>
      </c>
      <c r="GJ84" s="530">
        <f t="shared" ca="1" si="177"/>
        <v>0</v>
      </c>
      <c r="GK84" s="895" t="str">
        <f t="shared" ca="1" si="199"/>
        <v/>
      </c>
    </row>
    <row r="85" spans="1:193" ht="12.6" hidden="1" customHeight="1" thickBot="1" x14ac:dyDescent="0.25">
      <c r="BZ85" s="293"/>
      <c r="CA85" s="293"/>
      <c r="CB85" s="365" t="str">
        <f t="shared" si="104"/>
        <v/>
      </c>
      <c r="CC85" s="366" t="str">
        <f>IF(CG45="","",VLOOKUP(CG45,SectInfo!$B:$N,12,FALSE))</f>
        <v/>
      </c>
      <c r="CD85" s="1305" t="str">
        <f>IF(ISBLANK(CN45),IF(CG45="","",VLOOKUP(CG45,SectInfo!$B:$N,13,FALSE)),CN45)</f>
        <v/>
      </c>
      <c r="CE85" s="1305" t="str">
        <f>IF(CG45="","",IF(VLOOKUP(CG45,SectInfo!$B:$N,5,FALSE)="","R",UPPER(VLOOKUP(CG45,SectInfo!$B:$N,5,FALSE))))</f>
        <v/>
      </c>
      <c r="CF85" s="1305" t="str">
        <f>IF(ISBLANK(CP45),IF(CG45="","",VLOOKUP(CG45,SectInfo!$B:$N,6,FALSE)),CP45)</f>
        <v/>
      </c>
      <c r="CG85" s="1305" t="str">
        <f>IF(CG45="","",IF(VLOOKUP(CG45,SectInfo!$B:$N,10,FALSE)="","",(VLOOKUP(CG45,SectInfo!$B:$N,10,FALSE)*-1)))</f>
        <v/>
      </c>
      <c r="CH85" s="1305" t="str">
        <f>IF(CG45="","",IF(VLOOKUP(CG45,SectInfo!$B:$N,7,FALSE)="","",(VLOOKUP(CG45,SectInfo!$B:$N,7,FALSE)*-1)))</f>
        <v/>
      </c>
      <c r="CI85" s="1305" t="str">
        <f>IF(CG45="","",IF(VLOOKUP(CG45,SectInfo!$B:$N,8,FALSE)="",$FC$4,(VLOOKUP(CG45,SectInfo!$B:$N,8,FALSE))))</f>
        <v/>
      </c>
      <c r="CJ85" s="1305" t="str">
        <f>IF(CG45="","",VLOOKUP(CG45,SectInfo!$B:$N,9,FALSE))</f>
        <v/>
      </c>
      <c r="CK85" s="1306">
        <f t="shared" si="105"/>
        <v>0</v>
      </c>
      <c r="CL85" s="1304" t="str">
        <f>IF(CQ45="","",VLOOKUP(CQ45,SectInfo!$B:$N,12,FALSE))</f>
        <v/>
      </c>
      <c r="CM85" s="1305" t="str">
        <f>IF(ISBLANK(CX45),IF(CQ45="","",VLOOKUP(CQ45,SectInfo!$B:$N,13,FALSE)),CX45)</f>
        <v/>
      </c>
      <c r="CN85" s="1305" t="str">
        <f>IF(CQ45="","",IF(VLOOKUP(CQ45,SectInfo!$B:$N,5,FALSE)="","R",UPPER(VLOOKUP(CQ45,SectInfo!$B:$N,5,FALSE))))</f>
        <v/>
      </c>
      <c r="CO85" s="1305" t="str">
        <f>IF(ISBLANK(CZ45),IF(CQ45="","",VLOOKUP(CQ45,SectInfo!$B:$N,6,FALSE)),CZ45)</f>
        <v/>
      </c>
      <c r="CP85" s="1305" t="str">
        <f>IF(CQ45="","",IF(VLOOKUP(CQ45,SectInfo!$B:$N,10,FALSE)="","",(VLOOKUP(CQ45,SectInfo!$B:$N,10,FALSE)*-1)))</f>
        <v/>
      </c>
      <c r="CQ85" s="1305" t="str">
        <f>IF(CQ45="","",IF(VLOOKUP(CQ45,SectInfo!$B:$N,7,FALSE)="","",(VLOOKUP(CQ45,SectInfo!$B:$N,7,FALSE)*-1)))</f>
        <v/>
      </c>
      <c r="CR85" s="1305" t="str">
        <f>IF(CQ45="","",IF(VLOOKUP(CQ45,SectInfo!$B:$N,8,FALSE)="",$FC$4,(VLOOKUP(CQ45,SectInfo!$B:$N,8,FALSE))))</f>
        <v/>
      </c>
      <c r="CS85" s="1305" t="str">
        <f>IF(CQ45="","",VLOOKUP(CQ45,SectInfo!$B:$N,9,FALSE))</f>
        <v/>
      </c>
      <c r="CT85" s="1306">
        <f t="shared" si="106"/>
        <v>0</v>
      </c>
      <c r="CU85" s="1316">
        <f t="shared" si="107"/>
        <v>0</v>
      </c>
      <c r="CV85" s="1310" t="str">
        <f t="shared" si="108"/>
        <v/>
      </c>
      <c r="CW85" s="1310" t="str">
        <f t="shared" si="109"/>
        <v/>
      </c>
      <c r="CX85" s="1310" t="str">
        <f t="shared" si="110"/>
        <v/>
      </c>
      <c r="CY85" s="1312">
        <f t="shared" si="111"/>
        <v>0</v>
      </c>
      <c r="CZ85" s="1312">
        <f t="shared" si="112"/>
        <v>0</v>
      </c>
      <c r="DA85" s="1312" t="str">
        <f t="shared" si="113"/>
        <v/>
      </c>
      <c r="DB85" s="1310" t="str">
        <f t="shared" si="178"/>
        <v/>
      </c>
      <c r="DC85" s="1310" t="str">
        <f t="shared" si="114"/>
        <v/>
      </c>
      <c r="DD85" s="875">
        <f t="shared" si="179"/>
        <v>0</v>
      </c>
      <c r="DE85" s="873">
        <f t="shared" si="115"/>
        <v>0</v>
      </c>
      <c r="DF85" s="874">
        <f t="shared" si="116"/>
        <v>0</v>
      </c>
      <c r="DG85" s="874" t="str">
        <f t="shared" si="117"/>
        <v/>
      </c>
      <c r="DH85" s="1310" t="str">
        <f t="shared" si="180"/>
        <v/>
      </c>
      <c r="DI85" s="1310" t="str">
        <f t="shared" si="118"/>
        <v/>
      </c>
      <c r="DJ85" s="1311">
        <f t="shared" si="181"/>
        <v>0</v>
      </c>
      <c r="DK85" s="1310" t="str">
        <f t="shared" si="200"/>
        <v/>
      </c>
      <c r="DL85" s="1310" t="str">
        <f t="shared" si="201"/>
        <v/>
      </c>
      <c r="DM85" s="1310" t="str">
        <f t="shared" si="121"/>
        <v/>
      </c>
      <c r="DN85" s="1310" t="str">
        <f t="shared" si="122"/>
        <v/>
      </c>
      <c r="DO85" s="889" t="str">
        <f t="shared" si="123"/>
        <v>ERR</v>
      </c>
      <c r="DP85" s="889" t="str">
        <f t="shared" si="124"/>
        <v>ERR</v>
      </c>
      <c r="DQ85" s="1310" t="str">
        <f t="shared" si="125"/>
        <v/>
      </c>
      <c r="DR85" s="1310" t="str">
        <f t="shared" si="125"/>
        <v/>
      </c>
      <c r="DS85" s="1310" t="str">
        <f t="shared" si="126"/>
        <v/>
      </c>
      <c r="DT85" s="1310" t="str">
        <f t="shared" si="127"/>
        <v/>
      </c>
      <c r="DU85" s="1310" t="str">
        <f t="shared" si="128"/>
        <v/>
      </c>
      <c r="DV85" s="889" t="str">
        <f t="shared" si="129"/>
        <v>ERR</v>
      </c>
      <c r="DW85" s="889" t="str">
        <f t="shared" si="130"/>
        <v>ERR</v>
      </c>
      <c r="DX85" s="873" t="str">
        <f t="shared" si="202"/>
        <v/>
      </c>
      <c r="DY85" s="873" t="str">
        <f t="shared" si="203"/>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5"/>
        <v/>
      </c>
      <c r="EC85" s="877" t="str">
        <f t="shared" si="204"/>
        <v/>
      </c>
      <c r="ED85" s="876" t="str">
        <f t="shared" si="137"/>
        <v/>
      </c>
      <c r="EE85" s="876" t="str">
        <f t="shared" si="138"/>
        <v/>
      </c>
      <c r="EF85" s="876" t="str">
        <f t="shared" si="139"/>
        <v/>
      </c>
      <c r="EG85" s="876" t="str">
        <f t="shared" si="140"/>
        <v/>
      </c>
      <c r="EH85" s="876" t="str">
        <f t="shared" si="141"/>
        <v/>
      </c>
      <c r="EI85" s="876" t="str">
        <f t="shared" si="142"/>
        <v/>
      </c>
      <c r="EJ85" s="876" t="str">
        <f t="shared" si="143"/>
        <v/>
      </c>
      <c r="EK85" s="874">
        <f t="shared" si="205"/>
        <v>0</v>
      </c>
      <c r="EL85" s="874">
        <f t="shared" si="206"/>
        <v>0</v>
      </c>
      <c r="EM85" s="874">
        <f t="shared" si="207"/>
        <v>0</v>
      </c>
      <c r="EN85" s="874" t="str">
        <f t="shared" si="147"/>
        <v/>
      </c>
      <c r="EO85" s="873" t="str">
        <f t="shared" si="208"/>
        <v/>
      </c>
      <c r="EP85" s="874">
        <f t="shared" si="209"/>
        <v>0</v>
      </c>
      <c r="EQ85" s="874">
        <f t="shared" si="210"/>
        <v>0</v>
      </c>
      <c r="ER85" s="874">
        <f t="shared" si="211"/>
        <v>0</v>
      </c>
      <c r="ES85" s="874" t="str">
        <f t="shared" si="152"/>
        <v/>
      </c>
      <c r="ET85" s="873" t="str">
        <f t="shared" si="212"/>
        <v/>
      </c>
      <c r="EU85" s="873">
        <f t="shared" si="154"/>
        <v>0</v>
      </c>
      <c r="EV85" s="876" t="e">
        <f t="shared" si="155"/>
        <v>#VALUE!</v>
      </c>
      <c r="EW85" s="876" t="e">
        <f t="shared" si="156"/>
        <v>#VALUE!</v>
      </c>
      <c r="EX85" s="878" t="str">
        <f t="shared" si="157"/>
        <v/>
      </c>
      <c r="EY85" s="879" t="e">
        <f t="shared" si="213"/>
        <v>#DIV/0!</v>
      </c>
      <c r="EZ85" s="959" t="e">
        <f t="shared" si="159"/>
        <v>#DIV/0!</v>
      </c>
      <c r="FA85" s="960" t="e">
        <f t="shared" si="160"/>
        <v>#DIV/0!</v>
      </c>
      <c r="FB85" s="880" t="str">
        <f t="shared" si="161"/>
        <v/>
      </c>
      <c r="FC85" s="881" t="str">
        <f t="shared" si="162"/>
        <v/>
      </c>
      <c r="FD85" s="890">
        <f t="shared" si="163"/>
        <v>0</v>
      </c>
      <c r="FE85" s="833">
        <f t="shared" si="164"/>
        <v>0</v>
      </c>
      <c r="FF85" s="754" t="b">
        <f t="shared" si="165"/>
        <v>0</v>
      </c>
      <c r="FG85" s="754" t="b">
        <f t="shared" si="166"/>
        <v>0</v>
      </c>
      <c r="FH85" s="754" t="b">
        <f t="shared" si="167"/>
        <v>0</v>
      </c>
      <c r="FI85" s="754" t="b">
        <f t="shared" si="168"/>
        <v>0</v>
      </c>
      <c r="FJ85" s="920" t="str">
        <f t="shared" si="182"/>
        <v/>
      </c>
      <c r="FK85" s="922" t="str">
        <f t="shared" si="183"/>
        <v/>
      </c>
      <c r="FL85" s="327" t="e">
        <f t="shared" si="184"/>
        <v>#N/A</v>
      </c>
      <c r="FM85" s="328" t="str">
        <f t="shared" si="169"/>
        <v/>
      </c>
      <c r="FN85" s="281" t="str">
        <f t="shared" ca="1" si="185"/>
        <v/>
      </c>
      <c r="FO85" s="282" t="str">
        <f t="shared" ca="1" si="186"/>
        <v/>
      </c>
      <c r="FP85" s="283" t="str">
        <f t="shared" ca="1" si="187"/>
        <v/>
      </c>
      <c r="FQ85" s="283" t="str">
        <f t="shared" ca="1" si="188"/>
        <v/>
      </c>
      <c r="FR85" s="329">
        <f t="shared" ca="1" si="189"/>
        <v>0</v>
      </c>
      <c r="FS85" s="330">
        <f t="shared" ca="1" si="190"/>
        <v>0</v>
      </c>
      <c r="FT85" s="281" t="str">
        <f t="shared" ca="1" si="191"/>
        <v/>
      </c>
      <c r="FU85" s="284" t="str">
        <f t="shared" ca="1" si="192"/>
        <v/>
      </c>
      <c r="FV85" s="331" t="str">
        <f t="shared" ca="1" si="170"/>
        <v/>
      </c>
      <c r="FW85" s="285" t="str">
        <f t="shared" ca="1" si="193"/>
        <v/>
      </c>
      <c r="FX85" s="285" t="str">
        <f t="shared" ca="1" si="194"/>
        <v/>
      </c>
      <c r="FY85" s="285" t="str">
        <f t="shared" ca="1" si="195"/>
        <v/>
      </c>
      <c r="FZ85" s="285" t="str">
        <f t="shared" ca="1" si="196"/>
        <v/>
      </c>
      <c r="GA85" s="285" t="str">
        <f t="shared" ca="1" si="197"/>
        <v/>
      </c>
      <c r="GB85" s="286" t="str">
        <f ca="1">IF(FY85="","",2+SUM(FO85:OFFSET(FO85,(FU85-1)*-1,0)))</f>
        <v/>
      </c>
      <c r="GC85" s="332" t="e">
        <f t="shared" si="198"/>
        <v>#N/A</v>
      </c>
      <c r="GD85" s="333" t="str">
        <f t="shared" si="171"/>
        <v/>
      </c>
      <c r="GE85" s="334" t="str">
        <f t="shared" si="172"/>
        <v/>
      </c>
      <c r="GF85" s="287" t="str">
        <f t="shared" si="173"/>
        <v/>
      </c>
      <c r="GG85" s="288" t="str">
        <f t="shared" si="174"/>
        <v/>
      </c>
      <c r="GH85" s="288" t="str">
        <f t="shared" si="175"/>
        <v/>
      </c>
      <c r="GI85" s="289" t="str">
        <f t="shared" si="176"/>
        <v/>
      </c>
      <c r="GJ85" s="531">
        <f ca="1">IF(FY85="",FM46,(FY85-(FQ85+VLOOKUP(FK85,$CB$54:$EU$85,12,FALSE)-VLOOKUP(FK85,$CB$54:$EU$85,34,FALSE))/COS(VLOOKUP(FK85,$CB$54:$EU$85,72,FALSE)))/2)</f>
        <v>0</v>
      </c>
      <c r="GK85" s="895" t="str">
        <f t="shared" ca="1" si="199"/>
        <v/>
      </c>
    </row>
    <row r="86" spans="1:193" ht="15" hidden="1" customHeight="1" x14ac:dyDescent="0.2">
      <c r="Z86" s="1140"/>
      <c r="AA86" s="947"/>
      <c r="AB86" s="948"/>
    </row>
    <row r="87" spans="1:193" ht="15" hidden="1" customHeight="1" x14ac:dyDescent="0.25">
      <c r="A87" s="1214" t="str">
        <f>IF(ISBLANK(CB87),"",CB87)</f>
        <v/>
      </c>
      <c r="B87" s="1678" t="str">
        <f t="shared" ref="B87" si="214">IF(ISBLANK(CC87),"",CC87)</f>
        <v/>
      </c>
      <c r="C87" s="1215" t="str">
        <f>IF(ISBLANK(CD87),"",CD87)</f>
        <v/>
      </c>
      <c r="D87" s="1216" t="e">
        <f>IF(#REF!="","",TRUNC(#REF!/12))</f>
        <v>#REF!</v>
      </c>
      <c r="E87" s="1217" t="e">
        <f>IF(#REF!="","",#REF!-(D87*12))</f>
        <v>#REF!</v>
      </c>
      <c r="F87" s="1218" t="str">
        <f>IF(ISBLANK(CY87),"",CY87)</f>
        <v/>
      </c>
      <c r="G87" s="1219" t="e">
        <f>IF(#REF!=0,"",TRUNC(#REF!/12))</f>
        <v>#REF!</v>
      </c>
      <c r="H87" s="1220" t="e">
        <f>IF(#REF!=0,"",#REF!-(G87*12))</f>
        <v>#REF!</v>
      </c>
      <c r="I87" s="1221" t="e">
        <f>IF(#REF!=0,"",#REF!)</f>
        <v>#REF!</v>
      </c>
      <c r="J87" s="1216" t="str">
        <f>IF(DJ127=0,"",TRUNC(DJ127/12))</f>
        <v/>
      </c>
      <c r="K87" s="1220" t="str">
        <f>IF(DJ127=0,"",DJ127-(J87*12))</f>
        <v/>
      </c>
      <c r="L87" s="1222" t="str">
        <f>IF(DJ127=0,"",#REF!)</f>
        <v/>
      </c>
      <c r="M87" s="1223" t="e">
        <f>IF(#REF!="","",#REF!)</f>
        <v>#REF!</v>
      </c>
      <c r="N87" s="1224" t="e">
        <f>IF(#REF!="","",#REF!)</f>
        <v>#REF!</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34"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47"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row>
    <row r="88" spans="1:193" ht="12.75" hidden="1" customHeight="1" x14ac:dyDescent="0.2">
      <c r="Z88" s="1141"/>
    </row>
    <row r="89" spans="1:193" ht="12.75" customHeight="1" x14ac:dyDescent="0.2">
      <c r="B89" s="533" t="s">
        <v>721</v>
      </c>
    </row>
    <row r="111" ht="14.25" customHeight="1" x14ac:dyDescent="0.2"/>
  </sheetData>
  <sheetProtection selectLockedCells="1"/>
  <mergeCells count="314">
    <mergeCell ref="EM12:EM13"/>
    <mergeCell ref="ET9:EU12"/>
    <mergeCell ref="JH12:JH13"/>
    <mergeCell ref="JI12:JI13"/>
    <mergeCell ref="JJ12:JJ13"/>
    <mergeCell ref="JK12:JK13"/>
    <mergeCell ref="JL12:JL13"/>
    <mergeCell ref="IM12:IM13"/>
    <mergeCell ref="IN12:IN13"/>
    <mergeCell ref="IO12:IO13"/>
    <mergeCell ref="IP12:IP13"/>
    <mergeCell ref="IQ12:IQ13"/>
    <mergeCell ref="IR12:IR13"/>
    <mergeCell ref="IS12:IS13"/>
    <mergeCell ref="IT12:IT13"/>
    <mergeCell ref="IU12:IU13"/>
    <mergeCell ref="IV12:IV13"/>
    <mergeCell ref="IW12:IW13"/>
    <mergeCell ref="IX12:IX13"/>
    <mergeCell ref="IY12:IY13"/>
    <mergeCell ref="IZ12:IZ13"/>
    <mergeCell ref="JA12:JA13"/>
    <mergeCell ref="JB12:JB13"/>
    <mergeCell ref="IG12:IG13"/>
    <mergeCell ref="IH12:IH13"/>
    <mergeCell ref="II12:II13"/>
    <mergeCell ref="IJ12:IJ13"/>
    <mergeCell ref="IK12:IK13"/>
    <mergeCell ref="IL12:IL13"/>
    <mergeCell ref="JE12:JE13"/>
    <mergeCell ref="JF12:JF13"/>
    <mergeCell ref="JG12:JG13"/>
    <mergeCell ref="JC12:JC13"/>
    <mergeCell ref="JD12:JD13"/>
    <mergeCell ref="HX12:HX13"/>
    <mergeCell ref="HY12:HY13"/>
    <mergeCell ref="HZ12:HZ13"/>
    <mergeCell ref="IA12:IA13"/>
    <mergeCell ref="IB12:IB13"/>
    <mergeCell ref="IC12:IC13"/>
    <mergeCell ref="ID12:ID13"/>
    <mergeCell ref="IE12:IE13"/>
    <mergeCell ref="IF12:IF13"/>
    <mergeCell ref="CC52:CC53"/>
    <mergeCell ref="CD52:CD53"/>
    <mergeCell ref="CW52:CW53"/>
    <mergeCell ref="CU52:CU53"/>
    <mergeCell ref="D12:E13"/>
    <mergeCell ref="O12:P13"/>
    <mergeCell ref="S12:W12"/>
    <mergeCell ref="F12:F13"/>
    <mergeCell ref="U13:V13"/>
    <mergeCell ref="G12:I12"/>
    <mergeCell ref="J12:L12"/>
    <mergeCell ref="Q12:R13"/>
    <mergeCell ref="BW12:BZ12"/>
    <mergeCell ref="AC12:AC13"/>
    <mergeCell ref="AB12:AB13"/>
    <mergeCell ref="AI12:AJ13"/>
    <mergeCell ref="CC51:CK51"/>
    <mergeCell ref="CE52:CE53"/>
    <mergeCell ref="AF12:AH12"/>
    <mergeCell ref="AG13:AH13"/>
    <mergeCell ref="AZ13:BA13"/>
    <mergeCell ref="AL12:AQ12"/>
    <mergeCell ref="BD13:BE13"/>
    <mergeCell ref="AK12:AK13"/>
    <mergeCell ref="A11:AA11"/>
    <mergeCell ref="A12:A13"/>
    <mergeCell ref="C12:C13"/>
    <mergeCell ref="B12:B13"/>
    <mergeCell ref="J13:K13"/>
    <mergeCell ref="G13:H13"/>
    <mergeCell ref="M12:N12"/>
    <mergeCell ref="S13:T13"/>
    <mergeCell ref="X12:Y12"/>
    <mergeCell ref="AA12:AA13"/>
    <mergeCell ref="A5:L5"/>
    <mergeCell ref="A8:AA8"/>
    <mergeCell ref="V6:W6"/>
    <mergeCell ref="X6:Y6"/>
    <mergeCell ref="V7:W7"/>
    <mergeCell ref="K7:L7"/>
    <mergeCell ref="A9:B9"/>
    <mergeCell ref="A10:B10"/>
    <mergeCell ref="AB10:AD10"/>
    <mergeCell ref="C9:P9"/>
    <mergeCell ref="T9:AA9"/>
    <mergeCell ref="C10:P10"/>
    <mergeCell ref="X10:Y10"/>
    <mergeCell ref="Q9:S9"/>
    <mergeCell ref="Z10:AA10"/>
    <mergeCell ref="T10:W10"/>
    <mergeCell ref="Q10:S10"/>
    <mergeCell ref="AB9:AD9"/>
    <mergeCell ref="M6:T6"/>
    <mergeCell ref="M7:S7"/>
    <mergeCell ref="BA1:BC1"/>
    <mergeCell ref="BA2:BC2"/>
    <mergeCell ref="AX10:BA10"/>
    <mergeCell ref="BB6:BD6"/>
    <mergeCell ref="BD1:BF1"/>
    <mergeCell ref="BD2:BF2"/>
    <mergeCell ref="AB8:BG8"/>
    <mergeCell ref="BA3:BC3"/>
    <mergeCell ref="BA4:BC4"/>
    <mergeCell ref="BD3:BF3"/>
    <mergeCell ref="BD4:BF4"/>
    <mergeCell ref="AU10:AW10"/>
    <mergeCell ref="AB5:AQ5"/>
    <mergeCell ref="AZ7:BA7"/>
    <mergeCell ref="AX9:BG9"/>
    <mergeCell ref="AU9:AW9"/>
    <mergeCell ref="AZ6:BA6"/>
    <mergeCell ref="BB10:BD10"/>
    <mergeCell ref="BE10:BG10"/>
    <mergeCell ref="AE9:AT9"/>
    <mergeCell ref="AE10:AT10"/>
    <mergeCell ref="Q1:T1"/>
    <mergeCell ref="AU1:AX1"/>
    <mergeCell ref="Q2:T3"/>
    <mergeCell ref="Q4:T4"/>
    <mergeCell ref="AU2:AX3"/>
    <mergeCell ref="AU4:AX4"/>
    <mergeCell ref="W1:Y1"/>
    <mergeCell ref="W2:Y2"/>
    <mergeCell ref="W3:Y3"/>
    <mergeCell ref="W4:Y4"/>
    <mergeCell ref="DV9:EK11"/>
    <mergeCell ref="EK12:EK13"/>
    <mergeCell ref="EF12:EF13"/>
    <mergeCell ref="DH6:EK8"/>
    <mergeCell ref="EG12:EG13"/>
    <mergeCell ref="DY12:DY13"/>
    <mergeCell ref="DS12:DS13"/>
    <mergeCell ref="DV12:DW12"/>
    <mergeCell ref="DM12:DN13"/>
    <mergeCell ref="DX12:DX13"/>
    <mergeCell ref="DI12:DI13"/>
    <mergeCell ref="DJ12:DK13"/>
    <mergeCell ref="DL12:DL13"/>
    <mergeCell ref="DQ12:DQ13"/>
    <mergeCell ref="AR13:AS13"/>
    <mergeCell ref="AD12:AE13"/>
    <mergeCell ref="ET50:ET53"/>
    <mergeCell ref="EX51:EX53"/>
    <mergeCell ref="EQ12:EQ13"/>
    <mergeCell ref="EQ50:EQ53"/>
    <mergeCell ref="EH12:EI12"/>
    <mergeCell ref="EJ12:EJ13"/>
    <mergeCell ref="ER12:ES12"/>
    <mergeCell ref="DT12:DU12"/>
    <mergeCell ref="EN12:EP12"/>
    <mergeCell ref="DH9:DH13"/>
    <mergeCell ref="EB12:EB13"/>
    <mergeCell ref="ED12:EE12"/>
    <mergeCell ref="DZ12:EA12"/>
    <mergeCell ref="DI9:DN11"/>
    <mergeCell ref="DO9:DO13"/>
    <mergeCell ref="DZ52:DZ53"/>
    <mergeCell ref="DC52:DC53"/>
    <mergeCell ref="CT12:CU13"/>
    <mergeCell ref="DM52:DN52"/>
    <mergeCell ref="DO52:DP52"/>
    <mergeCell ref="EM50:EM53"/>
    <mergeCell ref="AR12:BG12"/>
    <mergeCell ref="AV13:AW13"/>
    <mergeCell ref="DQ52:DR52"/>
    <mergeCell ref="DH52:DH53"/>
    <mergeCell ref="CF52:CF53"/>
    <mergeCell ref="CG52:CG53"/>
    <mergeCell ref="CH52:CH53"/>
    <mergeCell ref="CI52:CI53"/>
    <mergeCell ref="CY52:CY53"/>
    <mergeCell ref="CQ52:CQ53"/>
    <mergeCell ref="CP52:CP53"/>
    <mergeCell ref="CJ52:CJ53"/>
    <mergeCell ref="CK52:CK53"/>
    <mergeCell ref="CL52:CL53"/>
    <mergeCell ref="CM52:CM53"/>
    <mergeCell ref="CV52:CV53"/>
    <mergeCell ref="CR52:CR53"/>
    <mergeCell ref="CM12:CM13"/>
    <mergeCell ref="CS52:CS53"/>
    <mergeCell ref="CX52:CX53"/>
    <mergeCell ref="CN52:CN53"/>
    <mergeCell ref="CO52:CO53"/>
    <mergeCell ref="CT52:CT53"/>
    <mergeCell ref="CB52:CB53"/>
    <mergeCell ref="CX12:CZ12"/>
    <mergeCell ref="ES50:ES53"/>
    <mergeCell ref="EW52:EW53"/>
    <mergeCell ref="EV52:EV53"/>
    <mergeCell ref="EO50:EO53"/>
    <mergeCell ref="EP50:EP53"/>
    <mergeCell ref="EZ52:EZ53"/>
    <mergeCell ref="GC52:GC53"/>
    <mergeCell ref="EU50:EU53"/>
    <mergeCell ref="FX52:FX53"/>
    <mergeCell ref="FB52:FB53"/>
    <mergeCell ref="FA52:FA53"/>
    <mergeCell ref="FC52:FC53"/>
    <mergeCell ref="FQ52:FQ53"/>
    <mergeCell ref="FD52:FE52"/>
    <mergeCell ref="FF51:FI51"/>
    <mergeCell ref="GG12:GH12"/>
    <mergeCell ref="GI12:GJ12"/>
    <mergeCell ref="FU52:FU53"/>
    <mergeCell ref="FV52:FV53"/>
    <mergeCell ref="GL12:GL13"/>
    <mergeCell ref="GJ52:GJ53"/>
    <mergeCell ref="EY51:EY53"/>
    <mergeCell ref="HO12:HO13"/>
    <mergeCell ref="GM12:GM13"/>
    <mergeCell ref="GK12:GK13"/>
    <mergeCell ref="FM52:FM53"/>
    <mergeCell ref="GA52:GA53"/>
    <mergeCell ref="FZ52:FZ53"/>
    <mergeCell ref="FW52:FW53"/>
    <mergeCell ref="HP12:HP13"/>
    <mergeCell ref="HQ12:HQ13"/>
    <mergeCell ref="HR12:HR13"/>
    <mergeCell ref="HS12:HS13"/>
    <mergeCell ref="HT12:HT13"/>
    <mergeCell ref="HK12:HK13"/>
    <mergeCell ref="HA12:HA13"/>
    <mergeCell ref="HB12:HB13"/>
    <mergeCell ref="HC12:HC13"/>
    <mergeCell ref="HD12:HE13"/>
    <mergeCell ref="HF12:HF13"/>
    <mergeCell ref="HG12:HG13"/>
    <mergeCell ref="HH12:HH13"/>
    <mergeCell ref="HI12:HI13"/>
    <mergeCell ref="HJ12:HJ13"/>
    <mergeCell ref="HU12:HU13"/>
    <mergeCell ref="HV12:HV13"/>
    <mergeCell ref="HW12:HW13"/>
    <mergeCell ref="FG3:FI3"/>
    <mergeCell ref="FN50:FS51"/>
    <mergeCell ref="FL52:FL53"/>
    <mergeCell ref="GB52:GB53"/>
    <mergeCell ref="FP52:FP53"/>
    <mergeCell ref="GE12:GE13"/>
    <mergeCell ref="GF12:GF13"/>
    <mergeCell ref="FS52:FS53"/>
    <mergeCell ref="FN52:FN53"/>
    <mergeCell ref="GA12:GB12"/>
    <mergeCell ref="GC12:GD12"/>
    <mergeCell ref="FT50:FZ51"/>
    <mergeCell ref="FT52:FT53"/>
    <mergeCell ref="FR52:FR53"/>
    <mergeCell ref="FY52:FY53"/>
    <mergeCell ref="GA10:GJ11"/>
    <mergeCell ref="FO52:FO53"/>
    <mergeCell ref="FK52:FK53"/>
    <mergeCell ref="HL12:HL13"/>
    <mergeCell ref="HM12:HM13"/>
    <mergeCell ref="HN12:HN13"/>
    <mergeCell ref="DA12:DA13"/>
    <mergeCell ref="EI50:EI53"/>
    <mergeCell ref="EC12:EC13"/>
    <mergeCell ref="DD52:DD53"/>
    <mergeCell ref="DE52:DE53"/>
    <mergeCell ref="CQ12:CQ13"/>
    <mergeCell ref="CR12:CS13"/>
    <mergeCell ref="CL51:CT51"/>
    <mergeCell ref="EF50:EF53"/>
    <mergeCell ref="EE50:EE53"/>
    <mergeCell ref="DJ52:DJ53"/>
    <mergeCell ref="DS52:DS53"/>
    <mergeCell ref="DX52:DY52"/>
    <mergeCell ref="DV52:DW52"/>
    <mergeCell ref="EA52:EA53"/>
    <mergeCell ref="ED50:ED53"/>
    <mergeCell ref="EB52:EB53"/>
    <mergeCell ref="EC52:EC53"/>
    <mergeCell ref="EJ50:EJ53"/>
    <mergeCell ref="EH50:EH53"/>
    <mergeCell ref="EK50:EK53"/>
    <mergeCell ref="EL50:EL53"/>
    <mergeCell ref="CZ52:DA52"/>
    <mergeCell ref="EG50:EG53"/>
    <mergeCell ref="DL52:DL53"/>
    <mergeCell ref="ER50:ER53"/>
    <mergeCell ref="DB52:DB53"/>
    <mergeCell ref="DT52:DU52"/>
    <mergeCell ref="DK52:DK53"/>
    <mergeCell ref="DF52:DG52"/>
    <mergeCell ref="DI52:DI53"/>
    <mergeCell ref="EN50:EN53"/>
    <mergeCell ref="DA4:DB4"/>
    <mergeCell ref="DD12:DD13"/>
    <mergeCell ref="DE12:DE13"/>
    <mergeCell ref="DA10:DE10"/>
    <mergeCell ref="CB7:DE9"/>
    <mergeCell ref="DP9:DU10"/>
    <mergeCell ref="DP11:DP13"/>
    <mergeCell ref="DR11:DR13"/>
    <mergeCell ref="CB10:CF11"/>
    <mergeCell ref="CG10:CP11"/>
    <mergeCell ref="CQ10:CZ11"/>
    <mergeCell ref="DB11:DC12"/>
    <mergeCell ref="DD11:DE11"/>
    <mergeCell ref="CB12:CB13"/>
    <mergeCell ref="CC12:CC13"/>
    <mergeCell ref="CD12:CD13"/>
    <mergeCell ref="CE12:CF13"/>
    <mergeCell ref="CG12:CG13"/>
    <mergeCell ref="CH12:CI13"/>
    <mergeCell ref="CJ12:CK13"/>
    <mergeCell ref="CL12:CL13"/>
    <mergeCell ref="CN12:CP12"/>
    <mergeCell ref="CV12:CV13"/>
    <mergeCell ref="CW12:CW13"/>
  </mergeCells>
  <phoneticPr fontId="0" type="noConversion"/>
  <conditionalFormatting sqref="FQ54:FR85">
    <cfRule type="cellIs" dxfId="896" priority="610" stopIfTrue="1" operator="lessThan">
      <formula>0</formula>
    </cfRule>
  </conditionalFormatting>
  <conditionalFormatting sqref="DI14">
    <cfRule type="expression" dxfId="895" priority="179">
      <formula>UPPER(#REF!)="X"</formula>
    </cfRule>
  </conditionalFormatting>
  <conditionalFormatting sqref="DJ14">
    <cfRule type="expression" dxfId="894" priority="612">
      <formula>OR(UPPER(#REF!)="X",UPPER(#REF!="X"))</formula>
    </cfRule>
  </conditionalFormatting>
  <conditionalFormatting sqref="DK14">
    <cfRule type="expression" dxfId="893" priority="613">
      <formula>OR(UPPER(#REF!)="X",UPPER(#REF!="X"))</formula>
    </cfRule>
  </conditionalFormatting>
  <conditionalFormatting sqref="Q2:T4 AU2:AX4">
    <cfRule type="cellIs" dxfId="892" priority="615" stopIfTrue="1" operator="equal">
      <formula>""</formula>
    </cfRule>
  </conditionalFormatting>
  <conditionalFormatting sqref="DM54:DM85">
    <cfRule type="cellIs" dxfId="891" priority="538" stopIfTrue="1" operator="notEqual">
      <formula>DN54</formula>
    </cfRule>
  </conditionalFormatting>
  <conditionalFormatting sqref="DT54:DT85">
    <cfRule type="cellIs" dxfId="890" priority="537" stopIfTrue="1" operator="notEqual">
      <formula>DU54</formula>
    </cfRule>
  </conditionalFormatting>
  <conditionalFormatting sqref="DA4">
    <cfRule type="expression" dxfId="889" priority="357" stopIfTrue="1">
      <formula>NOT(ISBLANK($DA$4))</formula>
    </cfRule>
  </conditionalFormatting>
  <conditionalFormatting sqref="M7">
    <cfRule type="expression" dxfId="888" priority="353" stopIfTrue="1">
      <formula>OR(ISBLANK($M$7),$M$7="")</formula>
    </cfRule>
    <cfRule type="expression" dxfId="887" priority="354" stopIfTrue="1">
      <formula>NOT(OR(COUNTIF(masterFinishList, $M$7) &gt; 0, COUNTIF($M$7, "Other:*") &gt; 0))</formula>
    </cfRule>
  </conditionalFormatting>
  <conditionalFormatting sqref="A14:B45 A87:B87">
    <cfRule type="expression" dxfId="886" priority="138" stopIfTrue="1">
      <formula>AND(NOT($BK$1),$B14=0,OR($BJ$1="",$BJ$1="M"))</formula>
    </cfRule>
  </conditionalFormatting>
  <conditionalFormatting sqref="C14:C45">
    <cfRule type="expression" dxfId="885" priority="165">
      <formula>AND(NOT($BK14),NOT(BR14))</formula>
    </cfRule>
  </conditionalFormatting>
  <conditionalFormatting sqref="U14:U45">
    <cfRule type="expression" dxfId="884" priority="232">
      <formula>AND(NOT($BK14),BV14="No")</formula>
    </cfRule>
  </conditionalFormatting>
  <conditionalFormatting sqref="V14:V45">
    <cfRule type="expression" dxfId="883" priority="233">
      <formula>AND(NOT($BK14),BV14="No")</formula>
    </cfRule>
  </conditionalFormatting>
  <conditionalFormatting sqref="S14:S45">
    <cfRule type="expression" dxfId="882" priority="230">
      <formula>AND(NOT($BK14),BT14="No")</formula>
    </cfRule>
  </conditionalFormatting>
  <conditionalFormatting sqref="T14:T45">
    <cfRule type="expression" dxfId="881" priority="231">
      <formula>AND(NOT($BK14),BT14="No")</formula>
    </cfRule>
  </conditionalFormatting>
  <conditionalFormatting sqref="W14:W45">
    <cfRule type="expression" dxfId="880" priority="93">
      <formula>$W14=0</formula>
    </cfRule>
  </conditionalFormatting>
  <conditionalFormatting sqref="DI15:DI45">
    <cfRule type="expression" dxfId="879" priority="614">
      <formula>FM54="X"</formula>
    </cfRule>
  </conditionalFormatting>
  <conditionalFormatting sqref="DJ15:DJ45">
    <cfRule type="expression" dxfId="878" priority="1013">
      <formula>FM54="X"</formula>
    </cfRule>
  </conditionalFormatting>
  <conditionalFormatting sqref="DK15:DK45">
    <cfRule type="expression" dxfId="877" priority="1014">
      <formula>FM54="X"</formula>
    </cfRule>
  </conditionalFormatting>
  <conditionalFormatting sqref="DT14:DU45">
    <cfRule type="expression" dxfId="876" priority="1015">
      <formula>GD54=0</formula>
    </cfRule>
  </conditionalFormatting>
  <conditionalFormatting sqref="DH14:DH45">
    <cfRule type="expression" dxfId="875" priority="32">
      <formula>NOT($FQ14)</formula>
    </cfRule>
    <cfRule type="expression" dxfId="874" priority="1016">
      <formula>FJ54="G"</formula>
    </cfRule>
  </conditionalFormatting>
  <conditionalFormatting sqref="DM14:DN45">
    <cfRule type="expression" dxfId="873" priority="1018">
      <formula>FIND("B",$GK54)</formula>
    </cfRule>
  </conditionalFormatting>
  <conditionalFormatting sqref="DJ14:DK45">
    <cfRule type="expression" dxfId="872" priority="1036">
      <formula>FIND("A",$GK54)</formula>
    </cfRule>
  </conditionalFormatting>
  <conditionalFormatting sqref="DL14:DL45">
    <cfRule type="expression" dxfId="871" priority="3">
      <formula>AND(NOT(ISBLANK($DH14)),ISBLANK($DL14))</formula>
    </cfRule>
    <cfRule type="expression" dxfId="870" priority="176">
      <formula>FIND("B",$GK54)</formula>
    </cfRule>
  </conditionalFormatting>
  <conditionalFormatting sqref="DI14:DI45">
    <cfRule type="expression" dxfId="869" priority="1038">
      <formula>NOT($EY14)</formula>
    </cfRule>
  </conditionalFormatting>
  <conditionalFormatting sqref="DQ14:DQ45">
    <cfRule type="expression" dxfId="868" priority="137">
      <formula>DQ14&lt;&gt;EZ14</formula>
    </cfRule>
  </conditionalFormatting>
  <conditionalFormatting sqref="AD87:AE87 AD14:AE45">
    <cfRule type="expression" dxfId="867" priority="162">
      <formula>AND(NOT($BZ14),FIND("A",$GK54))</formula>
    </cfRule>
  </conditionalFormatting>
  <conditionalFormatting sqref="AI87:AJ87 AI14:AJ45">
    <cfRule type="expression" dxfId="866" priority="163">
      <formula>AND(NOT($BZ14),FIND("B",$GK54))</formula>
    </cfRule>
  </conditionalFormatting>
  <conditionalFormatting sqref="AC14:AC45">
    <cfRule type="expression" dxfId="865" priority="164">
      <formula>AND(NOT($BZ14),NOT($EY14))</formula>
    </cfRule>
  </conditionalFormatting>
  <conditionalFormatting sqref="AM14:AM45">
    <cfRule type="expression" dxfId="864" priority="144">
      <formula>AND(NOT($BZ14),AM14&lt;&gt;EZ14)</formula>
    </cfRule>
  </conditionalFormatting>
  <conditionalFormatting sqref="FF14:FF45">
    <cfRule type="expression" dxfId="863" priority="145">
      <formula>$FC14=0</formula>
    </cfRule>
  </conditionalFormatting>
  <conditionalFormatting sqref="AD14:AJ45">
    <cfRule type="expression" dxfId="862" priority="136">
      <formula>AND(NOT($BZ14),NOT($FA14))</formula>
    </cfRule>
  </conditionalFormatting>
  <conditionalFormatting sqref="DB14:DC45">
    <cfRule type="expression" dxfId="861" priority="94">
      <formula>AND(NOT($BK14),LEN($Z14)&gt;27)</formula>
    </cfRule>
  </conditionalFormatting>
  <conditionalFormatting sqref="C87">
    <cfRule type="expression" dxfId="860" priority="86" stopIfTrue="1">
      <formula>AND(NOT($BK87),NOT(BR87))</formula>
    </cfRule>
  </conditionalFormatting>
  <conditionalFormatting sqref="U87">
    <cfRule type="expression" dxfId="859" priority="90" stopIfTrue="1">
      <formula>AND(NOT($BK87),BV87="No")</formula>
    </cfRule>
  </conditionalFormatting>
  <conditionalFormatting sqref="V87">
    <cfRule type="expression" dxfId="858" priority="91" stopIfTrue="1">
      <formula>AND(NOT($BK87),BV87="No")</formula>
    </cfRule>
  </conditionalFormatting>
  <conditionalFormatting sqref="S87">
    <cfRule type="expression" dxfId="857" priority="88" stopIfTrue="1">
      <formula>AND(NOT($BK87),BT87="No")</formula>
    </cfRule>
  </conditionalFormatting>
  <conditionalFormatting sqref="T87">
    <cfRule type="expression" dxfId="856" priority="89" stopIfTrue="1">
      <formula>AND(NOT($BK87),BT87="No")</formula>
    </cfRule>
  </conditionalFormatting>
  <conditionalFormatting sqref="W87">
    <cfRule type="expression" dxfId="855" priority="74">
      <formula>$W87=0</formula>
    </cfRule>
  </conditionalFormatting>
  <conditionalFormatting sqref="AR87:AS87 AR14:AS45">
    <cfRule type="expression" dxfId="854" priority="79">
      <formula>AND(NOT($BZ14),$FF54)</formula>
    </cfRule>
  </conditionalFormatting>
  <conditionalFormatting sqref="AV87:AW87 AV14:AW45">
    <cfRule type="expression" dxfId="853" priority="80">
      <formula>AND(NOT($BZ14),$FG54)</formula>
    </cfRule>
  </conditionalFormatting>
  <conditionalFormatting sqref="AZ87:BA87 AZ14:BA45">
    <cfRule type="expression" dxfId="852" priority="81">
      <formula>AND(NOT($BZ14),$FH54)</formula>
    </cfRule>
  </conditionalFormatting>
  <conditionalFormatting sqref="BD87:BE87 BD14:BE45">
    <cfRule type="expression" dxfId="851" priority="82">
      <formula>AND(NOT($BZ14),$FI54)</formula>
    </cfRule>
  </conditionalFormatting>
  <conditionalFormatting sqref="AC87">
    <cfRule type="expression" dxfId="850" priority="85">
      <formula>AND(NOT($BZ87),NOT($EY87))</formula>
    </cfRule>
  </conditionalFormatting>
  <conditionalFormatting sqref="AM87">
    <cfRule type="expression" dxfId="849" priority="78">
      <formula>AND(NOT($BZ87),AM87&lt;&gt;EZ87)</formula>
    </cfRule>
  </conditionalFormatting>
  <conditionalFormatting sqref="AD87:AJ87">
    <cfRule type="expression" dxfId="848" priority="76">
      <formula>AND(NOT($BZ87),NOT($FA87))</formula>
    </cfRule>
  </conditionalFormatting>
  <conditionalFormatting sqref="AA87 A87:Y87">
    <cfRule type="expression" dxfId="847" priority="87">
      <formula>$BI87</formula>
    </cfRule>
  </conditionalFormatting>
  <conditionalFormatting sqref="AB87:BG87">
    <cfRule type="expression" dxfId="846" priority="73">
      <formula>$CA87</formula>
    </cfRule>
  </conditionalFormatting>
  <conditionalFormatting sqref="CD14:CD45">
    <cfRule type="expression" dxfId="845" priority="35">
      <formula>AND(NOT($BK14),NOT($BR14))</formula>
    </cfRule>
  </conditionalFormatting>
  <conditionalFormatting sqref="DD14:DD45">
    <cfRule type="cellIs" dxfId="844" priority="48" operator="greaterThan">
      <formula>EY54</formula>
    </cfRule>
    <cfRule type="expression" dxfId="843" priority="49">
      <formula>AND(ISBLANK(DD14),EY54&gt;0)</formula>
    </cfRule>
  </conditionalFormatting>
  <conditionalFormatting sqref="DE14:DE45">
    <cfRule type="cellIs" dxfId="842" priority="50" operator="lessThan">
      <formula>EX54</formula>
    </cfRule>
    <cfRule type="expression" dxfId="841" priority="51">
      <formula>AND(ISBLANK(DE14),EX54&lt;&gt;"")</formula>
    </cfRule>
  </conditionalFormatting>
  <conditionalFormatting sqref="AB14:AO45 DH14:EK45 BF14:BG45">
    <cfRule type="expression" dxfId="840" priority="1243">
      <formula>$FP14</formula>
    </cfRule>
  </conditionalFormatting>
  <conditionalFormatting sqref="A14:Y45 AA14:AA45 DA14:DE45 CB14:CY45">
    <cfRule type="expression" dxfId="839" priority="1247">
      <formula>$FN14</formula>
    </cfRule>
  </conditionalFormatting>
  <conditionalFormatting sqref="AB14:AB45">
    <cfRule type="expression" dxfId="838" priority="31">
      <formula>NOT($FQ14)</formula>
    </cfRule>
  </conditionalFormatting>
  <conditionalFormatting sqref="CB14:CB45">
    <cfRule type="expression" dxfId="837" priority="4">
      <formula>NOT($FO14)</formula>
    </cfRule>
  </conditionalFormatting>
  <conditionalFormatting sqref="A14:A45">
    <cfRule type="expression" dxfId="836" priority="29">
      <formula>NOT($FO14)</formula>
    </cfRule>
  </conditionalFormatting>
  <conditionalFormatting sqref="CZ14:CZ45">
    <cfRule type="expression" dxfId="835" priority="25">
      <formula>$FN14</formula>
    </cfRule>
  </conditionalFormatting>
  <conditionalFormatting sqref="Z87">
    <cfRule type="expression" dxfId="834" priority="21">
      <formula>$FN87</formula>
    </cfRule>
  </conditionalFormatting>
  <conditionalFormatting sqref="Z87">
    <cfRule type="expression" dxfId="833" priority="22">
      <formula>AND(NOT($BK87),LEN($Z87)&gt;27)</formula>
    </cfRule>
  </conditionalFormatting>
  <conditionalFormatting sqref="Z14:Z45">
    <cfRule type="expression" dxfId="832" priority="17">
      <formula>$FN14</formula>
    </cfRule>
  </conditionalFormatting>
  <conditionalFormatting sqref="Z14:Z45">
    <cfRule type="expression" dxfId="831" priority="18">
      <formula>AND(NOT($BK14),LEN($Z14)&gt;27)</formula>
    </cfRule>
  </conditionalFormatting>
  <conditionalFormatting sqref="AP14:AQ45">
    <cfRule type="expression" dxfId="830" priority="15">
      <formula>$FP14</formula>
    </cfRule>
  </conditionalFormatting>
  <conditionalFormatting sqref="AR14:BE45">
    <cfRule type="expression" dxfId="829" priority="9">
      <formula>$FP14</formula>
    </cfRule>
  </conditionalFormatting>
  <conditionalFormatting sqref="CB14:CC45">
    <cfRule type="expression" dxfId="828" priority="30">
      <formula>AND(NOT($BK$1),$B14=0,OR($BJ$1="",$BJ$1="M"))</formula>
    </cfRule>
  </conditionalFormatting>
  <conditionalFormatting sqref="CJ14:CJ45">
    <cfRule type="expression" dxfId="827" priority="1776">
      <formula>AND(NOT($BK14),OR($CC54="M",$CC54="C",$CC54="G"))</formula>
    </cfRule>
    <cfRule type="expression" dxfId="826" priority="1777">
      <formula>AND(NOT($BK14),AND(OR($CC54="B",$CC54="G"),CJ14="",CK14=""))</formula>
    </cfRule>
    <cfRule type="expression" dxfId="825" priority="1778">
      <formula>AND(NOT($BK14),EG54="ERR")</formula>
    </cfRule>
  </conditionalFormatting>
  <conditionalFormatting sqref="CK14:CK45">
    <cfRule type="expression" dxfId="824" priority="1779">
      <formula>AND(NOT($BK14),OR($CC54="M",$CC54="C",$CC54="G"))</formula>
    </cfRule>
    <cfRule type="expression" dxfId="823" priority="1780">
      <formula>AND(NOT($BK14),AND(OR($CC54="B",$CC54="G"),CJ14="",CK14=""))</formula>
    </cfRule>
    <cfRule type="expression" dxfId="822" priority="1781">
      <formula>AND(NOT($BK14),EG54="ERR")</formula>
    </cfRule>
  </conditionalFormatting>
  <conditionalFormatting sqref="CH14:CH45">
    <cfRule type="expression" dxfId="821" priority="1790">
      <formula>AND(NOT($BK14),OR($CC54="M",$CC54="C"))</formula>
    </cfRule>
    <cfRule type="expression" dxfId="820" priority="1791">
      <formula>AND(NOT($BK14),AND(CH14="",CI14="",OR($CC54="B",$CC54="G")))</formula>
    </cfRule>
    <cfRule type="expression" dxfId="819" priority="1792">
      <formula>AND(NOT($BK14),(CH14/2)/COS(RADIANS(CL14))+CD54-DC54&lt;$FB$4)</formula>
    </cfRule>
  </conditionalFormatting>
  <conditionalFormatting sqref="CI14:CI45">
    <cfRule type="expression" dxfId="818" priority="1793">
      <formula>AND(NOT($BK14),OR($CC54="M",$CC54="C"))</formula>
    </cfRule>
    <cfRule type="expression" dxfId="817" priority="1794">
      <formula>AND(NOT($BK14),AND(CH14="",CI14="",OR($CC54="B",$CC54="G")))</formula>
    </cfRule>
    <cfRule type="expression" dxfId="816" priority="1795">
      <formula>AND(NOT($BK14),(CI14/2)/COS(RADIANS(CL14))+CD54-DC54&lt;$FB$4)</formula>
    </cfRule>
  </conditionalFormatting>
  <conditionalFormatting sqref="CT14:CT45">
    <cfRule type="expression" dxfId="815" priority="1814">
      <formula>AND(NOT($BK14),OR($CL54="M",$CL54="C",$CL54="G"))</formula>
    </cfRule>
    <cfRule type="expression" dxfId="814" priority="1815">
      <formula>AND(NOT($BK14),AND(OR($CL54="B",$CL54="G"),CT14="",CU14=""))</formula>
    </cfRule>
    <cfRule type="expression" dxfId="813" priority="1816">
      <formula>AND(NOT($BK14),EJ54="ERR")</formula>
    </cfRule>
  </conditionalFormatting>
  <conditionalFormatting sqref="CU14:CU45">
    <cfRule type="expression" dxfId="812" priority="1817">
      <formula>AND(NOT($BK14),OR($CL54="M",$CL54="C",$CL54="G"))</formula>
    </cfRule>
    <cfRule type="expression" dxfId="811" priority="1818">
      <formula>AND(NOT($BK14),AND(OR($CL54="B",$CL54="G"),CT14="",CU14=""))</formula>
    </cfRule>
    <cfRule type="expression" dxfId="810" priority="1819">
      <formula>AND(NOT($BK14),EJ54="ERR")</formula>
    </cfRule>
  </conditionalFormatting>
  <conditionalFormatting sqref="CR14:CR45">
    <cfRule type="expression" dxfId="809" priority="1822">
      <formula>AND(NOT($BK14),OR($CL54="M",$CL54="C"))</formula>
    </cfRule>
    <cfRule type="expression" dxfId="808" priority="1823">
      <formula>AND(NOT($BK14),AND(CR14="",CS14="",OR($CL54="B",$CL54="G")))</formula>
    </cfRule>
    <cfRule type="expression" dxfId="807" priority="1824">
      <formula>AND(NOT($BK14),(CR14/2)/COS(RADIANS(CV14))+CM54-DI54&lt;$FB$4)</formula>
    </cfRule>
  </conditionalFormatting>
  <conditionalFormatting sqref="CS14:CS45">
    <cfRule type="expression" dxfId="806" priority="1825">
      <formula>AND(NOT($BK14),OR($CL54="M",$CL54="C"))</formula>
    </cfRule>
    <cfRule type="expression" dxfId="805" priority="1826">
      <formula>AND(NOT($BK14),AND(CR14="",CS14="",OR($CL54="B",$CL54="G")))</formula>
    </cfRule>
    <cfRule type="expression" dxfId="804" priority="1827">
      <formula>AND(NOT($BK14),(CS14/2)/COS(RADIANS(CV14))+CM54-DI54&lt;$FB$4)</formula>
    </cfRule>
  </conditionalFormatting>
  <conditionalFormatting sqref="CW14:CW45 CM14:CM45">
    <cfRule type="expression" dxfId="803" priority="1849">
      <formula>AND(NOT($BK14),AND(ISBLANK(CM14),AND(NOT(ISBLANK(CL14)),$DA14&lt;&gt;0)))</formula>
    </cfRule>
  </conditionalFormatting>
  <conditionalFormatting sqref="GA48:GB48">
    <cfRule type="expression" dxfId="802" priority="2" stopIfTrue="1">
      <formula>$GM50&gt;=0.125</formula>
    </cfRule>
  </conditionalFormatting>
  <conditionalFormatting sqref="CO14:CO45">
    <cfRule type="expression" dxfId="801" priority="1914">
      <formula>ET14&lt;&gt;""</formula>
    </cfRule>
  </conditionalFormatting>
  <conditionalFormatting sqref="CY14:CY45">
    <cfRule type="expression" dxfId="800" priority="1915">
      <formula>EU14&lt;&gt;""</formula>
    </cfRule>
  </conditionalFormatting>
  <conditionalFormatting sqref="CG14:CG45">
    <cfRule type="expression" dxfId="799" priority="1916">
      <formula>AND(NOT($BK14),ISERROR(CC54))</formula>
    </cfRule>
    <cfRule type="expression" dxfId="798" priority="1917">
      <formula>AND(NOT($BK14),OR(ISERROR(CC54),CC54="", ET14&lt;&gt;""))</formula>
    </cfRule>
  </conditionalFormatting>
  <conditionalFormatting sqref="CQ14:CQ45">
    <cfRule type="expression" dxfId="797" priority="1918">
      <formula>AND(NOT($BK14),ISERROR(CL54))</formula>
    </cfRule>
    <cfRule type="expression" dxfId="796" priority="1919">
      <formula>AND(NOT($BK14),OR(CL54="", EU14&lt;&gt;""))</formula>
    </cfRule>
  </conditionalFormatting>
  <conditionalFormatting sqref="DC14:DC45">
    <cfRule type="expression" dxfId="795" priority="1999">
      <formula>OR(EN14&lt;&gt;"",EO14&lt;&gt;"",EP14&lt;&gt;"",EQ14&lt;&gt;"",ER14&lt;&gt;"",ES14&lt;&gt;"",ET14&lt;&gt;"",EU14&lt;&gt;"")</formula>
    </cfRule>
  </conditionalFormatting>
  <conditionalFormatting sqref="B87">
    <cfRule type="expression" dxfId="794" priority="1">
      <formula>$FN87</formula>
    </cfRule>
  </conditionalFormatting>
  <conditionalFormatting sqref="D14:E45">
    <cfRule type="expression" dxfId="793" priority="2000" stopIfTrue="1">
      <formula xml:space="preserve"> AND($GM14 &gt;= 0.125, $GL14 &gt; 0)</formula>
    </cfRule>
  </conditionalFormatting>
  <conditionalFormatting sqref="GA14:GB45">
    <cfRule type="expression" dxfId="792" priority="2001" stopIfTrue="1">
      <formula xml:space="preserve"> $GM14 &gt;= 0.125</formula>
    </cfRule>
  </conditionalFormatting>
  <dataValidations count="21">
    <dataValidation type="list" allowBlank="1" showInputMessage="1" sqref="M7:S7 DA4:DB4" xr:uid="{00000000-0002-0000-0B00-000000000000}">
      <formula1>masterFinishList</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00000000-0002-0000-0B00-000001000000}">
      <formula1>0</formula1>
    </dataValidation>
    <dataValidation type="whole" operator="greaterThanOrEqual" allowBlank="1" showErrorMessage="1" errorTitle="Error" error="&quot;Number of Panels&quot; can only be whole numbers." sqref="DL14:DL45 AF87 AF14:AF45" xr:uid="{00000000-0002-0000-0B00-000002000000}">
      <formula1>0</formula1>
    </dataValidation>
    <dataValidation type="custom" allowBlank="1" showErrorMessage="1" errorTitle="Error" error="Value must  be either a whole number OR the string &quot;P&quot;." sqref="DV14:DV45 DZ14:DZ45 ED14:ED45 EH14:EH45 BD87 AR87 AV87 AZ87 AV14:AV45 AR14:AR45 BD14:BD45 AZ14:AZ45" xr:uid="{00000000-0002-0000-0B00-000003000000}">
      <formula1>IF(ISERROR(INT(AR14)),AR14="P",INT(AR14)=AR14)</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00000000-0002-0000-0B00-000004000000}">
      <formula1>0</formula1>
      <formula2>11.875</formula2>
    </dataValidation>
    <dataValidation type="decimal" operator="greaterThanOrEqual" allowBlank="1" showInputMessage="1" showErrorMessage="1" errorTitle="Dimensional Error" error="&quot;Inches&quot; must be a number." sqref="CH14:CK45 CR14:CU45" xr:uid="{00000000-0002-0000-0B00-000005000000}">
      <formula1>0</formula1>
    </dataValidation>
    <dataValidation type="decimal" operator="notEqual" allowBlank="1" showInputMessage="1" showErrorMessage="1" errorTitle="Input Error" error="Enter + or - Numbers Only._x000a_Do NOT use &quot;&lt;&quot; or &quot;&gt;&quot;." sqref="X14:Y45 X87:Y87" xr:uid="{00000000-0002-0000-0B00-000006000000}">
      <formula1>0</formula1>
    </dataValidation>
    <dataValidation type="decimal" operator="greaterThan" allowBlank="1" showInputMessage="1" showErrorMessage="1" errorTitle="Dimensional Error" error="Only positive numeric values permitted here." sqref="M14:N45 M87:N87" xr:uid="{00000000-0002-0000-0B00-000007000000}">
      <formula1>0</formula1>
    </dataValidation>
    <dataValidation type="decimal" operator="lessThanOrEqual" allowBlank="1" showInputMessage="1" showErrorMessage="1" errorTitle="BL Over-Ride Error!" error="Base Length can't be past Girder Overall Length!  See section for Maximum Over-Ride Dimension." sqref="CY14:CY45" xr:uid="{00000000-0002-0000-0B00-000009000000}">
      <formula1>$CM54</formula1>
    </dataValidation>
    <dataValidation type="decimal" operator="lessThanOrEqual" allowBlank="1" showInputMessage="1" showErrorMessage="1" errorTitle="BL Over-Ride Error!" error="Base Length can't be past Girder Overall Length!  See section for Maximum Over-Ride Dimension." sqref="CO14:CO45" xr:uid="{00000000-0002-0000-0B00-00000A000000}">
      <formula1>$CD54</formula1>
    </dataValidation>
    <dataValidation type="decimal" operator="greaterThanOrEqual" allowBlank="1" showInputMessage="1" showErrorMessage="1" errorTitle="Input Error" error="Enter a numeric value greater than 1/2&quot;." sqref="AP14:AQ45" xr:uid="{00000000-0002-0000-0B00-00000B000000}">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B00-00000C000000}">
      <formula1>9</formula1>
      <formula2>17</formula2>
    </dataValidation>
    <dataValidation type="list" allowBlank="1" showInputMessage="1" showErrorMessage="1" errorTitle="Input Error" error="The Only Valid Entries For This Column is &quot;N&quot;, &quot;F&quot; or &quot;B&quot;." sqref="AL14:AL45 AC14:AC45 AY14:AY45 BC14:BC45 AU14:AU45" xr:uid="{00000000-0002-0000-0B00-00000D000000}">
      <formula1>"N,F,B"</formula1>
    </dataValidation>
    <dataValidation type="decimal" allowBlank="1" showInputMessage="1" showErrorMessage="1" errorTitle="Input Error" error="Numeric Values Only!" sqref="GC14:GD45 GC48:GD48 CN14:CN45 CX14:CX45" xr:uid="{4384003A-6602-4394-8BCD-EBDD69AC7C4F}">
      <formula1>-1200</formula1>
      <formula2>1200</formula2>
    </dataValidation>
    <dataValidation type="whole" operator="greaterThanOrEqual" allowBlank="1" showInputMessage="1" showErrorMessage="1" errorTitle="Input Error" error="Positive Integers Only!" sqref="GA14:GA45 GA48" xr:uid="{CD38BD5B-00B6-4E3D-AFE5-EE5947423BA2}">
      <formula1>0</formula1>
    </dataValidation>
    <dataValidation type="decimal" allowBlank="1" showInputMessage="1" showErrorMessage="1" errorTitle="Input Error" error="Positive numbers from 0&quot; to 11 7/8&quot; only!" sqref="GB14 GB16:GB45 GB48" xr:uid="{73AF5F77-C925-4CD0-857D-4AE222E157E1}">
      <formula1>0</formula1>
      <formula2>11.875</formula2>
    </dataValidation>
    <dataValidation type="decimal" allowBlank="1" showInputMessage="1" showErrorMessage="1" errorTitle="Input Error" error="Numbers from 0&quot; to 11 7/8&quot; only!" sqref="GB15" xr:uid="{CF437BFD-E657-400D-A00B-E2D910B75CD1}">
      <formula1>0</formula1>
      <formula2>11.875</formula2>
    </dataValidation>
    <dataValidation type="decimal" operator="greaterThan" allowBlank="1" showInputMessage="1" showErrorMessage="1" errorTitle="Input Error" error="Positive Numeric Values Only!" sqref="CP14:CP45 CZ14:CZ45" xr:uid="{63964BC8-4F02-49D3-B85E-D17E55B94520}">
      <formula1>0</formula1>
    </dataValidation>
    <dataValidation type="whole" operator="notBetween" allowBlank="1" showInputMessage="1" showErrorMessage="1" sqref="B87" xr:uid="{9C24426A-1122-4229-BC39-68AF5B72D9B0}">
      <formula1>-10001</formula1>
      <formula2>-10000</formula2>
    </dataValidation>
    <dataValidation type="whole" operator="greaterThan" allowBlank="1" showInputMessage="1" showErrorMessage="1" errorTitle="Quantity Error" error="Value must be an integer greater than -1000." sqref="B14:B45 CC14:CC45" xr:uid="{54CB8AF6-42C5-431F-A041-BD3AE92789C2}">
      <formula1>-1001</formula1>
    </dataValidation>
    <dataValidation type="decimal" allowBlank="1" showInputMessage="1" showErrorMessage="1" error="Load must be blank or a number." sqref="DO14:DO45" xr:uid="{32E00F28-A5C5-49E5-9D7C-4C4D0E84122F}">
      <formula1>0</formula1>
      <formula2>99</formula2>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indexed="43"/>
  </sheetPr>
  <dimension ref="A1:IG76"/>
  <sheetViews>
    <sheetView showGridLines="0" zoomScaleNormal="100" zoomScaleSheetLayoutView="75" workbookViewId="0">
      <selection activeCell="A23" sqref="A23"/>
    </sheetView>
  </sheetViews>
  <sheetFormatPr defaultColWidth="5.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5.7109375" style="245" customWidth="1"/>
    <col min="29" max="29" width="5.7109375" style="245" hidden="1" customWidth="1"/>
    <col min="30" max="34" width="4.7109375" style="245" hidden="1" customWidth="1"/>
    <col min="35" max="35" width="7.85546875" style="378" hidden="1" customWidth="1"/>
    <col min="36" max="41" width="4.7109375" style="245" hidden="1" customWidth="1"/>
    <col min="42" max="43" width="8.7109375" style="245" hidden="1" customWidth="1"/>
    <col min="44" max="44" width="6.7109375" style="245" hidden="1" customWidth="1"/>
    <col min="45" max="45" width="4.7109375" style="245" hidden="1" customWidth="1"/>
    <col min="46" max="46" width="6.7109375" style="245" hidden="1" customWidth="1"/>
    <col min="47" max="49" width="4.7109375" style="245" hidden="1" customWidth="1"/>
    <col min="50" max="52" width="5.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27" width="6.7109375" style="245" hidden="1" customWidth="1"/>
    <col min="128" max="128" width="8.7109375" style="245" hidden="1" customWidth="1"/>
    <col min="12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5.7109375" style="245" customWidth="1"/>
    <col min="180" max="181" width="5.7109375" style="245" hidden="1" customWidth="1"/>
    <col min="182" max="182" width="5.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5.7109375" style="245" customWidth="1"/>
    <col min="197" max="206" width="8.7109375" style="245" hidden="1" customWidth="1"/>
    <col min="207" max="207" width="8.7109375" style="245" customWidth="1"/>
    <col min="208" max="208" width="8.7109375" style="245" hidden="1" customWidth="1"/>
    <col min="209" max="210" width="6.7109375" style="245" hidden="1" customWidth="1"/>
    <col min="211" max="211" width="12.7109375" style="245" hidden="1" customWidth="1"/>
    <col min="212" max="212" width="6.7109375" style="247" hidden="1" customWidth="1"/>
    <col min="213" max="213" width="6.7109375" style="381" hidden="1" customWidth="1"/>
    <col min="214" max="240" width="6.7109375" style="245" hidden="1" customWidth="1"/>
    <col min="241" max="243" width="8.7109375" style="245" customWidth="1"/>
    <col min="244" max="16384" width="5.7109375" style="245"/>
  </cols>
  <sheetData>
    <row r="1" spans="1:241" ht="14.45" customHeight="1" thickBot="1" x14ac:dyDescent="0.25">
      <c r="A1" s="373"/>
      <c r="B1" s="373"/>
      <c r="C1" s="373"/>
      <c r="D1" s="373"/>
      <c r="E1" s="373"/>
      <c r="F1" s="373"/>
      <c r="G1" s="373"/>
      <c r="H1" s="373"/>
      <c r="I1" s="374"/>
      <c r="J1" s="374"/>
      <c r="K1" s="374"/>
      <c r="L1" s="374"/>
      <c r="M1" s="374"/>
      <c r="N1" s="373"/>
      <c r="O1" s="374"/>
      <c r="P1" s="1848" t="str">
        <f>IF(AD1="","",VLOOKUP(AD1,'Job Info.'!X:AA,4,FALSE))</f>
        <v>Master</v>
      </c>
      <c r="Q1" s="1848"/>
      <c r="R1" s="1848"/>
      <c r="S1" s="1848"/>
      <c r="T1" s="374"/>
      <c r="U1" s="374"/>
      <c r="V1" s="375"/>
      <c r="W1" s="375"/>
      <c r="X1" s="1100" t="s">
        <v>95</v>
      </c>
      <c r="Y1" s="375"/>
      <c r="Z1" s="375"/>
      <c r="AA1" s="463" t="str">
        <f ca="1">'Job Info.'!D12</f>
        <v>775-428-0600</v>
      </c>
      <c r="AB1" s="487"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571</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53" t="str">
        <f>IF(AD1="","",IF(VLOOKUP(AD1,'Job Info.'!X:Z,2,FALSE),"Released for Fabrication",""))</f>
        <v/>
      </c>
      <c r="Q2" s="1854"/>
      <c r="R2" s="1854"/>
      <c r="S2" s="1855"/>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2">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56"/>
      <c r="Q3" s="1857"/>
      <c r="R3" s="1857"/>
      <c r="S3" s="1858"/>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c r="CW3" s="573"/>
      <c r="CX3" s="574"/>
      <c r="CY3" s="575"/>
      <c r="CZ3" s="574"/>
      <c r="DA3" s="574"/>
      <c r="DB3" s="574"/>
      <c r="DC3" s="576"/>
      <c r="DE3" s="246"/>
      <c r="DF3" s="505" t="s">
        <v>414</v>
      </c>
      <c r="DG3" s="1654">
        <f>'Job Info.'!$N8/2</f>
        <v>0.5</v>
      </c>
      <c r="DH3" s="1655">
        <f>'Job Info.'!$H8</f>
        <v>2.5</v>
      </c>
      <c r="DI3" s="1656">
        <f>'Job Info.'!$J8</f>
        <v>4</v>
      </c>
      <c r="DJ3" s="1656">
        <f>'Job Info.'!$I8</f>
        <v>2.5</v>
      </c>
      <c r="DK3" s="1656">
        <f>'Job Info.'!$K8</f>
        <v>3.5</v>
      </c>
      <c r="DL3" s="1657">
        <f>'Job Info.'!$M8</f>
        <v>0.5625</v>
      </c>
      <c r="DM3" s="1658">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59" t="str">
        <f>IF(AD1="","",IF(VLOOKUP(AD1,'Job Info.'!X:Z,2,FALSE),VLOOKUP(AD1,'Job Info.'!X:Z,3,FALSE),""))</f>
        <v/>
      </c>
      <c r="Q4" s="1860"/>
      <c r="R4" s="1860"/>
      <c r="S4" s="1861"/>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374"/>
      <c r="CJ4" s="374"/>
      <c r="CK4" s="374"/>
      <c r="CL4" s="374"/>
      <c r="CM4" s="374"/>
      <c r="CN4" s="374"/>
      <c r="CO4" s="374"/>
      <c r="CP4" s="244"/>
      <c r="CQ4" s="244"/>
      <c r="CR4" s="374"/>
      <c r="CS4" s="374"/>
      <c r="CU4" s="577"/>
      <c r="CV4" s="1660"/>
      <c r="CW4" s="1661"/>
      <c r="CX4" s="1662"/>
      <c r="CY4" s="1662"/>
      <c r="CZ4" s="1662"/>
      <c r="DA4" s="1663"/>
      <c r="DB4" s="1662"/>
      <c r="DC4" s="1664"/>
      <c r="DE4" s="246"/>
      <c r="DF4" s="505" t="s">
        <v>75</v>
      </c>
      <c r="DG4" s="1654">
        <f>'Job Info.'!$N9/2</f>
        <v>0.5</v>
      </c>
      <c r="DH4" s="1655">
        <f>'Job Info.'!$H9</f>
        <v>2.5</v>
      </c>
      <c r="DI4" s="1656">
        <f>'Job Info.'!$J9</f>
        <v>4</v>
      </c>
      <c r="DJ4" s="1656">
        <f>'Job Info.'!$I9</f>
        <v>2.5</v>
      </c>
      <c r="DK4" s="1656">
        <f>'Job Info.'!$K9</f>
        <v>3.5</v>
      </c>
      <c r="DL4" s="1657">
        <f>'Job Info.'!$M9</f>
        <v>0.5625</v>
      </c>
      <c r="DM4" s="1658">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00" t="str">
        <f ca="1">'Job Info.'!D11</f>
        <v>8200 Woolery Way | Fallon, NV 89406 | www.newmill.com</v>
      </c>
      <c r="B5" s="2423"/>
      <c r="C5" s="2423"/>
      <c r="D5" s="2423"/>
      <c r="E5" s="2423"/>
      <c r="F5" s="2423"/>
      <c r="G5" s="2423"/>
      <c r="H5" s="2423"/>
      <c r="I5" s="2423"/>
      <c r="J5" s="2423"/>
      <c r="K5" s="2423"/>
      <c r="L5" s="2423"/>
      <c r="M5" s="2423"/>
      <c r="N5" s="374"/>
      <c r="O5" s="374"/>
      <c r="P5" s="374"/>
      <c r="Q5" s="374"/>
      <c r="R5" s="374"/>
      <c r="S5" s="374"/>
      <c r="T5" s="374"/>
      <c r="U5" s="374"/>
      <c r="V5" s="374"/>
      <c r="W5" s="374"/>
      <c r="X5" s="374"/>
      <c r="Y5" s="374"/>
      <c r="Z5" s="374"/>
      <c r="AA5" s="374"/>
      <c r="AB5" s="76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c r="CV5" s="1665"/>
      <c r="CW5" s="1666"/>
      <c r="CX5" s="1666"/>
      <c r="CY5" s="1666"/>
      <c r="CZ5" s="1666"/>
      <c r="DA5" s="1667"/>
      <c r="DB5" s="1666"/>
      <c r="DC5" s="1668"/>
      <c r="DE5" s="246"/>
      <c r="DF5" s="505" t="s">
        <v>1111</v>
      </c>
      <c r="DG5" s="1654">
        <f>'Job Info.'!$N10/2</f>
        <v>1</v>
      </c>
      <c r="DH5" s="1656">
        <f>'Job Info.'!$H10</f>
        <v>5</v>
      </c>
      <c r="DI5" s="1656">
        <f>'Job Info.'!$J10</f>
        <v>6</v>
      </c>
      <c r="DJ5" s="1656">
        <f>'Job Info.'!$I10</f>
        <v>2.5</v>
      </c>
      <c r="DK5" s="1656">
        <f>'Job Info.'!$K10</f>
        <v>4</v>
      </c>
      <c r="DL5" s="1657">
        <f>'Job Info.'!$M10</f>
        <v>0.8125</v>
      </c>
      <c r="DM5" s="1658">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082" t="str">
        <f>IF(NOT(ISERROR(FIND("galv",LOWER($M$7)))),"**USE STEEL TAGS**  **NO A490 BOLTS**","")</f>
        <v/>
      </c>
      <c r="N6" s="1947"/>
      <c r="O6" s="1947"/>
      <c r="P6" s="1947"/>
      <c r="Q6" s="1947"/>
      <c r="R6" s="1947"/>
      <c r="S6" s="1947"/>
      <c r="T6" s="1947"/>
      <c r="U6" s="1092"/>
      <c r="V6" s="374"/>
      <c r="W6" s="374"/>
      <c r="X6" s="460" t="s">
        <v>20</v>
      </c>
      <c r="Y6" s="1832">
        <f>IF(ISBLANK('Job Info.'!D8),"",'Job Info.'!D8)</f>
        <v>45048</v>
      </c>
      <c r="Z6" s="1832"/>
      <c r="AA6" s="394"/>
      <c r="AB6" s="765"/>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244"/>
      <c r="CC6" s="203"/>
      <c r="CD6" s="390"/>
      <c r="CE6" s="244"/>
      <c r="CF6" s="244"/>
      <c r="CG6" s="244"/>
      <c r="CH6" s="244"/>
      <c r="CI6" s="244"/>
      <c r="CJ6" s="544"/>
      <c r="CK6" s="544"/>
      <c r="CL6" s="544"/>
      <c r="CM6" s="544"/>
      <c r="CN6" s="544"/>
      <c r="CO6" s="544"/>
      <c r="CP6" s="244"/>
      <c r="CQ6" s="244"/>
      <c r="CR6" s="374"/>
      <c r="CS6" s="244"/>
      <c r="CU6" s="579"/>
      <c r="CV6" s="1669"/>
      <c r="CW6" s="1670"/>
      <c r="CX6" s="1670"/>
      <c r="CY6" s="1670"/>
      <c r="CZ6" s="1670"/>
      <c r="DA6" s="1671"/>
      <c r="DB6" s="1670"/>
      <c r="DC6" s="1672"/>
      <c r="DD6" s="246"/>
      <c r="DE6" s="246"/>
      <c r="DF6" s="505" t="s">
        <v>74</v>
      </c>
      <c r="DG6" s="1654">
        <f>'Job Info.'!$N11/2</f>
        <v>1</v>
      </c>
      <c r="DH6" s="1656">
        <f>'Job Info.'!$H11</f>
        <v>5</v>
      </c>
      <c r="DI6" s="1656">
        <f>'Job Info.'!$J11</f>
        <v>6</v>
      </c>
      <c r="DJ6" s="1656">
        <f>'Job Info.'!$I11</f>
        <v>4</v>
      </c>
      <c r="DK6" s="1656">
        <f>'Job Info.'!$K11</f>
        <v>4</v>
      </c>
      <c r="DL6" s="1657">
        <f>'Job Info.'!$M11</f>
        <v>0.8125</v>
      </c>
      <c r="DM6" s="1658">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51"/>
      <c r="EY6" s="251"/>
      <c r="EZ6" s="251"/>
      <c r="FA6" s="251"/>
      <c r="FB6" s="246"/>
      <c r="FC6" s="246"/>
      <c r="FD6" s="246"/>
      <c r="FE6" s="246"/>
      <c r="FF6" s="246"/>
      <c r="FG6" s="246"/>
      <c r="FH6" s="246"/>
      <c r="FI6" s="246"/>
      <c r="GA6" s="374"/>
      <c r="GB6" s="374"/>
      <c r="GC6" s="374"/>
      <c r="GD6" s="374"/>
      <c r="GE6" s="374"/>
      <c r="GF6" s="374"/>
      <c r="GG6" s="374"/>
      <c r="GH6" s="374"/>
      <c r="GI6" s="374"/>
      <c r="GJ6" s="374"/>
      <c r="HD6" s="245"/>
      <c r="HE6" s="245"/>
    </row>
    <row r="7" spans="1:241" ht="12.95" customHeight="1" x14ac:dyDescent="0.25">
      <c r="A7" s="395" t="s">
        <v>0</v>
      </c>
      <c r="B7" s="374"/>
      <c r="C7" s="374"/>
      <c r="D7" s="374"/>
      <c r="E7" s="374"/>
      <c r="F7" s="374"/>
      <c r="G7" s="374"/>
      <c r="H7" s="374"/>
      <c r="I7" s="374"/>
      <c r="J7" s="374"/>
      <c r="K7" s="374"/>
      <c r="L7" s="460" t="s">
        <v>26</v>
      </c>
      <c r="M7" s="2437" t="str">
        <f>IF(ISBLANK(CC15),"",CC15)</f>
        <v/>
      </c>
      <c r="N7" s="1940"/>
      <c r="O7" s="1940"/>
      <c r="P7" s="1940"/>
      <c r="Q7" s="1940"/>
      <c r="R7" s="1940"/>
      <c r="S7" s="1940"/>
      <c r="T7"/>
      <c r="U7" s="1092"/>
      <c r="V7" s="374"/>
      <c r="W7" s="374"/>
      <c r="X7" s="460" t="s">
        <v>21</v>
      </c>
      <c r="Y7" s="1175" t="str">
        <f>CONCATENATE(AC7, " of ",IF(ISBLANK('Job Info.'!D9),"",'Job Info.'!D9))</f>
        <v xml:space="preserve"> of 19</v>
      </c>
      <c r="Z7" s="658"/>
      <c r="AA7" s="374"/>
      <c r="AB7" s="256"/>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03"/>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415</v>
      </c>
      <c r="DG7" s="1654">
        <f>'Job Info.'!$N12/2</f>
        <v>1</v>
      </c>
      <c r="DH7" s="1656">
        <f>'Job Info.'!$H12</f>
        <v>5</v>
      </c>
      <c r="DI7" s="1656">
        <f>'Job Info.'!$J12</f>
        <v>6</v>
      </c>
      <c r="DJ7" s="1656">
        <f>'Job Info.'!$I12</f>
        <v>4</v>
      </c>
      <c r="DK7" s="1656">
        <f>'Job Info.'!$K12</f>
        <v>4</v>
      </c>
      <c r="DL7" s="1657">
        <f>'Job Info.'!$M12</f>
        <v>0.8125</v>
      </c>
      <c r="DM7" s="1658">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7.3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AB8" s="256"/>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416</v>
      </c>
      <c r="DG8" s="1654">
        <f>'Job Info.'!$N13/2</f>
        <v>1</v>
      </c>
      <c r="DH8" s="1656">
        <f>'Job Info.'!$H13</f>
        <v>5</v>
      </c>
      <c r="DI8" s="1656">
        <f>'Job Info.'!$J13</f>
        <v>6</v>
      </c>
      <c r="DJ8" s="1656">
        <f>'Job Info.'!$I13</f>
        <v>4</v>
      </c>
      <c r="DK8" s="1656">
        <f>'Job Info.'!$K13</f>
        <v>4</v>
      </c>
      <c r="DL8" s="1657">
        <f>'Job Info.'!$M13</f>
        <v>0.8125</v>
      </c>
      <c r="DM8" s="1658">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24" t="str">
        <f>IF(ISBLANK('Job Info.'!D3),"",'Job Info.'!D3)</f>
        <v>MINDEN UPS BLDG 1</v>
      </c>
      <c r="D9" s="1824"/>
      <c r="E9" s="1824"/>
      <c r="F9" s="1824"/>
      <c r="G9" s="1824"/>
      <c r="H9" s="1824"/>
      <c r="I9" s="1824"/>
      <c r="J9" s="1824"/>
      <c r="K9" s="1824"/>
      <c r="L9" s="1824"/>
      <c r="M9" s="1824"/>
      <c r="N9" s="1824"/>
      <c r="O9" s="1825"/>
      <c r="P9" s="397"/>
      <c r="Q9" s="398"/>
      <c r="R9" s="458" t="s">
        <v>2</v>
      </c>
      <c r="S9" s="1825" t="str">
        <f>IF(ISBLANK('Job Info.'!D5),"",'Job Info.'!D5)</f>
        <v>NN22-0071</v>
      </c>
      <c r="T9" s="2101"/>
      <c r="U9" s="2101"/>
      <c r="V9" s="2101"/>
      <c r="W9" s="2101"/>
      <c r="X9" s="2101"/>
      <c r="Y9" s="2101"/>
      <c r="Z9" s="2101"/>
      <c r="AA9" s="2101"/>
      <c r="AB9" s="1415"/>
      <c r="BA9" s="246"/>
      <c r="BB9" s="400"/>
      <c r="BC9" s="244"/>
      <c r="BD9" s="244"/>
      <c r="BE9" s="244"/>
      <c r="BF9" s="244"/>
      <c r="BG9" s="244"/>
      <c r="BH9" s="244"/>
      <c r="BI9" s="244"/>
      <c r="BJ9" s="244"/>
      <c r="BK9" s="244"/>
      <c r="BL9" s="244"/>
      <c r="BM9" s="244"/>
      <c r="BN9" s="244"/>
      <c r="BO9" s="244"/>
      <c r="BP9" s="244"/>
      <c r="BQ9" s="244"/>
      <c r="BR9" s="244"/>
      <c r="BS9" s="244"/>
      <c r="BT9" s="244"/>
      <c r="BU9" s="244"/>
      <c r="BV9" s="244"/>
      <c r="BW9" s="244"/>
      <c r="BX9" s="244"/>
      <c r="BY9" s="244"/>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114</v>
      </c>
      <c r="DG9" s="1673">
        <f>'Job Info.'!$N14/2</f>
        <v>1</v>
      </c>
      <c r="DH9" s="1674">
        <f>'Job Info.'!$H14</f>
        <v>5</v>
      </c>
      <c r="DI9" s="1674">
        <f>'Job Info.'!$J14</f>
        <v>6</v>
      </c>
      <c r="DJ9" s="1674">
        <f>'Job Info.'!$I14</f>
        <v>4</v>
      </c>
      <c r="DK9" s="1674">
        <f>'Job Info.'!$K14</f>
        <v>4</v>
      </c>
      <c r="DL9" s="1675">
        <f>'Job Info.'!$M14</f>
        <v>0.8125</v>
      </c>
      <c r="DM9" s="1676">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x14ac:dyDescent="0.2">
      <c r="A10" s="401"/>
      <c r="B10" s="459" t="s">
        <v>3</v>
      </c>
      <c r="C10" s="1824" t="str">
        <f>IF(ISBLANK('Job Info.'!D4),"",'Job Info.'!D4)</f>
        <v>MINDEN, NV</v>
      </c>
      <c r="D10" s="1824"/>
      <c r="E10" s="1824"/>
      <c r="F10" s="1824"/>
      <c r="G10" s="1824"/>
      <c r="H10" s="1824"/>
      <c r="I10" s="1824"/>
      <c r="J10" s="1824"/>
      <c r="K10" s="1824"/>
      <c r="L10" s="1824"/>
      <c r="M10" s="1824"/>
      <c r="N10" s="1824"/>
      <c r="O10" s="1825"/>
      <c r="P10" s="402"/>
      <c r="Q10" s="403"/>
      <c r="R10" s="459" t="s">
        <v>22</v>
      </c>
      <c r="S10" s="1824" t="str">
        <f>IF(ISBLANK('Job Info.'!D6),"",'Job Info.'!D6)</f>
        <v>JMM</v>
      </c>
      <c r="T10" s="1824"/>
      <c r="U10" s="1824"/>
      <c r="V10" s="1824"/>
      <c r="W10" s="1825"/>
      <c r="X10" s="403"/>
      <c r="Y10" s="459" t="s">
        <v>23</v>
      </c>
      <c r="Z10" s="1825" t="str">
        <f>IF(ISBLANK('Job Info.'!D7),"",'Job Info.'!D7)</f>
        <v>NR</v>
      </c>
      <c r="AA10" s="2101"/>
      <c r="AB10" s="1415"/>
      <c r="BA10" s="246"/>
      <c r="BB10" s="244"/>
      <c r="BC10" s="244"/>
      <c r="BD10" s="244"/>
      <c r="BE10" s="244"/>
      <c r="BF10" s="244"/>
      <c r="BG10" s="244"/>
      <c r="BH10" s="244"/>
      <c r="BI10" s="244"/>
      <c r="BJ10" s="244"/>
      <c r="BK10" s="244"/>
      <c r="BL10" s="244"/>
      <c r="BM10" s="244"/>
      <c r="BN10" s="244"/>
      <c r="BO10" s="244"/>
      <c r="BP10" s="244"/>
      <c r="BQ10" s="244"/>
      <c r="BR10" s="244"/>
      <c r="BS10" s="244"/>
      <c r="BT10" s="244"/>
      <c r="BU10" s="244"/>
      <c r="BV10" s="244"/>
      <c r="BW10" s="244"/>
      <c r="BX10" s="244"/>
      <c r="BY10" s="244"/>
      <c r="BZ10" s="244"/>
      <c r="CA10" s="244"/>
      <c r="CB10" s="244"/>
      <c r="CC10" s="244"/>
      <c r="CD10" s="244"/>
      <c r="CE10" s="244"/>
      <c r="CF10" s="244"/>
      <c r="CG10" s="244"/>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7.35" customHeight="1" x14ac:dyDescent="0.2">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row>
    <row r="12" spans="1:241" ht="12.6" customHeight="1" x14ac:dyDescent="0.2">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IF(ISBLANK(CC16),"",CC16)</f>
        <v/>
      </c>
      <c r="AB12" s="763" t="str">
        <f>AA12</f>
        <v/>
      </c>
      <c r="AP12" s="1028"/>
      <c r="BA12" s="246"/>
      <c r="BB12" s="406"/>
      <c r="BC12" s="244"/>
      <c r="BD12" s="244"/>
      <c r="BE12" s="244"/>
      <c r="BF12" s="244"/>
      <c r="BG12" s="244"/>
      <c r="BH12" s="244"/>
      <c r="BI12" s="244"/>
      <c r="BJ12" s="244"/>
      <c r="BK12" s="244"/>
      <c r="BL12" s="244"/>
      <c r="BM12" s="244"/>
      <c r="BN12" s="203"/>
      <c r="BO12" s="407"/>
      <c r="BP12" s="407"/>
      <c r="BQ12" s="407"/>
      <c r="BR12" s="407"/>
      <c r="BS12" s="407"/>
      <c r="BT12" s="407"/>
      <c r="BU12" s="407"/>
      <c r="BV12" s="407"/>
      <c r="BW12" s="407"/>
      <c r="BX12" s="407"/>
      <c r="BY12" s="407"/>
      <c r="BZ12" s="407"/>
      <c r="CA12" s="407"/>
      <c r="CB12" s="407"/>
      <c r="CC12" s="407"/>
      <c r="CD12" s="407"/>
      <c r="CE12" s="407"/>
      <c r="CF12" s="244"/>
      <c r="CG12" s="244"/>
      <c r="CH12" s="244"/>
      <c r="CI12" s="244"/>
      <c r="CJ12" s="244"/>
      <c r="CK12" s="244"/>
      <c r="CL12" s="244"/>
      <c r="CM12" s="244"/>
      <c r="CN12" s="244"/>
      <c r="CO12" s="244"/>
      <c r="CP12" s="244"/>
      <c r="CQ12" s="244"/>
      <c r="CR12" s="244"/>
      <c r="CS12" s="244"/>
      <c r="CT12" s="246"/>
      <c r="CU12" s="246"/>
      <c r="CV12" s="246"/>
      <c r="CW12" s="246"/>
      <c r="CX12" s="246"/>
      <c r="CY12" s="246"/>
      <c r="CZ12" s="246"/>
      <c r="DA12" s="408"/>
      <c r="DB12" s="251"/>
      <c r="DC12" s="251"/>
      <c r="DD12" s="251"/>
      <c r="DE12" s="251"/>
      <c r="DR12" s="246"/>
      <c r="DS12" s="246"/>
      <c r="DT12" s="246"/>
      <c r="DU12" s="246"/>
      <c r="DV12" s="246"/>
      <c r="DW12" s="246"/>
      <c r="DX12" s="246"/>
      <c r="DY12" s="246"/>
      <c r="DZ12" s="246"/>
      <c r="EA12" s="246"/>
      <c r="EB12" s="246"/>
      <c r="EC12" s="246"/>
      <c r="ED12" s="246"/>
      <c r="EE12" s="404"/>
      <c r="EF12" s="404"/>
      <c r="EG12" s="404"/>
      <c r="EH12" s="404"/>
      <c r="EI12" s="404"/>
      <c r="EJ12" s="404"/>
      <c r="EK12" s="404"/>
      <c r="EL12" s="404"/>
      <c r="EM12" s="404"/>
      <c r="EN12" s="404"/>
      <c r="EO12" s="404"/>
      <c r="EP12" s="404"/>
      <c r="EQ12" s="246"/>
      <c r="ER12" s="246"/>
      <c r="ES12" s="246"/>
      <c r="ET12" s="246"/>
      <c r="EU12" s="246"/>
      <c r="EV12" s="246"/>
      <c r="EW12" s="246"/>
      <c r="EX12" s="251"/>
      <c r="EY12" s="251"/>
      <c r="EZ12" s="251"/>
      <c r="FA12" s="251"/>
      <c r="FB12" s="246"/>
      <c r="FC12" s="246"/>
      <c r="FD12" s="246"/>
      <c r="FE12" s="246"/>
      <c r="FF12" s="246"/>
      <c r="FG12" s="246"/>
      <c r="FH12" s="246"/>
      <c r="FI12" s="246"/>
      <c r="GA12" s="374"/>
      <c r="GB12" s="374"/>
      <c r="GC12" s="374"/>
      <c r="GD12" s="374"/>
      <c r="GE12" s="374"/>
      <c r="GF12" s="374"/>
      <c r="GG12" s="374"/>
      <c r="GH12" s="374"/>
      <c r="GI12" s="374"/>
      <c r="GJ12" s="374"/>
    </row>
    <row r="13" spans="1:241" ht="11.1" customHeight="1" x14ac:dyDescent="0.2">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BA13" s="246"/>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6"/>
      <c r="CU13" s="246"/>
      <c r="CV13" s="246"/>
      <c r="CW13" s="246"/>
      <c r="CX13" s="246"/>
      <c r="CY13" s="246"/>
      <c r="CZ13" s="246"/>
      <c r="EE13" s="404"/>
      <c r="EF13" s="404"/>
      <c r="EG13" s="404"/>
      <c r="EH13" s="404"/>
      <c r="EI13" s="404"/>
      <c r="EJ13" s="411"/>
      <c r="EK13" s="411"/>
      <c r="EL13" s="411"/>
      <c r="EM13" s="411"/>
      <c r="EN13" s="411"/>
      <c r="EO13" s="411"/>
      <c r="EP13" s="411"/>
      <c r="EQ13" s="2345"/>
      <c r="ES13" s="246"/>
      <c r="ET13" s="246"/>
      <c r="EU13" s="2345"/>
      <c r="EV13" s="2345"/>
      <c r="EW13" s="2345"/>
      <c r="EZ13" s="251"/>
      <c r="FA13" s="251"/>
      <c r="FB13" s="246"/>
      <c r="FC13" s="246"/>
      <c r="FD13" s="246"/>
      <c r="FE13" s="246"/>
      <c r="FF13" s="246"/>
      <c r="FG13" s="246"/>
      <c r="FH13" s="246"/>
      <c r="FI13" s="246"/>
      <c r="GA13" s="374"/>
      <c r="GB13" s="374"/>
      <c r="GC13" s="374"/>
      <c r="GD13" s="374"/>
      <c r="GE13" s="374"/>
      <c r="GF13" s="374"/>
      <c r="GG13" s="374"/>
      <c r="GH13" s="374"/>
      <c r="GI13" s="374"/>
      <c r="GJ13" s="374"/>
    </row>
    <row r="14" spans="1:241" ht="76.349999999999994" customHeight="1" x14ac:dyDescent="0.2">
      <c r="A14" s="374"/>
      <c r="B14" s="374"/>
      <c r="C14" s="374"/>
      <c r="D14" s="374"/>
      <c r="E14" s="374"/>
      <c r="F14" s="374"/>
      <c r="G14" s="374"/>
      <c r="H14" s="374"/>
      <c r="I14" s="374"/>
      <c r="J14" s="374"/>
      <c r="K14" s="374"/>
      <c r="L14" s="374"/>
      <c r="M14" s="374"/>
      <c r="N14" s="374"/>
      <c r="O14" s="374"/>
      <c r="P14" s="374"/>
      <c r="Q14" s="374"/>
      <c r="R14" s="374"/>
      <c r="S14" s="374"/>
      <c r="T14" s="374"/>
      <c r="U14" s="374"/>
      <c r="V14" s="374"/>
      <c r="W14" s="374"/>
      <c r="X14" s="374"/>
      <c r="Y14" s="374"/>
      <c r="Z14" s="374"/>
      <c r="AA14" s="412" t="s">
        <v>28</v>
      </c>
      <c r="AB14" s="413"/>
      <c r="BA14" s="246"/>
      <c r="BB14" s="244"/>
      <c r="BC14" s="244"/>
      <c r="BD14" s="244"/>
      <c r="BE14" s="244"/>
      <c r="BF14" s="244"/>
      <c r="BG14" s="244"/>
      <c r="BH14" s="244"/>
      <c r="BI14" s="244"/>
      <c r="BJ14" s="244"/>
      <c r="BK14" s="244"/>
      <c r="BL14" s="244"/>
      <c r="BM14" s="244"/>
      <c r="BN14" s="244"/>
      <c r="BO14" s="244"/>
      <c r="BP14" s="244"/>
      <c r="BQ14" s="244"/>
      <c r="BR14" s="244"/>
      <c r="BS14" s="244"/>
      <c r="BT14" s="244"/>
      <c r="BU14" s="244"/>
      <c r="BV14" s="244"/>
      <c r="BW14" s="244"/>
      <c r="BX14" s="244"/>
      <c r="BY14" s="244"/>
      <c r="BZ14" s="244"/>
      <c r="CA14" s="244"/>
      <c r="CB14" s="244"/>
      <c r="CC14" s="244"/>
      <c r="CD14" s="244"/>
      <c r="CE14" s="244"/>
      <c r="CF14" s="244"/>
      <c r="CG14" s="374"/>
      <c r="CH14" s="374"/>
      <c r="CI14" s="374"/>
      <c r="CJ14" s="374"/>
      <c r="CK14" s="374"/>
      <c r="CL14" s="374"/>
      <c r="CM14" s="374"/>
      <c r="CN14" s="374"/>
      <c r="CO14" s="374"/>
      <c r="CP14" s="244"/>
      <c r="CQ14" s="244"/>
      <c r="CR14" s="244"/>
      <c r="CS14" s="244"/>
      <c r="CT14" s="246"/>
      <c r="CU14" s="246"/>
      <c r="CV14" s="246"/>
      <c r="CW14" s="246"/>
      <c r="CX14" s="246"/>
      <c r="CY14" s="246"/>
      <c r="CZ14" s="246"/>
      <c r="EE14" s="404"/>
      <c r="EF14" s="404"/>
      <c r="EG14" s="404"/>
      <c r="EH14" s="404"/>
      <c r="EI14" s="404"/>
      <c r="EJ14" s="404"/>
      <c r="EK14" s="404"/>
      <c r="EL14" s="404"/>
      <c r="EM14" s="404"/>
      <c r="EN14" s="404"/>
      <c r="EO14" s="404"/>
      <c r="EP14" s="404"/>
      <c r="EQ14" s="2346"/>
      <c r="ES14" s="246"/>
      <c r="ET14" s="246"/>
      <c r="EU14" s="2346"/>
      <c r="EV14" s="2346"/>
      <c r="EW14" s="2346"/>
      <c r="EZ14" s="251"/>
      <c r="FA14" s="251"/>
      <c r="FB14" s="246"/>
      <c r="FC14" s="246"/>
      <c r="FD14" s="246"/>
      <c r="FE14" s="246"/>
      <c r="FF14" s="246"/>
      <c r="FG14" s="246"/>
      <c r="FH14" s="246"/>
      <c r="FI14" s="246"/>
      <c r="GA14" s="374"/>
      <c r="GB14" s="374"/>
      <c r="GC14" s="374"/>
      <c r="GD14" s="374"/>
      <c r="GE14" s="374"/>
      <c r="GF14" s="374"/>
      <c r="GG14" s="374"/>
      <c r="GH14" s="374"/>
      <c r="GI14" s="374"/>
      <c r="GJ14" s="374"/>
    </row>
    <row r="15" spans="1:241" ht="12.6" customHeight="1" x14ac:dyDescent="0.2">
      <c r="A15" s="374"/>
      <c r="B15" s="374"/>
      <c r="C15" s="374"/>
      <c r="D15" s="374"/>
      <c r="E15" s="374"/>
      <c r="F15" s="374"/>
      <c r="G15" s="374"/>
      <c r="H15" s="374"/>
      <c r="I15" s="374"/>
      <c r="J15" s="374"/>
      <c r="K15" s="374"/>
      <c r="L15" s="374"/>
      <c r="M15" s="374"/>
      <c r="N15" s="374"/>
      <c r="O15" s="374"/>
      <c r="P15" s="374"/>
      <c r="Q15" s="374"/>
      <c r="R15" s="374"/>
      <c r="S15" s="374"/>
      <c r="T15" s="374"/>
      <c r="U15" s="374"/>
      <c r="V15" s="374"/>
      <c r="W15" s="374"/>
      <c r="X15" s="374"/>
      <c r="Y15" s="374"/>
      <c r="Z15" s="462" t="s">
        <v>5</v>
      </c>
      <c r="AA15" s="663">
        <f>AD15+AD41</f>
        <v>0</v>
      </c>
      <c r="AB15" s="414"/>
      <c r="AD15" s="415">
        <v>0</v>
      </c>
      <c r="AE15" s="245" t="s">
        <v>73</v>
      </c>
      <c r="BA15" s="246"/>
      <c r="BB15" s="244"/>
      <c r="BC15" s="244"/>
      <c r="BD15" s="244"/>
      <c r="BE15" s="244"/>
      <c r="BF15" s="244"/>
      <c r="BG15" s="244"/>
      <c r="BH15" s="244"/>
      <c r="BI15" s="244"/>
      <c r="BJ15" s="244"/>
      <c r="BK15" s="244"/>
      <c r="BL15" s="244"/>
      <c r="BM15" s="244"/>
      <c r="BN15" s="244"/>
      <c r="BO15" s="244"/>
      <c r="BP15" s="244"/>
      <c r="BQ15" s="244"/>
      <c r="BR15" s="244"/>
      <c r="BS15" s="244"/>
      <c r="BT15" s="244"/>
      <c r="BU15" s="244"/>
      <c r="BV15" s="244"/>
      <c r="BW15" s="244"/>
      <c r="BX15" s="244"/>
      <c r="BY15" s="244"/>
      <c r="BZ15" s="244"/>
      <c r="CA15" s="244"/>
      <c r="CB15" s="393" t="s">
        <v>678</v>
      </c>
      <c r="CC15" s="2422"/>
      <c r="CD15" s="1940"/>
      <c r="CE15" s="1940"/>
      <c r="CF15" s="1940"/>
      <c r="CG15" s="374"/>
      <c r="CH15" s="374"/>
      <c r="CI15" s="374"/>
      <c r="CJ15" s="374"/>
      <c r="CK15" s="374"/>
      <c r="CL15" s="374"/>
      <c r="CM15" s="374"/>
      <c r="CN15" s="374"/>
      <c r="CO15" s="244"/>
      <c r="CP15" s="244"/>
      <c r="CQ15" s="244"/>
      <c r="CR15" s="244"/>
      <c r="CS15" s="952"/>
      <c r="CT15" s="416"/>
      <c r="CU15" s="246"/>
      <c r="CV15" s="246"/>
      <c r="CW15" s="246"/>
      <c r="CX15" s="246"/>
      <c r="CY15" s="246"/>
      <c r="CZ15" s="246"/>
      <c r="DA15" s="246"/>
      <c r="DB15" s="246"/>
      <c r="DC15" s="246"/>
      <c r="DD15" s="246"/>
      <c r="DE15" s="246"/>
      <c r="DF15" s="246"/>
      <c r="DG15" s="246"/>
      <c r="DH15" s="246"/>
      <c r="DI15" s="404"/>
      <c r="DJ15" s="404"/>
      <c r="DK15" s="251"/>
      <c r="DL15" s="417"/>
      <c r="DM15" s="417"/>
      <c r="DN15" s="417"/>
      <c r="DO15" s="246"/>
      <c r="DP15" s="246"/>
      <c r="DQ15" s="246"/>
      <c r="DR15" s="246"/>
      <c r="DS15" s="246"/>
      <c r="DT15" s="404"/>
      <c r="DU15" s="404"/>
      <c r="DV15" s="404"/>
      <c r="DW15" s="404"/>
      <c r="DX15" s="246"/>
      <c r="DY15" s="251"/>
      <c r="DZ15" s="246"/>
      <c r="EA15" s="246"/>
      <c r="EB15" s="246"/>
      <c r="EC15" s="404"/>
      <c r="ED15" s="404"/>
      <c r="EE15" s="404"/>
      <c r="EF15" s="404"/>
      <c r="EG15" s="404"/>
      <c r="EH15" s="404"/>
      <c r="EI15" s="1295"/>
      <c r="EJ15" s="404"/>
      <c r="EK15" s="404"/>
      <c r="EL15" s="404"/>
      <c r="EM15" s="404"/>
      <c r="EN15" s="404"/>
      <c r="EO15" s="404"/>
      <c r="EP15" s="404"/>
      <c r="EQ15" s="246"/>
      <c r="ES15" s="246"/>
      <c r="ET15" s="246"/>
      <c r="EU15" s="246"/>
      <c r="EV15" s="246"/>
      <c r="EW15" s="246"/>
      <c r="EZ15" s="251"/>
      <c r="FA15" s="251"/>
      <c r="FB15" s="246"/>
      <c r="FC15" s="246"/>
      <c r="FD15" s="246"/>
      <c r="FE15" s="246"/>
      <c r="FF15" s="246"/>
      <c r="FG15" s="246"/>
      <c r="FH15" s="246"/>
      <c r="FI15" s="246"/>
      <c r="FR15" s="511"/>
      <c r="GA15" s="374"/>
      <c r="GB15" s="374"/>
      <c r="GC15" s="374"/>
      <c r="GD15" s="374"/>
      <c r="GE15" s="374"/>
      <c r="GF15" s="374"/>
      <c r="GG15" s="374"/>
      <c r="GH15" s="374"/>
      <c r="GI15" s="374"/>
      <c r="GJ15" s="374"/>
    </row>
    <row r="16" spans="1:241" ht="12.6" customHeight="1" x14ac:dyDescent="0.2">
      <c r="A16" s="374"/>
      <c r="B16" s="374"/>
      <c r="C16" s="374"/>
      <c r="D16" s="374"/>
      <c r="E16" s="374"/>
      <c r="F16" s="374"/>
      <c r="G16" s="374"/>
      <c r="H16" s="374"/>
      <c r="I16" s="374"/>
      <c r="J16" s="374"/>
      <c r="K16" s="374"/>
      <c r="L16" s="374"/>
      <c r="M16" s="374"/>
      <c r="N16" s="374"/>
      <c r="O16" s="374"/>
      <c r="P16" s="374"/>
      <c r="Q16" s="374"/>
      <c r="R16" s="374"/>
      <c r="S16" s="374"/>
      <c r="T16" s="374"/>
      <c r="U16" s="374"/>
      <c r="V16" s="374"/>
      <c r="W16" s="374"/>
      <c r="X16" s="374"/>
      <c r="Y16" s="374"/>
      <c r="Z16" s="462" t="s">
        <v>6</v>
      </c>
      <c r="AA16" s="663">
        <f>AD16+AE41</f>
        <v>0</v>
      </c>
      <c r="AB16" s="414"/>
      <c r="AD16" s="415">
        <v>0</v>
      </c>
      <c r="AE16" s="245" t="s">
        <v>74</v>
      </c>
      <c r="BA16" s="246"/>
      <c r="BB16" s="244"/>
      <c r="BC16" s="244"/>
      <c r="BD16" s="244"/>
      <c r="BE16" s="949">
        <v>4.5</v>
      </c>
      <c r="BF16" s="949">
        <v>5.5</v>
      </c>
      <c r="BG16" s="950">
        <v>5</v>
      </c>
      <c r="BH16" s="950">
        <v>5</v>
      </c>
      <c r="BI16" s="950">
        <v>5</v>
      </c>
      <c r="BJ16" s="950">
        <v>3</v>
      </c>
      <c r="BK16" s="950">
        <v>5</v>
      </c>
      <c r="BL16" s="950">
        <v>5</v>
      </c>
      <c r="BM16" s="950">
        <v>5</v>
      </c>
      <c r="BN16" s="950">
        <v>6</v>
      </c>
      <c r="BO16" s="950">
        <v>5</v>
      </c>
      <c r="BP16" s="950">
        <v>5</v>
      </c>
      <c r="BQ16" s="950">
        <v>5</v>
      </c>
      <c r="BR16" s="950">
        <v>3</v>
      </c>
      <c r="BS16" s="950">
        <v>5</v>
      </c>
      <c r="BT16" s="950">
        <v>5</v>
      </c>
      <c r="BU16" s="950">
        <v>5</v>
      </c>
      <c r="BV16" s="950">
        <v>6</v>
      </c>
      <c r="BW16" s="951"/>
      <c r="BX16" s="949">
        <v>24</v>
      </c>
      <c r="BY16" s="949">
        <v>24</v>
      </c>
      <c r="BZ16" s="244"/>
      <c r="CA16" s="244"/>
      <c r="CB16" s="393" t="s">
        <v>657</v>
      </c>
      <c r="CC16" s="1082"/>
      <c r="CD16" s="244"/>
      <c r="CE16" s="244"/>
      <c r="CF16" s="244"/>
      <c r="CG16" s="374"/>
      <c r="CH16" s="374"/>
      <c r="CI16" s="374"/>
      <c r="CJ16" s="374"/>
      <c r="CK16" s="374"/>
      <c r="CL16" s="374"/>
      <c r="CM16" s="374"/>
      <c r="CN16" s="374"/>
      <c r="CO16" s="244"/>
      <c r="CP16" s="244"/>
      <c r="CQ16" s="244"/>
      <c r="CR16" s="953"/>
      <c r="CS16" s="244"/>
      <c r="CT16" s="416"/>
      <c r="CU16" s="246"/>
      <c r="CV16" s="246"/>
      <c r="CW16" s="246"/>
      <c r="CX16" s="246"/>
      <c r="CY16" s="246"/>
      <c r="CZ16" s="246"/>
      <c r="DA16" s="246"/>
      <c r="DB16" s="246"/>
      <c r="DC16" s="246"/>
      <c r="DD16" s="246"/>
      <c r="DE16" s="246"/>
      <c r="DF16" s="246"/>
      <c r="DG16" s="246"/>
      <c r="DH16" s="246"/>
      <c r="DI16" s="246"/>
      <c r="DJ16" s="246"/>
      <c r="DK16" s="251"/>
      <c r="DL16" s="418"/>
      <c r="DM16" s="418"/>
      <c r="DN16" s="418"/>
      <c r="DO16" s="246"/>
      <c r="DP16" s="419"/>
      <c r="DQ16" s="419"/>
      <c r="DR16" s="419"/>
      <c r="DS16" s="419"/>
      <c r="DT16" s="246"/>
      <c r="DU16" s="246"/>
      <c r="DV16" s="246"/>
      <c r="DW16" s="246"/>
      <c r="DX16" s="246"/>
      <c r="DY16" s="246"/>
      <c r="DZ16" s="246"/>
      <c r="EA16" s="416"/>
      <c r="EB16" s="246"/>
      <c r="EC16" s="404"/>
      <c r="ED16" s="404"/>
      <c r="EE16" s="404"/>
      <c r="EF16" s="404"/>
      <c r="EG16" s="404"/>
      <c r="EH16" s="404"/>
      <c r="EI16" s="404"/>
      <c r="EJ16" s="404"/>
      <c r="EK16" s="404"/>
      <c r="EL16" s="404"/>
      <c r="EM16" s="404"/>
      <c r="EN16" s="404"/>
      <c r="EO16" s="404"/>
      <c r="EP16" s="404"/>
      <c r="EQ16" s="246"/>
      <c r="ES16" s="246"/>
      <c r="ET16" s="246"/>
      <c r="EU16" s="246"/>
      <c r="EV16" s="246"/>
      <c r="EW16" s="246"/>
      <c r="EZ16" s="251"/>
      <c r="FA16" s="251"/>
      <c r="FB16" s="246"/>
      <c r="FC16" s="246"/>
      <c r="FD16" s="246"/>
      <c r="FE16" s="246"/>
      <c r="FF16" s="246"/>
      <c r="FG16" s="246"/>
      <c r="FH16" s="246"/>
      <c r="FI16" s="246"/>
      <c r="FR16" s="510"/>
      <c r="GA16" s="374"/>
      <c r="GB16" s="374"/>
      <c r="GC16" s="374"/>
      <c r="GD16" s="374"/>
      <c r="GE16" s="374"/>
      <c r="GF16" s="374"/>
      <c r="GG16" s="374"/>
      <c r="GH16" s="374"/>
      <c r="GI16" s="374"/>
      <c r="GJ16" s="374"/>
    </row>
    <row r="17" spans="1:240" ht="12.6" customHeight="1" thickBot="1" x14ac:dyDescent="0.25">
      <c r="A17" s="374"/>
      <c r="B17" s="374"/>
      <c r="C17" s="374"/>
      <c r="D17" s="374"/>
      <c r="E17" s="374"/>
      <c r="F17" s="374"/>
      <c r="G17" s="374"/>
      <c r="H17" s="374"/>
      <c r="I17" s="374"/>
      <c r="J17" s="374"/>
      <c r="K17" s="374"/>
      <c r="L17" s="374"/>
      <c r="M17" s="374"/>
      <c r="N17" s="374"/>
      <c r="O17" s="374"/>
      <c r="P17" s="374"/>
      <c r="Q17" s="374"/>
      <c r="R17" s="374"/>
      <c r="S17" s="374"/>
      <c r="T17" s="374"/>
      <c r="U17" s="374"/>
      <c r="V17" s="374"/>
      <c r="W17" s="374"/>
      <c r="X17" s="374"/>
      <c r="Y17" s="374"/>
      <c r="Z17" s="462" t="s">
        <v>7</v>
      </c>
      <c r="AA17" s="663">
        <f>AD17+AF41</f>
        <v>0</v>
      </c>
      <c r="AB17" s="414"/>
      <c r="AD17" s="415">
        <v>0</v>
      </c>
      <c r="AE17" s="245" t="s">
        <v>75</v>
      </c>
      <c r="AP17" s="1028"/>
      <c r="BA17" s="246"/>
      <c r="BB17" s="1622">
        <v>6</v>
      </c>
      <c r="BC17" s="1622">
        <v>4</v>
      </c>
      <c r="BD17" s="1622">
        <v>13</v>
      </c>
      <c r="BE17" s="1622">
        <v>4</v>
      </c>
      <c r="BF17" s="1622">
        <v>5</v>
      </c>
      <c r="BG17" s="1623">
        <v>3</v>
      </c>
      <c r="BH17" s="1623">
        <v>4.57</v>
      </c>
      <c r="BI17" s="1623">
        <v>4.57</v>
      </c>
      <c r="BJ17" s="1623">
        <v>2.71</v>
      </c>
      <c r="BK17" s="1623">
        <v>4.57</v>
      </c>
      <c r="BL17" s="1623">
        <v>4.57</v>
      </c>
      <c r="BM17" s="1623">
        <v>4</v>
      </c>
      <c r="BN17" s="1623">
        <v>5</v>
      </c>
      <c r="BO17" s="1623">
        <v>2.71</v>
      </c>
      <c r="BP17" s="1623">
        <v>5.29</v>
      </c>
      <c r="BQ17" s="1623">
        <v>5.29</v>
      </c>
      <c r="BR17" s="1623">
        <v>4</v>
      </c>
      <c r="BS17" s="1623">
        <v>3</v>
      </c>
      <c r="BT17" s="1623">
        <v>4.57</v>
      </c>
      <c r="BU17" s="1623">
        <v>4.57</v>
      </c>
      <c r="BV17" s="1623">
        <v>2.71</v>
      </c>
      <c r="BW17" s="1622">
        <v>4.57</v>
      </c>
      <c r="BX17" s="1622">
        <v>4.57</v>
      </c>
      <c r="BY17" s="1622">
        <v>4</v>
      </c>
      <c r="BZ17" s="1622">
        <v>5</v>
      </c>
      <c r="CA17" s="1622">
        <v>2.71</v>
      </c>
      <c r="CB17" s="1623">
        <v>5.29</v>
      </c>
      <c r="CC17" s="1622">
        <v>5.29</v>
      </c>
      <c r="CD17" s="1622">
        <v>4</v>
      </c>
      <c r="CE17" s="1622">
        <v>5</v>
      </c>
      <c r="CF17" s="1622">
        <v>17.14</v>
      </c>
      <c r="CG17" s="1623">
        <v>17.14</v>
      </c>
      <c r="CH17" s="374"/>
      <c r="CI17" s="374"/>
      <c r="CJ17" s="374"/>
      <c r="CK17" s="374"/>
      <c r="CL17" s="374"/>
      <c r="CM17" s="374"/>
      <c r="CN17" s="374"/>
      <c r="CO17" s="244"/>
      <c r="CP17" s="244"/>
      <c r="CQ17" s="244"/>
      <c r="CR17" s="244"/>
      <c r="CS17" s="244"/>
      <c r="CT17" s="246"/>
      <c r="CU17" s="246"/>
      <c r="CV17" s="246"/>
      <c r="CW17" s="246"/>
      <c r="CX17" s="246"/>
      <c r="CY17" s="246"/>
      <c r="CZ17" s="246"/>
      <c r="DA17" s="246"/>
      <c r="DB17" s="246"/>
      <c r="DC17" s="246"/>
      <c r="DD17" s="246"/>
      <c r="DE17" s="246"/>
      <c r="DF17" s="246"/>
      <c r="DG17" s="246"/>
      <c r="DH17" s="246"/>
      <c r="DI17" s="246"/>
      <c r="DJ17" s="246"/>
      <c r="DK17" s="251"/>
      <c r="DN17" s="418"/>
      <c r="DO17" s="246"/>
      <c r="DP17" s="246"/>
      <c r="DQ17" s="246"/>
      <c r="DR17" s="246"/>
      <c r="DS17" s="246"/>
      <c r="DT17" s="404"/>
      <c r="DU17" s="404"/>
      <c r="DV17" s="404"/>
      <c r="DW17" s="404"/>
      <c r="DX17" s="246"/>
      <c r="DY17" s="251"/>
      <c r="DZ17" s="246"/>
      <c r="EA17" s="246"/>
      <c r="EB17" s="246"/>
      <c r="EC17" s="404"/>
      <c r="ED17" s="404"/>
      <c r="EE17" s="404"/>
      <c r="EF17" s="404"/>
      <c r="EG17" s="404"/>
      <c r="EH17" s="404"/>
      <c r="EI17" s="404"/>
      <c r="EJ17" s="404"/>
      <c r="EK17" s="404"/>
      <c r="EL17" s="404"/>
      <c r="EM17" s="404"/>
      <c r="EN17" s="404"/>
      <c r="EO17" s="404"/>
      <c r="EP17" s="404"/>
      <c r="EQ17" s="246"/>
      <c r="ER17" s="246"/>
      <c r="ES17" s="246"/>
      <c r="ET17" s="246"/>
      <c r="EU17" s="246"/>
      <c r="EV17" s="246"/>
      <c r="EW17" s="246"/>
      <c r="EX17" s="251"/>
      <c r="EY17" s="251"/>
      <c r="EZ17" s="251"/>
      <c r="FA17" s="251"/>
      <c r="FB17" s="246"/>
      <c r="FC17" s="246"/>
      <c r="FD17" s="246"/>
      <c r="FE17" s="246"/>
      <c r="FF17" s="246"/>
      <c r="FG17" s="246"/>
      <c r="FH17" s="246"/>
      <c r="FI17" s="246"/>
      <c r="GA17" s="374"/>
      <c r="GB17" s="374"/>
      <c r="GC17" s="374"/>
      <c r="GD17" s="374"/>
      <c r="GE17" s="374"/>
      <c r="GF17" s="374"/>
      <c r="GG17" s="374"/>
      <c r="GH17" s="374"/>
      <c r="GI17" s="374"/>
      <c r="GJ17" s="374"/>
      <c r="GZ17" s="2326"/>
    </row>
    <row r="18" spans="1:240" ht="12.6" customHeight="1" thickTop="1" thickBot="1" x14ac:dyDescent="0.25">
      <c r="A18" s="374"/>
      <c r="B18" s="374"/>
      <c r="C18" s="374"/>
      <c r="D18" s="374"/>
      <c r="E18" s="374"/>
      <c r="F18" s="374"/>
      <c r="G18" s="374"/>
      <c r="H18" s="374"/>
      <c r="I18" s="374"/>
      <c r="J18" s="374"/>
      <c r="K18" s="374"/>
      <c r="L18" s="374"/>
      <c r="M18" s="374"/>
      <c r="N18" s="374"/>
      <c r="O18" s="374"/>
      <c r="P18" s="374"/>
      <c r="Q18" s="374"/>
      <c r="R18" s="374"/>
      <c r="S18" s="374"/>
      <c r="T18" s="374"/>
      <c r="U18" s="374"/>
      <c r="V18" s="374"/>
      <c r="W18" s="374"/>
      <c r="X18" s="374"/>
      <c r="Y18" s="374"/>
      <c r="Z18" s="462" t="s">
        <v>8</v>
      </c>
      <c r="AA18" s="663">
        <f>AD18+AG41</f>
        <v>0</v>
      </c>
      <c r="AD18" s="415">
        <v>0</v>
      </c>
      <c r="AE18" s="245" t="s">
        <v>76</v>
      </c>
      <c r="BA18" s="547" t="s">
        <v>116</v>
      </c>
      <c r="BB18" s="2375" t="s">
        <v>592</v>
      </c>
      <c r="BC18" s="2376"/>
      <c r="BD18" s="2376"/>
      <c r="BE18" s="2376"/>
      <c r="BF18" s="2376"/>
      <c r="BG18" s="2376"/>
      <c r="BH18" s="2376"/>
      <c r="BI18" s="2376"/>
      <c r="BJ18" s="2376"/>
      <c r="BK18" s="2376"/>
      <c r="BL18" s="2376"/>
      <c r="BM18" s="2376"/>
      <c r="BN18" s="2376"/>
      <c r="BO18" s="2376"/>
      <c r="BP18" s="2376"/>
      <c r="BQ18" s="2376"/>
      <c r="BR18" s="2376"/>
      <c r="BS18" s="2376"/>
      <c r="BT18" s="2376"/>
      <c r="BU18" s="2376"/>
      <c r="BV18" s="2376"/>
      <c r="BW18" s="2376"/>
      <c r="BX18" s="2376"/>
      <c r="BY18" s="2376"/>
      <c r="BZ18" s="2376"/>
      <c r="CA18" s="2376"/>
      <c r="CB18" s="2376"/>
      <c r="CC18" s="1557"/>
      <c r="CD18" s="2379"/>
      <c r="CE18" s="2379"/>
      <c r="CF18" s="2379"/>
      <c r="CG18" s="2380"/>
      <c r="CH18" s="244"/>
      <c r="CI18" s="244"/>
      <c r="CJ18" s="244"/>
      <c r="CK18" s="244"/>
      <c r="CL18" s="244"/>
      <c r="CM18" s="908"/>
      <c r="CN18" s="244"/>
      <c r="CO18" s="244"/>
      <c r="CP18" s="244"/>
      <c r="CQ18" s="244"/>
      <c r="CR18" s="244"/>
      <c r="CS18" s="244"/>
      <c r="CT18" s="246"/>
      <c r="CU18" s="246"/>
      <c r="CV18" s="246"/>
      <c r="CW18" s="246"/>
      <c r="CX18" s="246"/>
      <c r="CY18" s="246"/>
      <c r="CZ18" s="246"/>
      <c r="DA18" s="246"/>
      <c r="DB18" s="246"/>
      <c r="DC18" s="246"/>
      <c r="DD18" s="246"/>
      <c r="DE18" s="246"/>
      <c r="DF18" s="246"/>
      <c r="DG18" s="246"/>
      <c r="DH18" s="246"/>
      <c r="DI18" s="246"/>
      <c r="DJ18" s="246"/>
      <c r="DK18" s="251"/>
      <c r="DL18" s="246"/>
      <c r="DM18" s="246"/>
      <c r="DN18" s="246"/>
      <c r="DO18" s="246"/>
      <c r="DP18" s="419"/>
      <c r="DQ18" s="419"/>
      <c r="DR18" s="419"/>
      <c r="DS18" s="419"/>
      <c r="DT18" s="516"/>
      <c r="DU18" s="246"/>
      <c r="DV18" s="246"/>
      <c r="DW18" s="246"/>
      <c r="DX18" s="246"/>
      <c r="DY18" s="246"/>
      <c r="DZ18" s="246"/>
      <c r="EA18" s="416"/>
      <c r="EB18" s="420"/>
      <c r="EC18" s="420"/>
      <c r="ED18" s="420"/>
      <c r="EE18" s="420"/>
      <c r="EF18" s="404"/>
      <c r="EG18" s="246"/>
      <c r="EH18" s="246" t="s">
        <v>1218</v>
      </c>
      <c r="EI18" s="246"/>
      <c r="EJ18" s="246"/>
      <c r="EK18" s="246"/>
      <c r="EL18" s="246"/>
      <c r="EM18" s="246"/>
      <c r="EN18" s="246"/>
      <c r="EO18" s="246" t="s">
        <v>1219</v>
      </c>
      <c r="EP18" s="246"/>
      <c r="EQ18" s="246"/>
      <c r="ER18" s="246"/>
      <c r="ES18" s="246"/>
      <c r="ET18" s="246"/>
      <c r="EU18" s="251"/>
      <c r="EV18" s="251"/>
      <c r="EW18" s="251"/>
      <c r="EX18" s="251"/>
      <c r="EY18" s="246"/>
      <c r="EZ18" s="246"/>
      <c r="FA18" s="246"/>
      <c r="FB18" s="246"/>
      <c r="FC18" s="246"/>
      <c r="FD18" s="246"/>
      <c r="FE18" s="246"/>
      <c r="FF18" s="246"/>
      <c r="FG18" s="246"/>
      <c r="FQ18" s="633" t="s">
        <v>1217</v>
      </c>
      <c r="FR18" s="420"/>
      <c r="FS18" s="420"/>
      <c r="FW18" s="420"/>
      <c r="FX18" s="420"/>
      <c r="GA18" s="374"/>
      <c r="GB18" s="374"/>
      <c r="GC18" s="374"/>
      <c r="GD18" s="374"/>
      <c r="GE18" s="374"/>
      <c r="GF18" s="374"/>
      <c r="GG18" s="374"/>
      <c r="GH18" s="374"/>
      <c r="GI18" s="374"/>
      <c r="GJ18" s="374"/>
      <c r="GZ18" s="2327"/>
      <c r="HA18" s="255">
        <v>1</v>
      </c>
      <c r="HB18" s="255">
        <f>HA18+1</f>
        <v>2</v>
      </c>
      <c r="HC18" s="255">
        <f t="shared" ref="HC18:IB18" si="0">HB18+1</f>
        <v>3</v>
      </c>
      <c r="HD18" s="255">
        <f t="shared" si="0"/>
        <v>4</v>
      </c>
      <c r="HE18" s="255">
        <f t="shared" si="0"/>
        <v>5</v>
      </c>
      <c r="HF18" s="255">
        <f t="shared" si="0"/>
        <v>6</v>
      </c>
      <c r="HG18" s="255">
        <f t="shared" si="0"/>
        <v>7</v>
      </c>
      <c r="HH18" s="255">
        <f t="shared" si="0"/>
        <v>8</v>
      </c>
      <c r="HI18" s="255">
        <f t="shared" si="0"/>
        <v>9</v>
      </c>
      <c r="HJ18" s="255">
        <f t="shared" si="0"/>
        <v>10</v>
      </c>
      <c r="HK18" s="255">
        <f t="shared" si="0"/>
        <v>11</v>
      </c>
      <c r="HL18" s="255">
        <f t="shared" si="0"/>
        <v>12</v>
      </c>
      <c r="HM18" s="255">
        <f t="shared" si="0"/>
        <v>13</v>
      </c>
      <c r="HN18" s="255">
        <f t="shared" si="0"/>
        <v>14</v>
      </c>
      <c r="HO18" s="255">
        <f t="shared" si="0"/>
        <v>15</v>
      </c>
      <c r="HP18" s="255">
        <f t="shared" si="0"/>
        <v>16</v>
      </c>
      <c r="HQ18" s="255">
        <f t="shared" si="0"/>
        <v>17</v>
      </c>
      <c r="HR18" s="255">
        <f t="shared" si="0"/>
        <v>18</v>
      </c>
      <c r="HS18" s="255">
        <f t="shared" si="0"/>
        <v>19</v>
      </c>
      <c r="HT18" s="255">
        <f t="shared" si="0"/>
        <v>20</v>
      </c>
      <c r="HU18" s="255">
        <f t="shared" si="0"/>
        <v>21</v>
      </c>
      <c r="HV18" s="255">
        <f t="shared" si="0"/>
        <v>22</v>
      </c>
      <c r="HW18" s="255">
        <f t="shared" si="0"/>
        <v>23</v>
      </c>
      <c r="HX18" s="255">
        <f t="shared" si="0"/>
        <v>24</v>
      </c>
      <c r="HY18" s="255">
        <f t="shared" si="0"/>
        <v>25</v>
      </c>
      <c r="HZ18" s="255">
        <f t="shared" si="0"/>
        <v>26</v>
      </c>
      <c r="IA18" s="255">
        <f t="shared" si="0"/>
        <v>27</v>
      </c>
      <c r="IB18" s="255">
        <f t="shared" si="0"/>
        <v>28</v>
      </c>
      <c r="IC18" s="255">
        <f>IB18+1</f>
        <v>29</v>
      </c>
      <c r="ID18" s="255">
        <f>IC18+1</f>
        <v>30</v>
      </c>
      <c r="IE18" s="255">
        <f>ID18+1</f>
        <v>31</v>
      </c>
      <c r="IF18" s="255">
        <f>IE18+1</f>
        <v>32</v>
      </c>
    </row>
    <row r="19" spans="1:240" ht="12.6" customHeight="1" thickBot="1" x14ac:dyDescent="0.25">
      <c r="A19" s="374"/>
      <c r="B19" s="374"/>
      <c r="C19" s="374"/>
      <c r="D19" s="374"/>
      <c r="E19" s="374"/>
      <c r="F19" s="374"/>
      <c r="G19" s="374"/>
      <c r="H19" s="374"/>
      <c r="I19" s="374"/>
      <c r="J19" s="374"/>
      <c r="K19" s="374"/>
      <c r="L19" s="374"/>
      <c r="M19" s="374"/>
      <c r="N19" s="374"/>
      <c r="O19" s="374"/>
      <c r="P19" s="374"/>
      <c r="Q19" s="374"/>
      <c r="R19" s="374"/>
      <c r="S19" s="374"/>
      <c r="T19" s="374"/>
      <c r="U19" s="374"/>
      <c r="V19" s="374"/>
      <c r="W19" s="374"/>
      <c r="X19" s="374"/>
      <c r="Y19" s="374"/>
      <c r="Z19" s="462" t="s">
        <v>115</v>
      </c>
      <c r="AA19" s="663">
        <f>AD19+AH41</f>
        <v>0</v>
      </c>
      <c r="AD19" s="415">
        <v>0</v>
      </c>
      <c r="AE19" s="245" t="s">
        <v>114</v>
      </c>
      <c r="BA19" s="548"/>
      <c r="BB19" s="2377"/>
      <c r="BC19" s="2378"/>
      <c r="BD19" s="2378"/>
      <c r="BE19" s="2378"/>
      <c r="BF19" s="2378"/>
      <c r="BG19" s="2378"/>
      <c r="BH19" s="2378"/>
      <c r="BI19" s="2378"/>
      <c r="BJ19" s="2378"/>
      <c r="BK19" s="2378"/>
      <c r="BL19" s="2378"/>
      <c r="BM19" s="2378"/>
      <c r="BN19" s="2378"/>
      <c r="BO19" s="2378"/>
      <c r="BP19" s="2378"/>
      <c r="BQ19" s="2378"/>
      <c r="BR19" s="2378"/>
      <c r="BS19" s="2378"/>
      <c r="BT19" s="2378"/>
      <c r="BU19" s="2378"/>
      <c r="BV19" s="2378"/>
      <c r="BW19" s="2378"/>
      <c r="BX19" s="2378"/>
      <c r="BY19" s="2378"/>
      <c r="BZ19" s="2378"/>
      <c r="CA19" s="2378"/>
      <c r="CB19" s="2378"/>
      <c r="CC19" s="1556"/>
      <c r="CD19" s="2381"/>
      <c r="CE19" s="2382"/>
      <c r="CF19" s="2382"/>
      <c r="CG19" s="2383"/>
      <c r="CH19" s="374"/>
      <c r="CI19" s="374"/>
      <c r="CJ19" s="374"/>
      <c r="CK19" s="374"/>
      <c r="CL19" s="374"/>
      <c r="CM19" s="936"/>
      <c r="CN19" s="2448" t="s">
        <v>679</v>
      </c>
      <c r="CO19" s="2449"/>
      <c r="CP19" s="2120" t="s">
        <v>615</v>
      </c>
      <c r="CQ19" s="2443"/>
      <c r="CR19" s="2410" t="s">
        <v>482</v>
      </c>
      <c r="CS19" s="2402" t="s">
        <v>483</v>
      </c>
      <c r="CU19" s="246"/>
      <c r="CV19" s="246"/>
      <c r="CW19" s="246"/>
      <c r="CX19" s="246"/>
      <c r="CY19" s="246"/>
      <c r="CZ19" s="246"/>
      <c r="DA19" s="246"/>
      <c r="DB19" s="246"/>
      <c r="DC19" s="246"/>
      <c r="DD19" s="246"/>
      <c r="DE19" s="246"/>
      <c r="DF19" s="246"/>
      <c r="DG19" s="246"/>
      <c r="DH19" s="246"/>
      <c r="DI19" s="246"/>
      <c r="DJ19" s="246"/>
      <c r="DK19" s="246"/>
      <c r="DL19" s="246"/>
      <c r="DM19" s="246"/>
      <c r="DN19" s="246"/>
      <c r="DO19" s="251"/>
      <c r="DQ19" s="418"/>
      <c r="DR19" s="246"/>
      <c r="DS19" s="246"/>
      <c r="DT19" s="246"/>
      <c r="DU19" s="246"/>
      <c r="DV19" s="246"/>
      <c r="DW19" s="404"/>
      <c r="DX19" s="404"/>
      <c r="DY19" s="404"/>
      <c r="DZ19" s="404"/>
      <c r="EA19" s="246"/>
      <c r="EB19" s="251"/>
      <c r="EC19" s="246"/>
      <c r="ED19" s="246"/>
      <c r="EE19" s="246"/>
      <c r="EF19" s="246"/>
      <c r="EG19" s="246"/>
      <c r="EH19" s="246"/>
      <c r="EI19" s="246"/>
      <c r="EJ19" s="246"/>
      <c r="EK19" s="246"/>
      <c r="EL19" s="246"/>
      <c r="EM19" s="246"/>
      <c r="EN19" s="246"/>
      <c r="EO19" s="246"/>
      <c r="EP19" s="246"/>
      <c r="EQ19" s="246"/>
      <c r="ER19" s="246"/>
      <c r="ES19" s="246"/>
      <c r="ET19" s="246"/>
      <c r="EU19" s="246"/>
      <c r="EV19" s="2364" t="s">
        <v>581</v>
      </c>
      <c r="EW19" s="2371" t="s">
        <v>472</v>
      </c>
      <c r="EX19" s="2362" t="s">
        <v>525</v>
      </c>
      <c r="EY19" s="2362" t="s">
        <v>526</v>
      </c>
      <c r="EZ19" s="2362" t="s">
        <v>527</v>
      </c>
      <c r="FA19" s="2362" t="s">
        <v>528</v>
      </c>
      <c r="FB19" s="2362" t="s">
        <v>529</v>
      </c>
      <c r="FC19" s="2362" t="s">
        <v>530</v>
      </c>
      <c r="FD19" s="2362" t="s">
        <v>531</v>
      </c>
      <c r="FE19" s="2362" t="s">
        <v>473</v>
      </c>
      <c r="FF19" s="2362" t="s">
        <v>532</v>
      </c>
      <c r="FG19" s="2362" t="s">
        <v>583</v>
      </c>
      <c r="FH19" s="2362" t="s">
        <v>474</v>
      </c>
      <c r="FI19" s="2362" t="s">
        <v>533</v>
      </c>
      <c r="FJ19" s="2362" t="s">
        <v>475</v>
      </c>
      <c r="FK19" s="2362" t="s">
        <v>534</v>
      </c>
      <c r="FL19" s="2362" t="s">
        <v>584</v>
      </c>
      <c r="FM19" s="2362" t="s">
        <v>476</v>
      </c>
      <c r="FN19" s="2362" t="s">
        <v>477</v>
      </c>
      <c r="FQ19" s="2335" t="s">
        <v>656</v>
      </c>
      <c r="FR19" s="2336"/>
      <c r="GA19" s="374"/>
      <c r="GB19" s="374"/>
      <c r="GC19" s="374"/>
      <c r="GD19" s="374"/>
      <c r="GE19" s="374"/>
      <c r="GF19" s="374"/>
      <c r="GG19" s="374"/>
      <c r="GH19" s="374"/>
      <c r="GI19" s="374"/>
      <c r="GJ19" s="374"/>
      <c r="HA19" s="2470" t="s">
        <v>621</v>
      </c>
      <c r="HB19" s="2471"/>
      <c r="HC19" s="2471"/>
      <c r="HD19" s="2471"/>
      <c r="HE19" s="2471"/>
      <c r="HF19" s="2471"/>
      <c r="HG19" s="2471"/>
      <c r="HH19" s="2471"/>
      <c r="HI19" s="2471"/>
      <c r="HJ19" s="2471"/>
      <c r="HK19" s="2471"/>
      <c r="HL19" s="2471"/>
      <c r="HM19" s="2471"/>
      <c r="HN19" s="2471"/>
      <c r="HO19" s="2471"/>
      <c r="HP19" s="2471"/>
      <c r="HQ19" s="2471"/>
      <c r="HR19" s="2471"/>
      <c r="HS19" s="2471"/>
      <c r="HT19" s="2471"/>
      <c r="HU19" s="2471"/>
      <c r="HV19" s="2472"/>
      <c r="HW19" s="2472"/>
      <c r="HX19" s="2472"/>
      <c r="HY19" s="2473"/>
      <c r="HZ19" s="2473"/>
      <c r="IA19" s="2473"/>
      <c r="IB19" s="2473"/>
      <c r="IC19" s="2473"/>
      <c r="ID19" s="2473"/>
      <c r="IE19" s="2473"/>
      <c r="IF19" s="2474"/>
    </row>
    <row r="20" spans="1:240" ht="12.6" customHeight="1" thickTop="1" thickBot="1" x14ac:dyDescent="0.25">
      <c r="A20" s="421"/>
      <c r="B20" s="421"/>
      <c r="C20" s="421"/>
      <c r="D20" s="422"/>
      <c r="E20" s="422"/>
      <c r="F20" s="422"/>
      <c r="G20" s="422"/>
      <c r="H20" s="422"/>
      <c r="I20" s="422"/>
      <c r="J20" s="422"/>
      <c r="K20" s="422"/>
      <c r="L20" s="422"/>
      <c r="M20" s="422"/>
      <c r="N20" s="422"/>
      <c r="O20" s="422"/>
      <c r="P20" s="422"/>
      <c r="Q20" s="422"/>
      <c r="R20" s="422"/>
      <c r="S20" s="422"/>
      <c r="T20" s="422"/>
      <c r="U20" s="422"/>
      <c r="V20" s="422"/>
      <c r="W20" s="374"/>
      <c r="X20" s="374"/>
      <c r="Y20" s="374"/>
      <c r="Z20" s="374"/>
      <c r="AA20" s="374"/>
      <c r="AU20" s="1912" t="s">
        <v>450</v>
      </c>
      <c r="AV20" s="2335" t="s">
        <v>451</v>
      </c>
      <c r="AW20" s="2336"/>
      <c r="AX20" s="465"/>
      <c r="BA20" s="423"/>
      <c r="BB20" s="2395"/>
      <c r="BC20" s="2396"/>
      <c r="BD20" s="2396"/>
      <c r="BE20" s="2396"/>
      <c r="BF20" s="2397"/>
      <c r="BG20" s="2430" t="s">
        <v>469</v>
      </c>
      <c r="BH20" s="2431"/>
      <c r="BI20" s="2431"/>
      <c r="BJ20" s="2431"/>
      <c r="BK20" s="2431"/>
      <c r="BL20" s="2432"/>
      <c r="BM20" s="2433"/>
      <c r="BN20" s="2433"/>
      <c r="BO20" s="2434"/>
      <c r="BP20" s="2434"/>
      <c r="BQ20" s="2434"/>
      <c r="BR20" s="2435"/>
      <c r="BS20" s="2430" t="s">
        <v>470</v>
      </c>
      <c r="BT20" s="2432"/>
      <c r="BU20" s="2432"/>
      <c r="BV20" s="2432"/>
      <c r="BW20" s="2432"/>
      <c r="BX20" s="2432"/>
      <c r="BY20" s="2433"/>
      <c r="BZ20" s="2433"/>
      <c r="CA20" s="2434"/>
      <c r="CB20" s="2434"/>
      <c r="CC20" s="2434"/>
      <c r="CD20" s="2435"/>
      <c r="CE20" s="2460" t="s">
        <v>804</v>
      </c>
      <c r="CF20" s="2463"/>
      <c r="CG20" s="2464"/>
      <c r="CH20" s="374"/>
      <c r="CI20" s="374"/>
      <c r="CJ20" s="374"/>
      <c r="CK20" s="374"/>
      <c r="CL20" s="937"/>
      <c r="CM20" s="938"/>
      <c r="CN20" s="2450"/>
      <c r="CO20" s="2451"/>
      <c r="CP20" s="2444"/>
      <c r="CQ20" s="2445"/>
      <c r="CR20" s="2411"/>
      <c r="CS20" s="2403"/>
      <c r="CU20" s="2413" t="s">
        <v>471</v>
      </c>
      <c r="CV20" s="2414"/>
      <c r="CW20" s="2414"/>
      <c r="CX20" s="2414"/>
      <c r="CY20" s="2414"/>
      <c r="CZ20" s="2414"/>
      <c r="DA20" s="2414"/>
      <c r="DB20" s="2414"/>
      <c r="DC20" s="2414"/>
      <c r="DD20" s="2415"/>
      <c r="DE20" s="2413" t="s">
        <v>470</v>
      </c>
      <c r="DF20" s="2414"/>
      <c r="DG20" s="2414"/>
      <c r="DH20" s="2414"/>
      <c r="DI20" s="2414"/>
      <c r="DJ20" s="2414"/>
      <c r="DK20" s="2414"/>
      <c r="DL20" s="2414"/>
      <c r="DM20" s="2414"/>
      <c r="DN20" s="2415"/>
      <c r="DQ20" s="424"/>
      <c r="DR20" s="246"/>
      <c r="DS20" s="419"/>
      <c r="DT20" s="419"/>
      <c r="DU20" s="419"/>
      <c r="DV20" s="419"/>
      <c r="DW20" s="246"/>
      <c r="DX20" s="246"/>
      <c r="DY20" s="246"/>
      <c r="DZ20" s="246"/>
      <c r="EA20" s="246"/>
      <c r="EB20" s="246"/>
      <c r="EC20" s="246"/>
      <c r="ED20" s="416"/>
      <c r="EE20" s="424"/>
      <c r="EF20" s="424"/>
      <c r="EG20" s="424"/>
      <c r="EH20" s="424"/>
      <c r="EI20" s="424"/>
      <c r="EJ20" s="424"/>
      <c r="EK20" s="424"/>
      <c r="EL20" s="424"/>
      <c r="EM20" s="424"/>
      <c r="EN20" s="424"/>
      <c r="EO20" s="424"/>
      <c r="EP20" s="424"/>
      <c r="EQ20" s="424"/>
      <c r="ER20" s="424"/>
      <c r="ES20" s="424"/>
      <c r="ET20" s="424"/>
      <c r="EU20" s="425"/>
      <c r="EV20" s="2365"/>
      <c r="EW20" s="2372"/>
      <c r="EX20" s="2363"/>
      <c r="EY20" s="2363"/>
      <c r="EZ20" s="2438"/>
      <c r="FA20" s="2363"/>
      <c r="FB20" s="2363"/>
      <c r="FC20" s="2363"/>
      <c r="FD20" s="2439"/>
      <c r="FE20" s="2439"/>
      <c r="FF20" s="2439"/>
      <c r="FG20" s="2439"/>
      <c r="FH20" s="2439"/>
      <c r="FI20" s="2439"/>
      <c r="FJ20" s="2439"/>
      <c r="FK20" s="2439"/>
      <c r="FL20" s="2439"/>
      <c r="FM20" s="2439"/>
      <c r="FN20" s="2439"/>
      <c r="FQ20" s="2337"/>
      <c r="FR20" s="2338"/>
      <c r="GA20" s="2334" t="s">
        <v>1140</v>
      </c>
      <c r="GB20" s="2334"/>
      <c r="GC20" s="2334"/>
      <c r="GD20" s="2334"/>
      <c r="GE20" s="2334"/>
      <c r="GF20" s="2334"/>
      <c r="GG20" s="1951"/>
      <c r="GH20" s="1951"/>
      <c r="GI20" s="1951"/>
      <c r="GJ20" s="1951"/>
      <c r="GZ20" s="2326"/>
      <c r="HA20" s="2475"/>
      <c r="HB20" s="2476"/>
      <c r="HC20" s="2476"/>
      <c r="HD20" s="2476"/>
      <c r="HE20" s="2476"/>
      <c r="HF20" s="2476"/>
      <c r="HG20" s="2476"/>
      <c r="HH20" s="2476"/>
      <c r="HI20" s="2476"/>
      <c r="HJ20" s="2476"/>
      <c r="HK20" s="2476"/>
      <c r="HL20" s="2476"/>
      <c r="HM20" s="2476"/>
      <c r="HN20" s="2476"/>
      <c r="HO20" s="2476"/>
      <c r="HP20" s="2476"/>
      <c r="HQ20" s="2476"/>
      <c r="HR20" s="2476"/>
      <c r="HS20" s="2476"/>
      <c r="HT20" s="2476"/>
      <c r="HU20" s="2476"/>
      <c r="HV20" s="2477"/>
      <c r="HW20" s="2477"/>
      <c r="HX20" s="2477"/>
      <c r="HY20" s="2478"/>
      <c r="HZ20" s="2478"/>
      <c r="IA20" s="2478"/>
      <c r="IB20" s="2478"/>
      <c r="IC20" s="2478"/>
      <c r="ID20" s="2478"/>
      <c r="IE20" s="2478"/>
      <c r="IF20" s="2479"/>
    </row>
    <row r="21" spans="1:240" s="426" customFormat="1" ht="12.6" customHeight="1" thickTop="1" thickBot="1" x14ac:dyDescent="0.25">
      <c r="A21" s="2426" t="s">
        <v>40</v>
      </c>
      <c r="B21" s="2400" t="s">
        <v>28</v>
      </c>
      <c r="C21" s="2400" t="s">
        <v>24</v>
      </c>
      <c r="D21" s="2400" t="s">
        <v>25</v>
      </c>
      <c r="E21" s="2424"/>
      <c r="F21" s="1985" t="s">
        <v>9</v>
      </c>
      <c r="G21" s="2093"/>
      <c r="H21" s="2093"/>
      <c r="I21" s="2093" t="s">
        <v>10</v>
      </c>
      <c r="J21" s="2093"/>
      <c r="K21" s="1983"/>
      <c r="L21" s="2092" t="s">
        <v>11</v>
      </c>
      <c r="M21" s="2094"/>
      <c r="N21" s="1985" t="s">
        <v>12</v>
      </c>
      <c r="O21" s="2093"/>
      <c r="P21" s="2093"/>
      <c r="Q21" s="2093" t="s">
        <v>13</v>
      </c>
      <c r="R21" s="2093"/>
      <c r="S21" s="2094"/>
      <c r="T21" s="1985" t="s">
        <v>14</v>
      </c>
      <c r="U21" s="2093"/>
      <c r="V21" s="2093"/>
      <c r="W21" s="2093"/>
      <c r="X21" s="1983"/>
      <c r="Y21" s="2087" t="s">
        <v>111</v>
      </c>
      <c r="Z21" s="2088"/>
      <c r="AA21" s="1059" t="s">
        <v>15</v>
      </c>
      <c r="AB21" s="1414"/>
      <c r="AU21" s="1913"/>
      <c r="AV21" s="2337"/>
      <c r="AW21" s="2338"/>
      <c r="AX21" s="502"/>
      <c r="AZ21" s="2428" t="s">
        <v>1059</v>
      </c>
      <c r="BA21" s="251"/>
      <c r="BB21" s="2436" t="s">
        <v>539</v>
      </c>
      <c r="BC21" s="2416" t="s">
        <v>130</v>
      </c>
      <c r="BD21" s="2417" t="s">
        <v>540</v>
      </c>
      <c r="BE21" s="2418" t="s">
        <v>1290</v>
      </c>
      <c r="BF21" s="2419"/>
      <c r="BG21" s="2242" t="s">
        <v>1282</v>
      </c>
      <c r="BH21" s="2386" t="s">
        <v>803</v>
      </c>
      <c r="BI21" s="2387"/>
      <c r="BJ21" s="2384" t="s">
        <v>541</v>
      </c>
      <c r="BK21" s="2386" t="s">
        <v>1072</v>
      </c>
      <c r="BL21" s="2387"/>
      <c r="BM21" s="2384" t="s">
        <v>488</v>
      </c>
      <c r="BN21" s="2391" t="s">
        <v>793</v>
      </c>
      <c r="BO21" s="2393" t="s">
        <v>1275</v>
      </c>
      <c r="BP21" s="1953" t="s">
        <v>1276</v>
      </c>
      <c r="BQ21" s="1954"/>
      <c r="BR21" s="1955"/>
      <c r="BS21" s="2242" t="s">
        <v>1282</v>
      </c>
      <c r="BT21" s="2386" t="s">
        <v>803</v>
      </c>
      <c r="BU21" s="2387"/>
      <c r="BV21" s="2384" t="s">
        <v>541</v>
      </c>
      <c r="BW21" s="2386" t="s">
        <v>1072</v>
      </c>
      <c r="BX21" s="2387"/>
      <c r="BY21" s="2384" t="s">
        <v>488</v>
      </c>
      <c r="BZ21" s="2398" t="s">
        <v>793</v>
      </c>
      <c r="CA21" s="2393" t="s">
        <v>1275</v>
      </c>
      <c r="CB21" s="1953" t="s">
        <v>1276</v>
      </c>
      <c r="CC21" s="1954"/>
      <c r="CD21" s="1955"/>
      <c r="CE21" s="2461"/>
      <c r="CF21" s="2465"/>
      <c r="CG21" s="2464"/>
      <c r="CH21" s="2405" t="s">
        <v>588</v>
      </c>
      <c r="CI21" s="2406"/>
      <c r="CJ21" s="2406"/>
      <c r="CK21" s="2405" t="s">
        <v>589</v>
      </c>
      <c r="CL21" s="2452" t="s">
        <v>786</v>
      </c>
      <c r="CM21" s="2452"/>
      <c r="CN21" s="2450"/>
      <c r="CO21" s="2451"/>
      <c r="CP21" s="2446"/>
      <c r="CQ21" s="2447"/>
      <c r="CR21" s="2411"/>
      <c r="CS21" s="2403"/>
      <c r="CU21" s="2358" t="s">
        <v>498</v>
      </c>
      <c r="CV21" s="2318" t="s">
        <v>499</v>
      </c>
      <c r="CW21" s="2318" t="s">
        <v>500</v>
      </c>
      <c r="CX21" s="2318" t="s">
        <v>501</v>
      </c>
      <c r="CY21" s="2318" t="s">
        <v>560</v>
      </c>
      <c r="CZ21" s="2318" t="s">
        <v>578</v>
      </c>
      <c r="DA21" s="2318" t="s">
        <v>502</v>
      </c>
      <c r="DB21" s="2318" t="s">
        <v>579</v>
      </c>
      <c r="DC21" s="2318" t="s">
        <v>503</v>
      </c>
      <c r="DD21" s="2318" t="s">
        <v>504</v>
      </c>
      <c r="DE21" s="2358" t="s">
        <v>498</v>
      </c>
      <c r="DF21" s="2318" t="s">
        <v>499</v>
      </c>
      <c r="DG21" s="2318" t="s">
        <v>505</v>
      </c>
      <c r="DH21" s="2318" t="s">
        <v>501</v>
      </c>
      <c r="DI21" s="2318" t="s">
        <v>560</v>
      </c>
      <c r="DJ21" s="2318" t="s">
        <v>578</v>
      </c>
      <c r="DK21" s="2318" t="s">
        <v>502</v>
      </c>
      <c r="DL21" s="2318" t="s">
        <v>579</v>
      </c>
      <c r="DM21" s="2318" t="s">
        <v>503</v>
      </c>
      <c r="DN21" s="2360" t="s">
        <v>504</v>
      </c>
      <c r="DO21" s="2355" t="s">
        <v>491</v>
      </c>
      <c r="DP21" s="2453" t="s">
        <v>506</v>
      </c>
      <c r="DQ21" s="2349" t="s">
        <v>507</v>
      </c>
      <c r="DR21" s="2320" t="s">
        <v>508</v>
      </c>
      <c r="DS21" s="2322" t="s">
        <v>543</v>
      </c>
      <c r="DT21" s="2347" t="s">
        <v>509</v>
      </c>
      <c r="DU21" s="2348"/>
      <c r="DV21" s="2324" t="s">
        <v>1103</v>
      </c>
      <c r="DW21" s="2351" t="s">
        <v>1104</v>
      </c>
      <c r="DX21" s="2353" t="s">
        <v>514</v>
      </c>
      <c r="DY21" s="2322" t="s">
        <v>544</v>
      </c>
      <c r="DZ21" s="2347" t="s">
        <v>511</v>
      </c>
      <c r="EA21" s="2348"/>
      <c r="EB21" s="2351" t="s">
        <v>1105</v>
      </c>
      <c r="EC21" s="2351" t="s">
        <v>1106</v>
      </c>
      <c r="ED21" s="2353" t="s">
        <v>516</v>
      </c>
      <c r="EE21" s="2349" t="s">
        <v>545</v>
      </c>
      <c r="EF21" s="2367" t="s">
        <v>546</v>
      </c>
      <c r="EG21" s="2368"/>
      <c r="EH21" s="2367" t="s">
        <v>547</v>
      </c>
      <c r="EI21" s="2369"/>
      <c r="EJ21" s="2320" t="s">
        <v>548</v>
      </c>
      <c r="EK21" s="2357"/>
      <c r="EL21" s="2349" t="s">
        <v>568</v>
      </c>
      <c r="EM21" s="2367" t="s">
        <v>549</v>
      </c>
      <c r="EN21" s="2368"/>
      <c r="EO21" s="2367" t="s">
        <v>550</v>
      </c>
      <c r="EP21" s="2369"/>
      <c r="EQ21" s="2320" t="s">
        <v>551</v>
      </c>
      <c r="ER21" s="2357"/>
      <c r="ES21" s="2349" t="s">
        <v>12</v>
      </c>
      <c r="ET21" s="2349" t="s">
        <v>13</v>
      </c>
      <c r="EU21" s="2320" t="s">
        <v>582</v>
      </c>
      <c r="EV21" s="2365"/>
      <c r="EW21" s="2372"/>
      <c r="EX21" s="2363"/>
      <c r="EY21" s="2363"/>
      <c r="EZ21" s="2438"/>
      <c r="FA21" s="2363"/>
      <c r="FB21" s="2363"/>
      <c r="FC21" s="2363"/>
      <c r="FD21" s="2439"/>
      <c r="FE21" s="2439"/>
      <c r="FF21" s="2439"/>
      <c r="FG21" s="2439"/>
      <c r="FH21" s="2439"/>
      <c r="FI21" s="2439"/>
      <c r="FJ21" s="2439"/>
      <c r="FK21" s="2439"/>
      <c r="FL21" s="2439"/>
      <c r="FM21" s="2439"/>
      <c r="FN21" s="2439"/>
      <c r="FO21" s="2349" t="s">
        <v>590</v>
      </c>
      <c r="FP21" s="2349" t="s">
        <v>591</v>
      </c>
      <c r="FQ21" s="2455" t="s">
        <v>654</v>
      </c>
      <c r="FR21" s="2458" t="s">
        <v>655</v>
      </c>
      <c r="FS21" s="2453" t="s">
        <v>682</v>
      </c>
      <c r="FT21" s="2466" t="s">
        <v>683</v>
      </c>
      <c r="FU21" s="2175" t="s">
        <v>787</v>
      </c>
      <c r="FV21" s="2176"/>
      <c r="GA21" s="2134" t="s">
        <v>708</v>
      </c>
      <c r="GB21" s="2135"/>
      <c r="GC21" s="2134" t="s">
        <v>558</v>
      </c>
      <c r="GD21" s="2135"/>
      <c r="GE21" s="2136" t="s">
        <v>711</v>
      </c>
      <c r="GF21" s="2138" t="s">
        <v>40</v>
      </c>
      <c r="GG21" s="2332" t="s">
        <v>1142</v>
      </c>
      <c r="GH21" s="2333"/>
      <c r="GI21" s="2332" t="s">
        <v>1141</v>
      </c>
      <c r="GJ21" s="2333"/>
      <c r="GK21" s="2441" t="s">
        <v>712</v>
      </c>
      <c r="GL21" s="2139" t="s">
        <v>713</v>
      </c>
      <c r="GM21" s="2139" t="s">
        <v>714</v>
      </c>
      <c r="GZ21" s="2327"/>
      <c r="HA21" s="2456" t="s">
        <v>539</v>
      </c>
      <c r="HB21" s="2330" t="s">
        <v>130</v>
      </c>
      <c r="HC21" s="2330" t="s">
        <v>540</v>
      </c>
      <c r="HD21" s="2440" t="str">
        <f>IF($HA$1,"Joist ""BayLength""","Overall Length")</f>
        <v>Overall Length</v>
      </c>
      <c r="HE21" s="2330"/>
      <c r="HF21" s="2328" t="str">
        <f>IF($HA$1,"Left Sect. #","TCXL Feet")</f>
        <v>TCXL Feet</v>
      </c>
      <c r="HG21" s="2328" t="str">
        <f>IF($HA$1,"L Min Sup Width","TCXL Inch")</f>
        <v>TCXL Inch</v>
      </c>
      <c r="HH21" s="2328" t="str">
        <f>IF($HA$1,"L Max Sup Width","TCXL Type")</f>
        <v>TCXL Type</v>
      </c>
      <c r="HI21" s="2328" t="str">
        <f>IF($HA$1,"Left Bolt ""X""","TCXR Feet")</f>
        <v>TCXR Feet</v>
      </c>
      <c r="HJ21" s="2328" t="str">
        <f>IF($HA$1,"L Min Flg Ga","TCXR Inch")</f>
        <v>TCXR Inch</v>
      </c>
      <c r="HK21" s="2328" t="str">
        <f>IF($HA$1,"L Max Flg Ga","TCXR Type")</f>
        <v>TCXR Type</v>
      </c>
      <c r="HL21" s="2328" t="str">
        <f>IF($HA$1,"Left Skew","BDL")</f>
        <v>BDL</v>
      </c>
      <c r="HM21" s="2328" t="str">
        <f>IF($HA$1,"Left Brg Slp","BDR")</f>
        <v>BDR</v>
      </c>
      <c r="HN21" s="2328" t="str">
        <f>IF($HA$1,"Right Sect. #","BCXL Feet")</f>
        <v>BCXL Feet</v>
      </c>
      <c r="HO21" s="2328" t="str">
        <f>IF($HA$1,"R Min Sup Width","BCXL Inch")</f>
        <v>BCXL Inch</v>
      </c>
      <c r="HP21" s="2328" t="str">
        <f>IF($HA$1,"R Max Sup Width","BCXL Type")</f>
        <v>BCXL Type</v>
      </c>
      <c r="HQ21" s="2328" t="str">
        <f>IF($HA$1,"Right Bolt ""X""","BCXR Feet")</f>
        <v>BCXR Feet</v>
      </c>
      <c r="HR21" s="2328" t="str">
        <f>IF($HA$1,"R Min Flg Ga","BCXR Inch")</f>
        <v>BCXR Inch</v>
      </c>
      <c r="HS21" s="2328" t="str">
        <f>IF($HA$1,"R Max Flg Ga","BCXR Type")</f>
        <v>BCXR Type</v>
      </c>
      <c r="HT21" s="2328" t="str">
        <f>IF($HA$1,"Right Skew","HL Feet")</f>
        <v>HL Feet</v>
      </c>
      <c r="HU21" s="2328" t="str">
        <f>IF($HA$1,"Right Brg Slp","HL Inch")</f>
        <v>HL Inch</v>
      </c>
      <c r="HV21" s="2328" t="str">
        <f>IF($HA$1,"TC Slope","HR Feet")</f>
        <v>HR Feet</v>
      </c>
      <c r="HW21" s="2328" t="str">
        <f>IF($HA$1,"Load Notes","HR Inch")</f>
        <v>HR Inch</v>
      </c>
      <c r="HX21" s="2328" t="str">
        <f>IF($HA$1,"Spcl Notes","Slot Ga")</f>
        <v>Slot Ga</v>
      </c>
      <c r="HY21" s="2328" t="str">
        <f>IF($HA$1,"TC L Override","L Seat Slp")</f>
        <v>L Seat Slp</v>
      </c>
      <c r="HZ21" s="2328" t="str">
        <f>IF($HA$1,"TCR Override","R Seat Slp")</f>
        <v>R Seat Slp</v>
      </c>
      <c r="IA21" s="2328" t="str">
        <f>IF($HA$1,"L-BL Override","Sp Notes")</f>
        <v>Sp Notes</v>
      </c>
      <c r="IB21" s="2328" t="str">
        <f>IF($HA$1,"R-BL Override","Ld Notes")</f>
        <v>Ld Notes</v>
      </c>
      <c r="IC21" s="2328" t="str">
        <f>IF($HA$1,"BCXL ""X""","-")</f>
        <v>-</v>
      </c>
      <c r="ID21" s="2328" t="str">
        <f>IF($HA$1,"BCXR ""X""","-")</f>
        <v>-</v>
      </c>
      <c r="IE21" s="2328" t="str">
        <f>IF($HA$1,"BDL Override","-")</f>
        <v>-</v>
      </c>
      <c r="IF21" s="2468" t="str">
        <f>IF($HA$1,"BDR Override","-")</f>
        <v>-</v>
      </c>
    </row>
    <row r="22" spans="1:240" s="426" customFormat="1" ht="12.6" customHeight="1" thickTop="1" thickBot="1" x14ac:dyDescent="0.25">
      <c r="A22" s="2427"/>
      <c r="B22" s="2401"/>
      <c r="C22" s="2401"/>
      <c r="D22" s="2401"/>
      <c r="E22" s="2425"/>
      <c r="F22" s="1993" t="s">
        <v>16</v>
      </c>
      <c r="G22" s="2086"/>
      <c r="H22" s="1102" t="s">
        <v>732</v>
      </c>
      <c r="I22" s="2086" t="s">
        <v>16</v>
      </c>
      <c r="J22" s="2086"/>
      <c r="K22" s="1065" t="s">
        <v>732</v>
      </c>
      <c r="L22" s="1106" t="s">
        <v>18</v>
      </c>
      <c r="M22" s="461" t="s">
        <v>19</v>
      </c>
      <c r="N22" s="1993" t="s">
        <v>16</v>
      </c>
      <c r="O22" s="2086"/>
      <c r="P22" s="1102" t="s">
        <v>732</v>
      </c>
      <c r="Q22" s="2086" t="s">
        <v>16</v>
      </c>
      <c r="R22" s="2086"/>
      <c r="S22" s="461" t="s">
        <v>732</v>
      </c>
      <c r="T22" s="1993" t="s">
        <v>80</v>
      </c>
      <c r="U22" s="2086"/>
      <c r="V22" s="2086" t="s">
        <v>81</v>
      </c>
      <c r="W22" s="2086"/>
      <c r="X22" s="1065" t="s">
        <v>27</v>
      </c>
      <c r="Y22" s="1106" t="s">
        <v>112</v>
      </c>
      <c r="Z22" s="461" t="s">
        <v>113</v>
      </c>
      <c r="AA22" s="1060" t="s">
        <v>57</v>
      </c>
      <c r="AB22" s="1413"/>
      <c r="AC22" s="963" t="s">
        <v>1101</v>
      </c>
      <c r="AD22" s="427" t="s">
        <v>73</v>
      </c>
      <c r="AE22" s="428" t="s">
        <v>74</v>
      </c>
      <c r="AF22" s="428" t="s">
        <v>75</v>
      </c>
      <c r="AG22" s="428" t="s">
        <v>76</v>
      </c>
      <c r="AH22" s="429" t="s">
        <v>114</v>
      </c>
      <c r="AI22" s="430" t="s">
        <v>170</v>
      </c>
      <c r="AJ22" s="372" t="s">
        <v>171</v>
      </c>
      <c r="AK22" s="372" t="s">
        <v>172</v>
      </c>
      <c r="AL22" s="372" t="s">
        <v>173</v>
      </c>
      <c r="AM22" s="372" t="s">
        <v>147</v>
      </c>
      <c r="AN22" s="372" t="s">
        <v>748</v>
      </c>
      <c r="AO22" s="372" t="s">
        <v>749</v>
      </c>
      <c r="AP22" s="372" t="s">
        <v>179</v>
      </c>
      <c r="AQ22" s="372" t="s">
        <v>176</v>
      </c>
      <c r="AR22" s="372" t="s">
        <v>174</v>
      </c>
      <c r="AS22" s="372" t="s">
        <v>177</v>
      </c>
      <c r="AT22" s="372" t="s">
        <v>178</v>
      </c>
      <c r="AU22" s="1914"/>
      <c r="AV22" s="2408"/>
      <c r="AW22" s="2409"/>
      <c r="AX22" s="503" t="s">
        <v>632</v>
      </c>
      <c r="AY22" s="503" t="s">
        <v>133</v>
      </c>
      <c r="AZ22" s="2429"/>
      <c r="BA22" s="251"/>
      <c r="BB22" s="2144"/>
      <c r="BC22" s="2073"/>
      <c r="BD22" s="2146"/>
      <c r="BE22" s="2420"/>
      <c r="BF22" s="2421"/>
      <c r="BG22" s="2243"/>
      <c r="BH22" s="2388"/>
      <c r="BI22" s="2389"/>
      <c r="BJ22" s="2385"/>
      <c r="BK22" s="2388"/>
      <c r="BL22" s="2389"/>
      <c r="BM22" s="2390"/>
      <c r="BN22" s="2392"/>
      <c r="BO22" s="2394"/>
      <c r="BP22" s="1546" t="s">
        <v>1277</v>
      </c>
      <c r="BQ22" s="1547" t="s">
        <v>1278</v>
      </c>
      <c r="BR22" s="1548" t="s">
        <v>501</v>
      </c>
      <c r="BS22" s="2243"/>
      <c r="BT22" s="2388"/>
      <c r="BU22" s="2389"/>
      <c r="BV22" s="2385"/>
      <c r="BW22" s="2388"/>
      <c r="BX22" s="2389"/>
      <c r="BY22" s="2390"/>
      <c r="BZ22" s="2399"/>
      <c r="CA22" s="2394"/>
      <c r="CB22" s="1546" t="s">
        <v>1277</v>
      </c>
      <c r="CC22" s="1547" t="s">
        <v>1278</v>
      </c>
      <c r="CD22" s="1548" t="s">
        <v>501</v>
      </c>
      <c r="CE22" s="2462"/>
      <c r="CF22" s="1554" t="s">
        <v>418</v>
      </c>
      <c r="CG22" s="1549" t="s">
        <v>553</v>
      </c>
      <c r="CH22" s="498" t="s">
        <v>585</v>
      </c>
      <c r="CI22" s="433" t="s">
        <v>586</v>
      </c>
      <c r="CJ22" s="434" t="s">
        <v>587</v>
      </c>
      <c r="CK22" s="2407"/>
      <c r="CL22" s="499" t="s">
        <v>606</v>
      </c>
      <c r="CM22" s="500" t="s">
        <v>607</v>
      </c>
      <c r="CN22" s="495" t="s">
        <v>606</v>
      </c>
      <c r="CO22" s="435" t="s">
        <v>607</v>
      </c>
      <c r="CP22" s="436" t="s">
        <v>520</v>
      </c>
      <c r="CQ22" s="437" t="s">
        <v>169</v>
      </c>
      <c r="CR22" s="2412"/>
      <c r="CS22" s="2404"/>
      <c r="CU22" s="2359"/>
      <c r="CV22" s="2341"/>
      <c r="CW22" s="2341"/>
      <c r="CX22" s="2319"/>
      <c r="CY22" s="2319"/>
      <c r="CZ22" s="2319"/>
      <c r="DA22" s="2319"/>
      <c r="DB22" s="2319"/>
      <c r="DC22" s="2319"/>
      <c r="DD22" s="2319"/>
      <c r="DE22" s="2359"/>
      <c r="DF22" s="2341"/>
      <c r="DG22" s="2341"/>
      <c r="DH22" s="2319"/>
      <c r="DI22" s="2319"/>
      <c r="DJ22" s="2319"/>
      <c r="DK22" s="2319"/>
      <c r="DL22" s="2319"/>
      <c r="DM22" s="2319"/>
      <c r="DN22" s="2361"/>
      <c r="DO22" s="2356"/>
      <c r="DP22" s="2467"/>
      <c r="DQ22" s="2350"/>
      <c r="DR22" s="2321"/>
      <c r="DS22" s="2323"/>
      <c r="DT22" s="438" t="s">
        <v>554</v>
      </c>
      <c r="DU22" s="438" t="s">
        <v>555</v>
      </c>
      <c r="DV22" s="2325"/>
      <c r="DW22" s="2352"/>
      <c r="DX22" s="2354"/>
      <c r="DY22" s="2323"/>
      <c r="DZ22" s="438" t="s">
        <v>554</v>
      </c>
      <c r="EA22" s="438" t="s">
        <v>555</v>
      </c>
      <c r="EB22" s="2352"/>
      <c r="EC22" s="2352"/>
      <c r="ED22" s="2354"/>
      <c r="EE22" s="2370"/>
      <c r="EF22" s="439" t="s">
        <v>521</v>
      </c>
      <c r="EG22" s="440" t="s">
        <v>522</v>
      </c>
      <c r="EH22" s="439" t="s">
        <v>521</v>
      </c>
      <c r="EI22" s="440" t="s">
        <v>522</v>
      </c>
      <c r="EJ22" s="439" t="s">
        <v>521</v>
      </c>
      <c r="EK22" s="440" t="s">
        <v>522</v>
      </c>
      <c r="EL22" s="2370"/>
      <c r="EM22" s="439" t="s">
        <v>521</v>
      </c>
      <c r="EN22" s="440" t="s">
        <v>522</v>
      </c>
      <c r="EO22" s="439" t="s">
        <v>521</v>
      </c>
      <c r="EP22" s="440" t="s">
        <v>522</v>
      </c>
      <c r="EQ22" s="439" t="s">
        <v>521</v>
      </c>
      <c r="ER22" s="440" t="s">
        <v>522</v>
      </c>
      <c r="ES22" s="2373"/>
      <c r="ET22" s="2373"/>
      <c r="EU22" s="2374"/>
      <c r="EV22" s="2366"/>
      <c r="EW22" s="2372"/>
      <c r="EX22" s="2363"/>
      <c r="EY22" s="2363"/>
      <c r="EZ22" s="2438"/>
      <c r="FA22" s="2363"/>
      <c r="FB22" s="2363"/>
      <c r="FC22" s="2363"/>
      <c r="FD22" s="2439"/>
      <c r="FE22" s="2439"/>
      <c r="FF22" s="2439"/>
      <c r="FG22" s="2439"/>
      <c r="FH22" s="2439"/>
      <c r="FI22" s="2439"/>
      <c r="FJ22" s="2439"/>
      <c r="FK22" s="2439"/>
      <c r="FL22" s="2439"/>
      <c r="FM22" s="2439"/>
      <c r="FN22" s="2439"/>
      <c r="FO22" s="2373"/>
      <c r="FP22" s="2373"/>
      <c r="FQ22" s="2373"/>
      <c r="FR22" s="2459"/>
      <c r="FS22" s="2454"/>
      <c r="FT22" s="2459"/>
      <c r="FU22" s="508" t="s">
        <v>606</v>
      </c>
      <c r="FV22" s="509" t="s">
        <v>607</v>
      </c>
      <c r="GA22" s="1029" t="s">
        <v>1112</v>
      </c>
      <c r="GB22" s="1030" t="s">
        <v>710</v>
      </c>
      <c r="GC22" s="1031" t="s">
        <v>606</v>
      </c>
      <c r="GD22" s="1032" t="s">
        <v>607</v>
      </c>
      <c r="GE22" s="2137"/>
      <c r="GF22" s="2137"/>
      <c r="GG22" s="1033" t="s">
        <v>1112</v>
      </c>
      <c r="GH22" s="1034" t="s">
        <v>710</v>
      </c>
      <c r="GI22" s="1033" t="s">
        <v>1112</v>
      </c>
      <c r="GJ22" s="1034" t="s">
        <v>710</v>
      </c>
      <c r="GK22" s="2442"/>
      <c r="GL22" s="2140"/>
      <c r="GM22" s="2140"/>
      <c r="GZ22" s="2327"/>
      <c r="HA22" s="2457"/>
      <c r="HB22" s="2331"/>
      <c r="HC22" s="2331"/>
      <c r="HD22" s="2331"/>
      <c r="HE22" s="2331"/>
      <c r="HF22" s="2329"/>
      <c r="HG22" s="2329"/>
      <c r="HH22" s="2329"/>
      <c r="HI22" s="2329"/>
      <c r="HJ22" s="2329"/>
      <c r="HK22" s="2329"/>
      <c r="HL22" s="2329"/>
      <c r="HM22" s="2329"/>
      <c r="HN22" s="2329"/>
      <c r="HO22" s="2329"/>
      <c r="HP22" s="2329"/>
      <c r="HQ22" s="2329"/>
      <c r="HR22" s="2329"/>
      <c r="HS22" s="2329"/>
      <c r="HT22" s="2329"/>
      <c r="HU22" s="2329"/>
      <c r="HV22" s="2329"/>
      <c r="HW22" s="2329"/>
      <c r="HX22" s="2329"/>
      <c r="HY22" s="2329"/>
      <c r="HZ22" s="2329"/>
      <c r="IA22" s="2329"/>
      <c r="IB22" s="2329"/>
      <c r="IC22" s="2329"/>
      <c r="ID22" s="2329"/>
      <c r="IE22" s="2329"/>
      <c r="IF22" s="2469"/>
    </row>
    <row r="23" spans="1:240" ht="12.6" customHeight="1" thickTop="1" x14ac:dyDescent="0.25">
      <c r="A23" s="1448" t="str">
        <f t="shared" ref="A23:A40" si="1">IF(BB23="","",UPPER(BB23))</f>
        <v/>
      </c>
      <c r="B23" s="1681" t="str">
        <f t="shared" ref="B23:B40" si="2">IF(BC23="","",BC23)</f>
        <v/>
      </c>
      <c r="C23" s="1449" t="str">
        <f t="shared" ref="C23:C40" si="3">IF(BD23="","",UPPER(BD23))</f>
        <v/>
      </c>
      <c r="D23" s="1705" t="str">
        <f>IF(DP23="","",TRUNC(DP23/12))</f>
        <v/>
      </c>
      <c r="E23" s="1778" t="str">
        <f>IF(DP23="","",DP23-(D23*12))</f>
        <v/>
      </c>
      <c r="F23" s="1708" t="str">
        <f>IF(DX23=0,"",TRUNC(DX23/12))</f>
        <v/>
      </c>
      <c r="G23" s="1709" t="str">
        <f>IF(DX23=0,"",DX23-(F23*12))</f>
        <v/>
      </c>
      <c r="H23" s="1779" t="str">
        <f>IF(DX23=0,"",CW23)</f>
        <v/>
      </c>
      <c r="I23" s="1705" t="str">
        <f>IF(ED23=0,"",TRUNC(ED23/12))</f>
        <v/>
      </c>
      <c r="J23" s="1709" t="str">
        <f>IF(ED23=0,"",ED23-(I23*12))</f>
        <v/>
      </c>
      <c r="K23" s="1780" t="str">
        <f>IF(ED23=0,"",DG23)</f>
        <v/>
      </c>
      <c r="L23" s="1712" t="str">
        <f t="shared" ref="L23:M25" si="4">DQ23</f>
        <v/>
      </c>
      <c r="M23" s="1713" t="str">
        <f t="shared" si="4"/>
        <v/>
      </c>
      <c r="N23" s="1708" t="str">
        <f>IF(ES23="","",IF(AND(ES23&lt;0,ES23&gt;-12),TRUNC(ES23/12)-0.0000001,TRUNC(ES23/12)))</f>
        <v/>
      </c>
      <c r="O23" s="1709" t="str">
        <f>IF(ES23="","",IF(AND(ES23-(N23*12)=0,ES23&lt;0),-0.000001,ES23-(N23*12)))</f>
        <v/>
      </c>
      <c r="P23" s="1710" t="str">
        <f>IF(ES23="","",IF(OR(CW23="Q",CW23="C"),3,CZ23))</f>
        <v/>
      </c>
      <c r="Q23" s="1705" t="str">
        <f>IF(ET23="","",IF(AND(ET23&lt;0,ET23&gt;-12),TRUNC(ET23/12)-0.0000001,TRUNC(ET23/12)))</f>
        <v/>
      </c>
      <c r="R23" s="1709" t="str">
        <f>IF(ET23="","",IF(AND(ET23-(Q23*12)=0,ET23&lt;0),-0.000001,ET23-(Q23*12)))</f>
        <v/>
      </c>
      <c r="S23" s="1753" t="str">
        <f>IF(ET23="","",IF(OR(DG23="Q",DG23="C"),3,DJ23))</f>
        <v/>
      </c>
      <c r="T23" s="1708" t="str">
        <f>IF(CH23="ERR","",IF(EK23="","",IF(EK23="ERR",TRUNC(EJ23/12),TRUNC(EK23/12))))</f>
        <v/>
      </c>
      <c r="U23" s="1709" t="str">
        <f>IF(CH23="ERR","",IF(EK23="","",IF(EK23="ERR",EJ23-(T23*12),EK23-(T23*12))))</f>
        <v/>
      </c>
      <c r="V23" s="1705" t="str">
        <f>IF(CI23="ERR","",IF(ER23="","",IF(ER23="ERR",TRUNC(EQ23/12),TRUNC(ER23/12))))</f>
        <v/>
      </c>
      <c r="W23" s="1709" t="str">
        <f>IF(CI23="ERR","",IF(ER23="","",IF(ER23="ERR",EQ23-(V23*12),ER23-(V23*12))))</f>
        <v/>
      </c>
      <c r="X23" s="1750">
        <f>IF(EV23="",0,EV23)</f>
        <v>0</v>
      </c>
      <c r="Y23" s="1781" t="str">
        <f>FG23</f>
        <v/>
      </c>
      <c r="Z23" s="1782" t="str">
        <f>FL23</f>
        <v/>
      </c>
      <c r="AA23" s="1783" t="str">
        <f t="shared" ref="AA23:AA40" si="5">CONCATENATE(IF(CG23="","",CONCATENATE("[",SUBSTITUTE(CG23," ",""),"]")),IF(CF23="","",CONCATENATE("(",SUBSTITUTE(CF23," ",""),") ")))</f>
        <v/>
      </c>
      <c r="AB23" s="1413"/>
      <c r="AC23" s="964" t="b">
        <v>0</v>
      </c>
      <c r="AD23" s="441">
        <f t="shared" ref="AD23:AD40" si="6">IF($C23="",0,IF(SUM(AE23:AG23)&gt;0,0,IF(ISERROR(SEARCH("K",$C23,1))=TRUE,0,$B23)))</f>
        <v>0</v>
      </c>
      <c r="AE23" s="442">
        <f t="shared" ref="AE23:AE40" si="7">IF(ISERROR(SEARCH("LH",$C23,1))=TRUE,0,$B23)</f>
        <v>0</v>
      </c>
      <c r="AF23" s="442">
        <f t="shared" ref="AF23:AF40" si="8">IF(ISERROR(SEARCH("JS",$C23))=TRUE,IF(ISERROR(SEARCH("2.5K",$C23))=TRUE,0,$B23),$B23)</f>
        <v>0</v>
      </c>
      <c r="AG23" s="442">
        <f t="shared" ref="AG23:AG40" si="9">IF(ISERROR(SEARCH("HDR",$C23,1))=TRUE,0,$B23)</f>
        <v>0</v>
      </c>
      <c r="AH23" s="443">
        <f t="shared" ref="AH23:AH40" si="10">IF(ISERROR(SEARCH("CJ",$C23,1))=TRUE,0,$B23)</f>
        <v>0</v>
      </c>
      <c r="AI23" s="444" t="b">
        <v>0</v>
      </c>
      <c r="AJ23" s="238">
        <f>IF(OR(ISERROR(VALUE(LEFT(C23,SEARCH(AK23,C23)-1))),AK23=""),0,VALUE(LEFT(C23,SEARCH(AK23,C23)-1)))</f>
        <v>0</v>
      </c>
      <c r="AK23" s="238" t="str">
        <f t="shared" ref="AK23:AK40" si="11">IF(AV23="",AW23,AV23)</f>
        <v/>
      </c>
      <c r="AL23" s="1290" t="str">
        <f t="shared" ref="AL23:AL40" si="12">IF(AK23="","",IF(ISERROR(SEARCH("/",C23)),IF(VALUE(MID(C23,SEARCH(AK23,C23)+LEN(AK23),LEN(C23)))&gt;25,"",VALUE(MID(C23,SEARCH(AK23,C23)+LEN(AK23),LEN(C23)))),""))</f>
        <v/>
      </c>
      <c r="AM23" s="238" t="str">
        <f t="shared" ref="AM23:AM40" si="13">IF(AK23="","",IF(ISERROR(SEARCH("/",C23)),IF(VALUE(MID(C23,SEARCH(AK23,C23)+LEN(AK23),LEN(C23)))&lt;26,"",VALUE(MID(C23,SEARCH(AK23,C23)+LEN(AK23),LEN(C23)))),VALUE(MID(C23,SEARCH(AK23,C23)+LEN(AK23),SEARCH("/",C23)-SEARCH(AK23,C23)-LEN(AK23)))))</f>
        <v/>
      </c>
      <c r="AN23" s="238" t="str">
        <f t="shared" ref="AN23:AN40" si="14">IF(AK23="","",IF(AK23="CJ",MID(MID(C23,SEARCH("/",C23)+1,LEN(C23)),1,SEARCH("/",MID(C23,SEARCH("/",C23)+1,LEN(C23)))-1),IF(ISERROR(SEARCH("/",C23)),"",VALUE(MID(C23,SEARCH("/",C23)+1,LEN(C23))))))</f>
        <v/>
      </c>
      <c r="AO23" s="238" t="str">
        <f t="shared" ref="AO23:AO40" si="15">IF(AK23="CJ",VALUE(MID(MID(C23,SEARCH("/",C23)+1,LEN(C23)),SEARCH("/",MID(C23,SEARCH("/",C23)+1,LEN(C23)))+1,LEN(MID(C23,SEARCH("/",C23)+1,LEN(C23))))),"")</f>
        <v/>
      </c>
      <c r="AP23" s="830" t="b">
        <f>IF(ISERROR(AJ23),FALSE,IF(OR(AJ23=0,ISERROR(AL23),ISERROR(AM23),ISERROR(AN23),ISERROR(AO23)),FALSE,IF(AL23&lt;&gt;"",IF(ISERROR(VLOOKUP(SUBSTITUTE(SUBSTITUTE(C23,"R",""),"A",""),TblJoistSize!$A:$A,1,FALSE)),FALSE,TRUE),TRUE)))</f>
        <v>0</v>
      </c>
      <c r="AQ23" s="1038" t="e">
        <f t="shared" ref="AQ23:AQ40" si="16">VLOOKUP(AK23,$DF$2:$DN$9,4,FALSE)+IF(LEFT(H23,1)="R",IF(ISNUMBER(F23),F23*12,0)+IF(ISNUMBER(G23),G23,0),0)</f>
        <v>#N/A</v>
      </c>
      <c r="AR23" s="945" t="b">
        <f>IF(IF(ISNUMBER(T23),T23*12,0)+IF(ISNUMBER(U23),U23,0)&gt;0,IF(AND(IF(ISNUMBER(T23),T23*12,0)+IF(ISNUMBER(U23),U23,0)&gt;=VLOOKUP(AU23,$DF$2:$DN$9,8,FALSE)/2+$DQ$2,IF(ISNUMBER(T23),T23*12,0)+IF(ISNUMBER(U23),U23,0)&lt;=(AQ23-(VLOOKUP(AU23,$DF$2:$DN$9,8,FALSE)/2+$DQ$2))+IF(H23="X",2,0)),TRUE,FALSE),FALSE)</f>
        <v>0</v>
      </c>
      <c r="AS23" s="1038" t="e">
        <f t="shared" ref="AS23:AS40" si="17">VLOOKUP(AK23,$DF$2:$DN$9,4,FALSE)+IF(LEFT(K23,1)="R",(IF(ISNUMBER(I23),I23*12,0)+IF(ISNUMBER(J23),J23,0)),0)</f>
        <v>#N/A</v>
      </c>
      <c r="AT23" s="945" t="b">
        <f>IF(IF(ISNUMBER(V23),V23*12,0)+IF(ISNUMBER(W23),W23,0)&gt;0,IF(AND((IF(ISNUMBER(V23),V23*12,0)+IF(ISNUMBER(W23),W23,0))&gt;=VLOOKUP(AU23,$DF$2:$DN$9,8,FALSE)/2+$DQ$2,(IF(ISNUMBER(V23),V23*12,0)+IF(ISNUMBER(W23),W23,0))&lt;=(AS23-(VLOOKUP(AU23,$DF$2:$DN$9,8,FALSE)/2+$DQ$2))+IF(K23="X",2,0)),TRUE,FALSE),FALSE)</f>
        <v>0</v>
      </c>
      <c r="AU23" s="1291" t="str">
        <f t="shared" ref="AU23:AU40" si="18">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
      </c>
      <c r="AV23" s="830" t="str">
        <f t="shared" ref="AV23:AV40" si="19">IF(NOT(ISERROR(SEARCH("KCSR",C23))),"KCSR",IF(NOT(ISERROR(SEARCH("KCSA",C23))),"KCSA",IF(NOT(ISERROR(SEARCH("KCS",C23))),"KCS",IF(NOT(ISERROR(SEARCH("KR",C23))),"KR",IF(NOT(ISERROR(SEARCH("KA",C23))),"KA",IF(NOT(ISERROR(SEARCH("K",C23))),"K",IF(NOT(ISERROR(SEARCH("CJ",C23))),"CJ","")))))))</f>
        <v/>
      </c>
      <c r="AW23" s="830" t="str">
        <f>IF(NOT(ISERROR(SEARCH("HDR",C23))),"HDR",IF(NOT(ISERROR(SEARCH("JS",C23))),"JS",IF(NOT(ISERROR(SEARCH("SLH",C23))),"SLH",IF(NOT(ISERROR(SEARCH("DLH",C23))),"DLH",IF(NOT(ISERROR(SEARCH("LH",C23))),"LH","")))))</f>
        <v/>
      </c>
      <c r="AX23" s="830" t="str">
        <f>IF(OR(ISBLANK(A23),A23=""),"",A23)</f>
        <v/>
      </c>
      <c r="AY23" s="464" t="b">
        <f t="shared" ref="AY23:AY40" si="20">IF($AE$1,IF(AX23=AX22,AY22,IF(AND(AX23&lt;&gt;"",OR(B23=0,B23="")),TRUE,FALSE)),FALSE)</f>
        <v>0</v>
      </c>
      <c r="AZ23" s="856" t="str">
        <f>IF(AND(NOT(ISERROR(AJ23)),AJ23&gt;0),((IF(D23="",0,D23)*12+IF(E23="",0,E23))-(IF(F23="",0,F23)*12+IF(G23="",0,G23))-(IF(I23="",0,I23)*12+IF(J23="",0,J23)))&gt;AJ23*24,"")</f>
        <v/>
      </c>
      <c r="BA23" s="549"/>
      <c r="BB23" s="664"/>
      <c r="BC23" s="1683"/>
      <c r="BD23" s="1540"/>
      <c r="BE23" s="1541"/>
      <c r="BF23" s="1542"/>
      <c r="BG23" s="664"/>
      <c r="BH23" s="1543"/>
      <c r="BI23" s="1544"/>
      <c r="BJ23" s="1624"/>
      <c r="BK23" s="1543"/>
      <c r="BL23" s="1544"/>
      <c r="BM23" s="1567"/>
      <c r="BN23" s="1568"/>
      <c r="BO23" s="1616" t="str">
        <f>IF(ISERROR(CU23),"",IF(CU23="","",IF(VLOOKUP(BG23,SectInfo!$B:$N,10,FALSE)="","","X")))</f>
        <v/>
      </c>
      <c r="BP23" s="1558"/>
      <c r="BQ23" s="1559" t="str">
        <f t="shared" ref="BQ23:BQ40" si="21">IF(ISERROR(CU23),"",IF(CW23="","",IF(CW23="C",CV23,IF(CW23="Q",2,""))))</f>
        <v/>
      </c>
      <c r="BR23" s="1560"/>
      <c r="BS23" s="664"/>
      <c r="BT23" s="1543"/>
      <c r="BU23" s="1544"/>
      <c r="BV23" s="1624"/>
      <c r="BW23" s="1543"/>
      <c r="BX23" s="1544"/>
      <c r="BY23" s="1567"/>
      <c r="BZ23" s="1568"/>
      <c r="CA23" s="1616" t="str">
        <f>IF(ISERROR(DE23),"",IF(DE23="","",IF(VLOOKUP(BS23,SectInfo!$B:$N,10,FALSE)="","","X")))</f>
        <v/>
      </c>
      <c r="CB23" s="1558"/>
      <c r="CC23" s="1559" t="str">
        <f t="shared" ref="CC23:CC40" si="22">IF(ISERROR(DE23),"",IF(DG23="","",IF(DG23="C",DF23,IF(DG23="Q",2,""))))</f>
        <v/>
      </c>
      <c r="CD23" s="1560"/>
      <c r="CE23" s="1573"/>
      <c r="CF23" s="1545"/>
      <c r="CG23" s="984"/>
      <c r="CH23" s="640" t="str">
        <f t="shared" ref="CH23:CH40" si="23">IF(EJ23=EK23,IF(EK23="ERR","ERR",""),CONCATENATE(IF(BM23&lt;0,"NS ","FS "),IF(EK23="ERR","Slot Only",CONCATENATE("Slot @ ",EJ23))))</f>
        <v/>
      </c>
      <c r="CI23" s="641" t="str">
        <f t="shared" ref="CI23:CI40" si="24">IF(EQ23=ER23,IF(ER23="ERR","ERR",""),CONCATENATE(IF(BY23&lt;0,"FS ","NS "),IF(ER23="ERR","Slot Only",CONCATENATE("Slot @ ",EQ23))))</f>
        <v/>
      </c>
      <c r="CJ23" s="642" t="str">
        <f t="shared" ref="CJ23:CJ40" si="25">IF(EV23="","",IF(AND(DB23&lt;&gt;EV23,OR(NOT(ISBLANK(BJ23)),CU23="C")),CONCATENATE("LE slots @ ",DB23," Ga."),IF(AND(DL23&lt;&gt;EV23,OR(NOT(ISBLANK(BV23)),DE23="C")),CONCATENATE("RE slots @ ",DL23," Ga."),"")))</f>
        <v/>
      </c>
      <c r="CK23" s="851" t="str">
        <f t="shared" ref="CK23:CK40" si="26">IF(AND(CP23&lt;&gt;"",BM23&lt;&gt;"",CQ23&lt;&gt;"",BY23&lt;&gt;""),"BE",IF(AND(CP23&lt;&gt;"",BM23&lt;&gt;""),"LE",IF(AND(CQ23&lt;&gt;"",BY23&lt;&gt;""),"RE","")))</f>
        <v/>
      </c>
      <c r="CL23" s="845" t="str">
        <f t="shared" ref="CL23:CL40" si="27">IF(BQ23="","",IF(CEILING(DV23,0.125)&lt;=DW23+VLOOKUP(AU23,$DF$2:$DI$9,4,FALSE),"",CEILING(DV23,0.125)))</f>
        <v/>
      </c>
      <c r="CM23" s="846" t="str">
        <f t="shared" ref="CM23:CM40" si="28">IF(CC23="","",IF(CEILING(EB23,0.125)&lt;=EC23+VLOOKUP(AU23,$DF$2:$DI$9,4,FALSE),"",CEILING(EB23,0.125)))</f>
        <v/>
      </c>
      <c r="CN23" s="609" t="str">
        <f t="shared" ref="CN23:CN40" si="29">IF(AND(CE23&lt;&gt;0,BM23&lt;&gt;0),CE23*COS(RADIANS(90-BM23))/(1/COS(RADIANS(90-BM23)))*-1,"")</f>
        <v/>
      </c>
      <c r="CO23" s="610" t="str">
        <f t="shared" ref="CO23:CO40" si="30">IF(AND(CE23&lt;&gt;0,BY23&lt;&gt;0),CE23*COS(RADIANS(90-BY23))/(1/COS(RADIANS(90-BY23))),"")</f>
        <v/>
      </c>
      <c r="CP23" s="613" t="str">
        <f t="shared" ref="CP23:CP40" si="31">IF(BG23="","",IF(AU23="JS","",IF(VLOOKUP(AU23,$DF$2:$DN$9,5,FALSE)&gt;FO23,IF(FO23&gt;=0.0625,CEILING(FO23-0.0625,0.125),FO23),"")))</f>
        <v/>
      </c>
      <c r="CQ23" s="614" t="str">
        <f t="shared" ref="CQ23:CQ40" si="32">IF(BS23="","",IF(AU23="JS","",IF(VLOOKUP(AU23,$DF$2:$DN$9,5,FALSE)&gt;FP23,IF(FP23&gt;=0.0625,CEILING(FP23-0.0625,0.125),FP23),"")))</f>
        <v/>
      </c>
      <c r="CR23" s="748" t="str">
        <f t="shared" ref="CR23:CR40" si="33">IF(AU23="","",IF(ABS(FF23)&lt;ABS($CX$2),VLOOKUP(AU23,$DF$2:$DN$9,3,FALSE),CEILING(VLOOKUP(AU23,$DF$2:$DN$9,3,FALSE)/COS(FE23)+0.375+IF(CU23="M",IF(FE23&gt;0,(DV23-DW23)/12,0),IF(FE23&gt;0,0,(DV23-CV23)/12))*ABS(FF23),0.125)))</f>
        <v/>
      </c>
      <c r="CS23" s="749" t="str">
        <f t="shared" ref="CS23:CS40" si="34">IF(AU23="","",IF(ABS(FK23)&lt;ABS($CX$2),VLOOKUP(AU23,$DF$2:$DN$9,3,FALSE),CEILING(VLOOKUP(AU23,$DF$2:$DN$9,3,FALSE)/COS(FJ23)+0.375+IF(DE23="M",IF(FJ23&lt;0,(EB23-EC23)/12,0),IF(FJ23&lt;0,0,(EB23-DF23)/12))*ABS(FK23),0.125)))</f>
        <v/>
      </c>
      <c r="CU23" s="114" t="str">
        <f>IF(BG23="","",VLOOKUP(BG23,SectInfo!$B:$N,12,FALSE))</f>
        <v/>
      </c>
      <c r="CV23" s="115" t="str">
        <f>IF(BG23="","",IF(ISBLANK(BP23),VLOOKUP(BG23,SectInfo!$B:$N,13,FALSE),BP23))</f>
        <v/>
      </c>
      <c r="CW23" s="1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115" t="str">
        <f>IF(BG23="","",IF(VLOOKUP(BG23,SectInfo!$B:$N,7,FALSE)="","",(VLOOKUP(BG23,SectInfo!$B:$N,7,FALSE)*-1)))</f>
        <v/>
      </c>
      <c r="DB23" s="815" t="str">
        <f>IF(BG23="","",IF(VLOOKUP(BG23,SectInfo!$B:$N,8,FALSE)="",VLOOKUP(AU23,$DF$2:$DN$9,6,FALSE),(VLOOKUP(BG23,SectInfo!$B:$N,8,FALSE))))</f>
        <v/>
      </c>
      <c r="DC23" s="815" t="str">
        <f>IF(BG23="","",VLOOKUP(BG23,SectInfo!$B:$N,9,FALSE))</f>
        <v/>
      </c>
      <c r="DD23" s="816">
        <f t="shared" ref="DD23:DD40" si="35">BN23*-1</f>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ref="DN23:DN40" si="36">BZ23*-1</f>
        <v>0</v>
      </c>
      <c r="DO23" s="818">
        <f t="shared" ref="DO23:DO40" si="37">IF(CE23="",0,ATAN(CE23/12))</f>
        <v>0</v>
      </c>
      <c r="DP23" s="819" t="str">
        <f t="shared" ref="DP23:DP40" si="38">IF(OR(CV23="",BE23="",DF23=""),"",CEILING(IF(AND(BE23="",BF23=""),"",((BE23*12+BF23)+CV23+DF23)/COS(FN23))-0.0625,0.125))</f>
        <v/>
      </c>
      <c r="DQ23" s="819" t="str">
        <f t="shared" ref="DQ23:DQ40" si="39">IF(AU23="","",IF(ABS(FF23)&lt;ABS($CX$2),CX23,IF(FF23=0,CX23,CEILING((CX23+((DW23-CV23)/12)*FF23)-0.0625,0.125))))</f>
        <v/>
      </c>
      <c r="DR23" s="819" t="str">
        <f t="shared" ref="DR23:DR40" si="40">IF(AU23="","",IF(ABS(FK23)&lt;ABS($CX$2),DH23,IF(FK23=0,DH23,CEILING((DH23+((EC23-DF23)/12)*FK23)-0.0625,0.125))))</f>
        <v/>
      </c>
      <c r="DS23" s="820">
        <f t="shared" ref="DS23:DS40" si="41">IF(BM23="",0,RADIANS(ABS(BM23)))</f>
        <v>0</v>
      </c>
      <c r="DT23" s="821">
        <f t="shared" ref="DT23:DT40" si="42">MIN(IF(BH23&gt;0,BH23/2,MAX(BI23/2,DC23)),IF(BI23&gt;0,BI23/2,MAX(BH23/2,DC23)),IF(DC23&gt;0,DC23,MAX(BI23/2,BH23/2)))/IF(OR(CU23="C",AND(CU23="M",$DD$1="N")),1,COS(DS23))</f>
        <v>0</v>
      </c>
      <c r="DU23" s="821" t="str">
        <f t="shared" ref="DU23:DU40" si="43">IF(CV23="","",IF(DC23&gt;=0,MAX(BH23/2,BI23/2,DC23),DC23)/IF(OR(CU23="C",AND(CU23="M",$DD$1="N")),1,COS(DS23)))</f>
        <v/>
      </c>
      <c r="DV23" s="819" t="str">
        <f t="shared" ref="DV23:DV40" si="44">IF(CV23="","",(CV23+DU23+(VLOOKUP(IF(AU23="HDR","K",AU23),$DF$2:$DN$9,2,FALSE))*TAN(DS23))/COS(FD23)-FH23)</f>
        <v/>
      </c>
      <c r="DW23" s="1127" t="str">
        <f t="shared" ref="DW23:DW40" si="45">IF(CV23="","",MAX(0,IF(NOT(BQ23=""),CV23-BQ23,DV23-VLOOKUP(IF(AU23="HDR","K",AU23),$DF$2:$DN$9,4,FALSE))))</f>
        <v/>
      </c>
      <c r="DX23" s="1005">
        <f>IF(CV23="",0,IF(DW23/COS(FN23-FD23)&lt;0.0625,0,CEILING(DW23/COS(FN23-FD23)-0.03125,0.125)))</f>
        <v>0</v>
      </c>
      <c r="DY23" s="819">
        <f t="shared" ref="DY23:DY40" si="46">RADIANS(ABS(BY23))</f>
        <v>0</v>
      </c>
      <c r="DZ23" s="821">
        <f t="shared" ref="DZ23:DZ40" si="47">MIN(IF(BT23&gt;0,BT23/2,MAX(BU23/2,DM23)),IF(BU23&gt;0,BU23/2,MAX(BT23/2,DM23)),IF(DM23&gt;0,DM23,MAX(BU23/2,BT23/2)))/IF(OR(DE23="C",AND(DE23="M",$DD$1="N")),1,COS(DY23))</f>
        <v>0</v>
      </c>
      <c r="EA23" s="821" t="str">
        <f t="shared" ref="EA23:EA40" si="48">IF(DF23="","",IF(DM23&gt;=0,MAX(BT23/2,BU23/2,DM23),DM23)/IF(OR(DE23="C",AND(DE23="M",$DD$1="N")),1,COS(DY23)))</f>
        <v/>
      </c>
      <c r="EB23" s="819" t="str">
        <f>IF(DF23="","",(DF23+EA23+(VLOOKUP(IF(AU23="HDR","K",AU23),$DF$2:$DN$9,2,FALSE))*TAN(DY23))/COS(FI23)-FM23)</f>
        <v/>
      </c>
      <c r="EC23" s="1127" t="str">
        <f t="shared" ref="EC23:EC40" si="49">IF(DF23="","",MAX(0,IF(NOT(CC23=""),DF23-CC23,EB23-VLOOKUP(IF(AU23="HDR","K",AU23),$DF$2:$DN$9,4,FALSE))))</f>
        <v/>
      </c>
      <c r="ED23" s="1005">
        <f>IF(DF23="",0,IF(EC23/COS(FN23+FI23)&lt;0.0625,0,CEILING(EC23/COS(FN23+FI23)-0.03125,0.125)))</f>
        <v>0</v>
      </c>
      <c r="EE23" s="1292" t="str">
        <f t="shared" ref="EE23:EE40" si="50">IF(AND(EZ23="",DA23=""),"",IF(EZ23="ERR","ERR",IF(CU23="C",DA23,IF(BJ23="","",IF(DA23="",(EZ23/2)*-1,DA23)))))</f>
        <v/>
      </c>
      <c r="EF23" s="819" t="str">
        <f>IF(EE23="ERR","ERR",IF(EE23="","",IF(DB23*TAN(DS23)&lt;=(VLOOKUP(AU23,$DF$2:$DN$9,8,FALSE)-(VLOOKUP(AU23,$DF$2:$DN$9,7,FALSE)-0.0625)),CV23-(EE23-FH23)/IF(OR(CU23="C",AND(CU23="M",$DD$1="N")),1,COS(DS23))-IF(MID(CW23,1,1)="R",0,DW23),(ABS(EE23-FH23)/IF(OR(CU23="C",AND(CU23="M",$DD$1="N")),1,COS(DS23))+CV23)-((DB23/2)*TAN(DS23))-IF(MID(CW23,1,1)="R",0,DW23))))</f>
        <v/>
      </c>
      <c r="EG23" s="819" t="str">
        <f>IF(EE23="ERR","ERR",IF(EE23="","",IF(DB23*TAN(DS23)&lt;=(VLOOKUP(AU23,$DF$2:$DN$9,8,FALSE)-(VLOOKUP(AU23,$DF$2:$DN$9,7,FALSE)-0.0625)),CV23-(EE23-FH23)/IF(OR(CU23="C",AND(CU23="M",$DD$1="N")),1,COS(DS23))-IF(MID(CW23,1,1)="R",0,DW23),(ABS(EE23-FH23)/IF(OR(CU23="C",AND(CU23="M",$DD$1="N")),1,COS(DS23))+CV23)+((DB23/2)*TAN(DS23))-IF(MID(CW23,1,1)="R",0,DW23))))</f>
        <v/>
      </c>
      <c r="EH23" s="856" t="e">
        <f t="shared" ref="EH23:EH40" si="51">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#N/A</v>
      </c>
      <c r="EI23" s="856" t="e">
        <f t="shared" ref="EI23:EI40" si="52">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#N/A</v>
      </c>
      <c r="EJ23" s="819" t="str">
        <f t="shared" ref="EJ23:EK25" si="53">IF(ISERROR(EF23),"ERR",IF(EF23="","",IF(EH23="ERR","ERR",CEILING(EH23-0.0625,0.125))))</f>
        <v/>
      </c>
      <c r="EK23" s="819" t="str">
        <f t="shared" si="53"/>
        <v/>
      </c>
      <c r="EL23" s="1292" t="str">
        <f t="shared" ref="EL23:EL40" si="54">IF(AND(FC23="",DK23=""),"",IF(FC23="ERR","ERR",IF(DE23="C",DK23,IF(BV23="","",IF(DK23="",(FC23/2)*-1,DK23)))))</f>
        <v/>
      </c>
      <c r="EM23" s="819" t="str">
        <f>IF(EL23="ERR","ERR",IF(EL23="","",IF(DL23*TAN(DY23)&lt;=(VLOOKUP(AU23,$DF$2:$DN$9,8,FALSE)-(VLOOKUP(AU23,$DF$2:$DN$9,7,FALSE)-0.0625)),DF23-(EL23-FM23)/IF(OR(DE23="C",AND(DE23="M",$DD$1="N")),1,COS(DY23))-IF(MID(DG23,1,1)="R",0,EC23),(ABS(EL23-FM23)/IF(OR(DE23="C",AND(DE23="M",$DD$1="N")),1,COS(DY23))+DF23)-((DL23/2)*TAN(DY23))-IF(MID(DG23,1,1)="R",0,EC23))))</f>
        <v/>
      </c>
      <c r="EN23" s="819" t="str">
        <f>IF(EL23="ERR","ERR",IF(EL23="","",IF(DL23*TAN(DY23)&lt;=(VLOOKUP(AU23,$DF$2:$DN$9,8,FALSE)-(VLOOKUP(AU23,$DF$2:$DN$9,7,FALSE)-0.0625)),DF23-(EL23-FM23)/IF(OR(DE23="C",AND(DE23="M",$DD$1="N")),1,COS(DY23))-IF(MID(DG23,1,1)="R",0,EC23),(ABS(EL23-FM23)/IF(OR(DE23="C",AND(DE23="M",$DD$1="N")),1,COS(DY23))+DF23)+((DL23/2)*TAN(DY23))-IF(MID(DG23,1,1)="R",0,EC23))))</f>
        <v/>
      </c>
      <c r="EO23" s="856" t="e">
        <f t="shared" ref="EO23:EO40" si="55">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#N/A</v>
      </c>
      <c r="EP23" s="856" t="e">
        <f t="shared" ref="EP23:EP40" si="56">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#N/A</v>
      </c>
      <c r="EQ23" s="819" t="str">
        <f t="shared" ref="EQ23:ER40" si="57">IF(ISERROR(EM23),"ERR",IF(EM23="","",IF(EO23="ERR","ERR",CEILING(EO23-0.0625,0.125))))</f>
        <v/>
      </c>
      <c r="ER23" s="819" t="str">
        <f t="shared" si="57"/>
        <v/>
      </c>
      <c r="ES23" s="822" t="str">
        <f t="shared" ref="ES23:ES40" si="58">IF(OR(CY23="",AU23="JS",AU23="HDR",BO23=""),"",IF((CV23-CY23)/COS(DO23)-FS23&lt;=-0.0625,CEILING((CV23-CY23)/COS(DO23)-FS23+0.0625,-0.125),IF((CV23-CY23)/COS(DO23)-FS23&gt;=0.0625,CEILING((CV23-CY23)/COS(DO23)-FS23-0.0625,0.125),0)))</f>
        <v/>
      </c>
      <c r="ET23" s="822" t="str">
        <f t="shared" ref="ET23:ET40" si="59">IF(OR(DI23="",AU23="JS",AU23="HDR",CA23=""),"",IF((DF23-DI23)/COS(DO23)-FT23&lt;=-0.0625,CEILING((DF23-DI23)/COS(DO23)-FT23+0.0625,-0.125),IF((DF23-DI23)/COS(DO23)-FT23&gt;=0.0625,CEILING((DF23-DI23)/COS(DO23)-FT23-0.0625,0.125),0)))</f>
        <v/>
      </c>
      <c r="EU23" s="823" t="str">
        <f t="shared" ref="EU23:EU40" si="60">IF(AU23="","",VLOOKUP(AU23,$DF$2:$DN$9,6,FALSE))</f>
        <v/>
      </c>
      <c r="EV23" s="824" t="str">
        <f>IF(AND(EK23="",ER23=""),"",IF(EK23="",DL23,IF(EQ23="",DB23,IF(DB23&lt;&gt;DL23,EU23,DB23))))</f>
        <v/>
      </c>
      <c r="EW23" s="823"/>
      <c r="EX23" s="823" t="str">
        <f>IF(AND(CU23="G", ISBLANK(BK23), ISBLANK(BL23)),VLOOKUP(MIN(BH23:BI23),TblJoistSize!$M$3:$N$10,2),IF(OR(CU23="B",CU23="G"),MIN(BK23:BL23),""))</f>
        <v/>
      </c>
      <c r="EY23" s="823" t="str">
        <f>IF(AND(CU23="G", ISBLANK(BK23), ISBLANK(BL23)),VLOOKUP(MAX(BH23:BI23),TblJoistSize!$M$3:$N$10,2),IF(OR(CU23="B",CU23="G"),MAX(BK23:BL23),""))</f>
        <v/>
      </c>
      <c r="EZ23" s="823" t="str">
        <f t="shared" ref="EZ23:EZ40" si="61">IF(BJ23="X",IF(OR(CU23="M",CU23="C"),"",IF((EY23-EX23)/2&lt;=(VLOOKUP(AU23,$DF$2:$DN$9,8,FALSE)-(VLOOKUP(AU23,$DF$2:$DN$9,7,FALSE)-0.0625)),(EX23+EY23)/2,"ERR")),"")</f>
        <v/>
      </c>
      <c r="FA23" s="823" t="str">
        <f>IF(AND(DE23="G", ISBLANK(BW23), ISBLANK(BX23)),VLOOKUP(MIN(BT23:BU23),TblJoistSize!$M$3:$N$10,2),IF(OR(DE23="B", DE23="G"),MIN(BW23:BX23),""))</f>
        <v/>
      </c>
      <c r="FB23" s="823" t="str">
        <f>IF(AND(DE23="G", ISBLANK(BW23), ISBLANK(BX23)),VLOOKUP(MAX(BT23:BU23),TblJoistSize!$M$3:$N$10,2),IF(OR(DE23="B", DE23="G"),MAX(BW23:BX23),""))</f>
        <v/>
      </c>
      <c r="FC23" s="823" t="str">
        <f t="shared" ref="FC23:FC40" si="62">IF(BV23="X",IF(OR(DE23="M",DE23="C"),"",IF((FB23-FA23)/2&lt;=(VLOOKUP(AU23,$DF$2:$DN$9,8,FALSE)-(VLOOKUP(AU23,$DF$2:$DN$9,7,FALSE)-0.0625)),(FA23+FB23)/2,"ERR")),"")</f>
        <v/>
      </c>
      <c r="FD23" s="819">
        <f t="shared" ref="FD23:FD40" si="63">IF(DD23="",0,ATAN(DD23/12))</f>
        <v>0</v>
      </c>
      <c r="FE23" s="819">
        <f t="shared" ref="FE23:FE40" si="64">DO23-FD23</f>
        <v>0</v>
      </c>
      <c r="FF23" s="820">
        <f t="shared" ref="FF23:FF40" si="65">TAN(FE23)*12</f>
        <v>0</v>
      </c>
      <c r="FG23" s="820" t="str">
        <f t="shared" ref="FG23:FG40" si="66">IF(FF23=0,"",IF(ABS(FF23)&lt;$CX$2,IF(AND(ABS(MIN(DV23,FQ23)/12*FF23)&gt;$DD$2,FF23&gt;0),IF(FF23&gt;0,CEILING(FF23-0.0625,0.125),CEILING(FF23+0.0625,-0.125)),""),IF(FF23&gt;0,CEILING(FF23-0.0625,0.125),CEILING(FF23+0.0625,-0.125))))</f>
        <v/>
      </c>
      <c r="FH23" s="819" t="str">
        <f t="shared" ref="FH23:FH40" si="67">IF(CX23="","",CX23*TAN(FD23))</f>
        <v/>
      </c>
      <c r="FI23" s="819">
        <f t="shared" ref="FI23:FI40" si="68">IF(DN23="",0,ATAN(DN23/12))</f>
        <v>0</v>
      </c>
      <c r="FJ23" s="819">
        <f t="shared" ref="FJ23:FJ40" si="69">DO23+FI23</f>
        <v>0</v>
      </c>
      <c r="FK23" s="820">
        <f t="shared" ref="FK23:FK40" si="70">TAN(FJ23)*-12</f>
        <v>0</v>
      </c>
      <c r="FL23" s="820" t="str">
        <f t="shared" ref="FL23:FL40" si="71">IF(FK23=0,"",IF(ABS(FK23)&lt;$CX$2,IF(AND(ABS(MIN(EB23,FR23)/12*FK23)&gt;$DD$2,FK23&gt;0),IF(FK23&gt;0,CEILING(FK23-0.0625,0.125),CEILING(FK23+0.0625,-0.125)),""),IF(FK23&gt;0,CEILING(FK23-0.0625,0.125),CEILING(FK23+0.0625,-0.125))))</f>
        <v/>
      </c>
      <c r="FM23" s="819" t="str">
        <f t="shared" ref="FM23:FM40" si="72">IF(DH23="","",DH23*TAN(FI23))</f>
        <v/>
      </c>
      <c r="FN23" s="819" t="e">
        <f t="shared" ref="FN23:FN40" si="73">IF(((BE23*12+BF23)+CV23+DF23)/COS(DO23)-((BE23*12+BF23)+CV23+DF23)&lt;$DB$2,0,DO23)</f>
        <v>#VALUE!</v>
      </c>
      <c r="FO23" s="1386" t="e">
        <f t="shared" ref="FO23:FO40" si="74">MIN(IF(BH23&gt;0,BH23/2,MAX(BI23/2,DC23)),IF(BI23&gt;0,BI23/2,MAX(BH23/2,DC23)),IF(DC23&gt;0,DC23,MAX(BI23/2,BH23/2)))/COS(DS23)+CV23-DW23-FH23</f>
        <v>#VALUE!</v>
      </c>
      <c r="FP23" s="1386" t="e">
        <f t="shared" ref="FP23:FP40" si="75">MIN(IF(BT23&gt;0,BT23/2,MAX(BU23/2,DM23)),IF(BU23&gt;0,BU23/2,MAX(BT23/2,DM23)),IF(DM23&gt;0,DM23,MAX(BU23/2,BT23/2)))/COS(DY23)+DF23-EC23-FM23</f>
        <v>#VALUE!</v>
      </c>
      <c r="FQ23" s="825" t="e">
        <f t="shared" ref="FQ23:FQ40" si="76">IF(OR(CU23="B",CU23="G"),MAX(BH23,BI23),IF(CU23="M",12,DC23+CV23))</f>
        <v>#VALUE!</v>
      </c>
      <c r="FR23" s="826" t="e">
        <f t="shared" ref="FR23:FR40" si="77">IF(OR(DE23="B",DE23="G"),MAX(BT23,BU23),IF(DE23="M",12,DM23+DF23))</f>
        <v>#VALUE!</v>
      </c>
      <c r="FS23" s="827" t="str">
        <f t="shared" ref="FS23:FS40" si="78">IF(CY23="","",IF(ABS(CE23*((AJ23-IF(CE23&gt;0,VLOOKUP(AU23,$DF$2:$DN$9,9,FALSE),0))/12))&gt;$CZ$2,CE23*((AJ23-IF(CE23&gt;0,VLOOKUP(AU23,$DF$2:$DN$9,9,FALSE),0))/12),0))</f>
        <v/>
      </c>
      <c r="FT23" s="828" t="str">
        <f t="shared" ref="FT23:FT40" si="79">IF(DI23="","",IF(ABS(CE23*((AJ23-IF(CE23&lt;0,VLOOKUP(AU23,$DF$2:$DN$9,9,FALSE),0))/12))&gt;$CZ$2,CE23*((AJ23-IF(CE23&lt;0,VLOOKUP(AU23,$DF$2:$DN$9,9,FALSE),0))/12)*-1,0))</f>
        <v/>
      </c>
      <c r="FU23" s="1009">
        <f t="shared" ref="FU23:FU40" si="80">IF(CX23="",0,MAX(0,MIN(DV23-VLOOKUP(AU23,DF$2:DN$9,4,FALSE),(MAX(0,CX23-VLOOKUP(AU23,DF$2:DN$9,3,FALSE))+VLOOKUP(AU23,DF$2:DN$9,4,FALSE))*COS(DO23)+((MAX(0,CX23-VLOOKUP(AU23,DF$2:DN$9,3,FALSE))+VLOOKUP(AU23,DF$2:DN$9,4,FALSE))*COS(PI()/2-DO23))/TAN(PI()/2-(DO23+PI()/4))-VLOOKUP(AU23,DF$2:DN$9,4,FALSE))))</f>
        <v>0</v>
      </c>
      <c r="FV23" s="1010">
        <f t="shared" ref="FV23:FV40" si="81">IF(DH23="",0,MAX(0,MIN(EB23-VLOOKUP(AU23,DF$2:DN$9,4,FALSE),(MAX(0,DH23-VLOOKUP(AU23,DF$2:DN$9,3,FALSE))+VLOOKUP(AU23,DF$2:DN$9,4,FALSE))*COS(DO23)+((MAX(0,DH23-VLOOKUP(AU23,DF$2:DN$9,3,FALSE))+VLOOKUP(AU23,DF$2:DN$9,4,FALSE))*COS(PI()/2-DO23))/TAN(PI()/2-(DO23+PI()/4))-VLOOKUP(AU23,DF$2:DN$9,4,FALSE))))</f>
        <v>0</v>
      </c>
      <c r="GA23" s="1791" t="str">
        <f t="shared" ref="GA23:GA40" si="82">IF(GF23="","",BE23)</f>
        <v/>
      </c>
      <c r="GB23" s="1792" t="str">
        <f t="shared" ref="GB23:GB40" si="83">IF(GF23="","",BF23)</f>
        <v/>
      </c>
      <c r="GC23" s="1793" t="str">
        <f t="shared" ref="GC23:GC40" si="84">IF(GF23="","",IF(CV23="",0,CV23))</f>
        <v/>
      </c>
      <c r="GD23" s="1794" t="str">
        <f t="shared" ref="GD23:GD40" si="85">IF(GF23="","",IF(DF23="",0,DF23))</f>
        <v/>
      </c>
      <c r="GE23" s="1795" t="str">
        <f t="shared" ref="GE23:GE40" si="86">IF(GF23="","",IF(ISBLANK(CE23),IF(Y23=Z23,0,MAX(ABS(Y23),ABS(Z23))*IF(Y23&lt;0,-1,1)),CE23))</f>
        <v/>
      </c>
      <c r="GF23" s="600" t="str">
        <f t="shared" ref="GF23:GF40" si="87">IF(A23=0,"",A23)</f>
        <v/>
      </c>
      <c r="GG23" s="1130"/>
      <c r="GH23" s="1131"/>
      <c r="GI23" s="1130"/>
      <c r="GJ23" s="1131"/>
      <c r="GK23" s="1636">
        <f t="shared" ref="GK23:GK40" si="88">IF(D23="",0,D23*12+E23)</f>
        <v>0</v>
      </c>
      <c r="GL23" s="1636" t="e">
        <f t="shared" ref="GL23:GL40" si="89">(GA23*12+GB23+GC23+GD23)/COS(ATAN(ABS(GE23/12)))</f>
        <v>#VALUE!</v>
      </c>
      <c r="GM23" s="1637" t="e">
        <f>IF(ABS(GK23-GL23)&gt;='Job Info.'!$L$22,ABS(GK23-GL23),0)</f>
        <v>#VALUE!</v>
      </c>
      <c r="GZ23" s="415"/>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1448" t="str">
        <f t="shared" si="1"/>
        <v/>
      </c>
      <c r="B24" s="1681" t="str">
        <f t="shared" si="2"/>
        <v/>
      </c>
      <c r="C24" s="1449" t="str">
        <f t="shared" si="3"/>
        <v/>
      </c>
      <c r="D24" s="1705" t="str">
        <f>IF(DP24="","",TRUNC(DP24/12))</f>
        <v/>
      </c>
      <c r="E24" s="1778" t="str">
        <f>IF(DP24="","",DP24-(D24*12))</f>
        <v/>
      </c>
      <c r="F24" s="1708" t="str">
        <f>IF(DX24=0,"",TRUNC(DX24/12))</f>
        <v/>
      </c>
      <c r="G24" s="1709" t="str">
        <f>IF(DX24=0,"",DX24-(F24*12))</f>
        <v/>
      </c>
      <c r="H24" s="1779" t="str">
        <f>IF(DX24=0,"",CW24)</f>
        <v/>
      </c>
      <c r="I24" s="1705" t="str">
        <f>IF(ED24=0,"",TRUNC(ED24/12))</f>
        <v/>
      </c>
      <c r="J24" s="1709" t="str">
        <f>IF(ED24=0,"",ED24-(I24*12))</f>
        <v/>
      </c>
      <c r="K24" s="1780" t="str">
        <f>IF(ED24=0,"",DG24)</f>
        <v/>
      </c>
      <c r="L24" s="1712" t="str">
        <f t="shared" si="4"/>
        <v/>
      </c>
      <c r="M24" s="1713" t="str">
        <f t="shared" si="4"/>
        <v/>
      </c>
      <c r="N24" s="1708" t="str">
        <f>IF(ES24="","",IF(AND(ES24&lt;0,ES24&gt;-12),TRUNC(ES24/12)-0.0000001,TRUNC(ES24/12)))</f>
        <v/>
      </c>
      <c r="O24" s="1709" t="str">
        <f>IF(ES24="","",IF(AND(ES24-(N24*12)=0,ES24&lt;0),-0.000001,ES24-(N24*12)))</f>
        <v/>
      </c>
      <c r="P24" s="1710" t="str">
        <f>IF(ES24="","",IF(OR(CW24="Q",CW24="C"),3,CZ24))</f>
        <v/>
      </c>
      <c r="Q24" s="1705" t="str">
        <f>IF(ET24="","",IF(AND(ET24&lt;0,ET24&gt;-12),TRUNC(ET24/12)-0.0000001,TRUNC(ET24/12)))</f>
        <v/>
      </c>
      <c r="R24" s="1709" t="str">
        <f>IF(ET24="","",IF(AND(ET24-(Q24*12)=0,ET24&lt;0),-0.000001,ET24-(Q24*12)))</f>
        <v/>
      </c>
      <c r="S24" s="1753" t="str">
        <f>IF(ET24="","",IF(OR(DG24="Q",DG24="C"),3,DJ24))</f>
        <v/>
      </c>
      <c r="T24" s="1708" t="str">
        <f>IF(CH24="ERR","",IF(EK24="","",IF(EK24="ERR",TRUNC(EJ24/12),TRUNC(EK24/12))))</f>
        <v/>
      </c>
      <c r="U24" s="1709" t="str">
        <f>IF(CH24="ERR","",IF(EK24="","",IF(EK24="ERR",EJ24-(T24*12),EK24-(T24*12))))</f>
        <v/>
      </c>
      <c r="V24" s="1705" t="str">
        <f>IF(CI24="ERR","",IF(ER24="","",IF(ER24="ERR",TRUNC(EQ24/12),TRUNC(ER24/12))))</f>
        <v/>
      </c>
      <c r="W24" s="1709" t="str">
        <f>IF(CI24="ERR","",IF(ER24="","",IF(ER24="ERR",EQ24-(V24*12),ER24-(V24*12))))</f>
        <v/>
      </c>
      <c r="X24" s="1750">
        <f>IF(EV24="",0,EV24)</f>
        <v>0</v>
      </c>
      <c r="Y24" s="1781" t="str">
        <f>FG24</f>
        <v/>
      </c>
      <c r="Z24" s="1782" t="str">
        <f>FL24</f>
        <v/>
      </c>
      <c r="AA24" s="1783" t="str">
        <f t="shared" si="5"/>
        <v/>
      </c>
      <c r="AB24" s="1413"/>
      <c r="AC24" s="964" t="b">
        <v>0</v>
      </c>
      <c r="AD24" s="441">
        <f t="shared" si="6"/>
        <v>0</v>
      </c>
      <c r="AE24" s="442">
        <f t="shared" si="7"/>
        <v>0</v>
      </c>
      <c r="AF24" s="442">
        <f t="shared" si="8"/>
        <v>0</v>
      </c>
      <c r="AG24" s="442">
        <f t="shared" si="9"/>
        <v>0</v>
      </c>
      <c r="AH24" s="443">
        <f t="shared" si="10"/>
        <v>0</v>
      </c>
      <c r="AI24" s="444" t="b">
        <v>0</v>
      </c>
      <c r="AJ24" s="238">
        <f>IF(OR(ISERROR(VALUE(LEFT(C24,SEARCH(AK24,C24)-1))),AK24=""),0,VALUE(LEFT(C24,SEARCH(AK24,C24)-1)))</f>
        <v>0</v>
      </c>
      <c r="AK24" s="238" t="str">
        <f t="shared" si="11"/>
        <v/>
      </c>
      <c r="AL24" s="1290" t="str">
        <f t="shared" si="12"/>
        <v/>
      </c>
      <c r="AM24" s="238" t="str">
        <f t="shared" si="13"/>
        <v/>
      </c>
      <c r="AN24" s="238" t="str">
        <f t="shared" si="14"/>
        <v/>
      </c>
      <c r="AO24" s="238" t="str">
        <f t="shared" si="15"/>
        <v/>
      </c>
      <c r="AP24" s="830" t="b">
        <f>IF(ISERROR(AJ24),FALSE,IF(OR(AJ24=0,ISERROR(AL24),ISERROR(AM24),ISERROR(AN24),ISERROR(AO24)),FALSE,IF(AL24&lt;&gt;"",IF(ISERROR(VLOOKUP(SUBSTITUTE(SUBSTITUTE(C24,"R",""),"A",""),TblJoistSize!$A:$A,1,FALSE)),FALSE,TRUE),TRUE)))</f>
        <v>0</v>
      </c>
      <c r="AQ24" s="1038" t="e">
        <f t="shared" si="16"/>
        <v>#N/A</v>
      </c>
      <c r="AR24" s="945" t="b">
        <f>IF(IF(ISNUMBER(T24),T24*12,0)+IF(ISNUMBER(U24),U24,0)&gt;0,IF(AND(IF(ISNUMBER(T24),T24*12,0)+IF(ISNUMBER(U24),U24,0)&gt;=VLOOKUP(AU24,$DF$2:$DN$9,8,FALSE)/2+$DQ$2,IF(ISNUMBER(T24),T24*12,0)+IF(ISNUMBER(U24),U24,0)&lt;=(AQ24-(VLOOKUP(AU24,$DF$2:$DN$9,8,FALSE)/2+$DQ$2))+IF(H24="X",2,0)),TRUE,FALSE),FALSE)</f>
        <v>0</v>
      </c>
      <c r="AS24" s="1038" t="e">
        <f t="shared" si="17"/>
        <v>#N/A</v>
      </c>
      <c r="AT24" s="945" t="b">
        <f>IF(IF(ISNUMBER(V24),V24*12,0)+IF(ISNUMBER(W24),W24,0)&gt;0,IF(AND((IF(ISNUMBER(V24),V24*12,0)+IF(ISNUMBER(W24),W24,0))&gt;=VLOOKUP(AU24,$DF$2:$DN$9,8,FALSE)/2+$DQ$2,(IF(ISNUMBER(V24),V24*12,0)+IF(ISNUMBER(W24),W24,0))&lt;=(AS24-(VLOOKUP(AU24,$DF$2:$DN$9,8,FALSE)/2+$DQ$2))+IF(K24="X",2,0)),TRUE,FALSE),FALSE)</f>
        <v>0</v>
      </c>
      <c r="AU24" s="1291" t="str">
        <f t="shared" si="18"/>
        <v/>
      </c>
      <c r="AV24" s="830" t="str">
        <f t="shared" si="19"/>
        <v/>
      </c>
      <c r="AW24" s="830" t="str">
        <f t="shared" ref="AW24:AW40" si="90">IF(NOT(ISERROR(SEARCH("HDR",C24))),"HDR",IF(NOT(ISERROR(SEARCH("JS",C24))),"JS",IF(NOT(ISERROR(SEARCH("SLH",C24))),"SLH",IF(NOT(ISERROR(SEARCH("DLH",C24))),"DLH",IF(NOT(ISERROR(SEARCH("LH",C24))),"LH","")))))</f>
        <v/>
      </c>
      <c r="AX24" s="830" t="str">
        <f>IF(AND(OR(ISBLANK(A24),A24=""),AA24&lt;&gt;""),AX23,IF(OR(ISBLANK(A24),A24=""),"",A24))</f>
        <v/>
      </c>
      <c r="AY24" s="464" t="b">
        <f t="shared" si="20"/>
        <v>0</v>
      </c>
      <c r="AZ24" s="856" t="str">
        <f t="shared" ref="AZ24:AZ40" si="91">IF(AND(NOT(ISERROR(AJ24)),AJ24&gt;0),((IF(D24="",0,D24)*12+IF(E24="",0,E24))-(IF(F24="",0,F24)*12+IF(G24="",0,G24))-(IF(I24="",0,I24)*12+IF(J24="",0,J24)))&gt;AJ24*24,"")</f>
        <v/>
      </c>
      <c r="BA24" s="549"/>
      <c r="BB24" s="672"/>
      <c r="BC24" s="1684"/>
      <c r="BD24" s="733"/>
      <c r="BE24" s="734"/>
      <c r="BF24" s="735"/>
      <c r="BG24" s="672"/>
      <c r="BH24" s="982"/>
      <c r="BI24" s="983"/>
      <c r="BJ24" s="1625"/>
      <c r="BK24" s="982"/>
      <c r="BL24" s="983"/>
      <c r="BM24" s="1569"/>
      <c r="BN24" s="1570"/>
      <c r="BO24" s="1617" t="str">
        <f>IF(ISERROR(CU24),"",IF(CU24="","",IF(VLOOKUP(BG24,SectInfo!$B:$N,10,FALSE)="","","X")))</f>
        <v/>
      </c>
      <c r="BP24" s="1561"/>
      <c r="BQ24" s="1562" t="str">
        <f t="shared" si="21"/>
        <v/>
      </c>
      <c r="BR24" s="1563"/>
      <c r="BS24" s="672"/>
      <c r="BT24" s="982"/>
      <c r="BU24" s="983"/>
      <c r="BV24" s="1625"/>
      <c r="BW24" s="982"/>
      <c r="BX24" s="983"/>
      <c r="BY24" s="1569"/>
      <c r="BZ24" s="1570"/>
      <c r="CA24" s="1617" t="str">
        <f>IF(ISERROR(DE24),"",IF(DE24="","",IF(VLOOKUP(BS24,SectInfo!$B:$N,10,FALSE)="","","X")))</f>
        <v/>
      </c>
      <c r="CB24" s="1561"/>
      <c r="CC24" s="1562" t="str">
        <f t="shared" si="22"/>
        <v/>
      </c>
      <c r="CD24" s="1563"/>
      <c r="CE24" s="1574"/>
      <c r="CF24" s="736"/>
      <c r="CG24" s="737"/>
      <c r="CH24" s="643" t="str">
        <f t="shared" si="23"/>
        <v/>
      </c>
      <c r="CI24" s="644" t="str">
        <f t="shared" si="24"/>
        <v/>
      </c>
      <c r="CJ24" s="645" t="str">
        <f t="shared" si="25"/>
        <v/>
      </c>
      <c r="CK24" s="852" t="str">
        <f t="shared" si="26"/>
        <v/>
      </c>
      <c r="CL24" s="847" t="str">
        <f t="shared" si="27"/>
        <v/>
      </c>
      <c r="CM24" s="848" t="str">
        <f t="shared" si="28"/>
        <v/>
      </c>
      <c r="CN24" s="611" t="str">
        <f t="shared" si="29"/>
        <v/>
      </c>
      <c r="CO24" s="612" t="str">
        <f t="shared" si="30"/>
        <v/>
      </c>
      <c r="CP24" s="615" t="str">
        <f t="shared" si="31"/>
        <v/>
      </c>
      <c r="CQ24" s="616" t="str">
        <f t="shared" si="32"/>
        <v/>
      </c>
      <c r="CR24" s="750" t="str">
        <f t="shared" si="33"/>
        <v/>
      </c>
      <c r="CS24" s="751" t="str">
        <f t="shared" si="34"/>
        <v/>
      </c>
      <c r="CU24" s="114" t="str">
        <f>IF(BG24="","",VLOOKUP(BG24,SectInfo!$B:$N,12,FALSE))</f>
        <v/>
      </c>
      <c r="CV24" s="115" t="str">
        <f>IF(BG24="","",IF(ISBLANK(BP24),VLOOKUP(BG24,SectInfo!$B:$N,13,FALSE),BP24))</f>
        <v/>
      </c>
      <c r="CW24" s="1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115" t="str">
        <f>IF(BG24="","",IF(VLOOKUP(BG24,SectInfo!$B:$N,7,FALSE)="","",(VLOOKUP(BG24,SectInfo!$B:$N,7,FALSE)*-1)))</f>
        <v/>
      </c>
      <c r="DB24" s="815" t="str">
        <f>IF(BG24="","",IF(VLOOKUP(BG24,SectInfo!$B:$N,8,FALSE)="",VLOOKUP(AU24,$DF$2:$DN$9,6,FALSE),(VLOOKUP(BG24,SectInfo!$B:$N,8,FALSE))))</f>
        <v/>
      </c>
      <c r="DC24" s="815" t="str">
        <f>IF(BG24="","",VLOOKUP(BG24,SectInfo!$B:$N,9,FALSE))</f>
        <v/>
      </c>
      <c r="DD24" s="816">
        <f t="shared" si="35"/>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36"/>
        <v>0</v>
      </c>
      <c r="DO24" s="818">
        <f t="shared" si="37"/>
        <v>0</v>
      </c>
      <c r="DP24" s="822" t="str">
        <f t="shared" si="38"/>
        <v/>
      </c>
      <c r="DQ24" s="822" t="str">
        <f t="shared" si="39"/>
        <v/>
      </c>
      <c r="DR24" s="822" t="str">
        <f t="shared" si="40"/>
        <v/>
      </c>
      <c r="DS24" s="821">
        <f t="shared" si="41"/>
        <v>0</v>
      </c>
      <c r="DT24" s="821">
        <f t="shared" si="42"/>
        <v>0</v>
      </c>
      <c r="DU24" s="821" t="str">
        <f t="shared" si="43"/>
        <v/>
      </c>
      <c r="DV24" s="822" t="str">
        <f t="shared" si="44"/>
        <v/>
      </c>
      <c r="DW24" s="856" t="str">
        <f t="shared" si="45"/>
        <v/>
      </c>
      <c r="DX24" s="1006">
        <f>IF(CV24="",0,IF(DW24/COS(FN24-FD24)&lt;0.0625,0,CEILING(DW24/COS(FN24-FD24)-0.03125,0.125)))</f>
        <v>0</v>
      </c>
      <c r="DY24" s="822">
        <f t="shared" si="46"/>
        <v>0</v>
      </c>
      <c r="DZ24" s="821">
        <f t="shared" si="47"/>
        <v>0</v>
      </c>
      <c r="EA24" s="821" t="str">
        <f t="shared" si="48"/>
        <v/>
      </c>
      <c r="EB24" s="822" t="str">
        <f>IF(DF24="","",(DF24+EA24+(VLOOKUP(IF(AU24="HDR","K",AU24),$DF$2:$DN$9,2,FALSE))*TAN(DY24))/COS(FI24)-FM24)</f>
        <v/>
      </c>
      <c r="EC24" s="856" t="str">
        <f t="shared" si="49"/>
        <v/>
      </c>
      <c r="ED24" s="1006">
        <f>IF(DF24="",0,IF(EC24/COS(FN24+FI24)&lt;0.0625,0,CEILING(EC24/COS(FN24+FI24)-0.03125,0.125)))</f>
        <v>0</v>
      </c>
      <c r="EE24" s="1293" t="str">
        <f t="shared" si="50"/>
        <v/>
      </c>
      <c r="EF24" s="822" t="str">
        <f>IF(EE24="ERR","ERR",IF(EE24="","",IF(DB24*TAN(DS24)&lt;=(VLOOKUP(AU24,$DF$2:$DN$9,8,FALSE)-(VLOOKUP(AU24,$DF$2:$DN$9,7,FALSE)-0.0625)),CV24-(EE24-FH24)/IF(OR(CU24="C",AND(CU24="M",$DD$1="N")),1,COS(DS24))-IF(MID(CW24,1,1)="R",0,DW24),(ABS(EE24-FH24)/IF(OR(CU24="C",AND(CU24="M",$DD$1="N")),1,COS(DS24))+CV24)-((DB24/2)*TAN(DS24))-IF(MID(CW24,1,1)="R",0,DW24))))</f>
        <v/>
      </c>
      <c r="EG24" s="822" t="str">
        <f>IF(EE24="ERR","ERR",IF(EE24="","",IF(DB24*TAN(DS24)&lt;=(VLOOKUP(AU24,$DF$2:$DN$9,8,FALSE)-(VLOOKUP(AU24,$DF$2:$DN$9,7,FALSE)-0.0625)),CV24-(EE24-FH24)/IF(OR(CU24="C",AND(CU24="M",$DD$1="N")),1,COS(DS24))-IF(MID(CW24,1,1)="R",0,DW24),(ABS(EE24-FH24)/IF(OR(CU24="C",AND(CU24="M",$DD$1="N")),1,COS(DS24))+CV24)+((DB24/2)*TAN(DS24))-IF(MID(CW24,1,1)="R",0,DW24))))</f>
        <v/>
      </c>
      <c r="EH24" s="856" t="e">
        <f t="shared" si="51"/>
        <v>#N/A</v>
      </c>
      <c r="EI24" s="856" t="e">
        <f t="shared" si="52"/>
        <v>#N/A</v>
      </c>
      <c r="EJ24" s="822" t="str">
        <f t="shared" si="53"/>
        <v/>
      </c>
      <c r="EK24" s="822" t="str">
        <f t="shared" si="53"/>
        <v/>
      </c>
      <c r="EL24" s="1293" t="str">
        <f t="shared" si="54"/>
        <v/>
      </c>
      <c r="EM24" s="822" t="str">
        <f>IF(EL24="ERR","ERR",IF(EL24="","",IF(DL24*TAN(DY24)&lt;=(VLOOKUP(AU24,$DF$2:$DN$9,8,FALSE)-(VLOOKUP(AU24,$DF$2:$DN$9,7,FALSE)-0.0625)),DF24-(EL24-FM24)/IF(OR(DE24="C",AND(DE24="M",$DD$1="N")),1,COS(DY24))-IF(MID(DG24,1,1)="R",0,EC24),(ABS(EL24-FM24)/IF(OR(DE24="C",AND(DE24="M",$DD$1="N")),1,COS(DY24))+DF24)-((DL24/2)*TAN(DY24))-IF(MID(DG24,1,1)="R",0,EC24))))</f>
        <v/>
      </c>
      <c r="EN24" s="822" t="str">
        <f>IF(EL24="ERR","ERR",IF(EL24="","",IF(DL24*TAN(DY24)&lt;=(VLOOKUP(AU24,$DF$2:$DN$9,8,FALSE)-(VLOOKUP(AU24,$DF$2:$DN$9,7,FALSE)-0.0625)),DF24-(EL24-FM24)/IF(OR(DE24="C",AND(DE24="M",$DD$1="N")),1,COS(DY24))-IF(MID(DG24,1,1)="R",0,EC24),(ABS(EL24-FM24)/IF(OR(DE24="C",AND(DE24="M",$DD$1="N")),1,COS(DY24))+DF24)+((DL24/2)*TAN(DY24))-IF(MID(DG24,1,1)="R",0,EC24))))</f>
        <v/>
      </c>
      <c r="EO24" s="856" t="e">
        <f t="shared" si="55"/>
        <v>#N/A</v>
      </c>
      <c r="EP24" s="856" t="e">
        <f t="shared" si="56"/>
        <v>#N/A</v>
      </c>
      <c r="EQ24" s="822" t="str">
        <f t="shared" si="57"/>
        <v/>
      </c>
      <c r="ER24" s="822" t="str">
        <f t="shared" si="57"/>
        <v/>
      </c>
      <c r="ES24" s="822" t="str">
        <f t="shared" si="58"/>
        <v/>
      </c>
      <c r="ET24" s="822" t="str">
        <f t="shared" si="59"/>
        <v/>
      </c>
      <c r="EU24" s="829" t="str">
        <f t="shared" si="60"/>
        <v/>
      </c>
      <c r="EV24" s="824" t="str">
        <f>IF(AND(EK24="",ER24=""),"",IF(EK24="",DL24,IF(EQ24="",DB24,IF(DB24&lt;&gt;DL24,EU24,DB24))))</f>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61"/>
        <v/>
      </c>
      <c r="FA24" s="829" t="str">
        <f>IF(AND(DE24="G", ISBLANK(BW24), ISBLANK(BX24)),VLOOKUP(MIN(BT24:BU24),TblJoistSize!$M$3:$N$10,2),IF(OR(DE24="B", DE24="G"),MIN(BW24:BX24),""))</f>
        <v/>
      </c>
      <c r="FB24" s="829" t="str">
        <f>IF(AND(DE24="G", ISBLANK(BW24), ISBLANK(BX24)),VLOOKUP(MAX(BT24:BU24),TblJoistSize!$M$3:$N$10,2),IF(OR(DE24="B", DE24="G"),MAX(BW24:BX24),""))</f>
        <v/>
      </c>
      <c r="FC24" s="829" t="str">
        <f t="shared" si="62"/>
        <v/>
      </c>
      <c r="FD24" s="822">
        <f t="shared" si="63"/>
        <v>0</v>
      </c>
      <c r="FE24" s="822">
        <f t="shared" si="64"/>
        <v>0</v>
      </c>
      <c r="FF24" s="821">
        <f t="shared" si="65"/>
        <v>0</v>
      </c>
      <c r="FG24" s="821" t="str">
        <f t="shared" si="66"/>
        <v/>
      </c>
      <c r="FH24" s="822" t="str">
        <f t="shared" si="67"/>
        <v/>
      </c>
      <c r="FI24" s="822">
        <f t="shared" si="68"/>
        <v>0</v>
      </c>
      <c r="FJ24" s="822">
        <f t="shared" si="69"/>
        <v>0</v>
      </c>
      <c r="FK24" s="821">
        <f t="shared" si="70"/>
        <v>0</v>
      </c>
      <c r="FL24" s="821" t="str">
        <f t="shared" si="71"/>
        <v/>
      </c>
      <c r="FM24" s="822" t="str">
        <f t="shared" si="72"/>
        <v/>
      </c>
      <c r="FN24" s="822" t="e">
        <f t="shared" si="73"/>
        <v>#VALUE!</v>
      </c>
      <c r="FO24" s="940" t="e">
        <f t="shared" si="74"/>
        <v>#VALUE!</v>
      </c>
      <c r="FP24" s="940" t="e">
        <f t="shared" si="75"/>
        <v>#VALUE!</v>
      </c>
      <c r="FQ24" s="830" t="e">
        <f t="shared" si="76"/>
        <v>#VALUE!</v>
      </c>
      <c r="FR24" s="831" t="e">
        <f t="shared" si="77"/>
        <v>#VALUE!</v>
      </c>
      <c r="FS24" s="832" t="str">
        <f t="shared" si="78"/>
        <v/>
      </c>
      <c r="FT24" s="833" t="str">
        <f t="shared" si="79"/>
        <v/>
      </c>
      <c r="FU24" s="870">
        <f t="shared" si="80"/>
        <v>0</v>
      </c>
      <c r="FV24" s="871">
        <f t="shared" si="81"/>
        <v>0</v>
      </c>
      <c r="GA24" s="1791" t="str">
        <f t="shared" si="82"/>
        <v/>
      </c>
      <c r="GB24" s="1792" t="str">
        <f t="shared" si="83"/>
        <v/>
      </c>
      <c r="GC24" s="1793" t="str">
        <f t="shared" si="84"/>
        <v/>
      </c>
      <c r="GD24" s="1794" t="str">
        <f t="shared" si="85"/>
        <v/>
      </c>
      <c r="GE24" s="1795" t="str">
        <f t="shared" si="86"/>
        <v/>
      </c>
      <c r="GF24" s="600" t="str">
        <f t="shared" si="87"/>
        <v/>
      </c>
      <c r="GG24" s="1130"/>
      <c r="GH24" s="1131"/>
      <c r="GI24" s="1130"/>
      <c r="GJ24" s="1131"/>
      <c r="GK24" s="1636">
        <f t="shared" si="88"/>
        <v>0</v>
      </c>
      <c r="GL24" s="1636" t="e">
        <f t="shared" si="89"/>
        <v>#VALUE!</v>
      </c>
      <c r="GM24" s="1637" t="e">
        <f>IF(ABS(GK24-GL24)&gt;='Job Info.'!$L$22,ABS(GK24-GL24),0)</f>
        <v>#VALUE!</v>
      </c>
      <c r="GZ24" s="415"/>
      <c r="HA24" s="1391"/>
      <c r="HB24" s="1392"/>
      <c r="HC24" s="1392"/>
      <c r="HD24" s="1393"/>
      <c r="HE24" s="1394"/>
      <c r="HF24" s="1392"/>
      <c r="HG24" s="1392"/>
      <c r="HH24" s="1392"/>
      <c r="HI24" s="1395"/>
      <c r="HJ24" s="1392"/>
      <c r="HK24" s="1392"/>
      <c r="HL24" s="1392"/>
      <c r="HM24" s="1392"/>
      <c r="HN24" s="1392"/>
      <c r="HO24" s="1392"/>
      <c r="HP24" s="1392"/>
      <c r="HQ24" s="1395"/>
      <c r="HR24" s="1392"/>
      <c r="HS24" s="1392"/>
      <c r="HT24" s="1392"/>
      <c r="HU24" s="1392"/>
      <c r="HV24" s="1392"/>
      <c r="HW24" s="1394"/>
      <c r="HX24" s="1394"/>
      <c r="HY24" s="1394"/>
      <c r="HZ24" s="1394"/>
      <c r="IA24" s="1394"/>
      <c r="IB24" s="1394"/>
      <c r="IC24" s="1394"/>
      <c r="ID24" s="1394"/>
      <c r="IE24" s="1394"/>
      <c r="IF24" s="1396"/>
    </row>
    <row r="25" spans="1:240" ht="12.6" customHeight="1" x14ac:dyDescent="0.25">
      <c r="A25" s="1448" t="str">
        <f t="shared" si="1"/>
        <v/>
      </c>
      <c r="B25" s="1681" t="str">
        <f t="shared" si="2"/>
        <v/>
      </c>
      <c r="C25" s="1449" t="str">
        <f t="shared" si="3"/>
        <v/>
      </c>
      <c r="D25" s="1705" t="str">
        <f>IF(DP25="","",TRUNC(DP25/12))</f>
        <v/>
      </c>
      <c r="E25" s="1778" t="str">
        <f>IF(DP25="","",DP25-(D25*12))</f>
        <v/>
      </c>
      <c r="F25" s="1708" t="str">
        <f>IF(DX25=0,"",TRUNC(DX25/12))</f>
        <v/>
      </c>
      <c r="G25" s="1709" t="str">
        <f>IF(DX25=0,"",DX25-(F25*12))</f>
        <v/>
      </c>
      <c r="H25" s="1779" t="str">
        <f>IF(DX25=0,"",CW25)</f>
        <v/>
      </c>
      <c r="I25" s="1705" t="str">
        <f>IF(ED25=0,"",TRUNC(ED25/12))</f>
        <v/>
      </c>
      <c r="J25" s="1709" t="str">
        <f>IF(ED25=0,"",ED25-(I25*12))</f>
        <v/>
      </c>
      <c r="K25" s="1780" t="str">
        <f>IF(ED25=0,"",DG25)</f>
        <v/>
      </c>
      <c r="L25" s="1712" t="str">
        <f t="shared" si="4"/>
        <v/>
      </c>
      <c r="M25" s="1713" t="str">
        <f t="shared" si="4"/>
        <v/>
      </c>
      <c r="N25" s="1708" t="str">
        <f>IF(ES25="","",IF(AND(ES25&lt;0,ES25&gt;-12),TRUNC(ES25/12)-0.0000001,TRUNC(ES25/12)))</f>
        <v/>
      </c>
      <c r="O25" s="1709" t="str">
        <f>IF(ES25="","",IF(AND(ES25-(N25*12)=0,ES25&lt;0),-0.000001,ES25-(N25*12)))</f>
        <v/>
      </c>
      <c r="P25" s="1710" t="str">
        <f>IF(ES25="","",IF(OR(CW25="Q",CW25="C"),3,CZ25))</f>
        <v/>
      </c>
      <c r="Q25" s="1705" t="str">
        <f>IF(ET25="","",IF(AND(ET25&lt;0,ET25&gt;-12),TRUNC(ET25/12)-0.0000001,TRUNC(ET25/12)))</f>
        <v/>
      </c>
      <c r="R25" s="1709" t="str">
        <f>IF(ET25="","",IF(AND(ET25-(Q25*12)=0,ET25&lt;0),-0.000001,ET25-(Q25*12)))</f>
        <v/>
      </c>
      <c r="S25" s="1753" t="str">
        <f>IF(ET25="","",IF(OR(DG25="Q",DG25="C"),3,DJ25))</f>
        <v/>
      </c>
      <c r="T25" s="1708" t="str">
        <f>IF(CH25="ERR","",IF(EK25="","",IF(EK25="ERR",TRUNC(EJ25/12),TRUNC(EK25/12))))</f>
        <v/>
      </c>
      <c r="U25" s="1709" t="str">
        <f>IF(CH25="ERR","",IF(EK25="","",IF(EK25="ERR",EJ25-(T25*12),EK25-(T25*12))))</f>
        <v/>
      </c>
      <c r="V25" s="1705" t="str">
        <f>IF(CI25="ERR","",IF(ER25="","",IF(ER25="ERR",TRUNC(EQ25/12),TRUNC(ER25/12))))</f>
        <v/>
      </c>
      <c r="W25" s="1709" t="str">
        <f>IF(CI25="ERR","",IF(ER25="","",IF(ER25="ERR",EQ25-(V25*12),ER25-(V25*12))))</f>
        <v/>
      </c>
      <c r="X25" s="1750">
        <f>IF(EV25="",0,EV25)</f>
        <v>0</v>
      </c>
      <c r="Y25" s="1781" t="str">
        <f>FG25</f>
        <v/>
      </c>
      <c r="Z25" s="1782" t="str">
        <f>FL25</f>
        <v/>
      </c>
      <c r="AA25" s="1783" t="str">
        <f t="shared" si="5"/>
        <v/>
      </c>
      <c r="AB25" s="1413"/>
      <c r="AC25" s="964" t="b">
        <v>0</v>
      </c>
      <c r="AD25" s="441">
        <f t="shared" si="6"/>
        <v>0</v>
      </c>
      <c r="AE25" s="442">
        <f t="shared" si="7"/>
        <v>0</v>
      </c>
      <c r="AF25" s="442">
        <f t="shared" si="8"/>
        <v>0</v>
      </c>
      <c r="AG25" s="442">
        <f t="shared" si="9"/>
        <v>0</v>
      </c>
      <c r="AH25" s="443">
        <f t="shared" si="10"/>
        <v>0</v>
      </c>
      <c r="AI25" s="444" t="b">
        <v>0</v>
      </c>
      <c r="AJ25" s="238">
        <f>IF(OR(ISERROR(VALUE(LEFT(C25,SEARCH(AK25,C25)-1))),AK25=""),0,VALUE(LEFT(C25,SEARCH(AK25,C25)-1)))</f>
        <v>0</v>
      </c>
      <c r="AK25" s="238" t="str">
        <f t="shared" si="11"/>
        <v/>
      </c>
      <c r="AL25" s="1290" t="str">
        <f t="shared" si="12"/>
        <v/>
      </c>
      <c r="AM25" s="238" t="str">
        <f t="shared" si="13"/>
        <v/>
      </c>
      <c r="AN25" s="238" t="str">
        <f t="shared" si="14"/>
        <v/>
      </c>
      <c r="AO25" s="238" t="str">
        <f t="shared" si="15"/>
        <v/>
      </c>
      <c r="AP25" s="830" t="b">
        <f>IF(ISERROR(AJ25),FALSE,IF(OR(AJ25=0,ISERROR(AL25),ISERROR(AM25),ISERROR(AN25),ISERROR(AO25)),FALSE,IF(AL25&lt;&gt;"",IF(ISERROR(VLOOKUP(SUBSTITUTE(SUBSTITUTE(C25,"R",""),"A",""),TblJoistSize!$A:$A,1,FALSE)),FALSE,TRUE),TRUE)))</f>
        <v>0</v>
      </c>
      <c r="AQ25" s="1038" t="e">
        <f t="shared" si="16"/>
        <v>#N/A</v>
      </c>
      <c r="AR25" s="945" t="b">
        <f t="shared" ref="AR25:AR40" si="92">IF(IF(ISNUMBER(T25),T25*12,0)+IF(ISNUMBER(U25),U25,0)&gt;0,IF(AND(IF(ISNUMBER(T25),T25*12,0)+IF(ISNUMBER(U25),U25,0)&gt;=VLOOKUP(AU25,$DF$2:$DN$9,8,FALSE)/2+$DQ$2,IF(ISNUMBER(T25),T25*12,0)+IF(ISNUMBER(U25),U25,0)&lt;=(AQ25-(VLOOKUP(AU25,$DF$2:$DN$9,8,FALSE)/2+$DQ$2))+IF(H25="X",2,0)),TRUE,FALSE),FALSE)</f>
        <v>0</v>
      </c>
      <c r="AS25" s="1038" t="e">
        <f t="shared" si="17"/>
        <v>#N/A</v>
      </c>
      <c r="AT25" s="945" t="b">
        <f t="shared" ref="AT25:AT40" si="93">IF(IF(ISNUMBER(V25),V25*12,0)+IF(ISNUMBER(W25),W25,0)&gt;0,IF(AND((IF(ISNUMBER(V25),V25*12,0)+IF(ISNUMBER(W25),W25,0))&gt;=VLOOKUP(AU25,$DF$2:$DN$9,8,FALSE)/2+$DQ$2,(IF(ISNUMBER(V25),V25*12,0)+IF(ISNUMBER(W25),W25,0))&lt;=(AS25-(VLOOKUP(AU25,$DF$2:$DN$9,8,FALSE)/2+$DQ$2))+IF(K25="X",2,0)),TRUE,FALSE),FALSE)</f>
        <v>0</v>
      </c>
      <c r="AU25" s="1291" t="str">
        <f t="shared" si="18"/>
        <v/>
      </c>
      <c r="AV25" s="830" t="str">
        <f t="shared" si="19"/>
        <v/>
      </c>
      <c r="AW25" s="830" t="str">
        <f t="shared" si="90"/>
        <v/>
      </c>
      <c r="AX25" s="830" t="str">
        <f t="shared" ref="AX25:AX40" si="94">IF(AND(OR(ISBLANK(A25),A25=""),AA25&lt;&gt;""),AX24,IF(OR(ISBLANK(A25),A25=""),"",A25))</f>
        <v/>
      </c>
      <c r="AY25" s="464" t="b">
        <f t="shared" si="20"/>
        <v>0</v>
      </c>
      <c r="AZ25" s="856" t="str">
        <f t="shared" si="91"/>
        <v/>
      </c>
      <c r="BA25" s="549"/>
      <c r="BB25" s="672"/>
      <c r="BC25" s="1684"/>
      <c r="BD25" s="733"/>
      <c r="BE25" s="734"/>
      <c r="BF25" s="735"/>
      <c r="BG25" s="672"/>
      <c r="BH25" s="982"/>
      <c r="BI25" s="983"/>
      <c r="BJ25" s="1625"/>
      <c r="BK25" s="982"/>
      <c r="BL25" s="983"/>
      <c r="BM25" s="1569"/>
      <c r="BN25" s="1570"/>
      <c r="BO25" s="1617" t="str">
        <f>IF(ISERROR(CU25),"",IF(CU25="","",IF(VLOOKUP(BG25,SectInfo!$B:$N,10,FALSE)="","","X")))</f>
        <v/>
      </c>
      <c r="BP25" s="1561"/>
      <c r="BQ25" s="1562" t="str">
        <f t="shared" si="21"/>
        <v/>
      </c>
      <c r="BR25" s="1563"/>
      <c r="BS25" s="672"/>
      <c r="BT25" s="982"/>
      <c r="BU25" s="983"/>
      <c r="BV25" s="1625"/>
      <c r="BW25" s="982"/>
      <c r="BX25" s="983"/>
      <c r="BY25" s="1569"/>
      <c r="BZ25" s="1570"/>
      <c r="CA25" s="1617" t="str">
        <f>IF(ISERROR(DE25),"",IF(DE25="","",IF(VLOOKUP(BS25,SectInfo!$B:$N,10,FALSE)="","","X")))</f>
        <v/>
      </c>
      <c r="CB25" s="1561"/>
      <c r="CC25" s="1562" t="str">
        <f t="shared" si="22"/>
        <v/>
      </c>
      <c r="CD25" s="1563"/>
      <c r="CE25" s="1574"/>
      <c r="CF25" s="736"/>
      <c r="CG25" s="737"/>
      <c r="CH25" s="643" t="str">
        <f t="shared" si="23"/>
        <v/>
      </c>
      <c r="CI25" s="644" t="str">
        <f t="shared" si="24"/>
        <v/>
      </c>
      <c r="CJ25" s="645" t="str">
        <f t="shared" si="25"/>
        <v/>
      </c>
      <c r="CK25" s="852" t="str">
        <f t="shared" si="26"/>
        <v/>
      </c>
      <c r="CL25" s="847" t="str">
        <f t="shared" si="27"/>
        <v/>
      </c>
      <c r="CM25" s="848" t="str">
        <f t="shared" si="28"/>
        <v/>
      </c>
      <c r="CN25" s="611" t="str">
        <f t="shared" si="29"/>
        <v/>
      </c>
      <c r="CO25" s="612" t="str">
        <f t="shared" si="30"/>
        <v/>
      </c>
      <c r="CP25" s="615" t="str">
        <f t="shared" si="31"/>
        <v/>
      </c>
      <c r="CQ25" s="616" t="str">
        <f t="shared" si="32"/>
        <v/>
      </c>
      <c r="CR25" s="750" t="str">
        <f t="shared" si="33"/>
        <v/>
      </c>
      <c r="CS25" s="751" t="str">
        <f t="shared" si="34"/>
        <v/>
      </c>
      <c r="CU25" s="114" t="str">
        <f>IF(BG25="","",VLOOKUP(BG25,SectInfo!$B:$N,12,FALSE))</f>
        <v/>
      </c>
      <c r="CV25" s="115" t="str">
        <f>IF(BG25="","",IF(ISBLANK(BP25),VLOOKUP(BG25,SectInfo!$B:$N,13,FALSE),BP25))</f>
        <v/>
      </c>
      <c r="CW25" s="1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115" t="str">
        <f>IF(BG25="","",IF(VLOOKUP(BG25,SectInfo!$B:$N,7,FALSE)="","",(VLOOKUP(BG25,SectInfo!$B:$N,7,FALSE)*-1)))</f>
        <v/>
      </c>
      <c r="DB25" s="815" t="str">
        <f>IF(BG25="","",IF(VLOOKUP(BG25,SectInfo!$B:$N,8,FALSE)="",VLOOKUP(AU25,$DF$2:$DN$9,6,FALSE),(VLOOKUP(BG25,SectInfo!$B:$N,8,FALSE))))</f>
        <v/>
      </c>
      <c r="DC25" s="815" t="str">
        <f>IF(BG25="","",VLOOKUP(BG25,SectInfo!$B:$N,9,FALSE))</f>
        <v/>
      </c>
      <c r="DD25" s="816">
        <f t="shared" si="35"/>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36"/>
        <v>0</v>
      </c>
      <c r="DO25" s="818">
        <f t="shared" si="37"/>
        <v>0</v>
      </c>
      <c r="DP25" s="822" t="str">
        <f t="shared" si="38"/>
        <v/>
      </c>
      <c r="DQ25" s="822" t="str">
        <f t="shared" si="39"/>
        <v/>
      </c>
      <c r="DR25" s="822" t="str">
        <f t="shared" si="40"/>
        <v/>
      </c>
      <c r="DS25" s="821">
        <f t="shared" si="41"/>
        <v>0</v>
      </c>
      <c r="DT25" s="821">
        <f t="shared" si="42"/>
        <v>0</v>
      </c>
      <c r="DU25" s="821" t="str">
        <f t="shared" si="43"/>
        <v/>
      </c>
      <c r="DV25" s="822" t="str">
        <f t="shared" si="44"/>
        <v/>
      </c>
      <c r="DW25" s="856" t="str">
        <f t="shared" si="45"/>
        <v/>
      </c>
      <c r="DX25" s="1006">
        <f>IF(CV25="",0,IF(DW25/COS(FN25-FD25)&lt;0.0625,0,CEILING(DW25/COS(FN25-FD25)-0.03125,0.125)))</f>
        <v>0</v>
      </c>
      <c r="DY25" s="822">
        <f t="shared" si="46"/>
        <v>0</v>
      </c>
      <c r="DZ25" s="821">
        <f t="shared" si="47"/>
        <v>0</v>
      </c>
      <c r="EA25" s="821" t="str">
        <f t="shared" si="48"/>
        <v/>
      </c>
      <c r="EB25" s="822" t="str">
        <f>IF(DF25="","",(DF25+EA25+(VLOOKUP(IF(AU25="HDR","K",AU25),$DF$2:$DN$9,2,FALSE))*TAN(DY25))/COS(FI25)-FM25)</f>
        <v/>
      </c>
      <c r="EC25" s="856" t="str">
        <f t="shared" si="49"/>
        <v/>
      </c>
      <c r="ED25" s="1006">
        <f>IF(DF25="",0,IF(EC25/COS(FN25+FI25)&lt;0.0625,0,CEILING(EC25/COS(FN25+FI25)-0.03125,0.125)))</f>
        <v>0</v>
      </c>
      <c r="EE25" s="1293" t="str">
        <f t="shared" si="50"/>
        <v/>
      </c>
      <c r="EF25" s="1293" t="str">
        <f>IF(EE25="ERR","ERR",IF(EE25="","",IF(DB25*TAN(DS25)&lt;=(VLOOKUP(AU25,$DF$2:$DN$9,8,FALSE)-(VLOOKUP(AU25,$DF$2:$DN$9,7,FALSE)-0.0625)),CV25-(EE25-FH25)/IF(OR(CU25="C",AND(CU25="M",$DD$1="N")),1,COS(DS25))-IF(MID(CW25,1,1)="R",0,DW25),(ABS(EE25-FH25)/IF(OR(CU25="C",AND(CU25="M",$DD$1="N")),1,COS(DS25))+CV25)-((DB25/2)*TAN(DS25))-IF(MID(CW25,1,1)="R",0,DW25))))</f>
        <v/>
      </c>
      <c r="EG25" s="1293" t="str">
        <f>IF(EE25="ERR","ERR",IF(EE25="","",IF(DB25*TAN(DS25)&lt;=(VLOOKUP(AU25,$DF$2:$DN$9,8,FALSE)-(VLOOKUP(AU25,$DF$2:$DN$9,7,FALSE)-0.0625)),CV25-(EE25-FH25)/IF(OR(CU25="C",AND(CU25="M",$DD$1="N")),1,COS(DS25))-IF(MID(CW25,1,1)="R",0,DW25),(ABS(EE25-FH25)/IF(OR(CU25="C",AND(CU25="M",$DD$1="N")),1,COS(DS25))+CV25)+((DB25/2)*TAN(DS25))-IF(MID(CW25,1,1)="R",0,DW25))))</f>
        <v/>
      </c>
      <c r="EH25" s="856" t="e">
        <f t="shared" si="51"/>
        <v>#N/A</v>
      </c>
      <c r="EI25" s="856" t="e">
        <f t="shared" si="52"/>
        <v>#N/A</v>
      </c>
      <c r="EJ25" s="822" t="str">
        <f t="shared" si="53"/>
        <v/>
      </c>
      <c r="EK25" s="822" t="str">
        <f t="shared" si="53"/>
        <v/>
      </c>
      <c r="EL25" s="1293" t="str">
        <f t="shared" si="54"/>
        <v/>
      </c>
      <c r="EM25" s="822" t="str">
        <f>IF(EL25="ERR","ERR",IF(EL25="","",IF(DL25*TAN(DY25)&lt;=(VLOOKUP(AU25,$DF$2:$DN$9,8,FALSE)-(VLOOKUP(AU25,$DF$2:$DN$9,7,FALSE)-0.0625)),DF25-(EL25-FM25)/IF(OR(DE25="C",AND(DE25="M",$DD$1="N")),1,COS(DY25))-IF(MID(DG25,1,1)="R",0,EC25),(ABS(EL25-FM25)/IF(OR(DE25="C",AND(DE25="M",$DD$1="N")),1,COS(DY25))+DF25)-((DL25/2)*TAN(DY25))-IF(MID(DG25,1,1)="R",0,EC25))))</f>
        <v/>
      </c>
      <c r="EN25" s="822" t="str">
        <f>IF(EL25="ERR","ERR",IF(EL25="","",IF(DL25*TAN(DY25)&lt;=(VLOOKUP(AU25,$DF$2:$DN$9,8,FALSE)-(VLOOKUP(AU25,$DF$2:$DN$9,7,FALSE)-0.0625)),DF25-(EL25-FM25)/IF(OR(DE25="C",AND(DE25="M",$DD$1="N")),1,COS(DY25))-IF(MID(DG25,1,1)="R",0,EC25),(ABS(EL25-FM25)/IF(OR(DE25="C",AND(DE25="M",$DD$1="N")),1,COS(DY25))+DF25)+((DL25/2)*TAN(DY25))-IF(MID(DG25,1,1)="R",0,EC25))))</f>
        <v/>
      </c>
      <c r="EO25" s="856" t="e">
        <f t="shared" si="55"/>
        <v>#N/A</v>
      </c>
      <c r="EP25" s="856" t="e">
        <f t="shared" si="56"/>
        <v>#N/A</v>
      </c>
      <c r="EQ25" s="822" t="str">
        <f t="shared" si="57"/>
        <v/>
      </c>
      <c r="ER25" s="822" t="str">
        <f t="shared" si="57"/>
        <v/>
      </c>
      <c r="ES25" s="822" t="str">
        <f t="shared" si="58"/>
        <v/>
      </c>
      <c r="ET25" s="822" t="str">
        <f t="shared" si="59"/>
        <v/>
      </c>
      <c r="EU25" s="829" t="str">
        <f t="shared" si="60"/>
        <v/>
      </c>
      <c r="EV25" s="824" t="str">
        <f>IF(AND(EK25="",ER25=""),"",IF(EK25="",DL25,IF(EQ25="",DB25,IF(DB25&lt;&gt;DL25,EU25,DB25))))</f>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61"/>
        <v/>
      </c>
      <c r="FA25" s="829" t="str">
        <f>IF(AND(DE25="G", ISBLANK(BW25), ISBLANK(BX25)),VLOOKUP(MIN(BT25:BU25),TblJoistSize!$M$3:$N$10,2),IF(OR(DE25="B", DE25="G"),MIN(BW25:BX25),""))</f>
        <v/>
      </c>
      <c r="FB25" s="829" t="str">
        <f>IF(AND(DE25="G", ISBLANK(BW25), ISBLANK(BX25)),VLOOKUP(MAX(BT25:BU25),TblJoistSize!$M$3:$N$10,2),IF(OR(DE25="B", DE25="G"),MAX(BW25:BX25),""))</f>
        <v/>
      </c>
      <c r="FC25" s="829" t="str">
        <f t="shared" si="62"/>
        <v/>
      </c>
      <c r="FD25" s="822">
        <f t="shared" si="63"/>
        <v>0</v>
      </c>
      <c r="FE25" s="822">
        <f t="shared" si="64"/>
        <v>0</v>
      </c>
      <c r="FF25" s="821">
        <f t="shared" si="65"/>
        <v>0</v>
      </c>
      <c r="FG25" s="821" t="str">
        <f t="shared" si="66"/>
        <v/>
      </c>
      <c r="FH25" s="822" t="str">
        <f t="shared" si="67"/>
        <v/>
      </c>
      <c r="FI25" s="822">
        <f t="shared" si="68"/>
        <v>0</v>
      </c>
      <c r="FJ25" s="822">
        <f t="shared" si="69"/>
        <v>0</v>
      </c>
      <c r="FK25" s="821">
        <f t="shared" si="70"/>
        <v>0</v>
      </c>
      <c r="FL25" s="821" t="str">
        <f t="shared" si="71"/>
        <v/>
      </c>
      <c r="FM25" s="822" t="str">
        <f t="shared" si="72"/>
        <v/>
      </c>
      <c r="FN25" s="822" t="e">
        <f t="shared" si="73"/>
        <v>#VALUE!</v>
      </c>
      <c r="FO25" s="940" t="e">
        <f t="shared" si="74"/>
        <v>#VALUE!</v>
      </c>
      <c r="FP25" s="940" t="e">
        <f t="shared" si="75"/>
        <v>#VALUE!</v>
      </c>
      <c r="FQ25" s="830" t="e">
        <f t="shared" si="76"/>
        <v>#VALUE!</v>
      </c>
      <c r="FR25" s="831" t="e">
        <f t="shared" si="77"/>
        <v>#VALUE!</v>
      </c>
      <c r="FS25" s="832" t="str">
        <f t="shared" si="78"/>
        <v/>
      </c>
      <c r="FT25" s="833" t="str">
        <f t="shared" si="79"/>
        <v/>
      </c>
      <c r="FU25" s="870">
        <f t="shared" si="80"/>
        <v>0</v>
      </c>
      <c r="FV25" s="871">
        <f t="shared" si="81"/>
        <v>0</v>
      </c>
      <c r="GA25" s="1791" t="str">
        <f t="shared" si="82"/>
        <v/>
      </c>
      <c r="GB25" s="1792" t="str">
        <f t="shared" si="83"/>
        <v/>
      </c>
      <c r="GC25" s="1793" t="str">
        <f t="shared" si="84"/>
        <v/>
      </c>
      <c r="GD25" s="1794" t="str">
        <f t="shared" si="85"/>
        <v/>
      </c>
      <c r="GE25" s="1795" t="str">
        <f t="shared" si="86"/>
        <v/>
      </c>
      <c r="GF25" s="600" t="str">
        <f t="shared" si="87"/>
        <v/>
      </c>
      <c r="GG25" s="1130"/>
      <c r="GH25" s="1131"/>
      <c r="GI25" s="1130"/>
      <c r="GJ25" s="1131"/>
      <c r="GK25" s="1636">
        <f t="shared" si="88"/>
        <v>0</v>
      </c>
      <c r="GL25" s="1636" t="e">
        <f t="shared" si="89"/>
        <v>#VALUE!</v>
      </c>
      <c r="GM25" s="1637" t="e">
        <f>IF(ABS(GK25-GL25)&gt;='Job Info.'!$L$22,ABS(GK25-GL25),0)</f>
        <v>#VALUE!</v>
      </c>
      <c r="GZ25" s="415"/>
      <c r="HA25" s="1391"/>
      <c r="HB25" s="1392"/>
      <c r="HC25" s="1392"/>
      <c r="HD25" s="1393"/>
      <c r="HE25" s="1394"/>
      <c r="HF25" s="1392"/>
      <c r="HG25" s="1392"/>
      <c r="HH25" s="1392"/>
      <c r="HI25" s="1395"/>
      <c r="HJ25" s="1392"/>
      <c r="HK25" s="1392"/>
      <c r="HL25" s="1392"/>
      <c r="HM25" s="1392"/>
      <c r="HN25" s="1392"/>
      <c r="HO25" s="1392"/>
      <c r="HP25" s="1392"/>
      <c r="HQ25" s="1395"/>
      <c r="HR25" s="1392"/>
      <c r="HS25" s="1392"/>
      <c r="HT25" s="1392"/>
      <c r="HU25" s="1392"/>
      <c r="HV25" s="1392"/>
      <c r="HW25" s="1394"/>
      <c r="HX25" s="1394"/>
      <c r="HY25" s="1394"/>
      <c r="HZ25" s="1394"/>
      <c r="IA25" s="1394"/>
      <c r="IB25" s="1394"/>
      <c r="IC25" s="1394"/>
      <c r="ID25" s="1394"/>
      <c r="IE25" s="1394"/>
      <c r="IF25" s="1396"/>
    </row>
    <row r="26" spans="1:240" ht="12.6" customHeight="1" x14ac:dyDescent="0.25">
      <c r="A26" s="1448" t="str">
        <f t="shared" si="1"/>
        <v/>
      </c>
      <c r="B26" s="1681" t="str">
        <f t="shared" si="2"/>
        <v/>
      </c>
      <c r="C26" s="1449" t="str">
        <f t="shared" si="3"/>
        <v/>
      </c>
      <c r="D26" s="1705" t="str">
        <f t="shared" ref="D26:D40" si="95">IF(DP26="","",TRUNC(DP26/12))</f>
        <v/>
      </c>
      <c r="E26" s="1778" t="str">
        <f t="shared" ref="E26:E40" si="96">IF(DP26="","",DP26-(D26*12))</f>
        <v/>
      </c>
      <c r="F26" s="1708" t="str">
        <f t="shared" ref="F26:F40" si="97">IF(DX26=0,"",TRUNC(DX26/12))</f>
        <v/>
      </c>
      <c r="G26" s="1709" t="str">
        <f t="shared" ref="G26:G40" si="98">IF(DX26=0,"",DX26-(F26*12))</f>
        <v/>
      </c>
      <c r="H26" s="1779" t="str">
        <f t="shared" ref="H26:H40" si="99">IF(DX26=0,"",CW26)</f>
        <v/>
      </c>
      <c r="I26" s="1705" t="str">
        <f t="shared" ref="I26:I40" si="100">IF(ED26=0,"",TRUNC(ED26/12))</f>
        <v/>
      </c>
      <c r="J26" s="1709" t="str">
        <f t="shared" ref="J26:J40" si="101">IF(ED26=0,"",ED26-(I26*12))</f>
        <v/>
      </c>
      <c r="K26" s="1780" t="str">
        <f t="shared" ref="K26:K40" si="102">IF(ED26=0,"",DG26)</f>
        <v/>
      </c>
      <c r="L26" s="1712" t="str">
        <f t="shared" ref="L26:L40" si="103">DQ26</f>
        <v/>
      </c>
      <c r="M26" s="1713" t="str">
        <f t="shared" ref="M26:M40" si="104">DR26</f>
        <v/>
      </c>
      <c r="N26" s="1708" t="str">
        <f t="shared" ref="N26:N40" si="105">IF(ES26="","",IF(AND(ES26&lt;0,ES26&gt;-12),TRUNC(ES26/12)-0.0000001,TRUNC(ES26/12)))</f>
        <v/>
      </c>
      <c r="O26" s="1709" t="str">
        <f t="shared" ref="O26:O40" si="106">IF(ES26="","",IF(AND(ES26-(N26*12)=0,ES26&lt;0),-0.000001,ES26-(N26*12)))</f>
        <v/>
      </c>
      <c r="P26" s="1710" t="str">
        <f t="shared" ref="P26:P40" si="107">IF(ES26="","",IF(OR(CW26="Q",CW26="C"),3,CZ26))</f>
        <v/>
      </c>
      <c r="Q26" s="1705" t="str">
        <f t="shared" ref="Q26:Q40" si="108">IF(ET26="","",IF(AND(ET26&lt;0,ET26&gt;-12),TRUNC(ET26/12)-0.0000001,TRUNC(ET26/12)))</f>
        <v/>
      </c>
      <c r="R26" s="1709" t="str">
        <f t="shared" ref="R26:R40" si="109">IF(ET26="","",IF(AND(ET26-(Q26*12)=0,ET26&lt;0),-0.000001,ET26-(Q26*12)))</f>
        <v/>
      </c>
      <c r="S26" s="1753" t="str">
        <f t="shared" ref="S26:S40" si="110">IF(ET26="","",IF(OR(DG26="Q",DG26="C"),3,DJ26))</f>
        <v/>
      </c>
      <c r="T26" s="1708" t="str">
        <f t="shared" ref="T26:T40" si="111">IF(CH26="ERR","",IF(EK26="","",IF(EK26="ERR",TRUNC(EJ26/12),TRUNC(EK26/12))))</f>
        <v/>
      </c>
      <c r="U26" s="1709" t="str">
        <f t="shared" ref="U26:U40" si="112">IF(CH26="ERR","",IF(EK26="","",IF(EK26="ERR",EJ26-(T26*12),EK26-(T26*12))))</f>
        <v/>
      </c>
      <c r="V26" s="1705" t="str">
        <f t="shared" ref="V26:V40" si="113">IF(CI26="ERR","",IF(ER26="","",IF(ER26="ERR",TRUNC(EQ26/12),TRUNC(ER26/12))))</f>
        <v/>
      </c>
      <c r="W26" s="1709" t="str">
        <f t="shared" ref="W26:W40" si="114">IF(CI26="ERR","",IF(ER26="","",IF(ER26="ERR",EQ26-(V26*12),ER26-(V26*12))))</f>
        <v/>
      </c>
      <c r="X26" s="1750">
        <f t="shared" ref="X26:X40" si="115">IF(EV26="",0,EV26)</f>
        <v>0</v>
      </c>
      <c r="Y26" s="1781" t="str">
        <f t="shared" ref="Y26:Y40" si="116">FG26</f>
        <v/>
      </c>
      <c r="Z26" s="1782" t="str">
        <f t="shared" ref="Z26:Z40" si="117">FL26</f>
        <v/>
      </c>
      <c r="AA26" s="1783" t="str">
        <f t="shared" si="5"/>
        <v/>
      </c>
      <c r="AB26" s="1413"/>
      <c r="AC26" s="964" t="b">
        <v>0</v>
      </c>
      <c r="AD26" s="441">
        <f t="shared" si="6"/>
        <v>0</v>
      </c>
      <c r="AE26" s="442">
        <f t="shared" si="7"/>
        <v>0</v>
      </c>
      <c r="AF26" s="442">
        <f t="shared" si="8"/>
        <v>0</v>
      </c>
      <c r="AG26" s="442">
        <f t="shared" si="9"/>
        <v>0</v>
      </c>
      <c r="AH26" s="443">
        <f t="shared" si="10"/>
        <v>0</v>
      </c>
      <c r="AI26" s="444" t="b">
        <v>0</v>
      </c>
      <c r="AJ26" s="238">
        <f>IF(OR(ISERROR(VALUE(LEFT(C26,SEARCH(AK26,C26)-1))),AK26=""),0,VALUE(LEFT(C26,SEARCH(AK26,C26)-1)))</f>
        <v>0</v>
      </c>
      <c r="AK26" s="238" t="str">
        <f t="shared" si="11"/>
        <v/>
      </c>
      <c r="AL26" s="1290" t="str">
        <f t="shared" si="12"/>
        <v/>
      </c>
      <c r="AM26" s="238" t="str">
        <f t="shared" si="13"/>
        <v/>
      </c>
      <c r="AN26" s="238" t="str">
        <f t="shared" si="14"/>
        <v/>
      </c>
      <c r="AO26" s="238" t="str">
        <f t="shared" si="15"/>
        <v/>
      </c>
      <c r="AP26" s="830" t="b">
        <f>IF(ISERROR(AJ26),FALSE,IF(OR(AJ26=0,ISERROR(AL26),ISERROR(AM26),ISERROR(AN26),ISERROR(AO26)),FALSE,IF(AL26&lt;&gt;"",IF(ISERROR(VLOOKUP(SUBSTITUTE(SUBSTITUTE(C26,"R",""),"A",""),TblJoistSize!$A:$A,1,FALSE)),FALSE,TRUE),TRUE)))</f>
        <v>0</v>
      </c>
      <c r="AQ26" s="1038" t="e">
        <f t="shared" si="16"/>
        <v>#N/A</v>
      </c>
      <c r="AR26" s="945" t="b">
        <f t="shared" si="92"/>
        <v>0</v>
      </c>
      <c r="AS26" s="1038" t="e">
        <f t="shared" si="17"/>
        <v>#N/A</v>
      </c>
      <c r="AT26" s="945" t="b">
        <f t="shared" si="93"/>
        <v>0</v>
      </c>
      <c r="AU26" s="1291" t="str">
        <f t="shared" si="18"/>
        <v/>
      </c>
      <c r="AV26" s="830" t="str">
        <f t="shared" si="19"/>
        <v/>
      </c>
      <c r="AW26" s="830" t="str">
        <f t="shared" si="90"/>
        <v/>
      </c>
      <c r="AX26" s="830" t="str">
        <f t="shared" si="94"/>
        <v/>
      </c>
      <c r="AY26" s="464" t="b">
        <f t="shared" si="20"/>
        <v>0</v>
      </c>
      <c r="AZ26" s="856" t="str">
        <f t="shared" si="91"/>
        <v/>
      </c>
      <c r="BA26" s="549"/>
      <c r="BB26" s="672"/>
      <c r="BC26" s="1684"/>
      <c r="BD26" s="733"/>
      <c r="BE26" s="734"/>
      <c r="BF26" s="735"/>
      <c r="BG26" s="672"/>
      <c r="BH26" s="982"/>
      <c r="BI26" s="983"/>
      <c r="BJ26" s="1625"/>
      <c r="BK26" s="982"/>
      <c r="BL26" s="983"/>
      <c r="BM26" s="1569"/>
      <c r="BN26" s="1570"/>
      <c r="BO26" s="1617" t="str">
        <f>IF(ISERROR(CU26),"",IF(CU26="","",IF(VLOOKUP(BG26,SectInfo!$B:$N,10,FALSE)="","","X")))</f>
        <v/>
      </c>
      <c r="BP26" s="1561"/>
      <c r="BQ26" s="1562" t="str">
        <f t="shared" si="21"/>
        <v/>
      </c>
      <c r="BR26" s="1563"/>
      <c r="BS26" s="672"/>
      <c r="BT26" s="982"/>
      <c r="BU26" s="983"/>
      <c r="BV26" s="1625"/>
      <c r="BW26" s="982"/>
      <c r="BX26" s="983"/>
      <c r="BY26" s="1569"/>
      <c r="BZ26" s="1570"/>
      <c r="CA26" s="1617" t="str">
        <f>IF(ISERROR(DE26),"",IF(DE26="","",IF(VLOOKUP(BS26,SectInfo!$B:$N,10,FALSE)="","","X")))</f>
        <v/>
      </c>
      <c r="CB26" s="1561"/>
      <c r="CC26" s="1562" t="str">
        <f t="shared" si="22"/>
        <v/>
      </c>
      <c r="CD26" s="1563"/>
      <c r="CE26" s="1574"/>
      <c r="CF26" s="736"/>
      <c r="CG26" s="737"/>
      <c r="CH26" s="643" t="str">
        <f t="shared" si="23"/>
        <v/>
      </c>
      <c r="CI26" s="644" t="str">
        <f t="shared" si="24"/>
        <v/>
      </c>
      <c r="CJ26" s="645" t="str">
        <f t="shared" si="25"/>
        <v/>
      </c>
      <c r="CK26" s="852" t="str">
        <f t="shared" si="26"/>
        <v/>
      </c>
      <c r="CL26" s="847" t="str">
        <f t="shared" si="27"/>
        <v/>
      </c>
      <c r="CM26" s="848" t="str">
        <f t="shared" si="28"/>
        <v/>
      </c>
      <c r="CN26" s="611" t="str">
        <f t="shared" si="29"/>
        <v/>
      </c>
      <c r="CO26" s="612" t="str">
        <f t="shared" si="30"/>
        <v/>
      </c>
      <c r="CP26" s="615" t="str">
        <f t="shared" si="31"/>
        <v/>
      </c>
      <c r="CQ26" s="616" t="str">
        <f t="shared" si="32"/>
        <v/>
      </c>
      <c r="CR26" s="750" t="str">
        <f t="shared" si="33"/>
        <v/>
      </c>
      <c r="CS26" s="751" t="str">
        <f t="shared" si="34"/>
        <v/>
      </c>
      <c r="CU26" s="114" t="str">
        <f>IF(BG26="","",VLOOKUP(BG26,SectInfo!$B:$N,12,FALSE))</f>
        <v/>
      </c>
      <c r="CV26" s="115" t="str">
        <f>IF(BG26="","",IF(ISBLANK(BP26),VLOOKUP(BG26,SectInfo!$B:$N,13,FALSE),BP26))</f>
        <v/>
      </c>
      <c r="CW26" s="1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115" t="str">
        <f>IF(BG26="","",IF(VLOOKUP(BG26,SectInfo!$B:$N,7,FALSE)="","",(VLOOKUP(BG26,SectInfo!$B:$N,7,FALSE)*-1)))</f>
        <v/>
      </c>
      <c r="DB26" s="815" t="str">
        <f>IF(BG26="","",IF(VLOOKUP(BG26,SectInfo!$B:$N,8,FALSE)="",VLOOKUP(AU26,$DF$2:$DN$9,6,FALSE),(VLOOKUP(BG26,SectInfo!$B:$N,8,FALSE))))</f>
        <v/>
      </c>
      <c r="DC26" s="815" t="str">
        <f>IF(BG26="","",VLOOKUP(BG26,SectInfo!$B:$N,9,FALSE))</f>
        <v/>
      </c>
      <c r="DD26" s="816">
        <f t="shared" si="35"/>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36"/>
        <v>0</v>
      </c>
      <c r="DO26" s="818">
        <f t="shared" si="37"/>
        <v>0</v>
      </c>
      <c r="DP26" s="822" t="str">
        <f t="shared" si="38"/>
        <v/>
      </c>
      <c r="DQ26" s="822" t="str">
        <f t="shared" si="39"/>
        <v/>
      </c>
      <c r="DR26" s="822" t="str">
        <f t="shared" si="40"/>
        <v/>
      </c>
      <c r="DS26" s="821">
        <f t="shared" si="41"/>
        <v>0</v>
      </c>
      <c r="DT26" s="821">
        <f t="shared" si="42"/>
        <v>0</v>
      </c>
      <c r="DU26" s="821" t="str">
        <f t="shared" si="43"/>
        <v/>
      </c>
      <c r="DV26" s="822" t="str">
        <f t="shared" si="44"/>
        <v/>
      </c>
      <c r="DW26" s="856" t="str">
        <f t="shared" si="45"/>
        <v/>
      </c>
      <c r="DX26" s="1006">
        <f t="shared" ref="DX26:DX40" si="118">IF(CV26="",0,IF(DW26/COS(FN26-FD26)&lt;0.0625,0,CEILING(DW26/COS(FN26-FD26)-0.03125,0.125)))</f>
        <v>0</v>
      </c>
      <c r="DY26" s="822">
        <f t="shared" si="46"/>
        <v>0</v>
      </c>
      <c r="DZ26" s="821">
        <f t="shared" si="47"/>
        <v>0</v>
      </c>
      <c r="EA26" s="821" t="str">
        <f t="shared" si="48"/>
        <v/>
      </c>
      <c r="EB26" s="822" t="str">
        <f t="shared" ref="EB26:EB40" si="119">IF(DF26="","",(DF26+EA26+(VLOOKUP(IF(AU26="HDR","K",AU26),$DF$2:$DN$9,2,FALSE))*TAN(DY26))/COS(FI26)-FM26)</f>
        <v/>
      </c>
      <c r="EC26" s="856" t="str">
        <f t="shared" si="49"/>
        <v/>
      </c>
      <c r="ED26" s="1006">
        <f t="shared" ref="ED26:ED40" si="120">IF(DF26="",0,IF(EC26/COS(FN26+FI26)&lt;0.0625,0,CEILING(EC26/COS(FN26+FI26)-0.03125,0.125)))</f>
        <v>0</v>
      </c>
      <c r="EE26" s="1293" t="str">
        <f t="shared" si="50"/>
        <v/>
      </c>
      <c r="EF26" s="822" t="str">
        <f t="shared" ref="EF26:EF40" si="121">IF(EE26="ERR","ERR",IF(EE26="","",IF(DB26*TAN(DS26)&lt;=(VLOOKUP(AU26,$DF$2:$DN$9,8,FALSE)-(VLOOKUP(AU26,$DF$2:$DN$9,7,FALSE)-0.0625)),CV26-(EE26-FH26)/IF(OR(CU26="C",AND(CU26="M",$DD$1="N")),1,COS(DS26))-IF(MID(CW26,1,1)="R",0,DW26),(ABS(EE26-FH26)/IF(OR(CU26="C",AND(CU26="M",$DD$1="N")),1,COS(DS26))+CV26)-((DB26/2)*TAN(DS26))-IF(MID(CW26,1,1)="R",0,DW26))))</f>
        <v/>
      </c>
      <c r="EG26" s="822" t="str">
        <f t="shared" ref="EG26:EG40" si="122">IF(EE26="ERR","ERR",IF(EE26="","",IF(DB26*TAN(DS26)&lt;=(VLOOKUP(AU26,$DF$2:$DN$9,8,FALSE)-(VLOOKUP(AU26,$DF$2:$DN$9,7,FALSE)-0.0625)),CV26-(EE26-FH26)/IF(OR(CU26="C",AND(CU26="M",$DD$1="N")),1,COS(DS26))-IF(MID(CW26,1,1)="R",0,DW26),(ABS(EE26-FH26)/IF(OR(CU26="C",AND(CU26="M",$DD$1="N")),1,COS(DS26))+CV26)+((DB26/2)*TAN(DS26))-IF(MID(CW26,1,1)="R",0,DW26))))</f>
        <v/>
      </c>
      <c r="EH26" s="856" t="e">
        <f t="shared" si="51"/>
        <v>#N/A</v>
      </c>
      <c r="EI26" s="856" t="e">
        <f t="shared" si="52"/>
        <v>#N/A</v>
      </c>
      <c r="EJ26" s="822" t="str">
        <f t="shared" ref="EJ26:EJ40" si="123">IF(ISERROR(EF26),"ERR",IF(EF26="","",IF(EH26="ERR","ERR",CEILING(EH26-0.0625,0.125))))</f>
        <v/>
      </c>
      <c r="EK26" s="822" t="str">
        <f t="shared" ref="EK26:EK40" si="124">IF(ISERROR(EG26),"ERR",IF(EG26="","",IF(EI26="ERR","ERR",CEILING(EI26-0.0625,0.125))))</f>
        <v/>
      </c>
      <c r="EL26" s="1293" t="str">
        <f t="shared" si="54"/>
        <v/>
      </c>
      <c r="EM26" s="822" t="str">
        <f t="shared" ref="EM26:EM40" si="125">IF(EL26="ERR","ERR",IF(EL26="","",IF(DL26*TAN(DY26)&lt;=(VLOOKUP(AU26,$DF$2:$DN$9,8,FALSE)-(VLOOKUP(AU26,$DF$2:$DN$9,7,FALSE)-0.0625)),DF26-(EL26-FM26)/IF(OR(DE26="C",AND(DE26="M",$DD$1="N")),1,COS(DY26))-IF(MID(DG26,1,1)="R",0,EC26),(ABS(EL26-FM26)/IF(OR(DE26="C",AND(DE26="M",$DD$1="N")),1,COS(DY26))+DF26)-((DL26/2)*TAN(DY26))-IF(MID(DG26,1,1)="R",0,EC26))))</f>
        <v/>
      </c>
      <c r="EN26" s="822" t="str">
        <f t="shared" ref="EN26:EN40" si="126">IF(EL26="ERR","ERR",IF(EL26="","",IF(DL26*TAN(DY26)&lt;=(VLOOKUP(AU26,$DF$2:$DN$9,8,FALSE)-(VLOOKUP(AU26,$DF$2:$DN$9,7,FALSE)-0.0625)),DF26-(EL26-FM26)/IF(OR(DE26="C",AND(DE26="M",$DD$1="N")),1,COS(DY26))-IF(MID(DG26,1,1)="R",0,EC26),(ABS(EL26-FM26)/IF(OR(DE26="C",AND(DE26="M",$DD$1="N")),1,COS(DY26))+DF26)+((DL26/2)*TAN(DY26))-IF(MID(DG26,1,1)="R",0,EC26))))</f>
        <v/>
      </c>
      <c r="EO26" s="856" t="e">
        <f t="shared" si="55"/>
        <v>#N/A</v>
      </c>
      <c r="EP26" s="856" t="e">
        <f t="shared" si="56"/>
        <v>#N/A</v>
      </c>
      <c r="EQ26" s="822" t="str">
        <f t="shared" si="57"/>
        <v/>
      </c>
      <c r="ER26" s="822" t="str">
        <f t="shared" si="57"/>
        <v/>
      </c>
      <c r="ES26" s="822" t="str">
        <f t="shared" si="58"/>
        <v/>
      </c>
      <c r="ET26" s="822" t="str">
        <f t="shared" si="59"/>
        <v/>
      </c>
      <c r="EU26" s="829" t="str">
        <f t="shared" si="60"/>
        <v/>
      </c>
      <c r="EV26" s="824" t="str">
        <f>IF(AND(EK26="",ER26=""),"",IF(EK26="",DL26,IF(EQ26="",DB26,IF(DB26&lt;&gt;DL26,EU26,DB26))))</f>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61"/>
        <v/>
      </c>
      <c r="FA26" s="829" t="str">
        <f>IF(AND(DE26="G", ISBLANK(BW26), ISBLANK(BX26)),VLOOKUP(MIN(BT26:BU26),TblJoistSize!$M$3:$N$10,2),IF(OR(DE26="B", DE26="G"),MIN(BW26:BX26),""))</f>
        <v/>
      </c>
      <c r="FB26" s="829" t="str">
        <f>IF(AND(DE26="G", ISBLANK(BW26), ISBLANK(BX26)),VLOOKUP(MAX(BT26:BU26),TblJoistSize!$M$3:$N$10,2),IF(OR(DE26="B", DE26="G"),MAX(BW26:BX26),""))</f>
        <v/>
      </c>
      <c r="FC26" s="829" t="str">
        <f t="shared" si="62"/>
        <v/>
      </c>
      <c r="FD26" s="822">
        <f t="shared" si="63"/>
        <v>0</v>
      </c>
      <c r="FE26" s="822">
        <f t="shared" si="64"/>
        <v>0</v>
      </c>
      <c r="FF26" s="821">
        <f t="shared" si="65"/>
        <v>0</v>
      </c>
      <c r="FG26" s="821" t="str">
        <f t="shared" si="66"/>
        <v/>
      </c>
      <c r="FH26" s="822" t="str">
        <f t="shared" si="67"/>
        <v/>
      </c>
      <c r="FI26" s="822">
        <f t="shared" si="68"/>
        <v>0</v>
      </c>
      <c r="FJ26" s="822">
        <f t="shared" si="69"/>
        <v>0</v>
      </c>
      <c r="FK26" s="821">
        <f t="shared" si="70"/>
        <v>0</v>
      </c>
      <c r="FL26" s="821" t="str">
        <f t="shared" si="71"/>
        <v/>
      </c>
      <c r="FM26" s="822" t="str">
        <f t="shared" si="72"/>
        <v/>
      </c>
      <c r="FN26" s="822" t="e">
        <f t="shared" si="73"/>
        <v>#VALUE!</v>
      </c>
      <c r="FO26" s="940" t="e">
        <f t="shared" si="74"/>
        <v>#VALUE!</v>
      </c>
      <c r="FP26" s="940" t="e">
        <f t="shared" si="75"/>
        <v>#VALUE!</v>
      </c>
      <c r="FQ26" s="830" t="e">
        <f t="shared" si="76"/>
        <v>#VALUE!</v>
      </c>
      <c r="FR26" s="831" t="e">
        <f t="shared" si="77"/>
        <v>#VALUE!</v>
      </c>
      <c r="FS26" s="832" t="str">
        <f t="shared" si="78"/>
        <v/>
      </c>
      <c r="FT26" s="833" t="str">
        <f t="shared" si="79"/>
        <v/>
      </c>
      <c r="FU26" s="870">
        <f t="shared" si="80"/>
        <v>0</v>
      </c>
      <c r="FV26" s="871">
        <f t="shared" si="81"/>
        <v>0</v>
      </c>
      <c r="GA26" s="1791" t="str">
        <f t="shared" si="82"/>
        <v/>
      </c>
      <c r="GB26" s="1792" t="str">
        <f t="shared" si="83"/>
        <v/>
      </c>
      <c r="GC26" s="1793" t="str">
        <f t="shared" si="84"/>
        <v/>
      </c>
      <c r="GD26" s="1794" t="str">
        <f t="shared" si="85"/>
        <v/>
      </c>
      <c r="GE26" s="1795" t="str">
        <f t="shared" si="86"/>
        <v/>
      </c>
      <c r="GF26" s="600" t="str">
        <f t="shared" si="87"/>
        <v/>
      </c>
      <c r="GG26" s="1130"/>
      <c r="GH26" s="1131"/>
      <c r="GI26" s="1130"/>
      <c r="GJ26" s="1131"/>
      <c r="GK26" s="1636">
        <f t="shared" si="88"/>
        <v>0</v>
      </c>
      <c r="GL26" s="1636" t="e">
        <f t="shared" si="89"/>
        <v>#VALUE!</v>
      </c>
      <c r="GM26" s="1637" t="e">
        <f>IF(ABS(GK26-GL26)&gt;='Job Info.'!$L$22,ABS(GK26-GL26),0)</f>
        <v>#VALUE!</v>
      </c>
      <c r="GZ26" s="415"/>
      <c r="HA26" s="1391"/>
      <c r="HB26" s="1392"/>
      <c r="HC26" s="1392"/>
      <c r="HD26" s="1393"/>
      <c r="HE26" s="1394"/>
      <c r="HF26" s="1392"/>
      <c r="HG26" s="1392"/>
      <c r="HH26" s="1392"/>
      <c r="HI26" s="1395"/>
      <c r="HJ26" s="1392"/>
      <c r="HK26" s="1392"/>
      <c r="HL26" s="1392"/>
      <c r="HM26" s="1392"/>
      <c r="HN26" s="1392"/>
      <c r="HO26" s="1392"/>
      <c r="HP26" s="1392"/>
      <c r="HQ26" s="1395"/>
      <c r="HR26" s="1392"/>
      <c r="HS26" s="1392"/>
      <c r="HT26" s="1392"/>
      <c r="HU26" s="1392"/>
      <c r="HV26" s="1392"/>
      <c r="HW26" s="1394"/>
      <c r="HX26" s="1394"/>
      <c r="HY26" s="1394"/>
      <c r="HZ26" s="1394"/>
      <c r="IA26" s="1394"/>
      <c r="IB26" s="1394"/>
      <c r="IC26" s="1394"/>
      <c r="ID26" s="1394"/>
      <c r="IE26" s="1394"/>
      <c r="IF26" s="1396"/>
    </row>
    <row r="27" spans="1:240" ht="12.6" customHeight="1" x14ac:dyDescent="0.25">
      <c r="A27" s="1448" t="str">
        <f t="shared" si="1"/>
        <v/>
      </c>
      <c r="B27" s="1681" t="str">
        <f t="shared" si="2"/>
        <v/>
      </c>
      <c r="C27" s="1449" t="str">
        <f t="shared" si="3"/>
        <v/>
      </c>
      <c r="D27" s="1705" t="str">
        <f t="shared" si="95"/>
        <v/>
      </c>
      <c r="E27" s="1778" t="str">
        <f t="shared" si="96"/>
        <v/>
      </c>
      <c r="F27" s="1708" t="str">
        <f t="shared" si="97"/>
        <v/>
      </c>
      <c r="G27" s="1709" t="str">
        <f t="shared" si="98"/>
        <v/>
      </c>
      <c r="H27" s="1779" t="str">
        <f t="shared" si="99"/>
        <v/>
      </c>
      <c r="I27" s="1705" t="str">
        <f t="shared" si="100"/>
        <v/>
      </c>
      <c r="J27" s="1709" t="str">
        <f t="shared" si="101"/>
        <v/>
      </c>
      <c r="K27" s="1780" t="str">
        <f t="shared" si="102"/>
        <v/>
      </c>
      <c r="L27" s="1712" t="str">
        <f t="shared" si="103"/>
        <v/>
      </c>
      <c r="M27" s="1713" t="str">
        <f t="shared" si="104"/>
        <v/>
      </c>
      <c r="N27" s="1708" t="str">
        <f t="shared" si="105"/>
        <v/>
      </c>
      <c r="O27" s="1709" t="str">
        <f t="shared" si="106"/>
        <v/>
      </c>
      <c r="P27" s="1710" t="str">
        <f t="shared" si="107"/>
        <v/>
      </c>
      <c r="Q27" s="1705" t="str">
        <f t="shared" si="108"/>
        <v/>
      </c>
      <c r="R27" s="1709" t="str">
        <f t="shared" si="109"/>
        <v/>
      </c>
      <c r="S27" s="1753" t="str">
        <f t="shared" si="110"/>
        <v/>
      </c>
      <c r="T27" s="1708" t="str">
        <f t="shared" si="111"/>
        <v/>
      </c>
      <c r="U27" s="1709" t="str">
        <f t="shared" si="112"/>
        <v/>
      </c>
      <c r="V27" s="1705" t="str">
        <f t="shared" si="113"/>
        <v/>
      </c>
      <c r="W27" s="1709" t="str">
        <f t="shared" si="114"/>
        <v/>
      </c>
      <c r="X27" s="1750">
        <f t="shared" si="115"/>
        <v>0</v>
      </c>
      <c r="Y27" s="1781" t="str">
        <f t="shared" si="116"/>
        <v/>
      </c>
      <c r="Z27" s="1782" t="str">
        <f t="shared" si="117"/>
        <v/>
      </c>
      <c r="AA27" s="1783" t="str">
        <f t="shared" si="5"/>
        <v/>
      </c>
      <c r="AB27" s="1413"/>
      <c r="AC27" s="964" t="b">
        <v>0</v>
      </c>
      <c r="AD27" s="441">
        <f t="shared" si="6"/>
        <v>0</v>
      </c>
      <c r="AE27" s="442">
        <f t="shared" si="7"/>
        <v>0</v>
      </c>
      <c r="AF27" s="442">
        <f t="shared" si="8"/>
        <v>0</v>
      </c>
      <c r="AG27" s="442">
        <f t="shared" si="9"/>
        <v>0</v>
      </c>
      <c r="AH27" s="443">
        <f t="shared" si="10"/>
        <v>0</v>
      </c>
      <c r="AI27" s="444" t="b">
        <v>0</v>
      </c>
      <c r="AJ27" s="238">
        <f>IF(OR(ISERROR(VALUE(LEFT(C27,SEARCH(AK27,C27)-1))),AK27=""),0,VALUE(LEFT(C27,SEARCH(AK27,C27)-1)))</f>
        <v>0</v>
      </c>
      <c r="AK27" s="238" t="str">
        <f t="shared" si="11"/>
        <v/>
      </c>
      <c r="AL27" s="1290" t="str">
        <f t="shared" si="12"/>
        <v/>
      </c>
      <c r="AM27" s="238" t="str">
        <f t="shared" si="13"/>
        <v/>
      </c>
      <c r="AN27" s="238" t="str">
        <f t="shared" si="14"/>
        <v/>
      </c>
      <c r="AO27" s="238" t="str">
        <f t="shared" si="15"/>
        <v/>
      </c>
      <c r="AP27" s="830" t="b">
        <f>IF(ISERROR(AJ27),FALSE,IF(OR(AJ27=0,ISERROR(AL27),ISERROR(AM27),ISERROR(AN27),ISERROR(AO27)),FALSE,IF(AL27&lt;&gt;"",IF(ISERROR(VLOOKUP(SUBSTITUTE(SUBSTITUTE(C27,"R",""),"A",""),TblJoistSize!$A:$A,1,FALSE)),FALSE,TRUE),TRUE)))</f>
        <v>0</v>
      </c>
      <c r="AQ27" s="1038" t="e">
        <f t="shared" si="16"/>
        <v>#N/A</v>
      </c>
      <c r="AR27" s="945" t="b">
        <f t="shared" si="92"/>
        <v>0</v>
      </c>
      <c r="AS27" s="1038" t="e">
        <f t="shared" si="17"/>
        <v>#N/A</v>
      </c>
      <c r="AT27" s="945" t="b">
        <f t="shared" si="93"/>
        <v>0</v>
      </c>
      <c r="AU27" s="1291" t="str">
        <f t="shared" si="18"/>
        <v/>
      </c>
      <c r="AV27" s="830" t="str">
        <f t="shared" si="19"/>
        <v/>
      </c>
      <c r="AW27" s="830" t="str">
        <f t="shared" si="90"/>
        <v/>
      </c>
      <c r="AX27" s="830" t="str">
        <f t="shared" si="94"/>
        <v/>
      </c>
      <c r="AY27" s="464" t="b">
        <f t="shared" si="20"/>
        <v>0</v>
      </c>
      <c r="AZ27" s="856" t="str">
        <f t="shared" si="91"/>
        <v/>
      </c>
      <c r="BA27" s="549"/>
      <c r="BB27" s="672"/>
      <c r="BC27" s="1684"/>
      <c r="BD27" s="733"/>
      <c r="BE27" s="734"/>
      <c r="BF27" s="735"/>
      <c r="BG27" s="672"/>
      <c r="BH27" s="982"/>
      <c r="BI27" s="983"/>
      <c r="BJ27" s="1625"/>
      <c r="BK27" s="982"/>
      <c r="BL27" s="983"/>
      <c r="BM27" s="1569"/>
      <c r="BN27" s="1570"/>
      <c r="BO27" s="1617" t="str">
        <f>IF(ISERROR(CU27),"",IF(CU27="","",IF(VLOOKUP(BG27,SectInfo!$B:$N,10,FALSE)="","","X")))</f>
        <v/>
      </c>
      <c r="BP27" s="1561"/>
      <c r="BQ27" s="1562" t="str">
        <f t="shared" si="21"/>
        <v/>
      </c>
      <c r="BR27" s="1563"/>
      <c r="BS27" s="672"/>
      <c r="BT27" s="982"/>
      <c r="BU27" s="983"/>
      <c r="BV27" s="1625"/>
      <c r="BW27" s="982"/>
      <c r="BX27" s="983"/>
      <c r="BY27" s="1569"/>
      <c r="BZ27" s="1570"/>
      <c r="CA27" s="1617" t="str">
        <f>IF(ISERROR(DE27),"",IF(DE27="","",IF(VLOOKUP(BS27,SectInfo!$B:$N,10,FALSE)="","","X")))</f>
        <v/>
      </c>
      <c r="CB27" s="1561"/>
      <c r="CC27" s="1562" t="str">
        <f t="shared" si="22"/>
        <v/>
      </c>
      <c r="CD27" s="1563"/>
      <c r="CE27" s="1574"/>
      <c r="CF27" s="736"/>
      <c r="CG27" s="737"/>
      <c r="CH27" s="643" t="str">
        <f t="shared" si="23"/>
        <v/>
      </c>
      <c r="CI27" s="644" t="str">
        <f t="shared" si="24"/>
        <v/>
      </c>
      <c r="CJ27" s="645" t="str">
        <f t="shared" si="25"/>
        <v/>
      </c>
      <c r="CK27" s="852" t="str">
        <f t="shared" si="26"/>
        <v/>
      </c>
      <c r="CL27" s="847" t="str">
        <f t="shared" si="27"/>
        <v/>
      </c>
      <c r="CM27" s="848" t="str">
        <f t="shared" si="28"/>
        <v/>
      </c>
      <c r="CN27" s="611" t="str">
        <f t="shared" si="29"/>
        <v/>
      </c>
      <c r="CO27" s="612" t="str">
        <f t="shared" si="30"/>
        <v/>
      </c>
      <c r="CP27" s="615" t="str">
        <f t="shared" si="31"/>
        <v/>
      </c>
      <c r="CQ27" s="616" t="str">
        <f t="shared" si="32"/>
        <v/>
      </c>
      <c r="CR27" s="750" t="str">
        <f t="shared" si="33"/>
        <v/>
      </c>
      <c r="CS27" s="751" t="str">
        <f t="shared" si="34"/>
        <v/>
      </c>
      <c r="CU27" s="114" t="str">
        <f>IF(BG27="","",VLOOKUP(BG27,SectInfo!$B:$N,12,FALSE))</f>
        <v/>
      </c>
      <c r="CV27" s="115" t="str">
        <f>IF(BG27="","",IF(ISBLANK(BP27),VLOOKUP(BG27,SectInfo!$B:$N,13,FALSE),BP27))</f>
        <v/>
      </c>
      <c r="CW27" s="1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115" t="str">
        <f>IF(BG27="","",IF(VLOOKUP(BG27,SectInfo!$B:$N,7,FALSE)="","",(VLOOKUP(BG27,SectInfo!$B:$N,7,FALSE)*-1)))</f>
        <v/>
      </c>
      <c r="DB27" s="815" t="str">
        <f>IF(BG27="","",IF(VLOOKUP(BG27,SectInfo!$B:$N,8,FALSE)="",VLOOKUP(AU27,$DF$2:$DN$9,6,FALSE),(VLOOKUP(BG27,SectInfo!$B:$N,8,FALSE))))</f>
        <v/>
      </c>
      <c r="DC27" s="815" t="str">
        <f>IF(BG27="","",VLOOKUP(BG27,SectInfo!$B:$N,9,FALSE))</f>
        <v/>
      </c>
      <c r="DD27" s="816">
        <f t="shared" si="35"/>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36"/>
        <v>0</v>
      </c>
      <c r="DO27" s="818">
        <f t="shared" si="37"/>
        <v>0</v>
      </c>
      <c r="DP27" s="822" t="str">
        <f t="shared" si="38"/>
        <v/>
      </c>
      <c r="DQ27" s="822" t="str">
        <f t="shared" si="39"/>
        <v/>
      </c>
      <c r="DR27" s="822" t="str">
        <f t="shared" si="40"/>
        <v/>
      </c>
      <c r="DS27" s="821">
        <f t="shared" si="41"/>
        <v>0</v>
      </c>
      <c r="DT27" s="821">
        <f t="shared" si="42"/>
        <v>0</v>
      </c>
      <c r="DU27" s="821" t="str">
        <f t="shared" si="43"/>
        <v/>
      </c>
      <c r="DV27" s="822" t="str">
        <f t="shared" si="44"/>
        <v/>
      </c>
      <c r="DW27" s="856" t="str">
        <f t="shared" si="45"/>
        <v/>
      </c>
      <c r="DX27" s="1006">
        <f t="shared" si="118"/>
        <v>0</v>
      </c>
      <c r="DY27" s="822">
        <f t="shared" si="46"/>
        <v>0</v>
      </c>
      <c r="DZ27" s="821">
        <f t="shared" si="47"/>
        <v>0</v>
      </c>
      <c r="EA27" s="821" t="str">
        <f t="shared" si="48"/>
        <v/>
      </c>
      <c r="EB27" s="822" t="str">
        <f t="shared" si="119"/>
        <v/>
      </c>
      <c r="EC27" s="856" t="str">
        <f t="shared" si="49"/>
        <v/>
      </c>
      <c r="ED27" s="1006">
        <f t="shared" si="120"/>
        <v>0</v>
      </c>
      <c r="EE27" s="1293" t="str">
        <f t="shared" si="50"/>
        <v/>
      </c>
      <c r="EF27" s="822" t="str">
        <f t="shared" si="121"/>
        <v/>
      </c>
      <c r="EG27" s="822" t="str">
        <f t="shared" si="122"/>
        <v/>
      </c>
      <c r="EH27" s="856" t="e">
        <f t="shared" si="51"/>
        <v>#N/A</v>
      </c>
      <c r="EI27" s="856" t="e">
        <f t="shared" si="52"/>
        <v>#N/A</v>
      </c>
      <c r="EJ27" s="822" t="str">
        <f t="shared" si="123"/>
        <v/>
      </c>
      <c r="EK27" s="822" t="str">
        <f t="shared" si="124"/>
        <v/>
      </c>
      <c r="EL27" s="1293" t="str">
        <f t="shared" si="54"/>
        <v/>
      </c>
      <c r="EM27" s="822" t="str">
        <f t="shared" si="125"/>
        <v/>
      </c>
      <c r="EN27" s="822" t="str">
        <f t="shared" si="126"/>
        <v/>
      </c>
      <c r="EO27" s="856" t="e">
        <f t="shared" si="55"/>
        <v>#N/A</v>
      </c>
      <c r="EP27" s="856" t="e">
        <f t="shared" si="56"/>
        <v>#N/A</v>
      </c>
      <c r="EQ27" s="822" t="str">
        <f t="shared" si="57"/>
        <v/>
      </c>
      <c r="ER27" s="822" t="str">
        <f t="shared" si="57"/>
        <v/>
      </c>
      <c r="ES27" s="822" t="str">
        <f t="shared" si="58"/>
        <v/>
      </c>
      <c r="ET27" s="822" t="str">
        <f t="shared" si="59"/>
        <v/>
      </c>
      <c r="EU27" s="829" t="str">
        <f t="shared" si="60"/>
        <v/>
      </c>
      <c r="EV27" s="824" t="str">
        <f t="shared" ref="EV27:EV40" si="127">IF(AND(EK27="",ER27=""),"",IF(EK27="",DL27,IF(EQ27="",DB27,IF(DB27&lt;&gt;DL27,EU27,DB27))))</f>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61"/>
        <v/>
      </c>
      <c r="FA27" s="829" t="str">
        <f>IF(AND(DE27="G", ISBLANK(BW27), ISBLANK(BX27)),VLOOKUP(MIN(BT27:BU27),TblJoistSize!$M$3:$N$10,2),IF(OR(DE27="B", DE27="G"),MIN(BW27:BX27),""))</f>
        <v/>
      </c>
      <c r="FB27" s="829" t="str">
        <f>IF(AND(DE27="G", ISBLANK(BW27), ISBLANK(BX27)),VLOOKUP(MAX(BT27:BU27),TblJoistSize!$M$3:$N$10,2),IF(OR(DE27="B", DE27="G"),MAX(BW27:BX27),""))</f>
        <v/>
      </c>
      <c r="FC27" s="829" t="str">
        <f t="shared" si="62"/>
        <v/>
      </c>
      <c r="FD27" s="822">
        <f t="shared" si="63"/>
        <v>0</v>
      </c>
      <c r="FE27" s="822">
        <f t="shared" si="64"/>
        <v>0</v>
      </c>
      <c r="FF27" s="821">
        <f t="shared" si="65"/>
        <v>0</v>
      </c>
      <c r="FG27" s="821" t="str">
        <f t="shared" si="66"/>
        <v/>
      </c>
      <c r="FH27" s="822" t="str">
        <f t="shared" si="67"/>
        <v/>
      </c>
      <c r="FI27" s="822">
        <f t="shared" si="68"/>
        <v>0</v>
      </c>
      <c r="FJ27" s="822">
        <f t="shared" si="69"/>
        <v>0</v>
      </c>
      <c r="FK27" s="821">
        <f t="shared" si="70"/>
        <v>0</v>
      </c>
      <c r="FL27" s="821" t="str">
        <f t="shared" si="71"/>
        <v/>
      </c>
      <c r="FM27" s="822" t="str">
        <f t="shared" si="72"/>
        <v/>
      </c>
      <c r="FN27" s="822" t="e">
        <f t="shared" si="73"/>
        <v>#VALUE!</v>
      </c>
      <c r="FO27" s="940" t="e">
        <f t="shared" si="74"/>
        <v>#VALUE!</v>
      </c>
      <c r="FP27" s="940" t="e">
        <f t="shared" si="75"/>
        <v>#VALUE!</v>
      </c>
      <c r="FQ27" s="830" t="e">
        <f t="shared" si="76"/>
        <v>#VALUE!</v>
      </c>
      <c r="FR27" s="831" t="e">
        <f t="shared" si="77"/>
        <v>#VALUE!</v>
      </c>
      <c r="FS27" s="832" t="str">
        <f t="shared" si="78"/>
        <v/>
      </c>
      <c r="FT27" s="833" t="str">
        <f t="shared" si="79"/>
        <v/>
      </c>
      <c r="FU27" s="870">
        <f t="shared" si="80"/>
        <v>0</v>
      </c>
      <c r="FV27" s="871">
        <f t="shared" si="81"/>
        <v>0</v>
      </c>
      <c r="GA27" s="1791" t="str">
        <f t="shared" si="82"/>
        <v/>
      </c>
      <c r="GB27" s="1792" t="str">
        <f t="shared" si="83"/>
        <v/>
      </c>
      <c r="GC27" s="1793" t="str">
        <f t="shared" si="84"/>
        <v/>
      </c>
      <c r="GD27" s="1794" t="str">
        <f t="shared" si="85"/>
        <v/>
      </c>
      <c r="GE27" s="1795" t="str">
        <f t="shared" si="86"/>
        <v/>
      </c>
      <c r="GF27" s="600" t="str">
        <f t="shared" si="87"/>
        <v/>
      </c>
      <c r="GG27" s="1130"/>
      <c r="GH27" s="1131"/>
      <c r="GI27" s="1130"/>
      <c r="GJ27" s="1131"/>
      <c r="GK27" s="1636">
        <f t="shared" si="88"/>
        <v>0</v>
      </c>
      <c r="GL27" s="1636" t="e">
        <f t="shared" si="89"/>
        <v>#VALUE!</v>
      </c>
      <c r="GM27" s="1637" t="e">
        <f>IF(ABS(GK27-GL27)&gt;='Job Info.'!$L$22,ABS(GK27-GL27),0)</f>
        <v>#VALUE!</v>
      </c>
      <c r="GZ27" s="415"/>
      <c r="HA27" s="1391"/>
      <c r="HB27" s="1392"/>
      <c r="HC27" s="1392"/>
      <c r="HD27" s="1393"/>
      <c r="HE27" s="1394"/>
      <c r="HF27" s="1392"/>
      <c r="HG27" s="1392"/>
      <c r="HH27" s="1392"/>
      <c r="HI27" s="1395"/>
      <c r="HJ27" s="1392"/>
      <c r="HK27" s="1392"/>
      <c r="HL27" s="1392"/>
      <c r="HM27" s="1392"/>
      <c r="HN27" s="1392"/>
      <c r="HO27" s="1392"/>
      <c r="HP27" s="1392"/>
      <c r="HQ27" s="1395"/>
      <c r="HR27" s="1392"/>
      <c r="HS27" s="1392"/>
      <c r="HT27" s="1392"/>
      <c r="HU27" s="1392"/>
      <c r="HV27" s="1392"/>
      <c r="HW27" s="1394"/>
      <c r="HX27" s="1394"/>
      <c r="HY27" s="1394"/>
      <c r="HZ27" s="1394"/>
      <c r="IA27" s="1394"/>
      <c r="IB27" s="1394"/>
      <c r="IC27" s="1394"/>
      <c r="ID27" s="1394"/>
      <c r="IE27" s="1394"/>
      <c r="IF27" s="1396"/>
    </row>
    <row r="28" spans="1:240" ht="12.6" customHeight="1" x14ac:dyDescent="0.25">
      <c r="A28" s="1448" t="str">
        <f t="shared" si="1"/>
        <v/>
      </c>
      <c r="B28" s="1681" t="str">
        <f t="shared" si="2"/>
        <v/>
      </c>
      <c r="C28" s="1449" t="str">
        <f t="shared" si="3"/>
        <v/>
      </c>
      <c r="D28" s="1705" t="str">
        <f t="shared" si="95"/>
        <v/>
      </c>
      <c r="E28" s="1778" t="str">
        <f t="shared" si="96"/>
        <v/>
      </c>
      <c r="F28" s="1708" t="str">
        <f t="shared" si="97"/>
        <v/>
      </c>
      <c r="G28" s="1709" t="str">
        <f t="shared" si="98"/>
        <v/>
      </c>
      <c r="H28" s="1779" t="str">
        <f t="shared" si="99"/>
        <v/>
      </c>
      <c r="I28" s="1705" t="str">
        <f t="shared" si="100"/>
        <v/>
      </c>
      <c r="J28" s="1709" t="str">
        <f t="shared" si="101"/>
        <v/>
      </c>
      <c r="K28" s="1780" t="str">
        <f t="shared" si="102"/>
        <v/>
      </c>
      <c r="L28" s="1712" t="str">
        <f t="shared" si="103"/>
        <v/>
      </c>
      <c r="M28" s="1713" t="str">
        <f t="shared" si="104"/>
        <v/>
      </c>
      <c r="N28" s="1708" t="str">
        <f t="shared" si="105"/>
        <v/>
      </c>
      <c r="O28" s="1709" t="str">
        <f t="shared" si="106"/>
        <v/>
      </c>
      <c r="P28" s="1710" t="str">
        <f t="shared" si="107"/>
        <v/>
      </c>
      <c r="Q28" s="1705" t="str">
        <f t="shared" si="108"/>
        <v/>
      </c>
      <c r="R28" s="1709" t="str">
        <f t="shared" si="109"/>
        <v/>
      </c>
      <c r="S28" s="1753" t="str">
        <f t="shared" si="110"/>
        <v/>
      </c>
      <c r="T28" s="1708" t="str">
        <f t="shared" si="111"/>
        <v/>
      </c>
      <c r="U28" s="1709" t="str">
        <f t="shared" si="112"/>
        <v/>
      </c>
      <c r="V28" s="1705" t="str">
        <f t="shared" si="113"/>
        <v/>
      </c>
      <c r="W28" s="1709" t="str">
        <f t="shared" si="114"/>
        <v/>
      </c>
      <c r="X28" s="1750">
        <f t="shared" si="115"/>
        <v>0</v>
      </c>
      <c r="Y28" s="1781" t="str">
        <f t="shared" si="116"/>
        <v/>
      </c>
      <c r="Z28" s="1782" t="str">
        <f t="shared" si="117"/>
        <v/>
      </c>
      <c r="AA28" s="1783" t="str">
        <f t="shared" si="5"/>
        <v/>
      </c>
      <c r="AB28" s="1413"/>
      <c r="AC28" s="964" t="b">
        <v>0</v>
      </c>
      <c r="AD28" s="441">
        <f t="shared" si="6"/>
        <v>0</v>
      </c>
      <c r="AE28" s="442">
        <f t="shared" si="7"/>
        <v>0</v>
      </c>
      <c r="AF28" s="442">
        <f t="shared" si="8"/>
        <v>0</v>
      </c>
      <c r="AG28" s="442">
        <f t="shared" si="9"/>
        <v>0</v>
      </c>
      <c r="AH28" s="443">
        <f t="shared" si="10"/>
        <v>0</v>
      </c>
      <c r="AI28" s="444" t="b">
        <v>0</v>
      </c>
      <c r="AJ28" s="238">
        <f t="shared" ref="AJ28:AJ40" si="128">IF(OR(ISERROR(VALUE(LEFT(C28,SEARCH(AK28,C28)-1))),AK28=""),0,VALUE(LEFT(C28,SEARCH(AK28,C28)-1)))</f>
        <v>0</v>
      </c>
      <c r="AK28" s="238" t="str">
        <f t="shared" si="11"/>
        <v/>
      </c>
      <c r="AL28" s="1290" t="str">
        <f t="shared" si="12"/>
        <v/>
      </c>
      <c r="AM28" s="238" t="str">
        <f t="shared" si="13"/>
        <v/>
      </c>
      <c r="AN28" s="238" t="str">
        <f t="shared" si="14"/>
        <v/>
      </c>
      <c r="AO28" s="238" t="str">
        <f t="shared" si="15"/>
        <v/>
      </c>
      <c r="AP28" s="830" t="b">
        <f>IF(ISERROR(AJ28),FALSE,IF(OR(AJ28=0,ISERROR(AL28),ISERROR(AM28),ISERROR(AN28),ISERROR(AO28)),FALSE,IF(AL28&lt;&gt;"",IF(ISERROR(VLOOKUP(SUBSTITUTE(SUBSTITUTE(C28,"R",""),"A",""),TblJoistSize!$A:$A,1,FALSE)),FALSE,TRUE),TRUE)))</f>
        <v>0</v>
      </c>
      <c r="AQ28" s="1038" t="e">
        <f t="shared" si="16"/>
        <v>#N/A</v>
      </c>
      <c r="AR28" s="945" t="b">
        <f t="shared" si="92"/>
        <v>0</v>
      </c>
      <c r="AS28" s="1038" t="e">
        <f t="shared" si="17"/>
        <v>#N/A</v>
      </c>
      <c r="AT28" s="945" t="b">
        <f t="shared" si="93"/>
        <v>0</v>
      </c>
      <c r="AU28" s="1291" t="str">
        <f t="shared" si="18"/>
        <v/>
      </c>
      <c r="AV28" s="830" t="str">
        <f t="shared" si="19"/>
        <v/>
      </c>
      <c r="AW28" s="830" t="str">
        <f t="shared" si="90"/>
        <v/>
      </c>
      <c r="AX28" s="830" t="str">
        <f t="shared" si="94"/>
        <v/>
      </c>
      <c r="AY28" s="464" t="b">
        <f t="shared" si="20"/>
        <v>0</v>
      </c>
      <c r="AZ28" s="856" t="str">
        <f t="shared" si="91"/>
        <v/>
      </c>
      <c r="BA28" s="549"/>
      <c r="BB28" s="672"/>
      <c r="BC28" s="1684"/>
      <c r="BD28" s="733"/>
      <c r="BE28" s="734"/>
      <c r="BF28" s="735"/>
      <c r="BG28" s="672"/>
      <c r="BH28" s="982"/>
      <c r="BI28" s="983"/>
      <c r="BJ28" s="1625"/>
      <c r="BK28" s="982"/>
      <c r="BL28" s="983"/>
      <c r="BM28" s="1569"/>
      <c r="BN28" s="1570"/>
      <c r="BO28" s="1617" t="str">
        <f>IF(ISERROR(CU28),"",IF(CU28="","",IF(VLOOKUP(BG28,SectInfo!$B:$N,10,FALSE)="","","X")))</f>
        <v/>
      </c>
      <c r="BP28" s="1561"/>
      <c r="BQ28" s="1562" t="str">
        <f t="shared" si="21"/>
        <v/>
      </c>
      <c r="BR28" s="1563"/>
      <c r="BS28" s="672"/>
      <c r="BT28" s="982"/>
      <c r="BU28" s="983"/>
      <c r="BV28" s="1625"/>
      <c r="BW28" s="982"/>
      <c r="BX28" s="983"/>
      <c r="BY28" s="1569"/>
      <c r="BZ28" s="1570"/>
      <c r="CA28" s="1617" t="str">
        <f>IF(ISERROR(DE28),"",IF(DE28="","",IF(VLOOKUP(BS28,SectInfo!$B:$N,10,FALSE)="","","X")))</f>
        <v/>
      </c>
      <c r="CB28" s="1561"/>
      <c r="CC28" s="1562" t="str">
        <f t="shared" si="22"/>
        <v/>
      </c>
      <c r="CD28" s="1563"/>
      <c r="CE28" s="1574"/>
      <c r="CF28" s="736"/>
      <c r="CG28" s="737"/>
      <c r="CH28" s="643" t="str">
        <f t="shared" si="23"/>
        <v/>
      </c>
      <c r="CI28" s="644" t="str">
        <f t="shared" si="24"/>
        <v/>
      </c>
      <c r="CJ28" s="645" t="str">
        <f t="shared" si="25"/>
        <v/>
      </c>
      <c r="CK28" s="852" t="str">
        <f t="shared" si="26"/>
        <v/>
      </c>
      <c r="CL28" s="847" t="str">
        <f t="shared" si="27"/>
        <v/>
      </c>
      <c r="CM28" s="848" t="str">
        <f t="shared" si="28"/>
        <v/>
      </c>
      <c r="CN28" s="611" t="str">
        <f t="shared" si="29"/>
        <v/>
      </c>
      <c r="CO28" s="612" t="str">
        <f t="shared" si="30"/>
        <v/>
      </c>
      <c r="CP28" s="615" t="str">
        <f t="shared" si="31"/>
        <v/>
      </c>
      <c r="CQ28" s="616" t="str">
        <f t="shared" si="32"/>
        <v/>
      </c>
      <c r="CR28" s="750" t="str">
        <f t="shared" si="33"/>
        <v/>
      </c>
      <c r="CS28" s="751" t="str">
        <f t="shared" si="34"/>
        <v/>
      </c>
      <c r="CU28" s="114" t="str">
        <f>IF(BG28="","",VLOOKUP(BG28,SectInfo!$B:$N,12,FALSE))</f>
        <v/>
      </c>
      <c r="CV28" s="115" t="str">
        <f>IF(BG28="","",IF(ISBLANK(BP28),VLOOKUP(BG28,SectInfo!$B:$N,13,FALSE),BP28))</f>
        <v/>
      </c>
      <c r="CW28" s="1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115" t="str">
        <f>IF(BG28="","",IF(VLOOKUP(BG28,SectInfo!$B:$N,7,FALSE)="","",(VLOOKUP(BG28,SectInfo!$B:$N,7,FALSE)*-1)))</f>
        <v/>
      </c>
      <c r="DB28" s="815" t="str">
        <f>IF(BG28="","",IF(VLOOKUP(BG28,SectInfo!$B:$N,8,FALSE)="",VLOOKUP(AU28,$DF$2:$DN$9,6,FALSE),(VLOOKUP(BG28,SectInfo!$B:$N,8,FALSE))))</f>
        <v/>
      </c>
      <c r="DC28" s="815" t="str">
        <f>IF(BG28="","",VLOOKUP(BG28,SectInfo!$B:$N,9,FALSE))</f>
        <v/>
      </c>
      <c r="DD28" s="816">
        <f t="shared" si="35"/>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36"/>
        <v>0</v>
      </c>
      <c r="DO28" s="818">
        <f t="shared" si="37"/>
        <v>0</v>
      </c>
      <c r="DP28" s="822" t="str">
        <f t="shared" si="38"/>
        <v/>
      </c>
      <c r="DQ28" s="822" t="str">
        <f t="shared" si="39"/>
        <v/>
      </c>
      <c r="DR28" s="822" t="str">
        <f t="shared" si="40"/>
        <v/>
      </c>
      <c r="DS28" s="821">
        <f t="shared" si="41"/>
        <v>0</v>
      </c>
      <c r="DT28" s="821">
        <f t="shared" si="42"/>
        <v>0</v>
      </c>
      <c r="DU28" s="821" t="str">
        <f t="shared" si="43"/>
        <v/>
      </c>
      <c r="DV28" s="822" t="str">
        <f t="shared" si="44"/>
        <v/>
      </c>
      <c r="DW28" s="856" t="str">
        <f t="shared" si="45"/>
        <v/>
      </c>
      <c r="DX28" s="1006">
        <f t="shared" si="118"/>
        <v>0</v>
      </c>
      <c r="DY28" s="822">
        <f t="shared" si="46"/>
        <v>0</v>
      </c>
      <c r="DZ28" s="821">
        <f t="shared" si="47"/>
        <v>0</v>
      </c>
      <c r="EA28" s="821" t="str">
        <f t="shared" si="48"/>
        <v/>
      </c>
      <c r="EB28" s="822" t="str">
        <f t="shared" si="119"/>
        <v/>
      </c>
      <c r="EC28" s="856" t="str">
        <f t="shared" si="49"/>
        <v/>
      </c>
      <c r="ED28" s="1006">
        <f t="shared" si="120"/>
        <v>0</v>
      </c>
      <c r="EE28" s="1293" t="str">
        <f t="shared" si="50"/>
        <v/>
      </c>
      <c r="EF28" s="822" t="str">
        <f t="shared" si="121"/>
        <v/>
      </c>
      <c r="EG28" s="822" t="str">
        <f t="shared" si="122"/>
        <v/>
      </c>
      <c r="EH28" s="856" t="e">
        <f t="shared" si="51"/>
        <v>#N/A</v>
      </c>
      <c r="EI28" s="856" t="e">
        <f t="shared" si="52"/>
        <v>#N/A</v>
      </c>
      <c r="EJ28" s="822" t="str">
        <f t="shared" si="123"/>
        <v/>
      </c>
      <c r="EK28" s="822" t="str">
        <f t="shared" si="124"/>
        <v/>
      </c>
      <c r="EL28" s="1293" t="str">
        <f t="shared" si="54"/>
        <v/>
      </c>
      <c r="EM28" s="822" t="str">
        <f t="shared" si="125"/>
        <v/>
      </c>
      <c r="EN28" s="822" t="str">
        <f t="shared" si="126"/>
        <v/>
      </c>
      <c r="EO28" s="856" t="e">
        <f t="shared" si="55"/>
        <v>#N/A</v>
      </c>
      <c r="EP28" s="856" t="e">
        <f t="shared" si="56"/>
        <v>#N/A</v>
      </c>
      <c r="EQ28" s="822" t="str">
        <f t="shared" si="57"/>
        <v/>
      </c>
      <c r="ER28" s="822" t="str">
        <f t="shared" si="57"/>
        <v/>
      </c>
      <c r="ES28" s="822" t="str">
        <f t="shared" si="58"/>
        <v/>
      </c>
      <c r="ET28" s="822" t="str">
        <f t="shared" si="59"/>
        <v/>
      </c>
      <c r="EU28" s="829" t="str">
        <f t="shared" si="60"/>
        <v/>
      </c>
      <c r="EV28" s="824" t="str">
        <f t="shared" si="127"/>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61"/>
        <v/>
      </c>
      <c r="FA28" s="829" t="str">
        <f>IF(AND(DE28="G", ISBLANK(BW28), ISBLANK(BX28)),VLOOKUP(MIN(BT28:BU28),TblJoistSize!$M$3:$N$10,2),IF(OR(DE28="B", DE28="G"),MIN(BW28:BX28),""))</f>
        <v/>
      </c>
      <c r="FB28" s="829" t="str">
        <f>IF(AND(DE28="G", ISBLANK(BW28), ISBLANK(BX28)),VLOOKUP(MAX(BT28:BU28),TblJoistSize!$M$3:$N$10,2),IF(OR(DE28="B", DE28="G"),MAX(BW28:BX28),""))</f>
        <v/>
      </c>
      <c r="FC28" s="829" t="str">
        <f t="shared" si="62"/>
        <v/>
      </c>
      <c r="FD28" s="822">
        <f t="shared" si="63"/>
        <v>0</v>
      </c>
      <c r="FE28" s="822">
        <f t="shared" si="64"/>
        <v>0</v>
      </c>
      <c r="FF28" s="821">
        <f t="shared" si="65"/>
        <v>0</v>
      </c>
      <c r="FG28" s="821" t="str">
        <f t="shared" si="66"/>
        <v/>
      </c>
      <c r="FH28" s="822" t="str">
        <f t="shared" si="67"/>
        <v/>
      </c>
      <c r="FI28" s="822">
        <f t="shared" si="68"/>
        <v>0</v>
      </c>
      <c r="FJ28" s="822">
        <f t="shared" si="69"/>
        <v>0</v>
      </c>
      <c r="FK28" s="821">
        <f t="shared" si="70"/>
        <v>0</v>
      </c>
      <c r="FL28" s="821" t="str">
        <f t="shared" si="71"/>
        <v/>
      </c>
      <c r="FM28" s="822" t="str">
        <f t="shared" si="72"/>
        <v/>
      </c>
      <c r="FN28" s="822" t="e">
        <f t="shared" si="73"/>
        <v>#VALUE!</v>
      </c>
      <c r="FO28" s="940" t="e">
        <f t="shared" si="74"/>
        <v>#VALUE!</v>
      </c>
      <c r="FP28" s="940" t="e">
        <f t="shared" si="75"/>
        <v>#VALUE!</v>
      </c>
      <c r="FQ28" s="830" t="e">
        <f t="shared" si="76"/>
        <v>#VALUE!</v>
      </c>
      <c r="FR28" s="831" t="e">
        <f t="shared" si="77"/>
        <v>#VALUE!</v>
      </c>
      <c r="FS28" s="832" t="str">
        <f t="shared" si="78"/>
        <v/>
      </c>
      <c r="FT28" s="833" t="str">
        <f t="shared" si="79"/>
        <v/>
      </c>
      <c r="FU28" s="870">
        <f t="shared" si="80"/>
        <v>0</v>
      </c>
      <c r="FV28" s="871">
        <f t="shared" si="81"/>
        <v>0</v>
      </c>
      <c r="GA28" s="1791" t="str">
        <f t="shared" si="82"/>
        <v/>
      </c>
      <c r="GB28" s="1792" t="str">
        <f t="shared" si="83"/>
        <v/>
      </c>
      <c r="GC28" s="1793" t="str">
        <f t="shared" si="84"/>
        <v/>
      </c>
      <c r="GD28" s="1794" t="str">
        <f t="shared" si="85"/>
        <v/>
      </c>
      <c r="GE28" s="1795" t="str">
        <f t="shared" si="86"/>
        <v/>
      </c>
      <c r="GF28" s="600" t="str">
        <f t="shared" si="87"/>
        <v/>
      </c>
      <c r="GG28" s="1130"/>
      <c r="GH28" s="1131"/>
      <c r="GI28" s="1130"/>
      <c r="GJ28" s="1131"/>
      <c r="GK28" s="1636">
        <f t="shared" si="88"/>
        <v>0</v>
      </c>
      <c r="GL28" s="1636" t="e">
        <f t="shared" si="89"/>
        <v>#VALUE!</v>
      </c>
      <c r="GM28" s="1637" t="e">
        <f>IF(ABS(GK28-GL28)&gt;='Job Info.'!$L$22,ABS(GK28-GL28),0)</f>
        <v>#VALUE!</v>
      </c>
      <c r="GZ28" s="415"/>
      <c r="HA28" s="1391"/>
      <c r="HB28" s="1392"/>
      <c r="HC28" s="1392"/>
      <c r="HD28" s="1393"/>
      <c r="HE28" s="1394"/>
      <c r="HF28" s="1392"/>
      <c r="HG28" s="1392"/>
      <c r="HH28" s="1392"/>
      <c r="HI28" s="1395"/>
      <c r="HJ28" s="1392"/>
      <c r="HK28" s="1392"/>
      <c r="HL28" s="1392"/>
      <c r="HM28" s="1392"/>
      <c r="HN28" s="1392"/>
      <c r="HO28" s="1392"/>
      <c r="HP28" s="1392"/>
      <c r="HQ28" s="1395"/>
      <c r="HR28" s="1392"/>
      <c r="HS28" s="1392"/>
      <c r="HT28" s="1392"/>
      <c r="HU28" s="1392"/>
      <c r="HV28" s="1392"/>
      <c r="HW28" s="1394"/>
      <c r="HX28" s="1394"/>
      <c r="HY28" s="1394"/>
      <c r="HZ28" s="1394"/>
      <c r="IA28" s="1394"/>
      <c r="IB28" s="1394"/>
      <c r="IC28" s="1394"/>
      <c r="ID28" s="1394"/>
      <c r="IE28" s="1394"/>
      <c r="IF28" s="1396"/>
    </row>
    <row r="29" spans="1:240" ht="12.6" customHeight="1" x14ac:dyDescent="0.25">
      <c r="A29" s="1448" t="str">
        <f t="shared" si="1"/>
        <v/>
      </c>
      <c r="B29" s="1681" t="str">
        <f t="shared" si="2"/>
        <v/>
      </c>
      <c r="C29" s="1449" t="str">
        <f t="shared" si="3"/>
        <v/>
      </c>
      <c r="D29" s="1705" t="str">
        <f t="shared" si="95"/>
        <v/>
      </c>
      <c r="E29" s="1778" t="str">
        <f t="shared" si="96"/>
        <v/>
      </c>
      <c r="F29" s="1708" t="str">
        <f t="shared" si="97"/>
        <v/>
      </c>
      <c r="G29" s="1709" t="str">
        <f t="shared" si="98"/>
        <v/>
      </c>
      <c r="H29" s="1779" t="str">
        <f t="shared" si="99"/>
        <v/>
      </c>
      <c r="I29" s="1705" t="str">
        <f t="shared" si="100"/>
        <v/>
      </c>
      <c r="J29" s="1709" t="str">
        <f t="shared" si="101"/>
        <v/>
      </c>
      <c r="K29" s="1780" t="str">
        <f t="shared" si="102"/>
        <v/>
      </c>
      <c r="L29" s="1712" t="str">
        <f t="shared" si="103"/>
        <v/>
      </c>
      <c r="M29" s="1713" t="str">
        <f t="shared" si="104"/>
        <v/>
      </c>
      <c r="N29" s="1708" t="str">
        <f t="shared" si="105"/>
        <v/>
      </c>
      <c r="O29" s="1709" t="str">
        <f t="shared" si="106"/>
        <v/>
      </c>
      <c r="P29" s="1710" t="str">
        <f t="shared" si="107"/>
        <v/>
      </c>
      <c r="Q29" s="1705" t="str">
        <f t="shared" si="108"/>
        <v/>
      </c>
      <c r="R29" s="1709" t="str">
        <f t="shared" si="109"/>
        <v/>
      </c>
      <c r="S29" s="1753" t="str">
        <f t="shared" si="110"/>
        <v/>
      </c>
      <c r="T29" s="1708" t="str">
        <f t="shared" si="111"/>
        <v/>
      </c>
      <c r="U29" s="1709" t="str">
        <f t="shared" si="112"/>
        <v/>
      </c>
      <c r="V29" s="1705" t="str">
        <f t="shared" si="113"/>
        <v/>
      </c>
      <c r="W29" s="1709" t="str">
        <f t="shared" si="114"/>
        <v/>
      </c>
      <c r="X29" s="1750">
        <f t="shared" si="115"/>
        <v>0</v>
      </c>
      <c r="Y29" s="1781" t="str">
        <f t="shared" si="116"/>
        <v/>
      </c>
      <c r="Z29" s="1782" t="str">
        <f t="shared" si="117"/>
        <v/>
      </c>
      <c r="AA29" s="1783" t="str">
        <f t="shared" si="5"/>
        <v/>
      </c>
      <c r="AB29" s="1413"/>
      <c r="AC29" s="964" t="b">
        <v>0</v>
      </c>
      <c r="AD29" s="441">
        <f t="shared" si="6"/>
        <v>0</v>
      </c>
      <c r="AE29" s="442">
        <f t="shared" si="7"/>
        <v>0</v>
      </c>
      <c r="AF29" s="442">
        <f t="shared" si="8"/>
        <v>0</v>
      </c>
      <c r="AG29" s="442">
        <f t="shared" si="9"/>
        <v>0</v>
      </c>
      <c r="AH29" s="443">
        <f t="shared" si="10"/>
        <v>0</v>
      </c>
      <c r="AI29" s="444" t="b">
        <v>0</v>
      </c>
      <c r="AJ29" s="238">
        <f t="shared" si="128"/>
        <v>0</v>
      </c>
      <c r="AK29" s="238" t="str">
        <f t="shared" si="11"/>
        <v/>
      </c>
      <c r="AL29" s="1290" t="str">
        <f t="shared" si="12"/>
        <v/>
      </c>
      <c r="AM29" s="238" t="str">
        <f t="shared" si="13"/>
        <v/>
      </c>
      <c r="AN29" s="238" t="str">
        <f t="shared" si="14"/>
        <v/>
      </c>
      <c r="AO29" s="238" t="str">
        <f t="shared" si="15"/>
        <v/>
      </c>
      <c r="AP29" s="830" t="b">
        <f>IF(ISERROR(AJ29),FALSE,IF(OR(AJ29=0,ISERROR(AL29),ISERROR(AM29),ISERROR(AN29),ISERROR(AO29)),FALSE,IF(AL29&lt;&gt;"",IF(ISERROR(VLOOKUP(SUBSTITUTE(SUBSTITUTE(C29,"R",""),"A",""),TblJoistSize!$A:$A,1,FALSE)),FALSE,TRUE),TRUE)))</f>
        <v>0</v>
      </c>
      <c r="AQ29" s="1038" t="e">
        <f t="shared" si="16"/>
        <v>#N/A</v>
      </c>
      <c r="AR29" s="945" t="b">
        <f t="shared" si="92"/>
        <v>0</v>
      </c>
      <c r="AS29" s="1038" t="e">
        <f t="shared" si="17"/>
        <v>#N/A</v>
      </c>
      <c r="AT29" s="945" t="b">
        <f t="shared" si="93"/>
        <v>0</v>
      </c>
      <c r="AU29" s="1291" t="str">
        <f t="shared" si="18"/>
        <v/>
      </c>
      <c r="AV29" s="830" t="str">
        <f t="shared" si="19"/>
        <v/>
      </c>
      <c r="AW29" s="830" t="str">
        <f t="shared" si="90"/>
        <v/>
      </c>
      <c r="AX29" s="830" t="str">
        <f t="shared" si="94"/>
        <v/>
      </c>
      <c r="AY29" s="464" t="b">
        <f t="shared" si="20"/>
        <v>0</v>
      </c>
      <c r="AZ29" s="856" t="str">
        <f t="shared" si="91"/>
        <v/>
      </c>
      <c r="BA29" s="549"/>
      <c r="BB29" s="672"/>
      <c r="BC29" s="1684"/>
      <c r="BD29" s="733"/>
      <c r="BE29" s="734"/>
      <c r="BF29" s="735"/>
      <c r="BG29" s="672"/>
      <c r="BH29" s="982"/>
      <c r="BI29" s="983"/>
      <c r="BJ29" s="1625"/>
      <c r="BK29" s="982"/>
      <c r="BL29" s="983"/>
      <c r="BM29" s="1569"/>
      <c r="BN29" s="1570"/>
      <c r="BO29" s="1617" t="str">
        <f>IF(ISERROR(CU29),"",IF(CU29="","",IF(VLOOKUP(BG29,SectInfo!$B:$N,10,FALSE)="","","X")))</f>
        <v/>
      </c>
      <c r="BP29" s="1561"/>
      <c r="BQ29" s="1562" t="str">
        <f t="shared" si="21"/>
        <v/>
      </c>
      <c r="BR29" s="1563"/>
      <c r="BS29" s="672"/>
      <c r="BT29" s="982"/>
      <c r="BU29" s="983"/>
      <c r="BV29" s="1625"/>
      <c r="BW29" s="982"/>
      <c r="BX29" s="983"/>
      <c r="BY29" s="1569"/>
      <c r="BZ29" s="1570"/>
      <c r="CA29" s="1617" t="str">
        <f>IF(ISERROR(DE29),"",IF(DE29="","",IF(VLOOKUP(BS29,SectInfo!$B:$N,10,FALSE)="","","X")))</f>
        <v/>
      </c>
      <c r="CB29" s="1561"/>
      <c r="CC29" s="1562" t="str">
        <f t="shared" si="22"/>
        <v/>
      </c>
      <c r="CD29" s="1563"/>
      <c r="CE29" s="1574"/>
      <c r="CF29" s="736"/>
      <c r="CG29" s="737"/>
      <c r="CH29" s="643" t="str">
        <f t="shared" si="23"/>
        <v/>
      </c>
      <c r="CI29" s="644" t="str">
        <f t="shared" si="24"/>
        <v/>
      </c>
      <c r="CJ29" s="645" t="str">
        <f t="shared" si="25"/>
        <v/>
      </c>
      <c r="CK29" s="852" t="str">
        <f t="shared" si="26"/>
        <v/>
      </c>
      <c r="CL29" s="847" t="str">
        <f t="shared" si="27"/>
        <v/>
      </c>
      <c r="CM29" s="848" t="str">
        <f t="shared" si="28"/>
        <v/>
      </c>
      <c r="CN29" s="611" t="str">
        <f t="shared" si="29"/>
        <v/>
      </c>
      <c r="CO29" s="612" t="str">
        <f t="shared" si="30"/>
        <v/>
      </c>
      <c r="CP29" s="615" t="str">
        <f t="shared" si="31"/>
        <v/>
      </c>
      <c r="CQ29" s="616" t="str">
        <f t="shared" si="32"/>
        <v/>
      </c>
      <c r="CR29" s="750" t="str">
        <f t="shared" si="33"/>
        <v/>
      </c>
      <c r="CS29" s="751" t="str">
        <f t="shared" si="34"/>
        <v/>
      </c>
      <c r="CU29" s="114" t="str">
        <f>IF(BG29="","",VLOOKUP(BG29,SectInfo!$B:$N,12,FALSE))</f>
        <v/>
      </c>
      <c r="CV29" s="115" t="str">
        <f>IF(BG29="","",IF(ISBLANK(BP29),VLOOKUP(BG29,SectInfo!$B:$N,13,FALSE),BP29))</f>
        <v/>
      </c>
      <c r="CW29" s="1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115" t="str">
        <f>IF(BG29="","",IF(VLOOKUP(BG29,SectInfo!$B:$N,7,FALSE)="","",(VLOOKUP(BG29,SectInfo!$B:$N,7,FALSE)*-1)))</f>
        <v/>
      </c>
      <c r="DB29" s="815" t="str">
        <f>IF(BG29="","",IF(VLOOKUP(BG29,SectInfo!$B:$N,8,FALSE)="",VLOOKUP(AU29,$DF$2:$DN$9,6,FALSE),(VLOOKUP(BG29,SectInfo!$B:$N,8,FALSE))))</f>
        <v/>
      </c>
      <c r="DC29" s="815" t="str">
        <f>IF(BG29="","",VLOOKUP(BG29,SectInfo!$B:$N,9,FALSE))</f>
        <v/>
      </c>
      <c r="DD29" s="816">
        <f t="shared" si="35"/>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36"/>
        <v>0</v>
      </c>
      <c r="DO29" s="818">
        <f t="shared" si="37"/>
        <v>0</v>
      </c>
      <c r="DP29" s="822" t="str">
        <f t="shared" si="38"/>
        <v/>
      </c>
      <c r="DQ29" s="822" t="str">
        <f t="shared" si="39"/>
        <v/>
      </c>
      <c r="DR29" s="822" t="str">
        <f t="shared" si="40"/>
        <v/>
      </c>
      <c r="DS29" s="821">
        <f t="shared" si="41"/>
        <v>0</v>
      </c>
      <c r="DT29" s="821">
        <f t="shared" si="42"/>
        <v>0</v>
      </c>
      <c r="DU29" s="821" t="str">
        <f t="shared" si="43"/>
        <v/>
      </c>
      <c r="DV29" s="822" t="str">
        <f t="shared" si="44"/>
        <v/>
      </c>
      <c r="DW29" s="856" t="str">
        <f t="shared" si="45"/>
        <v/>
      </c>
      <c r="DX29" s="1006">
        <f t="shared" si="118"/>
        <v>0</v>
      </c>
      <c r="DY29" s="822">
        <f t="shared" si="46"/>
        <v>0</v>
      </c>
      <c r="DZ29" s="821">
        <f t="shared" si="47"/>
        <v>0</v>
      </c>
      <c r="EA29" s="821" t="str">
        <f t="shared" si="48"/>
        <v/>
      </c>
      <c r="EB29" s="822" t="str">
        <f t="shared" si="119"/>
        <v/>
      </c>
      <c r="EC29" s="856" t="str">
        <f t="shared" si="49"/>
        <v/>
      </c>
      <c r="ED29" s="1006">
        <f t="shared" si="120"/>
        <v>0</v>
      </c>
      <c r="EE29" s="1293" t="str">
        <f t="shared" si="50"/>
        <v/>
      </c>
      <c r="EF29" s="822" t="str">
        <f t="shared" si="121"/>
        <v/>
      </c>
      <c r="EG29" s="822" t="str">
        <f t="shared" si="122"/>
        <v/>
      </c>
      <c r="EH29" s="856" t="e">
        <f t="shared" si="51"/>
        <v>#N/A</v>
      </c>
      <c r="EI29" s="856" t="e">
        <f t="shared" si="52"/>
        <v>#N/A</v>
      </c>
      <c r="EJ29" s="822" t="str">
        <f t="shared" si="123"/>
        <v/>
      </c>
      <c r="EK29" s="822" t="str">
        <f t="shared" si="124"/>
        <v/>
      </c>
      <c r="EL29" s="1293" t="str">
        <f t="shared" si="54"/>
        <v/>
      </c>
      <c r="EM29" s="822" t="str">
        <f t="shared" si="125"/>
        <v/>
      </c>
      <c r="EN29" s="822" t="str">
        <f t="shared" si="126"/>
        <v/>
      </c>
      <c r="EO29" s="856" t="e">
        <f t="shared" si="55"/>
        <v>#N/A</v>
      </c>
      <c r="EP29" s="856" t="e">
        <f t="shared" si="56"/>
        <v>#N/A</v>
      </c>
      <c r="EQ29" s="822" t="str">
        <f t="shared" si="57"/>
        <v/>
      </c>
      <c r="ER29" s="822" t="str">
        <f t="shared" si="57"/>
        <v/>
      </c>
      <c r="ES29" s="822" t="str">
        <f t="shared" si="58"/>
        <v/>
      </c>
      <c r="ET29" s="822" t="str">
        <f t="shared" si="59"/>
        <v/>
      </c>
      <c r="EU29" s="829" t="str">
        <f t="shared" si="60"/>
        <v/>
      </c>
      <c r="EV29" s="824" t="str">
        <f t="shared" si="127"/>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61"/>
        <v/>
      </c>
      <c r="FA29" s="829" t="str">
        <f>IF(AND(DE29="G", ISBLANK(BW29), ISBLANK(BX29)),VLOOKUP(MIN(BT29:BU29),TblJoistSize!$M$3:$N$10,2),IF(OR(DE29="B", DE29="G"),MIN(BW29:BX29),""))</f>
        <v/>
      </c>
      <c r="FB29" s="829" t="str">
        <f>IF(AND(DE29="G", ISBLANK(BW29), ISBLANK(BX29)),VLOOKUP(MAX(BT29:BU29),TblJoistSize!$M$3:$N$10,2),IF(OR(DE29="B", DE29="G"),MAX(BW29:BX29),""))</f>
        <v/>
      </c>
      <c r="FC29" s="829" t="str">
        <f t="shared" si="62"/>
        <v/>
      </c>
      <c r="FD29" s="822">
        <f t="shared" si="63"/>
        <v>0</v>
      </c>
      <c r="FE29" s="822">
        <f t="shared" si="64"/>
        <v>0</v>
      </c>
      <c r="FF29" s="821">
        <f t="shared" si="65"/>
        <v>0</v>
      </c>
      <c r="FG29" s="821" t="str">
        <f t="shared" si="66"/>
        <v/>
      </c>
      <c r="FH29" s="822" t="str">
        <f t="shared" si="67"/>
        <v/>
      </c>
      <c r="FI29" s="822">
        <f t="shared" si="68"/>
        <v>0</v>
      </c>
      <c r="FJ29" s="822">
        <f t="shared" si="69"/>
        <v>0</v>
      </c>
      <c r="FK29" s="821">
        <f t="shared" si="70"/>
        <v>0</v>
      </c>
      <c r="FL29" s="821" t="str">
        <f t="shared" si="71"/>
        <v/>
      </c>
      <c r="FM29" s="822" t="str">
        <f t="shared" si="72"/>
        <v/>
      </c>
      <c r="FN29" s="822" t="e">
        <f t="shared" si="73"/>
        <v>#VALUE!</v>
      </c>
      <c r="FO29" s="940" t="e">
        <f t="shared" si="74"/>
        <v>#VALUE!</v>
      </c>
      <c r="FP29" s="940" t="e">
        <f t="shared" si="75"/>
        <v>#VALUE!</v>
      </c>
      <c r="FQ29" s="830" t="e">
        <f t="shared" si="76"/>
        <v>#VALUE!</v>
      </c>
      <c r="FR29" s="831" t="e">
        <f t="shared" si="77"/>
        <v>#VALUE!</v>
      </c>
      <c r="FS29" s="832" t="str">
        <f t="shared" si="78"/>
        <v/>
      </c>
      <c r="FT29" s="833" t="str">
        <f t="shared" si="79"/>
        <v/>
      </c>
      <c r="FU29" s="870">
        <f t="shared" si="80"/>
        <v>0</v>
      </c>
      <c r="FV29" s="871">
        <f t="shared" si="81"/>
        <v>0</v>
      </c>
      <c r="GA29" s="1791" t="str">
        <f t="shared" si="82"/>
        <v/>
      </c>
      <c r="GB29" s="1792" t="str">
        <f t="shared" si="83"/>
        <v/>
      </c>
      <c r="GC29" s="1793" t="str">
        <f t="shared" si="84"/>
        <v/>
      </c>
      <c r="GD29" s="1794" t="str">
        <f t="shared" si="85"/>
        <v/>
      </c>
      <c r="GE29" s="1795" t="str">
        <f t="shared" si="86"/>
        <v/>
      </c>
      <c r="GF29" s="600" t="str">
        <f t="shared" si="87"/>
        <v/>
      </c>
      <c r="GG29" s="1130"/>
      <c r="GH29" s="1131"/>
      <c r="GI29" s="1130"/>
      <c r="GJ29" s="1131"/>
      <c r="GK29" s="1636">
        <f t="shared" si="88"/>
        <v>0</v>
      </c>
      <c r="GL29" s="1636" t="e">
        <f t="shared" si="89"/>
        <v>#VALUE!</v>
      </c>
      <c r="GM29" s="1637" t="e">
        <f>IF(ABS(GK29-GL29)&gt;='Job Info.'!$L$22,ABS(GK29-GL29),0)</f>
        <v>#VALUE!</v>
      </c>
      <c r="GZ29" s="415"/>
      <c r="HA29" s="1391"/>
      <c r="HB29" s="1392"/>
      <c r="HC29" s="1392"/>
      <c r="HD29" s="1393"/>
      <c r="HE29" s="1394"/>
      <c r="HF29" s="1392"/>
      <c r="HG29" s="1392"/>
      <c r="HH29" s="1392"/>
      <c r="HI29" s="1395"/>
      <c r="HJ29" s="1392"/>
      <c r="HK29" s="1392"/>
      <c r="HL29" s="1392"/>
      <c r="HM29" s="1392"/>
      <c r="HN29" s="1392"/>
      <c r="HO29" s="1392"/>
      <c r="HP29" s="1392"/>
      <c r="HQ29" s="1395"/>
      <c r="HR29" s="1392"/>
      <c r="HS29" s="1392"/>
      <c r="HT29" s="1392"/>
      <c r="HU29" s="1392"/>
      <c r="HV29" s="1392"/>
      <c r="HW29" s="1394"/>
      <c r="HX29" s="1394"/>
      <c r="HY29" s="1394"/>
      <c r="HZ29" s="1394"/>
      <c r="IA29" s="1394"/>
      <c r="IB29" s="1394"/>
      <c r="IC29" s="1394"/>
      <c r="ID29" s="1394"/>
      <c r="IE29" s="1394"/>
      <c r="IF29" s="1396"/>
    </row>
    <row r="30" spans="1:240" ht="12.6" customHeight="1" x14ac:dyDescent="0.25">
      <c r="A30" s="1448" t="str">
        <f t="shared" si="1"/>
        <v/>
      </c>
      <c r="B30" s="1681" t="str">
        <f t="shared" si="2"/>
        <v/>
      </c>
      <c r="C30" s="1449" t="str">
        <f t="shared" si="3"/>
        <v/>
      </c>
      <c r="D30" s="1705" t="str">
        <f t="shared" si="95"/>
        <v/>
      </c>
      <c r="E30" s="1778" t="str">
        <f t="shared" si="96"/>
        <v/>
      </c>
      <c r="F30" s="1708" t="str">
        <f t="shared" si="97"/>
        <v/>
      </c>
      <c r="G30" s="1709" t="str">
        <f t="shared" si="98"/>
        <v/>
      </c>
      <c r="H30" s="1779" t="str">
        <f t="shared" si="99"/>
        <v/>
      </c>
      <c r="I30" s="1705" t="str">
        <f t="shared" si="100"/>
        <v/>
      </c>
      <c r="J30" s="1709" t="str">
        <f t="shared" si="101"/>
        <v/>
      </c>
      <c r="K30" s="1780" t="str">
        <f t="shared" si="102"/>
        <v/>
      </c>
      <c r="L30" s="1712" t="str">
        <f t="shared" si="103"/>
        <v/>
      </c>
      <c r="M30" s="1713" t="str">
        <f t="shared" si="104"/>
        <v/>
      </c>
      <c r="N30" s="1708" t="str">
        <f t="shared" si="105"/>
        <v/>
      </c>
      <c r="O30" s="1709" t="str">
        <f t="shared" si="106"/>
        <v/>
      </c>
      <c r="P30" s="1710" t="str">
        <f t="shared" si="107"/>
        <v/>
      </c>
      <c r="Q30" s="1705" t="str">
        <f t="shared" si="108"/>
        <v/>
      </c>
      <c r="R30" s="1709" t="str">
        <f t="shared" si="109"/>
        <v/>
      </c>
      <c r="S30" s="1753" t="str">
        <f t="shared" si="110"/>
        <v/>
      </c>
      <c r="T30" s="1708" t="str">
        <f t="shared" si="111"/>
        <v/>
      </c>
      <c r="U30" s="1709" t="str">
        <f t="shared" si="112"/>
        <v/>
      </c>
      <c r="V30" s="1705" t="str">
        <f t="shared" si="113"/>
        <v/>
      </c>
      <c r="W30" s="1709" t="str">
        <f t="shared" si="114"/>
        <v/>
      </c>
      <c r="X30" s="1750">
        <f t="shared" si="115"/>
        <v>0</v>
      </c>
      <c r="Y30" s="1781" t="str">
        <f t="shared" si="116"/>
        <v/>
      </c>
      <c r="Z30" s="1782" t="str">
        <f t="shared" si="117"/>
        <v/>
      </c>
      <c r="AA30" s="1783" t="str">
        <f t="shared" si="5"/>
        <v/>
      </c>
      <c r="AB30" s="1413"/>
      <c r="AC30" s="964" t="b">
        <v>0</v>
      </c>
      <c r="AD30" s="441">
        <f t="shared" si="6"/>
        <v>0</v>
      </c>
      <c r="AE30" s="442">
        <f t="shared" si="7"/>
        <v>0</v>
      </c>
      <c r="AF30" s="442">
        <f t="shared" si="8"/>
        <v>0</v>
      </c>
      <c r="AG30" s="442">
        <f t="shared" si="9"/>
        <v>0</v>
      </c>
      <c r="AH30" s="443">
        <f t="shared" si="10"/>
        <v>0</v>
      </c>
      <c r="AI30" s="444" t="b">
        <v>0</v>
      </c>
      <c r="AJ30" s="238">
        <f t="shared" si="128"/>
        <v>0</v>
      </c>
      <c r="AK30" s="238" t="str">
        <f t="shared" si="11"/>
        <v/>
      </c>
      <c r="AL30" s="1290" t="str">
        <f t="shared" si="12"/>
        <v/>
      </c>
      <c r="AM30" s="238" t="str">
        <f t="shared" si="13"/>
        <v/>
      </c>
      <c r="AN30" s="238" t="str">
        <f t="shared" si="14"/>
        <v/>
      </c>
      <c r="AO30" s="238" t="str">
        <f t="shared" si="15"/>
        <v/>
      </c>
      <c r="AP30" s="830" t="b">
        <f>IF(ISERROR(AJ30),FALSE,IF(OR(AJ30=0,ISERROR(AL30),ISERROR(AM30),ISERROR(AN30),ISERROR(AO30)),FALSE,IF(AL30&lt;&gt;"",IF(ISERROR(VLOOKUP(SUBSTITUTE(SUBSTITUTE(C30,"R",""),"A",""),TblJoistSize!$A:$A,1,FALSE)),FALSE,TRUE),TRUE)))</f>
        <v>0</v>
      </c>
      <c r="AQ30" s="1038" t="e">
        <f t="shared" si="16"/>
        <v>#N/A</v>
      </c>
      <c r="AR30" s="945" t="b">
        <f t="shared" si="92"/>
        <v>0</v>
      </c>
      <c r="AS30" s="1038" t="e">
        <f t="shared" si="17"/>
        <v>#N/A</v>
      </c>
      <c r="AT30" s="945" t="b">
        <f t="shared" si="93"/>
        <v>0</v>
      </c>
      <c r="AU30" s="1291" t="str">
        <f t="shared" si="18"/>
        <v/>
      </c>
      <c r="AV30" s="830" t="str">
        <f t="shared" si="19"/>
        <v/>
      </c>
      <c r="AW30" s="830" t="str">
        <f t="shared" si="90"/>
        <v/>
      </c>
      <c r="AX30" s="830" t="str">
        <f t="shared" si="94"/>
        <v/>
      </c>
      <c r="AY30" s="464" t="b">
        <f t="shared" si="20"/>
        <v>0</v>
      </c>
      <c r="AZ30" s="856" t="str">
        <f t="shared" si="91"/>
        <v/>
      </c>
      <c r="BA30" s="549"/>
      <c r="BB30" s="672"/>
      <c r="BC30" s="1684"/>
      <c r="BD30" s="733"/>
      <c r="BE30" s="734"/>
      <c r="BF30" s="735"/>
      <c r="BG30" s="672"/>
      <c r="BH30" s="982"/>
      <c r="BI30" s="983"/>
      <c r="BJ30" s="1625"/>
      <c r="BK30" s="982"/>
      <c r="BL30" s="983"/>
      <c r="BM30" s="1569"/>
      <c r="BN30" s="1570"/>
      <c r="BO30" s="1617" t="str">
        <f>IF(ISERROR(CU30),"",IF(CU30="","",IF(VLOOKUP(BG30,SectInfo!$B:$N,10,FALSE)="","","X")))</f>
        <v/>
      </c>
      <c r="BP30" s="1561"/>
      <c r="BQ30" s="1562" t="str">
        <f t="shared" si="21"/>
        <v/>
      </c>
      <c r="BR30" s="1563"/>
      <c r="BS30" s="672"/>
      <c r="BT30" s="982"/>
      <c r="BU30" s="983"/>
      <c r="BV30" s="1625"/>
      <c r="BW30" s="982"/>
      <c r="BX30" s="983"/>
      <c r="BY30" s="1569"/>
      <c r="BZ30" s="1570"/>
      <c r="CA30" s="1617" t="str">
        <f>IF(ISERROR(DE30),"",IF(DE30="","",IF(VLOOKUP(BS30,SectInfo!$B:$N,10,FALSE)="","","X")))</f>
        <v/>
      </c>
      <c r="CB30" s="1561"/>
      <c r="CC30" s="1562" t="str">
        <f t="shared" si="22"/>
        <v/>
      </c>
      <c r="CD30" s="1563"/>
      <c r="CE30" s="1574"/>
      <c r="CF30" s="736"/>
      <c r="CG30" s="737"/>
      <c r="CH30" s="643" t="str">
        <f t="shared" si="23"/>
        <v/>
      </c>
      <c r="CI30" s="644" t="str">
        <f t="shared" si="24"/>
        <v/>
      </c>
      <c r="CJ30" s="645" t="str">
        <f t="shared" si="25"/>
        <v/>
      </c>
      <c r="CK30" s="852" t="str">
        <f t="shared" si="26"/>
        <v/>
      </c>
      <c r="CL30" s="847" t="str">
        <f t="shared" si="27"/>
        <v/>
      </c>
      <c r="CM30" s="848" t="str">
        <f t="shared" si="28"/>
        <v/>
      </c>
      <c r="CN30" s="611" t="str">
        <f t="shared" si="29"/>
        <v/>
      </c>
      <c r="CO30" s="612" t="str">
        <f t="shared" si="30"/>
        <v/>
      </c>
      <c r="CP30" s="615" t="str">
        <f t="shared" si="31"/>
        <v/>
      </c>
      <c r="CQ30" s="616" t="str">
        <f t="shared" si="32"/>
        <v/>
      </c>
      <c r="CR30" s="750" t="str">
        <f t="shared" si="33"/>
        <v/>
      </c>
      <c r="CS30" s="751" t="str">
        <f t="shared" si="34"/>
        <v/>
      </c>
      <c r="CU30" s="114" t="str">
        <f>IF(BG30="","",VLOOKUP(BG30,SectInfo!$B:$N,12,FALSE))</f>
        <v/>
      </c>
      <c r="CV30" s="115" t="str">
        <f>IF(BG30="","",IF(ISBLANK(BP30),VLOOKUP(BG30,SectInfo!$B:$N,13,FALSE),BP30))</f>
        <v/>
      </c>
      <c r="CW30" s="1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115" t="str">
        <f>IF(BG30="","",IF(VLOOKUP(BG30,SectInfo!$B:$N,7,FALSE)="","",(VLOOKUP(BG30,SectInfo!$B:$N,7,FALSE)*-1)))</f>
        <v/>
      </c>
      <c r="DB30" s="815" t="str">
        <f>IF(BG30="","",IF(VLOOKUP(BG30,SectInfo!$B:$N,8,FALSE)="",VLOOKUP(AU30,$DF$2:$DN$9,6,FALSE),(VLOOKUP(BG30,SectInfo!$B:$N,8,FALSE))))</f>
        <v/>
      </c>
      <c r="DC30" s="815" t="str">
        <f>IF(BG30="","",VLOOKUP(BG30,SectInfo!$B:$N,9,FALSE))</f>
        <v/>
      </c>
      <c r="DD30" s="816">
        <f t="shared" si="35"/>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36"/>
        <v>0</v>
      </c>
      <c r="DO30" s="818">
        <f t="shared" si="37"/>
        <v>0</v>
      </c>
      <c r="DP30" s="822" t="str">
        <f t="shared" si="38"/>
        <v/>
      </c>
      <c r="DQ30" s="822" t="str">
        <f t="shared" si="39"/>
        <v/>
      </c>
      <c r="DR30" s="822" t="str">
        <f t="shared" si="40"/>
        <v/>
      </c>
      <c r="DS30" s="821">
        <f t="shared" si="41"/>
        <v>0</v>
      </c>
      <c r="DT30" s="821">
        <f t="shared" si="42"/>
        <v>0</v>
      </c>
      <c r="DU30" s="821" t="str">
        <f t="shared" si="43"/>
        <v/>
      </c>
      <c r="DV30" s="822" t="str">
        <f t="shared" si="44"/>
        <v/>
      </c>
      <c r="DW30" s="856" t="str">
        <f t="shared" si="45"/>
        <v/>
      </c>
      <c r="DX30" s="1006">
        <f t="shared" si="118"/>
        <v>0</v>
      </c>
      <c r="DY30" s="822">
        <f t="shared" si="46"/>
        <v>0</v>
      </c>
      <c r="DZ30" s="821">
        <f t="shared" si="47"/>
        <v>0</v>
      </c>
      <c r="EA30" s="821" t="str">
        <f t="shared" si="48"/>
        <v/>
      </c>
      <c r="EB30" s="822" t="str">
        <f t="shared" si="119"/>
        <v/>
      </c>
      <c r="EC30" s="856" t="str">
        <f t="shared" si="49"/>
        <v/>
      </c>
      <c r="ED30" s="1006">
        <f t="shared" si="120"/>
        <v>0</v>
      </c>
      <c r="EE30" s="1293" t="str">
        <f t="shared" si="50"/>
        <v/>
      </c>
      <c r="EF30" s="822" t="str">
        <f t="shared" si="121"/>
        <v/>
      </c>
      <c r="EG30" s="822" t="str">
        <f t="shared" si="122"/>
        <v/>
      </c>
      <c r="EH30" s="856" t="e">
        <f t="shared" si="51"/>
        <v>#N/A</v>
      </c>
      <c r="EI30" s="856" t="e">
        <f t="shared" si="52"/>
        <v>#N/A</v>
      </c>
      <c r="EJ30" s="822" t="str">
        <f t="shared" si="123"/>
        <v/>
      </c>
      <c r="EK30" s="822" t="str">
        <f t="shared" si="124"/>
        <v/>
      </c>
      <c r="EL30" s="1293" t="str">
        <f t="shared" si="54"/>
        <v/>
      </c>
      <c r="EM30" s="822" t="str">
        <f t="shared" si="125"/>
        <v/>
      </c>
      <c r="EN30" s="822" t="str">
        <f t="shared" si="126"/>
        <v/>
      </c>
      <c r="EO30" s="856" t="e">
        <f t="shared" si="55"/>
        <v>#N/A</v>
      </c>
      <c r="EP30" s="856" t="e">
        <f t="shared" si="56"/>
        <v>#N/A</v>
      </c>
      <c r="EQ30" s="822" t="str">
        <f t="shared" si="57"/>
        <v/>
      </c>
      <c r="ER30" s="822" t="str">
        <f t="shared" si="57"/>
        <v/>
      </c>
      <c r="ES30" s="822" t="str">
        <f t="shared" si="58"/>
        <v/>
      </c>
      <c r="ET30" s="822" t="str">
        <f t="shared" si="59"/>
        <v/>
      </c>
      <c r="EU30" s="829" t="str">
        <f t="shared" si="60"/>
        <v/>
      </c>
      <c r="EV30" s="824" t="str">
        <f t="shared" si="127"/>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61"/>
        <v/>
      </c>
      <c r="FA30" s="829" t="str">
        <f>IF(AND(DE30="G", ISBLANK(BW30), ISBLANK(BX30)),VLOOKUP(MIN(BT30:BU30),TblJoistSize!$M$3:$N$10,2),IF(OR(DE30="B", DE30="G"),MIN(BW30:BX30),""))</f>
        <v/>
      </c>
      <c r="FB30" s="829" t="str">
        <f>IF(AND(DE30="G", ISBLANK(BW30), ISBLANK(BX30)),VLOOKUP(MAX(BT30:BU30),TblJoistSize!$M$3:$N$10,2),IF(OR(DE30="B", DE30="G"),MAX(BW30:BX30),""))</f>
        <v/>
      </c>
      <c r="FC30" s="829" t="str">
        <f t="shared" si="62"/>
        <v/>
      </c>
      <c r="FD30" s="822">
        <f t="shared" si="63"/>
        <v>0</v>
      </c>
      <c r="FE30" s="822">
        <f t="shared" si="64"/>
        <v>0</v>
      </c>
      <c r="FF30" s="821">
        <f t="shared" si="65"/>
        <v>0</v>
      </c>
      <c r="FG30" s="821" t="str">
        <f t="shared" si="66"/>
        <v/>
      </c>
      <c r="FH30" s="822" t="str">
        <f t="shared" si="67"/>
        <v/>
      </c>
      <c r="FI30" s="822">
        <f t="shared" si="68"/>
        <v>0</v>
      </c>
      <c r="FJ30" s="822">
        <f t="shared" si="69"/>
        <v>0</v>
      </c>
      <c r="FK30" s="821">
        <f t="shared" si="70"/>
        <v>0</v>
      </c>
      <c r="FL30" s="821" t="str">
        <f t="shared" si="71"/>
        <v/>
      </c>
      <c r="FM30" s="822" t="str">
        <f t="shared" si="72"/>
        <v/>
      </c>
      <c r="FN30" s="822" t="e">
        <f t="shared" si="73"/>
        <v>#VALUE!</v>
      </c>
      <c r="FO30" s="940" t="e">
        <f t="shared" si="74"/>
        <v>#VALUE!</v>
      </c>
      <c r="FP30" s="940" t="e">
        <f t="shared" si="75"/>
        <v>#VALUE!</v>
      </c>
      <c r="FQ30" s="830" t="e">
        <f t="shared" si="76"/>
        <v>#VALUE!</v>
      </c>
      <c r="FR30" s="831" t="e">
        <f t="shared" si="77"/>
        <v>#VALUE!</v>
      </c>
      <c r="FS30" s="832" t="str">
        <f t="shared" si="78"/>
        <v/>
      </c>
      <c r="FT30" s="833" t="str">
        <f t="shared" si="79"/>
        <v/>
      </c>
      <c r="FU30" s="870">
        <f t="shared" si="80"/>
        <v>0</v>
      </c>
      <c r="FV30" s="871">
        <f t="shared" si="81"/>
        <v>0</v>
      </c>
      <c r="GA30" s="1791" t="str">
        <f t="shared" si="82"/>
        <v/>
      </c>
      <c r="GB30" s="1792" t="str">
        <f t="shared" si="83"/>
        <v/>
      </c>
      <c r="GC30" s="1793" t="str">
        <f t="shared" si="84"/>
        <v/>
      </c>
      <c r="GD30" s="1794" t="str">
        <f t="shared" si="85"/>
        <v/>
      </c>
      <c r="GE30" s="1795" t="str">
        <f t="shared" si="86"/>
        <v/>
      </c>
      <c r="GF30" s="600" t="str">
        <f t="shared" si="87"/>
        <v/>
      </c>
      <c r="GG30" s="1130"/>
      <c r="GH30" s="1131"/>
      <c r="GI30" s="1130"/>
      <c r="GJ30" s="1131"/>
      <c r="GK30" s="1636">
        <f t="shared" si="88"/>
        <v>0</v>
      </c>
      <c r="GL30" s="1636" t="e">
        <f t="shared" si="89"/>
        <v>#VALUE!</v>
      </c>
      <c r="GM30" s="1637" t="e">
        <f>IF(ABS(GK30-GL30)&gt;='Job Info.'!$L$22,ABS(GK30-GL30),0)</f>
        <v>#VALUE!</v>
      </c>
      <c r="GZ30" s="415"/>
      <c r="HA30" s="1391"/>
      <c r="HB30" s="1392"/>
      <c r="HC30" s="1392"/>
      <c r="HD30" s="1393"/>
      <c r="HE30" s="1394"/>
      <c r="HF30" s="1392"/>
      <c r="HG30" s="1392"/>
      <c r="HH30" s="1392"/>
      <c r="HI30" s="1395"/>
      <c r="HJ30" s="1392"/>
      <c r="HK30" s="1392"/>
      <c r="HL30" s="1392"/>
      <c r="HM30" s="1392"/>
      <c r="HN30" s="1392"/>
      <c r="HO30" s="1392"/>
      <c r="HP30" s="1392"/>
      <c r="HQ30" s="1395"/>
      <c r="HR30" s="1392"/>
      <c r="HS30" s="1392"/>
      <c r="HT30" s="1392"/>
      <c r="HU30" s="1392"/>
      <c r="HV30" s="1392"/>
      <c r="HW30" s="1394"/>
      <c r="HX30" s="1394"/>
      <c r="HY30" s="1394"/>
      <c r="HZ30" s="1394"/>
      <c r="IA30" s="1394"/>
      <c r="IB30" s="1394"/>
      <c r="IC30" s="1394"/>
      <c r="ID30" s="1394"/>
      <c r="IE30" s="1394"/>
      <c r="IF30" s="1396"/>
    </row>
    <row r="31" spans="1:240" ht="12.6" customHeight="1" x14ac:dyDescent="0.25">
      <c r="A31" s="1448" t="str">
        <f t="shared" si="1"/>
        <v/>
      </c>
      <c r="B31" s="1681" t="str">
        <f t="shared" si="2"/>
        <v/>
      </c>
      <c r="C31" s="1449" t="str">
        <f t="shared" si="3"/>
        <v/>
      </c>
      <c r="D31" s="1705" t="str">
        <f t="shared" si="95"/>
        <v/>
      </c>
      <c r="E31" s="1778" t="str">
        <f t="shared" si="96"/>
        <v/>
      </c>
      <c r="F31" s="1708" t="str">
        <f t="shared" si="97"/>
        <v/>
      </c>
      <c r="G31" s="1709" t="str">
        <f t="shared" si="98"/>
        <v/>
      </c>
      <c r="H31" s="1779" t="str">
        <f t="shared" si="99"/>
        <v/>
      </c>
      <c r="I31" s="1705" t="str">
        <f t="shared" si="100"/>
        <v/>
      </c>
      <c r="J31" s="1709" t="str">
        <f t="shared" si="101"/>
        <v/>
      </c>
      <c r="K31" s="1780" t="str">
        <f t="shared" si="102"/>
        <v/>
      </c>
      <c r="L31" s="1712" t="str">
        <f t="shared" si="103"/>
        <v/>
      </c>
      <c r="M31" s="1713" t="str">
        <f t="shared" si="104"/>
        <v/>
      </c>
      <c r="N31" s="1708" t="str">
        <f t="shared" si="105"/>
        <v/>
      </c>
      <c r="O31" s="1709" t="str">
        <f t="shared" si="106"/>
        <v/>
      </c>
      <c r="P31" s="1710" t="str">
        <f t="shared" si="107"/>
        <v/>
      </c>
      <c r="Q31" s="1705" t="str">
        <f t="shared" si="108"/>
        <v/>
      </c>
      <c r="R31" s="1709" t="str">
        <f t="shared" si="109"/>
        <v/>
      </c>
      <c r="S31" s="1753" t="str">
        <f t="shared" si="110"/>
        <v/>
      </c>
      <c r="T31" s="1708" t="str">
        <f t="shared" si="111"/>
        <v/>
      </c>
      <c r="U31" s="1709" t="str">
        <f t="shared" si="112"/>
        <v/>
      </c>
      <c r="V31" s="1705" t="str">
        <f t="shared" si="113"/>
        <v/>
      </c>
      <c r="W31" s="1709" t="str">
        <f t="shared" si="114"/>
        <v/>
      </c>
      <c r="X31" s="1750">
        <f t="shared" si="115"/>
        <v>0</v>
      </c>
      <c r="Y31" s="1781" t="str">
        <f t="shared" si="116"/>
        <v/>
      </c>
      <c r="Z31" s="1782" t="str">
        <f t="shared" si="117"/>
        <v/>
      </c>
      <c r="AA31" s="1783" t="str">
        <f t="shared" si="5"/>
        <v/>
      </c>
      <c r="AB31" s="1413"/>
      <c r="AC31" s="964" t="b">
        <v>0</v>
      </c>
      <c r="AD31" s="441">
        <f t="shared" si="6"/>
        <v>0</v>
      </c>
      <c r="AE31" s="442">
        <f t="shared" si="7"/>
        <v>0</v>
      </c>
      <c r="AF31" s="442">
        <f t="shared" si="8"/>
        <v>0</v>
      </c>
      <c r="AG31" s="442">
        <f t="shared" si="9"/>
        <v>0</v>
      </c>
      <c r="AH31" s="443">
        <f t="shared" si="10"/>
        <v>0</v>
      </c>
      <c r="AI31" s="444" t="b">
        <v>0</v>
      </c>
      <c r="AJ31" s="238">
        <f t="shared" si="128"/>
        <v>0</v>
      </c>
      <c r="AK31" s="238" t="str">
        <f t="shared" si="11"/>
        <v/>
      </c>
      <c r="AL31" s="1290" t="str">
        <f t="shared" si="12"/>
        <v/>
      </c>
      <c r="AM31" s="238" t="str">
        <f t="shared" si="13"/>
        <v/>
      </c>
      <c r="AN31" s="238" t="str">
        <f t="shared" si="14"/>
        <v/>
      </c>
      <c r="AO31" s="238" t="str">
        <f t="shared" si="15"/>
        <v/>
      </c>
      <c r="AP31" s="830" t="b">
        <f>IF(ISERROR(AJ31),FALSE,IF(OR(AJ31=0,ISERROR(AL31),ISERROR(AM31),ISERROR(AN31),ISERROR(AO31)),FALSE,IF(AL31&lt;&gt;"",IF(ISERROR(VLOOKUP(SUBSTITUTE(SUBSTITUTE(C31,"R",""),"A",""),TblJoistSize!$A:$A,1,FALSE)),FALSE,TRUE),TRUE)))</f>
        <v>0</v>
      </c>
      <c r="AQ31" s="1038" t="e">
        <f t="shared" si="16"/>
        <v>#N/A</v>
      </c>
      <c r="AR31" s="945" t="b">
        <f t="shared" si="92"/>
        <v>0</v>
      </c>
      <c r="AS31" s="1038" t="e">
        <f t="shared" si="17"/>
        <v>#N/A</v>
      </c>
      <c r="AT31" s="945" t="b">
        <f t="shared" si="93"/>
        <v>0</v>
      </c>
      <c r="AU31" s="1291" t="str">
        <f t="shared" si="18"/>
        <v/>
      </c>
      <c r="AV31" s="830" t="str">
        <f t="shared" si="19"/>
        <v/>
      </c>
      <c r="AW31" s="830" t="str">
        <f t="shared" si="90"/>
        <v/>
      </c>
      <c r="AX31" s="830" t="str">
        <f t="shared" si="94"/>
        <v/>
      </c>
      <c r="AY31" s="464" t="b">
        <f t="shared" si="20"/>
        <v>0</v>
      </c>
      <c r="AZ31" s="856" t="str">
        <f t="shared" si="91"/>
        <v/>
      </c>
      <c r="BA31" s="549"/>
      <c r="BB31" s="672"/>
      <c r="BC31" s="1684"/>
      <c r="BD31" s="733"/>
      <c r="BE31" s="734"/>
      <c r="BF31" s="735"/>
      <c r="BG31" s="672"/>
      <c r="BH31" s="982"/>
      <c r="BI31" s="983"/>
      <c r="BJ31" s="1625"/>
      <c r="BK31" s="982"/>
      <c r="BL31" s="983"/>
      <c r="BM31" s="1569"/>
      <c r="BN31" s="1570"/>
      <c r="BO31" s="1617" t="str">
        <f>IF(ISERROR(CU31),"",IF(CU31="","",IF(VLOOKUP(BG31,SectInfo!$B:$N,10,FALSE)="","","X")))</f>
        <v/>
      </c>
      <c r="BP31" s="1561"/>
      <c r="BQ31" s="1562" t="str">
        <f t="shared" si="21"/>
        <v/>
      </c>
      <c r="BR31" s="1563"/>
      <c r="BS31" s="672"/>
      <c r="BT31" s="982"/>
      <c r="BU31" s="983"/>
      <c r="BV31" s="1625"/>
      <c r="BW31" s="982"/>
      <c r="BX31" s="983"/>
      <c r="BY31" s="1569"/>
      <c r="BZ31" s="1570"/>
      <c r="CA31" s="1617" t="str">
        <f>IF(ISERROR(DE31),"",IF(DE31="","",IF(VLOOKUP(BS31,SectInfo!$B:$N,10,FALSE)="","","X")))</f>
        <v/>
      </c>
      <c r="CB31" s="1561"/>
      <c r="CC31" s="1562" t="str">
        <f t="shared" si="22"/>
        <v/>
      </c>
      <c r="CD31" s="1563"/>
      <c r="CE31" s="1574"/>
      <c r="CF31" s="736"/>
      <c r="CG31" s="737"/>
      <c r="CH31" s="643" t="str">
        <f t="shared" si="23"/>
        <v/>
      </c>
      <c r="CI31" s="644" t="str">
        <f t="shared" si="24"/>
        <v/>
      </c>
      <c r="CJ31" s="645" t="str">
        <f t="shared" si="25"/>
        <v/>
      </c>
      <c r="CK31" s="852" t="str">
        <f t="shared" si="26"/>
        <v/>
      </c>
      <c r="CL31" s="847" t="str">
        <f t="shared" si="27"/>
        <v/>
      </c>
      <c r="CM31" s="848" t="str">
        <f t="shared" si="28"/>
        <v/>
      </c>
      <c r="CN31" s="611" t="str">
        <f t="shared" si="29"/>
        <v/>
      </c>
      <c r="CO31" s="612" t="str">
        <f t="shared" si="30"/>
        <v/>
      </c>
      <c r="CP31" s="615" t="str">
        <f t="shared" si="31"/>
        <v/>
      </c>
      <c r="CQ31" s="616" t="str">
        <f t="shared" si="32"/>
        <v/>
      </c>
      <c r="CR31" s="750" t="str">
        <f t="shared" si="33"/>
        <v/>
      </c>
      <c r="CS31" s="751" t="str">
        <f t="shared" si="34"/>
        <v/>
      </c>
      <c r="CU31" s="114" t="str">
        <f>IF(BG31="","",VLOOKUP(BG31,SectInfo!$B:$N,12,FALSE))</f>
        <v/>
      </c>
      <c r="CV31" s="115" t="str">
        <f>IF(BG31="","",IF(ISBLANK(BP31),VLOOKUP(BG31,SectInfo!$B:$N,13,FALSE),BP31))</f>
        <v/>
      </c>
      <c r="CW31" s="1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115" t="str">
        <f>IF(BG31="","",IF(VLOOKUP(BG31,SectInfo!$B:$N,7,FALSE)="","",(VLOOKUP(BG31,SectInfo!$B:$N,7,FALSE)*-1)))</f>
        <v/>
      </c>
      <c r="DB31" s="815" t="str">
        <f>IF(BG31="","",IF(VLOOKUP(BG31,SectInfo!$B:$N,8,FALSE)="",VLOOKUP(AU31,$DF$2:$DN$9,6,FALSE),(VLOOKUP(BG31,SectInfo!$B:$N,8,FALSE))))</f>
        <v/>
      </c>
      <c r="DC31" s="815" t="str">
        <f>IF(BG31="","",VLOOKUP(BG31,SectInfo!$B:$N,9,FALSE))</f>
        <v/>
      </c>
      <c r="DD31" s="816">
        <f t="shared" si="35"/>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36"/>
        <v>0</v>
      </c>
      <c r="DO31" s="818">
        <f t="shared" si="37"/>
        <v>0</v>
      </c>
      <c r="DP31" s="822" t="str">
        <f t="shared" si="38"/>
        <v/>
      </c>
      <c r="DQ31" s="822" t="str">
        <f t="shared" si="39"/>
        <v/>
      </c>
      <c r="DR31" s="822" t="str">
        <f t="shared" si="40"/>
        <v/>
      </c>
      <c r="DS31" s="821">
        <f t="shared" si="41"/>
        <v>0</v>
      </c>
      <c r="DT31" s="821">
        <f t="shared" si="42"/>
        <v>0</v>
      </c>
      <c r="DU31" s="821" t="str">
        <f t="shared" si="43"/>
        <v/>
      </c>
      <c r="DV31" s="822" t="str">
        <f t="shared" si="44"/>
        <v/>
      </c>
      <c r="DW31" s="856" t="str">
        <f t="shared" si="45"/>
        <v/>
      </c>
      <c r="DX31" s="1006">
        <f t="shared" si="118"/>
        <v>0</v>
      </c>
      <c r="DY31" s="822">
        <f t="shared" si="46"/>
        <v>0</v>
      </c>
      <c r="DZ31" s="821">
        <f t="shared" si="47"/>
        <v>0</v>
      </c>
      <c r="EA31" s="821" t="str">
        <f t="shared" si="48"/>
        <v/>
      </c>
      <c r="EB31" s="822" t="str">
        <f t="shared" si="119"/>
        <v/>
      </c>
      <c r="EC31" s="856" t="str">
        <f t="shared" si="49"/>
        <v/>
      </c>
      <c r="ED31" s="1006">
        <f t="shared" si="120"/>
        <v>0</v>
      </c>
      <c r="EE31" s="1293" t="str">
        <f t="shared" si="50"/>
        <v/>
      </c>
      <c r="EF31" s="822" t="str">
        <f t="shared" si="121"/>
        <v/>
      </c>
      <c r="EG31" s="822" t="str">
        <f t="shared" si="122"/>
        <v/>
      </c>
      <c r="EH31" s="856" t="e">
        <f t="shared" si="51"/>
        <v>#N/A</v>
      </c>
      <c r="EI31" s="856" t="e">
        <f t="shared" si="52"/>
        <v>#N/A</v>
      </c>
      <c r="EJ31" s="822" t="str">
        <f t="shared" si="123"/>
        <v/>
      </c>
      <c r="EK31" s="822" t="str">
        <f t="shared" si="124"/>
        <v/>
      </c>
      <c r="EL31" s="1293" t="str">
        <f t="shared" si="54"/>
        <v/>
      </c>
      <c r="EM31" s="822" t="str">
        <f t="shared" si="125"/>
        <v/>
      </c>
      <c r="EN31" s="822" t="str">
        <f t="shared" si="126"/>
        <v/>
      </c>
      <c r="EO31" s="856" t="e">
        <f t="shared" si="55"/>
        <v>#N/A</v>
      </c>
      <c r="EP31" s="856" t="e">
        <f t="shared" si="56"/>
        <v>#N/A</v>
      </c>
      <c r="EQ31" s="822" t="str">
        <f t="shared" si="57"/>
        <v/>
      </c>
      <c r="ER31" s="822" t="str">
        <f t="shared" si="57"/>
        <v/>
      </c>
      <c r="ES31" s="822" t="str">
        <f t="shared" si="58"/>
        <v/>
      </c>
      <c r="ET31" s="822" t="str">
        <f t="shared" si="59"/>
        <v/>
      </c>
      <c r="EU31" s="829" t="str">
        <f t="shared" si="60"/>
        <v/>
      </c>
      <c r="EV31" s="824" t="str">
        <f t="shared" si="127"/>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61"/>
        <v/>
      </c>
      <c r="FA31" s="829" t="str">
        <f>IF(AND(DE31="G", ISBLANK(BW31), ISBLANK(BX31)),VLOOKUP(MIN(BT31:BU31),TblJoistSize!$M$3:$N$10,2),IF(OR(DE31="B", DE31="G"),MIN(BW31:BX31),""))</f>
        <v/>
      </c>
      <c r="FB31" s="829" t="str">
        <f>IF(AND(DE31="G", ISBLANK(BW31), ISBLANK(BX31)),VLOOKUP(MAX(BT31:BU31),TblJoistSize!$M$3:$N$10,2),IF(OR(DE31="B", DE31="G"),MAX(BW31:BX31),""))</f>
        <v/>
      </c>
      <c r="FC31" s="829" t="str">
        <f t="shared" si="62"/>
        <v/>
      </c>
      <c r="FD31" s="822">
        <f t="shared" si="63"/>
        <v>0</v>
      </c>
      <c r="FE31" s="822">
        <f t="shared" si="64"/>
        <v>0</v>
      </c>
      <c r="FF31" s="821">
        <f t="shared" si="65"/>
        <v>0</v>
      </c>
      <c r="FG31" s="821" t="str">
        <f t="shared" si="66"/>
        <v/>
      </c>
      <c r="FH31" s="822" t="str">
        <f t="shared" si="67"/>
        <v/>
      </c>
      <c r="FI31" s="822">
        <f t="shared" si="68"/>
        <v>0</v>
      </c>
      <c r="FJ31" s="822">
        <f t="shared" si="69"/>
        <v>0</v>
      </c>
      <c r="FK31" s="821">
        <f t="shared" si="70"/>
        <v>0</v>
      </c>
      <c r="FL31" s="821" t="str">
        <f t="shared" si="71"/>
        <v/>
      </c>
      <c r="FM31" s="822" t="str">
        <f t="shared" si="72"/>
        <v/>
      </c>
      <c r="FN31" s="822" t="e">
        <f t="shared" si="73"/>
        <v>#VALUE!</v>
      </c>
      <c r="FO31" s="940" t="e">
        <f t="shared" si="74"/>
        <v>#VALUE!</v>
      </c>
      <c r="FP31" s="940" t="e">
        <f t="shared" si="75"/>
        <v>#VALUE!</v>
      </c>
      <c r="FQ31" s="830" t="e">
        <f t="shared" si="76"/>
        <v>#VALUE!</v>
      </c>
      <c r="FR31" s="831" t="e">
        <f t="shared" si="77"/>
        <v>#VALUE!</v>
      </c>
      <c r="FS31" s="832" t="str">
        <f t="shared" si="78"/>
        <v/>
      </c>
      <c r="FT31" s="833" t="str">
        <f t="shared" si="79"/>
        <v/>
      </c>
      <c r="FU31" s="870">
        <f t="shared" si="80"/>
        <v>0</v>
      </c>
      <c r="FV31" s="871">
        <f t="shared" si="81"/>
        <v>0</v>
      </c>
      <c r="GA31" s="1791" t="str">
        <f t="shared" si="82"/>
        <v/>
      </c>
      <c r="GB31" s="1792" t="str">
        <f t="shared" si="83"/>
        <v/>
      </c>
      <c r="GC31" s="1793" t="str">
        <f t="shared" si="84"/>
        <v/>
      </c>
      <c r="GD31" s="1794" t="str">
        <f t="shared" si="85"/>
        <v/>
      </c>
      <c r="GE31" s="1795" t="str">
        <f t="shared" si="86"/>
        <v/>
      </c>
      <c r="GF31" s="600" t="str">
        <f t="shared" si="87"/>
        <v/>
      </c>
      <c r="GG31" s="1130"/>
      <c r="GH31" s="1131"/>
      <c r="GI31" s="1130"/>
      <c r="GJ31" s="1131"/>
      <c r="GK31" s="1636">
        <f t="shared" si="88"/>
        <v>0</v>
      </c>
      <c r="GL31" s="1636" t="e">
        <f t="shared" si="89"/>
        <v>#VALUE!</v>
      </c>
      <c r="GM31" s="1637" t="e">
        <f>IF(ABS(GK31-GL31)&gt;='Job Info.'!$L$22,ABS(GK31-GL31),0)</f>
        <v>#VALUE!</v>
      </c>
      <c r="GZ31" s="415"/>
      <c r="HA31" s="1391"/>
      <c r="HB31" s="1392"/>
      <c r="HC31" s="1392"/>
      <c r="HD31" s="1393"/>
      <c r="HE31" s="1394"/>
      <c r="HF31" s="1392"/>
      <c r="HG31" s="1392"/>
      <c r="HH31" s="1392"/>
      <c r="HI31" s="1395"/>
      <c r="HJ31" s="1392"/>
      <c r="HK31" s="1392"/>
      <c r="HL31" s="1392"/>
      <c r="HM31" s="1392"/>
      <c r="HN31" s="1392"/>
      <c r="HO31" s="1392"/>
      <c r="HP31" s="1392"/>
      <c r="HQ31" s="1395"/>
      <c r="HR31" s="1392"/>
      <c r="HS31" s="1392"/>
      <c r="HT31" s="1392"/>
      <c r="HU31" s="1392"/>
      <c r="HV31" s="1392"/>
      <c r="HW31" s="1394"/>
      <c r="HX31" s="1394"/>
      <c r="HY31" s="1394"/>
      <c r="HZ31" s="1394"/>
      <c r="IA31" s="1394"/>
      <c r="IB31" s="1394"/>
      <c r="IC31" s="1394"/>
      <c r="ID31" s="1394"/>
      <c r="IE31" s="1394"/>
      <c r="IF31" s="1396"/>
    </row>
    <row r="32" spans="1:240" ht="12.6" customHeight="1" x14ac:dyDescent="0.25">
      <c r="A32" s="1448" t="str">
        <f t="shared" si="1"/>
        <v/>
      </c>
      <c r="B32" s="1681" t="str">
        <f t="shared" si="2"/>
        <v/>
      </c>
      <c r="C32" s="1449" t="str">
        <f t="shared" si="3"/>
        <v/>
      </c>
      <c r="D32" s="1705" t="str">
        <f t="shared" si="95"/>
        <v/>
      </c>
      <c r="E32" s="1778" t="str">
        <f t="shared" si="96"/>
        <v/>
      </c>
      <c r="F32" s="1708" t="str">
        <f t="shared" si="97"/>
        <v/>
      </c>
      <c r="G32" s="1709" t="str">
        <f t="shared" si="98"/>
        <v/>
      </c>
      <c r="H32" s="1779" t="str">
        <f t="shared" si="99"/>
        <v/>
      </c>
      <c r="I32" s="1705" t="str">
        <f t="shared" si="100"/>
        <v/>
      </c>
      <c r="J32" s="1709" t="str">
        <f t="shared" si="101"/>
        <v/>
      </c>
      <c r="K32" s="1780" t="str">
        <f t="shared" si="102"/>
        <v/>
      </c>
      <c r="L32" s="1712" t="str">
        <f t="shared" si="103"/>
        <v/>
      </c>
      <c r="M32" s="1713" t="str">
        <f t="shared" si="104"/>
        <v/>
      </c>
      <c r="N32" s="1708" t="str">
        <f t="shared" si="105"/>
        <v/>
      </c>
      <c r="O32" s="1709" t="str">
        <f t="shared" si="106"/>
        <v/>
      </c>
      <c r="P32" s="1710" t="str">
        <f t="shared" si="107"/>
        <v/>
      </c>
      <c r="Q32" s="1705" t="str">
        <f t="shared" si="108"/>
        <v/>
      </c>
      <c r="R32" s="1709" t="str">
        <f t="shared" si="109"/>
        <v/>
      </c>
      <c r="S32" s="1753" t="str">
        <f t="shared" si="110"/>
        <v/>
      </c>
      <c r="T32" s="1708" t="str">
        <f t="shared" si="111"/>
        <v/>
      </c>
      <c r="U32" s="1709" t="str">
        <f t="shared" si="112"/>
        <v/>
      </c>
      <c r="V32" s="1705" t="str">
        <f t="shared" si="113"/>
        <v/>
      </c>
      <c r="W32" s="1709" t="str">
        <f t="shared" si="114"/>
        <v/>
      </c>
      <c r="X32" s="1750">
        <f t="shared" si="115"/>
        <v>0</v>
      </c>
      <c r="Y32" s="1781" t="str">
        <f t="shared" si="116"/>
        <v/>
      </c>
      <c r="Z32" s="1782" t="str">
        <f t="shared" si="117"/>
        <v/>
      </c>
      <c r="AA32" s="1783" t="str">
        <f t="shared" si="5"/>
        <v/>
      </c>
      <c r="AB32" s="1413"/>
      <c r="AC32" s="964" t="b">
        <v>0</v>
      </c>
      <c r="AD32" s="441">
        <f t="shared" si="6"/>
        <v>0</v>
      </c>
      <c r="AE32" s="442">
        <f t="shared" si="7"/>
        <v>0</v>
      </c>
      <c r="AF32" s="442">
        <f t="shared" si="8"/>
        <v>0</v>
      </c>
      <c r="AG32" s="442">
        <f t="shared" si="9"/>
        <v>0</v>
      </c>
      <c r="AH32" s="443">
        <f t="shared" si="10"/>
        <v>0</v>
      </c>
      <c r="AI32" s="444" t="b">
        <v>0</v>
      </c>
      <c r="AJ32" s="238">
        <f t="shared" si="128"/>
        <v>0</v>
      </c>
      <c r="AK32" s="238" t="str">
        <f t="shared" si="11"/>
        <v/>
      </c>
      <c r="AL32" s="1290" t="str">
        <f t="shared" si="12"/>
        <v/>
      </c>
      <c r="AM32" s="238" t="str">
        <f t="shared" si="13"/>
        <v/>
      </c>
      <c r="AN32" s="238" t="str">
        <f t="shared" si="14"/>
        <v/>
      </c>
      <c r="AO32" s="238" t="str">
        <f t="shared" si="15"/>
        <v/>
      </c>
      <c r="AP32" s="830" t="b">
        <f>IF(ISERROR(AJ32),FALSE,IF(OR(AJ32=0,ISERROR(AL32),ISERROR(AM32),ISERROR(AN32),ISERROR(AO32)),FALSE,IF(AL32&lt;&gt;"",IF(ISERROR(VLOOKUP(SUBSTITUTE(SUBSTITUTE(C32,"R",""),"A",""),TblJoistSize!$A:$A,1,FALSE)),FALSE,TRUE),TRUE)))</f>
        <v>0</v>
      </c>
      <c r="AQ32" s="1038" t="e">
        <f t="shared" si="16"/>
        <v>#N/A</v>
      </c>
      <c r="AR32" s="945" t="b">
        <f t="shared" si="92"/>
        <v>0</v>
      </c>
      <c r="AS32" s="1038" t="e">
        <f t="shared" si="17"/>
        <v>#N/A</v>
      </c>
      <c r="AT32" s="945" t="b">
        <f t="shared" si="93"/>
        <v>0</v>
      </c>
      <c r="AU32" s="1291" t="str">
        <f t="shared" si="18"/>
        <v/>
      </c>
      <c r="AV32" s="830" t="str">
        <f t="shared" si="19"/>
        <v/>
      </c>
      <c r="AW32" s="830" t="str">
        <f t="shared" si="90"/>
        <v/>
      </c>
      <c r="AX32" s="830" t="str">
        <f t="shared" si="94"/>
        <v/>
      </c>
      <c r="AY32" s="464" t="b">
        <f t="shared" si="20"/>
        <v>0</v>
      </c>
      <c r="AZ32" s="856" t="str">
        <f t="shared" si="91"/>
        <v/>
      </c>
      <c r="BA32" s="549"/>
      <c r="BB32" s="672"/>
      <c r="BC32" s="1684"/>
      <c r="BD32" s="733"/>
      <c r="BE32" s="734"/>
      <c r="BF32" s="735"/>
      <c r="BG32" s="672"/>
      <c r="BH32" s="982"/>
      <c r="BI32" s="983"/>
      <c r="BJ32" s="1625"/>
      <c r="BK32" s="982"/>
      <c r="BL32" s="983"/>
      <c r="BM32" s="1569"/>
      <c r="BN32" s="1570"/>
      <c r="BO32" s="1617" t="str">
        <f>IF(ISERROR(CU32),"",IF(CU32="","",IF(VLOOKUP(BG32,SectInfo!$B:$N,10,FALSE)="","","X")))</f>
        <v/>
      </c>
      <c r="BP32" s="1561"/>
      <c r="BQ32" s="1562" t="str">
        <f t="shared" si="21"/>
        <v/>
      </c>
      <c r="BR32" s="1563"/>
      <c r="BS32" s="672"/>
      <c r="BT32" s="982"/>
      <c r="BU32" s="983"/>
      <c r="BV32" s="1625"/>
      <c r="BW32" s="982"/>
      <c r="BX32" s="983"/>
      <c r="BY32" s="1569"/>
      <c r="BZ32" s="1570"/>
      <c r="CA32" s="1617" t="str">
        <f>IF(ISERROR(DE32),"",IF(DE32="","",IF(VLOOKUP(BS32,SectInfo!$B:$N,10,FALSE)="","","X")))</f>
        <v/>
      </c>
      <c r="CB32" s="1561"/>
      <c r="CC32" s="1562" t="str">
        <f t="shared" si="22"/>
        <v/>
      </c>
      <c r="CD32" s="1563"/>
      <c r="CE32" s="1574"/>
      <c r="CF32" s="736"/>
      <c r="CG32" s="737"/>
      <c r="CH32" s="643" t="str">
        <f t="shared" si="23"/>
        <v/>
      </c>
      <c r="CI32" s="644" t="str">
        <f t="shared" si="24"/>
        <v/>
      </c>
      <c r="CJ32" s="645" t="str">
        <f t="shared" si="25"/>
        <v/>
      </c>
      <c r="CK32" s="852" t="str">
        <f t="shared" si="26"/>
        <v/>
      </c>
      <c r="CL32" s="847" t="str">
        <f t="shared" si="27"/>
        <v/>
      </c>
      <c r="CM32" s="848" t="str">
        <f t="shared" si="28"/>
        <v/>
      </c>
      <c r="CN32" s="611" t="str">
        <f t="shared" si="29"/>
        <v/>
      </c>
      <c r="CO32" s="612" t="str">
        <f t="shared" si="30"/>
        <v/>
      </c>
      <c r="CP32" s="615" t="str">
        <f t="shared" si="31"/>
        <v/>
      </c>
      <c r="CQ32" s="616" t="str">
        <f t="shared" si="32"/>
        <v/>
      </c>
      <c r="CR32" s="750" t="str">
        <f t="shared" si="33"/>
        <v/>
      </c>
      <c r="CS32" s="751" t="str">
        <f t="shared" si="34"/>
        <v/>
      </c>
      <c r="CU32" s="114" t="str">
        <f>IF(BG32="","",VLOOKUP(BG32,SectInfo!$B:$N,12,FALSE))</f>
        <v/>
      </c>
      <c r="CV32" s="115" t="str">
        <f>IF(BG32="","",IF(ISBLANK(BP32),VLOOKUP(BG32,SectInfo!$B:$N,13,FALSE),BP32))</f>
        <v/>
      </c>
      <c r="CW32" s="1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115" t="str">
        <f>IF(BG32="","",IF(VLOOKUP(BG32,SectInfo!$B:$N,7,FALSE)="","",(VLOOKUP(BG32,SectInfo!$B:$N,7,FALSE)*-1)))</f>
        <v/>
      </c>
      <c r="DB32" s="815" t="str">
        <f>IF(BG32="","",IF(VLOOKUP(BG32,SectInfo!$B:$N,8,FALSE)="",VLOOKUP(AU32,$DF$2:$DN$9,6,FALSE),(VLOOKUP(BG32,SectInfo!$B:$N,8,FALSE))))</f>
        <v/>
      </c>
      <c r="DC32" s="815" t="str">
        <f>IF(BG32="","",VLOOKUP(BG32,SectInfo!$B:$N,9,FALSE))</f>
        <v/>
      </c>
      <c r="DD32" s="816">
        <f t="shared" si="35"/>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36"/>
        <v>0</v>
      </c>
      <c r="DO32" s="818">
        <f t="shared" si="37"/>
        <v>0</v>
      </c>
      <c r="DP32" s="822" t="str">
        <f t="shared" si="38"/>
        <v/>
      </c>
      <c r="DQ32" s="822" t="str">
        <f t="shared" si="39"/>
        <v/>
      </c>
      <c r="DR32" s="822" t="str">
        <f t="shared" si="40"/>
        <v/>
      </c>
      <c r="DS32" s="821">
        <f t="shared" si="41"/>
        <v>0</v>
      </c>
      <c r="DT32" s="821">
        <f t="shared" si="42"/>
        <v>0</v>
      </c>
      <c r="DU32" s="821" t="str">
        <f t="shared" si="43"/>
        <v/>
      </c>
      <c r="DV32" s="822" t="str">
        <f t="shared" si="44"/>
        <v/>
      </c>
      <c r="DW32" s="856" t="str">
        <f t="shared" si="45"/>
        <v/>
      </c>
      <c r="DX32" s="1006">
        <f t="shared" si="118"/>
        <v>0</v>
      </c>
      <c r="DY32" s="822">
        <f t="shared" si="46"/>
        <v>0</v>
      </c>
      <c r="DZ32" s="821">
        <f t="shared" si="47"/>
        <v>0</v>
      </c>
      <c r="EA32" s="821" t="str">
        <f t="shared" si="48"/>
        <v/>
      </c>
      <c r="EB32" s="822" t="str">
        <f t="shared" si="119"/>
        <v/>
      </c>
      <c r="EC32" s="856" t="str">
        <f t="shared" si="49"/>
        <v/>
      </c>
      <c r="ED32" s="1006">
        <f t="shared" si="120"/>
        <v>0</v>
      </c>
      <c r="EE32" s="1293" t="str">
        <f t="shared" si="50"/>
        <v/>
      </c>
      <c r="EF32" s="822" t="str">
        <f t="shared" si="121"/>
        <v/>
      </c>
      <c r="EG32" s="822" t="str">
        <f t="shared" si="122"/>
        <v/>
      </c>
      <c r="EH32" s="856" t="e">
        <f t="shared" si="51"/>
        <v>#N/A</v>
      </c>
      <c r="EI32" s="856" t="e">
        <f t="shared" si="52"/>
        <v>#N/A</v>
      </c>
      <c r="EJ32" s="822" t="str">
        <f t="shared" si="123"/>
        <v/>
      </c>
      <c r="EK32" s="822" t="str">
        <f t="shared" si="124"/>
        <v/>
      </c>
      <c r="EL32" s="1293" t="str">
        <f t="shared" si="54"/>
        <v/>
      </c>
      <c r="EM32" s="822" t="str">
        <f t="shared" si="125"/>
        <v/>
      </c>
      <c r="EN32" s="822" t="str">
        <f t="shared" si="126"/>
        <v/>
      </c>
      <c r="EO32" s="856" t="e">
        <f t="shared" si="55"/>
        <v>#N/A</v>
      </c>
      <c r="EP32" s="856" t="e">
        <f t="shared" si="56"/>
        <v>#N/A</v>
      </c>
      <c r="EQ32" s="822" t="str">
        <f t="shared" si="57"/>
        <v/>
      </c>
      <c r="ER32" s="822" t="str">
        <f t="shared" si="57"/>
        <v/>
      </c>
      <c r="ES32" s="822" t="str">
        <f t="shared" si="58"/>
        <v/>
      </c>
      <c r="ET32" s="822" t="str">
        <f t="shared" si="59"/>
        <v/>
      </c>
      <c r="EU32" s="829" t="str">
        <f t="shared" si="60"/>
        <v/>
      </c>
      <c r="EV32" s="824" t="str">
        <f t="shared" si="127"/>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61"/>
        <v/>
      </c>
      <c r="FA32" s="829" t="str">
        <f>IF(AND(DE32="G", ISBLANK(BW32), ISBLANK(BX32)),VLOOKUP(MIN(BT32:BU32),TblJoistSize!$M$3:$N$10,2),IF(OR(DE32="B", DE32="G"),MIN(BW32:BX32),""))</f>
        <v/>
      </c>
      <c r="FB32" s="829" t="str">
        <f>IF(AND(DE32="G", ISBLANK(BW32), ISBLANK(BX32)),VLOOKUP(MAX(BT32:BU32),TblJoistSize!$M$3:$N$10,2),IF(OR(DE32="B", DE32="G"),MAX(BW32:BX32),""))</f>
        <v/>
      </c>
      <c r="FC32" s="829" t="str">
        <f t="shared" si="62"/>
        <v/>
      </c>
      <c r="FD32" s="822">
        <f t="shared" si="63"/>
        <v>0</v>
      </c>
      <c r="FE32" s="822">
        <f t="shared" si="64"/>
        <v>0</v>
      </c>
      <c r="FF32" s="821">
        <f t="shared" si="65"/>
        <v>0</v>
      </c>
      <c r="FG32" s="821" t="str">
        <f t="shared" si="66"/>
        <v/>
      </c>
      <c r="FH32" s="822" t="str">
        <f t="shared" si="67"/>
        <v/>
      </c>
      <c r="FI32" s="822">
        <f t="shared" si="68"/>
        <v>0</v>
      </c>
      <c r="FJ32" s="822">
        <f t="shared" si="69"/>
        <v>0</v>
      </c>
      <c r="FK32" s="821">
        <f t="shared" si="70"/>
        <v>0</v>
      </c>
      <c r="FL32" s="821" t="str">
        <f t="shared" si="71"/>
        <v/>
      </c>
      <c r="FM32" s="822" t="str">
        <f t="shared" si="72"/>
        <v/>
      </c>
      <c r="FN32" s="822" t="e">
        <f t="shared" si="73"/>
        <v>#VALUE!</v>
      </c>
      <c r="FO32" s="940" t="e">
        <f t="shared" si="74"/>
        <v>#VALUE!</v>
      </c>
      <c r="FP32" s="940" t="e">
        <f t="shared" si="75"/>
        <v>#VALUE!</v>
      </c>
      <c r="FQ32" s="830" t="e">
        <f t="shared" si="76"/>
        <v>#VALUE!</v>
      </c>
      <c r="FR32" s="831" t="e">
        <f t="shared" si="77"/>
        <v>#VALUE!</v>
      </c>
      <c r="FS32" s="832" t="str">
        <f t="shared" si="78"/>
        <v/>
      </c>
      <c r="FT32" s="833" t="str">
        <f t="shared" si="79"/>
        <v/>
      </c>
      <c r="FU32" s="870">
        <f t="shared" si="80"/>
        <v>0</v>
      </c>
      <c r="FV32" s="871">
        <f t="shared" si="81"/>
        <v>0</v>
      </c>
      <c r="GA32" s="1791" t="str">
        <f t="shared" si="82"/>
        <v/>
      </c>
      <c r="GB32" s="1792" t="str">
        <f t="shared" si="83"/>
        <v/>
      </c>
      <c r="GC32" s="1793" t="str">
        <f t="shared" si="84"/>
        <v/>
      </c>
      <c r="GD32" s="1794" t="str">
        <f t="shared" si="85"/>
        <v/>
      </c>
      <c r="GE32" s="1795" t="str">
        <f t="shared" si="86"/>
        <v/>
      </c>
      <c r="GF32" s="600" t="str">
        <f t="shared" si="87"/>
        <v/>
      </c>
      <c r="GG32" s="1130"/>
      <c r="GH32" s="1131"/>
      <c r="GI32" s="1130"/>
      <c r="GJ32" s="1131"/>
      <c r="GK32" s="1636">
        <f t="shared" si="88"/>
        <v>0</v>
      </c>
      <c r="GL32" s="1636" t="e">
        <f t="shared" si="89"/>
        <v>#VALUE!</v>
      </c>
      <c r="GM32" s="1637" t="e">
        <f>IF(ABS(GK32-GL32)&gt;='Job Info.'!$L$22,ABS(GK32-GL32),0)</f>
        <v>#VALUE!</v>
      </c>
      <c r="GZ32" s="415"/>
      <c r="HA32" s="1391"/>
      <c r="HB32" s="1392"/>
      <c r="HC32" s="1392"/>
      <c r="HD32" s="1393"/>
      <c r="HE32" s="1394"/>
      <c r="HF32" s="1392"/>
      <c r="HG32" s="1392"/>
      <c r="HH32" s="1392"/>
      <c r="HI32" s="1395"/>
      <c r="HJ32" s="1392"/>
      <c r="HK32" s="1392"/>
      <c r="HL32" s="1392"/>
      <c r="HM32" s="1392"/>
      <c r="HN32" s="1392"/>
      <c r="HO32" s="1392"/>
      <c r="HP32" s="1392"/>
      <c r="HQ32" s="1395"/>
      <c r="HR32" s="1392"/>
      <c r="HS32" s="1392"/>
      <c r="HT32" s="1392"/>
      <c r="HU32" s="1392"/>
      <c r="HV32" s="1392"/>
      <c r="HW32" s="1394"/>
      <c r="HX32" s="1394"/>
      <c r="HY32" s="1394"/>
      <c r="HZ32" s="1394"/>
      <c r="IA32" s="1394"/>
      <c r="IB32" s="1394"/>
      <c r="IC32" s="1394"/>
      <c r="ID32" s="1394"/>
      <c r="IE32" s="1394"/>
      <c r="IF32" s="1396"/>
    </row>
    <row r="33" spans="1:240" ht="12.6" customHeight="1" x14ac:dyDescent="0.25">
      <c r="A33" s="1448" t="str">
        <f t="shared" si="1"/>
        <v/>
      </c>
      <c r="B33" s="1681" t="str">
        <f t="shared" si="2"/>
        <v/>
      </c>
      <c r="C33" s="1449" t="str">
        <f t="shared" si="3"/>
        <v/>
      </c>
      <c r="D33" s="1705" t="str">
        <f t="shared" si="95"/>
        <v/>
      </c>
      <c r="E33" s="1778" t="str">
        <f t="shared" si="96"/>
        <v/>
      </c>
      <c r="F33" s="1708" t="str">
        <f t="shared" si="97"/>
        <v/>
      </c>
      <c r="G33" s="1709" t="str">
        <f t="shared" si="98"/>
        <v/>
      </c>
      <c r="H33" s="1779" t="str">
        <f t="shared" si="99"/>
        <v/>
      </c>
      <c r="I33" s="1705" t="str">
        <f t="shared" si="100"/>
        <v/>
      </c>
      <c r="J33" s="1709" t="str">
        <f t="shared" si="101"/>
        <v/>
      </c>
      <c r="K33" s="1780" t="str">
        <f t="shared" si="102"/>
        <v/>
      </c>
      <c r="L33" s="1712" t="str">
        <f t="shared" si="103"/>
        <v/>
      </c>
      <c r="M33" s="1713" t="str">
        <f t="shared" si="104"/>
        <v/>
      </c>
      <c r="N33" s="1708" t="str">
        <f t="shared" si="105"/>
        <v/>
      </c>
      <c r="O33" s="1709" t="str">
        <f t="shared" si="106"/>
        <v/>
      </c>
      <c r="P33" s="1710" t="str">
        <f t="shared" si="107"/>
        <v/>
      </c>
      <c r="Q33" s="1705" t="str">
        <f t="shared" si="108"/>
        <v/>
      </c>
      <c r="R33" s="1709" t="str">
        <f t="shared" si="109"/>
        <v/>
      </c>
      <c r="S33" s="1753" t="str">
        <f t="shared" si="110"/>
        <v/>
      </c>
      <c r="T33" s="1708" t="str">
        <f t="shared" si="111"/>
        <v/>
      </c>
      <c r="U33" s="1709" t="str">
        <f t="shared" si="112"/>
        <v/>
      </c>
      <c r="V33" s="1705" t="str">
        <f t="shared" si="113"/>
        <v/>
      </c>
      <c r="W33" s="1709" t="str">
        <f t="shared" si="114"/>
        <v/>
      </c>
      <c r="X33" s="1750">
        <f t="shared" si="115"/>
        <v>0</v>
      </c>
      <c r="Y33" s="1781" t="str">
        <f t="shared" si="116"/>
        <v/>
      </c>
      <c r="Z33" s="1782" t="str">
        <f t="shared" si="117"/>
        <v/>
      </c>
      <c r="AA33" s="1783" t="str">
        <f t="shared" si="5"/>
        <v/>
      </c>
      <c r="AB33" s="1413"/>
      <c r="AC33" s="964" t="b">
        <v>0</v>
      </c>
      <c r="AD33" s="441">
        <f t="shared" si="6"/>
        <v>0</v>
      </c>
      <c r="AE33" s="442">
        <f t="shared" si="7"/>
        <v>0</v>
      </c>
      <c r="AF33" s="442">
        <f t="shared" si="8"/>
        <v>0</v>
      </c>
      <c r="AG33" s="442">
        <f t="shared" si="9"/>
        <v>0</v>
      </c>
      <c r="AH33" s="443">
        <f t="shared" si="10"/>
        <v>0</v>
      </c>
      <c r="AI33" s="444" t="b">
        <v>0</v>
      </c>
      <c r="AJ33" s="238">
        <f t="shared" si="128"/>
        <v>0</v>
      </c>
      <c r="AK33" s="238" t="str">
        <f t="shared" si="11"/>
        <v/>
      </c>
      <c r="AL33" s="1290" t="str">
        <f t="shared" si="12"/>
        <v/>
      </c>
      <c r="AM33" s="238" t="str">
        <f t="shared" si="13"/>
        <v/>
      </c>
      <c r="AN33" s="238" t="str">
        <f t="shared" si="14"/>
        <v/>
      </c>
      <c r="AO33" s="238" t="str">
        <f t="shared" si="15"/>
        <v/>
      </c>
      <c r="AP33" s="830" t="b">
        <f>IF(ISERROR(AJ33),FALSE,IF(OR(AJ33=0,ISERROR(AL33),ISERROR(AM33),ISERROR(AN33),ISERROR(AO33)),FALSE,IF(AL33&lt;&gt;"",IF(ISERROR(VLOOKUP(SUBSTITUTE(SUBSTITUTE(C33,"R",""),"A",""),TblJoistSize!$A:$A,1,FALSE)),FALSE,TRUE),TRUE)))</f>
        <v>0</v>
      </c>
      <c r="AQ33" s="1038" t="e">
        <f t="shared" si="16"/>
        <v>#N/A</v>
      </c>
      <c r="AR33" s="945" t="b">
        <f t="shared" si="92"/>
        <v>0</v>
      </c>
      <c r="AS33" s="1038" t="e">
        <f t="shared" si="17"/>
        <v>#N/A</v>
      </c>
      <c r="AT33" s="945" t="b">
        <f t="shared" si="93"/>
        <v>0</v>
      </c>
      <c r="AU33" s="1291" t="str">
        <f t="shared" si="18"/>
        <v/>
      </c>
      <c r="AV33" s="830" t="str">
        <f t="shared" si="19"/>
        <v/>
      </c>
      <c r="AW33" s="830" t="str">
        <f t="shared" si="90"/>
        <v/>
      </c>
      <c r="AX33" s="830" t="str">
        <f t="shared" si="94"/>
        <v/>
      </c>
      <c r="AY33" s="464" t="b">
        <f t="shared" si="20"/>
        <v>0</v>
      </c>
      <c r="AZ33" s="856" t="str">
        <f t="shared" si="91"/>
        <v/>
      </c>
      <c r="BA33" s="549"/>
      <c r="BB33" s="672"/>
      <c r="BC33" s="1684"/>
      <c r="BD33" s="733"/>
      <c r="BE33" s="734"/>
      <c r="BF33" s="735"/>
      <c r="BG33" s="672"/>
      <c r="BH33" s="982"/>
      <c r="BI33" s="983"/>
      <c r="BJ33" s="1625"/>
      <c r="BK33" s="982"/>
      <c r="BL33" s="983"/>
      <c r="BM33" s="1569"/>
      <c r="BN33" s="1570"/>
      <c r="BO33" s="1617" t="str">
        <f>IF(ISERROR(CU33),"",IF(CU33="","",IF(VLOOKUP(BG33,SectInfo!$B:$N,10,FALSE)="","","X")))</f>
        <v/>
      </c>
      <c r="BP33" s="1561"/>
      <c r="BQ33" s="1562" t="str">
        <f t="shared" si="21"/>
        <v/>
      </c>
      <c r="BR33" s="1563"/>
      <c r="BS33" s="672"/>
      <c r="BT33" s="982"/>
      <c r="BU33" s="983"/>
      <c r="BV33" s="1625"/>
      <c r="BW33" s="982"/>
      <c r="BX33" s="983"/>
      <c r="BY33" s="1569"/>
      <c r="BZ33" s="1570"/>
      <c r="CA33" s="1617" t="str">
        <f>IF(ISERROR(DE33),"",IF(DE33="","",IF(VLOOKUP(BS33,SectInfo!$B:$N,10,FALSE)="","","X")))</f>
        <v/>
      </c>
      <c r="CB33" s="1561"/>
      <c r="CC33" s="1562" t="str">
        <f t="shared" si="22"/>
        <v/>
      </c>
      <c r="CD33" s="1563"/>
      <c r="CE33" s="1574"/>
      <c r="CF33" s="736"/>
      <c r="CG33" s="737"/>
      <c r="CH33" s="643" t="str">
        <f t="shared" si="23"/>
        <v/>
      </c>
      <c r="CI33" s="644" t="str">
        <f t="shared" si="24"/>
        <v/>
      </c>
      <c r="CJ33" s="645" t="str">
        <f t="shared" si="25"/>
        <v/>
      </c>
      <c r="CK33" s="852" t="str">
        <f t="shared" si="26"/>
        <v/>
      </c>
      <c r="CL33" s="847" t="str">
        <f t="shared" si="27"/>
        <v/>
      </c>
      <c r="CM33" s="848" t="str">
        <f t="shared" si="28"/>
        <v/>
      </c>
      <c r="CN33" s="611" t="str">
        <f t="shared" si="29"/>
        <v/>
      </c>
      <c r="CO33" s="612" t="str">
        <f t="shared" si="30"/>
        <v/>
      </c>
      <c r="CP33" s="615" t="str">
        <f t="shared" si="31"/>
        <v/>
      </c>
      <c r="CQ33" s="616" t="str">
        <f t="shared" si="32"/>
        <v/>
      </c>
      <c r="CR33" s="750" t="str">
        <f t="shared" si="33"/>
        <v/>
      </c>
      <c r="CS33" s="751" t="str">
        <f t="shared" si="34"/>
        <v/>
      </c>
      <c r="CU33" s="114" t="str">
        <f>IF(BG33="","",VLOOKUP(BG33,SectInfo!$B:$N,12,FALSE))</f>
        <v/>
      </c>
      <c r="CV33" s="115" t="str">
        <f>IF(BG33="","",IF(ISBLANK(BP33),VLOOKUP(BG33,SectInfo!$B:$N,13,FALSE),BP33))</f>
        <v/>
      </c>
      <c r="CW33" s="1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115" t="str">
        <f>IF(BG33="","",IF(VLOOKUP(BG33,SectInfo!$B:$N,7,FALSE)="","",(VLOOKUP(BG33,SectInfo!$B:$N,7,FALSE)*-1)))</f>
        <v/>
      </c>
      <c r="DB33" s="815" t="str">
        <f>IF(BG33="","",IF(VLOOKUP(BG33,SectInfo!$B:$N,8,FALSE)="",VLOOKUP(AU33,$DF$2:$DN$9,6,FALSE),(VLOOKUP(BG33,SectInfo!$B:$N,8,FALSE))))</f>
        <v/>
      </c>
      <c r="DC33" s="815" t="str">
        <f>IF(BG33="","",VLOOKUP(BG33,SectInfo!$B:$N,9,FALSE))</f>
        <v/>
      </c>
      <c r="DD33" s="816">
        <f t="shared" si="35"/>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36"/>
        <v>0</v>
      </c>
      <c r="DO33" s="818">
        <f t="shared" si="37"/>
        <v>0</v>
      </c>
      <c r="DP33" s="822" t="str">
        <f t="shared" si="38"/>
        <v/>
      </c>
      <c r="DQ33" s="822" t="str">
        <f t="shared" si="39"/>
        <v/>
      </c>
      <c r="DR33" s="822" t="str">
        <f t="shared" si="40"/>
        <v/>
      </c>
      <c r="DS33" s="821">
        <f t="shared" si="41"/>
        <v>0</v>
      </c>
      <c r="DT33" s="821">
        <f t="shared" si="42"/>
        <v>0</v>
      </c>
      <c r="DU33" s="821" t="str">
        <f t="shared" si="43"/>
        <v/>
      </c>
      <c r="DV33" s="822" t="str">
        <f t="shared" si="44"/>
        <v/>
      </c>
      <c r="DW33" s="856" t="str">
        <f t="shared" si="45"/>
        <v/>
      </c>
      <c r="DX33" s="1006">
        <f t="shared" si="118"/>
        <v>0</v>
      </c>
      <c r="DY33" s="822">
        <f t="shared" si="46"/>
        <v>0</v>
      </c>
      <c r="DZ33" s="821">
        <f t="shared" si="47"/>
        <v>0</v>
      </c>
      <c r="EA33" s="821" t="str">
        <f t="shared" si="48"/>
        <v/>
      </c>
      <c r="EB33" s="822" t="str">
        <f t="shared" si="119"/>
        <v/>
      </c>
      <c r="EC33" s="856" t="str">
        <f t="shared" si="49"/>
        <v/>
      </c>
      <c r="ED33" s="1006">
        <f t="shared" si="120"/>
        <v>0</v>
      </c>
      <c r="EE33" s="1293" t="str">
        <f t="shared" si="50"/>
        <v/>
      </c>
      <c r="EF33" s="822" t="str">
        <f t="shared" si="121"/>
        <v/>
      </c>
      <c r="EG33" s="822" t="str">
        <f t="shared" si="122"/>
        <v/>
      </c>
      <c r="EH33" s="856" t="e">
        <f t="shared" si="51"/>
        <v>#N/A</v>
      </c>
      <c r="EI33" s="856" t="e">
        <f t="shared" si="52"/>
        <v>#N/A</v>
      </c>
      <c r="EJ33" s="822" t="str">
        <f t="shared" si="123"/>
        <v/>
      </c>
      <c r="EK33" s="822" t="str">
        <f t="shared" si="124"/>
        <v/>
      </c>
      <c r="EL33" s="1293" t="str">
        <f t="shared" si="54"/>
        <v/>
      </c>
      <c r="EM33" s="822" t="str">
        <f t="shared" si="125"/>
        <v/>
      </c>
      <c r="EN33" s="822" t="str">
        <f t="shared" si="126"/>
        <v/>
      </c>
      <c r="EO33" s="856" t="e">
        <f t="shared" si="55"/>
        <v>#N/A</v>
      </c>
      <c r="EP33" s="856" t="e">
        <f t="shared" si="56"/>
        <v>#N/A</v>
      </c>
      <c r="EQ33" s="822" t="str">
        <f t="shared" si="57"/>
        <v/>
      </c>
      <c r="ER33" s="822" t="str">
        <f t="shared" si="57"/>
        <v/>
      </c>
      <c r="ES33" s="822" t="str">
        <f t="shared" si="58"/>
        <v/>
      </c>
      <c r="ET33" s="822" t="str">
        <f t="shared" si="59"/>
        <v/>
      </c>
      <c r="EU33" s="829" t="str">
        <f t="shared" si="60"/>
        <v/>
      </c>
      <c r="EV33" s="824" t="str">
        <f t="shared" si="127"/>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61"/>
        <v/>
      </c>
      <c r="FA33" s="829" t="str">
        <f>IF(AND(DE33="G", ISBLANK(BW33), ISBLANK(BX33)),VLOOKUP(MIN(BT33:BU33),TblJoistSize!$M$3:$N$10,2),IF(OR(DE33="B", DE33="G"),MIN(BW33:BX33),""))</f>
        <v/>
      </c>
      <c r="FB33" s="829" t="str">
        <f>IF(AND(DE33="G", ISBLANK(BW33), ISBLANK(BX33)),VLOOKUP(MAX(BT33:BU33),TblJoistSize!$M$3:$N$10,2),IF(OR(DE33="B", DE33="G"),MAX(BW33:BX33),""))</f>
        <v/>
      </c>
      <c r="FC33" s="829" t="str">
        <f t="shared" si="62"/>
        <v/>
      </c>
      <c r="FD33" s="822">
        <f t="shared" si="63"/>
        <v>0</v>
      </c>
      <c r="FE33" s="822">
        <f t="shared" si="64"/>
        <v>0</v>
      </c>
      <c r="FF33" s="821">
        <f t="shared" si="65"/>
        <v>0</v>
      </c>
      <c r="FG33" s="821" t="str">
        <f t="shared" si="66"/>
        <v/>
      </c>
      <c r="FH33" s="822" t="str">
        <f t="shared" si="67"/>
        <v/>
      </c>
      <c r="FI33" s="822">
        <f t="shared" si="68"/>
        <v>0</v>
      </c>
      <c r="FJ33" s="822">
        <f t="shared" si="69"/>
        <v>0</v>
      </c>
      <c r="FK33" s="821">
        <f t="shared" si="70"/>
        <v>0</v>
      </c>
      <c r="FL33" s="821" t="str">
        <f t="shared" si="71"/>
        <v/>
      </c>
      <c r="FM33" s="822" t="str">
        <f t="shared" si="72"/>
        <v/>
      </c>
      <c r="FN33" s="822" t="e">
        <f t="shared" si="73"/>
        <v>#VALUE!</v>
      </c>
      <c r="FO33" s="940" t="e">
        <f t="shared" si="74"/>
        <v>#VALUE!</v>
      </c>
      <c r="FP33" s="940" t="e">
        <f t="shared" si="75"/>
        <v>#VALUE!</v>
      </c>
      <c r="FQ33" s="830" t="e">
        <f t="shared" si="76"/>
        <v>#VALUE!</v>
      </c>
      <c r="FR33" s="831" t="e">
        <f t="shared" si="77"/>
        <v>#VALUE!</v>
      </c>
      <c r="FS33" s="832" t="str">
        <f t="shared" si="78"/>
        <v/>
      </c>
      <c r="FT33" s="833" t="str">
        <f t="shared" si="79"/>
        <v/>
      </c>
      <c r="FU33" s="870">
        <f t="shared" si="80"/>
        <v>0</v>
      </c>
      <c r="FV33" s="871">
        <f t="shared" si="81"/>
        <v>0</v>
      </c>
      <c r="GA33" s="1791" t="str">
        <f t="shared" si="82"/>
        <v/>
      </c>
      <c r="GB33" s="1792" t="str">
        <f t="shared" si="83"/>
        <v/>
      </c>
      <c r="GC33" s="1793" t="str">
        <f t="shared" si="84"/>
        <v/>
      </c>
      <c r="GD33" s="1794" t="str">
        <f t="shared" si="85"/>
        <v/>
      </c>
      <c r="GE33" s="1795" t="str">
        <f t="shared" si="86"/>
        <v/>
      </c>
      <c r="GF33" s="600" t="str">
        <f t="shared" si="87"/>
        <v/>
      </c>
      <c r="GG33" s="1130"/>
      <c r="GH33" s="1131"/>
      <c r="GI33" s="1130"/>
      <c r="GJ33" s="1131"/>
      <c r="GK33" s="1636">
        <f t="shared" si="88"/>
        <v>0</v>
      </c>
      <c r="GL33" s="1636" t="e">
        <f t="shared" si="89"/>
        <v>#VALUE!</v>
      </c>
      <c r="GM33" s="1637" t="e">
        <f>IF(ABS(GK33-GL33)&gt;='Job Info.'!$L$22,ABS(GK33-GL33),0)</f>
        <v>#VALUE!</v>
      </c>
      <c r="GZ33" s="415"/>
      <c r="HA33" s="1391"/>
      <c r="HB33" s="1392"/>
      <c r="HC33" s="1392"/>
      <c r="HD33" s="1393"/>
      <c r="HE33" s="1394"/>
      <c r="HF33" s="1392"/>
      <c r="HG33" s="1392"/>
      <c r="HH33" s="1392"/>
      <c r="HI33" s="1395"/>
      <c r="HJ33" s="1392"/>
      <c r="HK33" s="1392"/>
      <c r="HL33" s="1392"/>
      <c r="HM33" s="1392"/>
      <c r="HN33" s="1392"/>
      <c r="HO33" s="1392"/>
      <c r="HP33" s="1392"/>
      <c r="HQ33" s="1395"/>
      <c r="HR33" s="1392"/>
      <c r="HS33" s="1392"/>
      <c r="HT33" s="1392"/>
      <c r="HU33" s="1392"/>
      <c r="HV33" s="1392"/>
      <c r="HW33" s="1394"/>
      <c r="HX33" s="1394"/>
      <c r="HY33" s="1394"/>
      <c r="HZ33" s="1394"/>
      <c r="IA33" s="1394"/>
      <c r="IB33" s="1394"/>
      <c r="IC33" s="1394"/>
      <c r="ID33" s="1394"/>
      <c r="IE33" s="1394"/>
      <c r="IF33" s="1396"/>
    </row>
    <row r="34" spans="1:240" ht="12.6" customHeight="1" x14ac:dyDescent="0.25">
      <c r="A34" s="1448" t="str">
        <f t="shared" si="1"/>
        <v/>
      </c>
      <c r="B34" s="1681" t="str">
        <f t="shared" si="2"/>
        <v/>
      </c>
      <c r="C34" s="1449" t="str">
        <f t="shared" si="3"/>
        <v/>
      </c>
      <c r="D34" s="1705" t="str">
        <f t="shared" si="95"/>
        <v/>
      </c>
      <c r="E34" s="1778" t="str">
        <f t="shared" si="96"/>
        <v/>
      </c>
      <c r="F34" s="1708" t="str">
        <f t="shared" si="97"/>
        <v/>
      </c>
      <c r="G34" s="1709" t="str">
        <f t="shared" si="98"/>
        <v/>
      </c>
      <c r="H34" s="1779" t="str">
        <f t="shared" si="99"/>
        <v/>
      </c>
      <c r="I34" s="1705" t="str">
        <f t="shared" si="100"/>
        <v/>
      </c>
      <c r="J34" s="1709" t="str">
        <f t="shared" si="101"/>
        <v/>
      </c>
      <c r="K34" s="1780" t="str">
        <f t="shared" si="102"/>
        <v/>
      </c>
      <c r="L34" s="1712" t="str">
        <f t="shared" si="103"/>
        <v/>
      </c>
      <c r="M34" s="1713" t="str">
        <f t="shared" si="104"/>
        <v/>
      </c>
      <c r="N34" s="1708" t="str">
        <f t="shared" si="105"/>
        <v/>
      </c>
      <c r="O34" s="1709" t="str">
        <f t="shared" si="106"/>
        <v/>
      </c>
      <c r="P34" s="1710" t="str">
        <f t="shared" si="107"/>
        <v/>
      </c>
      <c r="Q34" s="1705" t="str">
        <f t="shared" si="108"/>
        <v/>
      </c>
      <c r="R34" s="1709" t="str">
        <f t="shared" si="109"/>
        <v/>
      </c>
      <c r="S34" s="1753" t="str">
        <f t="shared" si="110"/>
        <v/>
      </c>
      <c r="T34" s="1708" t="str">
        <f t="shared" si="111"/>
        <v/>
      </c>
      <c r="U34" s="1709" t="str">
        <f t="shared" si="112"/>
        <v/>
      </c>
      <c r="V34" s="1705" t="str">
        <f t="shared" si="113"/>
        <v/>
      </c>
      <c r="W34" s="1709" t="str">
        <f t="shared" si="114"/>
        <v/>
      </c>
      <c r="X34" s="1750">
        <f t="shared" si="115"/>
        <v>0</v>
      </c>
      <c r="Y34" s="1781" t="str">
        <f t="shared" si="116"/>
        <v/>
      </c>
      <c r="Z34" s="1782" t="str">
        <f t="shared" si="117"/>
        <v/>
      </c>
      <c r="AA34" s="1783" t="str">
        <f t="shared" si="5"/>
        <v/>
      </c>
      <c r="AB34" s="1413"/>
      <c r="AC34" s="964" t="b">
        <v>0</v>
      </c>
      <c r="AD34" s="441">
        <f t="shared" si="6"/>
        <v>0</v>
      </c>
      <c r="AE34" s="442">
        <f t="shared" si="7"/>
        <v>0</v>
      </c>
      <c r="AF34" s="442">
        <f t="shared" si="8"/>
        <v>0</v>
      </c>
      <c r="AG34" s="442">
        <f t="shared" si="9"/>
        <v>0</v>
      </c>
      <c r="AH34" s="443">
        <f t="shared" si="10"/>
        <v>0</v>
      </c>
      <c r="AI34" s="444" t="b">
        <v>0</v>
      </c>
      <c r="AJ34" s="238">
        <f t="shared" si="128"/>
        <v>0</v>
      </c>
      <c r="AK34" s="238" t="str">
        <f t="shared" si="11"/>
        <v/>
      </c>
      <c r="AL34" s="1290" t="str">
        <f t="shared" si="12"/>
        <v/>
      </c>
      <c r="AM34" s="238" t="str">
        <f t="shared" si="13"/>
        <v/>
      </c>
      <c r="AN34" s="238" t="str">
        <f t="shared" si="14"/>
        <v/>
      </c>
      <c r="AO34" s="238" t="str">
        <f t="shared" si="15"/>
        <v/>
      </c>
      <c r="AP34" s="830" t="b">
        <f>IF(ISERROR(AJ34),FALSE,IF(OR(AJ34=0,ISERROR(AL34),ISERROR(AM34),ISERROR(AN34),ISERROR(AO34)),FALSE,IF(AL34&lt;&gt;"",IF(ISERROR(VLOOKUP(SUBSTITUTE(SUBSTITUTE(C34,"R",""),"A",""),TblJoistSize!$A:$A,1,FALSE)),FALSE,TRUE),TRUE)))</f>
        <v>0</v>
      </c>
      <c r="AQ34" s="1038" t="e">
        <f t="shared" si="16"/>
        <v>#N/A</v>
      </c>
      <c r="AR34" s="945" t="b">
        <f t="shared" si="92"/>
        <v>0</v>
      </c>
      <c r="AS34" s="1038" t="e">
        <f t="shared" si="17"/>
        <v>#N/A</v>
      </c>
      <c r="AT34" s="945" t="b">
        <f t="shared" si="93"/>
        <v>0</v>
      </c>
      <c r="AU34" s="1291" t="str">
        <f t="shared" si="18"/>
        <v/>
      </c>
      <c r="AV34" s="830" t="str">
        <f t="shared" si="19"/>
        <v/>
      </c>
      <c r="AW34" s="830" t="str">
        <f t="shared" si="90"/>
        <v/>
      </c>
      <c r="AX34" s="830" t="str">
        <f t="shared" si="94"/>
        <v/>
      </c>
      <c r="AY34" s="464" t="b">
        <f t="shared" si="20"/>
        <v>0</v>
      </c>
      <c r="AZ34" s="856" t="str">
        <f t="shared" si="91"/>
        <v/>
      </c>
      <c r="BA34" s="549"/>
      <c r="BB34" s="672"/>
      <c r="BC34" s="1684"/>
      <c r="BD34" s="733"/>
      <c r="BE34" s="734"/>
      <c r="BF34" s="735"/>
      <c r="BG34" s="672"/>
      <c r="BH34" s="982"/>
      <c r="BI34" s="983"/>
      <c r="BJ34" s="1625"/>
      <c r="BK34" s="982"/>
      <c r="BL34" s="983"/>
      <c r="BM34" s="1569"/>
      <c r="BN34" s="1570"/>
      <c r="BO34" s="1617" t="str">
        <f>IF(ISERROR(CU34),"",IF(CU34="","",IF(VLOOKUP(BG34,SectInfo!$B:$N,10,FALSE)="","","X")))</f>
        <v/>
      </c>
      <c r="BP34" s="1561"/>
      <c r="BQ34" s="1562" t="str">
        <f t="shared" si="21"/>
        <v/>
      </c>
      <c r="BR34" s="1563"/>
      <c r="BS34" s="672"/>
      <c r="BT34" s="982"/>
      <c r="BU34" s="983"/>
      <c r="BV34" s="1625"/>
      <c r="BW34" s="982"/>
      <c r="BX34" s="983"/>
      <c r="BY34" s="1569"/>
      <c r="BZ34" s="1570"/>
      <c r="CA34" s="1617" t="str">
        <f>IF(ISERROR(DE34),"",IF(DE34="","",IF(VLOOKUP(BS34,SectInfo!$B:$N,10,FALSE)="","","X")))</f>
        <v/>
      </c>
      <c r="CB34" s="1561"/>
      <c r="CC34" s="1562" t="str">
        <f t="shared" si="22"/>
        <v/>
      </c>
      <c r="CD34" s="1563"/>
      <c r="CE34" s="1574"/>
      <c r="CF34" s="736"/>
      <c r="CG34" s="737"/>
      <c r="CH34" s="643" t="str">
        <f t="shared" si="23"/>
        <v/>
      </c>
      <c r="CI34" s="644" t="str">
        <f t="shared" si="24"/>
        <v/>
      </c>
      <c r="CJ34" s="645" t="str">
        <f t="shared" si="25"/>
        <v/>
      </c>
      <c r="CK34" s="852" t="str">
        <f t="shared" si="26"/>
        <v/>
      </c>
      <c r="CL34" s="847" t="str">
        <f t="shared" si="27"/>
        <v/>
      </c>
      <c r="CM34" s="848" t="str">
        <f t="shared" si="28"/>
        <v/>
      </c>
      <c r="CN34" s="611" t="str">
        <f t="shared" si="29"/>
        <v/>
      </c>
      <c r="CO34" s="612" t="str">
        <f t="shared" si="30"/>
        <v/>
      </c>
      <c r="CP34" s="615" t="str">
        <f t="shared" si="31"/>
        <v/>
      </c>
      <c r="CQ34" s="616" t="str">
        <f t="shared" si="32"/>
        <v/>
      </c>
      <c r="CR34" s="750" t="str">
        <f t="shared" si="33"/>
        <v/>
      </c>
      <c r="CS34" s="751" t="str">
        <f t="shared" si="34"/>
        <v/>
      </c>
      <c r="CU34" s="114" t="str">
        <f>IF(BG34="","",VLOOKUP(BG34,SectInfo!$B:$N,12,FALSE))</f>
        <v/>
      </c>
      <c r="CV34" s="115" t="str">
        <f>IF(BG34="","",IF(ISBLANK(BP34),VLOOKUP(BG34,SectInfo!$B:$N,13,FALSE),BP34))</f>
        <v/>
      </c>
      <c r="CW34" s="1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115" t="str">
        <f>IF(BG34="","",IF(VLOOKUP(BG34,SectInfo!$B:$N,7,FALSE)="","",(VLOOKUP(BG34,SectInfo!$B:$N,7,FALSE)*-1)))</f>
        <v/>
      </c>
      <c r="DB34" s="815" t="str">
        <f>IF(BG34="","",IF(VLOOKUP(BG34,SectInfo!$B:$N,8,FALSE)="",VLOOKUP(AU34,$DF$2:$DN$9,6,FALSE),(VLOOKUP(BG34,SectInfo!$B:$N,8,FALSE))))</f>
        <v/>
      </c>
      <c r="DC34" s="815" t="str">
        <f>IF(BG34="","",VLOOKUP(BG34,SectInfo!$B:$N,9,FALSE))</f>
        <v/>
      </c>
      <c r="DD34" s="816">
        <f t="shared" si="35"/>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36"/>
        <v>0</v>
      </c>
      <c r="DO34" s="818">
        <f t="shared" si="37"/>
        <v>0</v>
      </c>
      <c r="DP34" s="822" t="str">
        <f t="shared" si="38"/>
        <v/>
      </c>
      <c r="DQ34" s="822" t="str">
        <f t="shared" si="39"/>
        <v/>
      </c>
      <c r="DR34" s="822" t="str">
        <f t="shared" si="40"/>
        <v/>
      </c>
      <c r="DS34" s="821">
        <f t="shared" si="41"/>
        <v>0</v>
      </c>
      <c r="DT34" s="821">
        <f t="shared" si="42"/>
        <v>0</v>
      </c>
      <c r="DU34" s="821" t="str">
        <f t="shared" si="43"/>
        <v/>
      </c>
      <c r="DV34" s="822" t="str">
        <f t="shared" si="44"/>
        <v/>
      </c>
      <c r="DW34" s="856" t="str">
        <f t="shared" si="45"/>
        <v/>
      </c>
      <c r="DX34" s="1006">
        <f t="shared" si="118"/>
        <v>0</v>
      </c>
      <c r="DY34" s="822">
        <f t="shared" si="46"/>
        <v>0</v>
      </c>
      <c r="DZ34" s="821">
        <f t="shared" si="47"/>
        <v>0</v>
      </c>
      <c r="EA34" s="821" t="str">
        <f t="shared" si="48"/>
        <v/>
      </c>
      <c r="EB34" s="822" t="str">
        <f t="shared" si="119"/>
        <v/>
      </c>
      <c r="EC34" s="856" t="str">
        <f t="shared" si="49"/>
        <v/>
      </c>
      <c r="ED34" s="1006">
        <f t="shared" si="120"/>
        <v>0</v>
      </c>
      <c r="EE34" s="1293" t="str">
        <f t="shared" si="50"/>
        <v/>
      </c>
      <c r="EF34" s="822" t="str">
        <f t="shared" si="121"/>
        <v/>
      </c>
      <c r="EG34" s="822" t="str">
        <f t="shared" si="122"/>
        <v/>
      </c>
      <c r="EH34" s="856" t="e">
        <f t="shared" si="51"/>
        <v>#N/A</v>
      </c>
      <c r="EI34" s="856" t="e">
        <f t="shared" si="52"/>
        <v>#N/A</v>
      </c>
      <c r="EJ34" s="822" t="str">
        <f t="shared" si="123"/>
        <v/>
      </c>
      <c r="EK34" s="822" t="str">
        <f t="shared" si="124"/>
        <v/>
      </c>
      <c r="EL34" s="1293" t="str">
        <f t="shared" si="54"/>
        <v/>
      </c>
      <c r="EM34" s="822" t="str">
        <f t="shared" si="125"/>
        <v/>
      </c>
      <c r="EN34" s="822" t="str">
        <f t="shared" si="126"/>
        <v/>
      </c>
      <c r="EO34" s="856" t="e">
        <f t="shared" si="55"/>
        <v>#N/A</v>
      </c>
      <c r="EP34" s="856" t="e">
        <f t="shared" si="56"/>
        <v>#N/A</v>
      </c>
      <c r="EQ34" s="822" t="str">
        <f t="shared" si="57"/>
        <v/>
      </c>
      <c r="ER34" s="822" t="str">
        <f t="shared" si="57"/>
        <v/>
      </c>
      <c r="ES34" s="822" t="str">
        <f t="shared" si="58"/>
        <v/>
      </c>
      <c r="ET34" s="822" t="str">
        <f t="shared" si="59"/>
        <v/>
      </c>
      <c r="EU34" s="829" t="str">
        <f t="shared" si="60"/>
        <v/>
      </c>
      <c r="EV34" s="824" t="str">
        <f t="shared" si="127"/>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61"/>
        <v/>
      </c>
      <c r="FA34" s="829" t="str">
        <f>IF(AND(DE34="G", ISBLANK(BW34), ISBLANK(BX34)),VLOOKUP(MIN(BT34:BU34),TblJoistSize!$M$3:$N$10,2),IF(OR(DE34="B", DE34="G"),MIN(BW34:BX34),""))</f>
        <v/>
      </c>
      <c r="FB34" s="829" t="str">
        <f>IF(AND(DE34="G", ISBLANK(BW34), ISBLANK(BX34)),VLOOKUP(MAX(BT34:BU34),TblJoistSize!$M$3:$N$10,2),IF(OR(DE34="B", DE34="G"),MAX(BW34:BX34),""))</f>
        <v/>
      </c>
      <c r="FC34" s="829" t="str">
        <f t="shared" si="62"/>
        <v/>
      </c>
      <c r="FD34" s="822">
        <f t="shared" si="63"/>
        <v>0</v>
      </c>
      <c r="FE34" s="822">
        <f t="shared" si="64"/>
        <v>0</v>
      </c>
      <c r="FF34" s="821">
        <f t="shared" si="65"/>
        <v>0</v>
      </c>
      <c r="FG34" s="821" t="str">
        <f t="shared" si="66"/>
        <v/>
      </c>
      <c r="FH34" s="822" t="str">
        <f t="shared" si="67"/>
        <v/>
      </c>
      <c r="FI34" s="822">
        <f t="shared" si="68"/>
        <v>0</v>
      </c>
      <c r="FJ34" s="822">
        <f t="shared" si="69"/>
        <v>0</v>
      </c>
      <c r="FK34" s="821">
        <f t="shared" si="70"/>
        <v>0</v>
      </c>
      <c r="FL34" s="821" t="str">
        <f t="shared" si="71"/>
        <v/>
      </c>
      <c r="FM34" s="822" t="str">
        <f t="shared" si="72"/>
        <v/>
      </c>
      <c r="FN34" s="822" t="e">
        <f t="shared" si="73"/>
        <v>#VALUE!</v>
      </c>
      <c r="FO34" s="940" t="e">
        <f t="shared" si="74"/>
        <v>#VALUE!</v>
      </c>
      <c r="FP34" s="940" t="e">
        <f t="shared" si="75"/>
        <v>#VALUE!</v>
      </c>
      <c r="FQ34" s="830" t="e">
        <f t="shared" si="76"/>
        <v>#VALUE!</v>
      </c>
      <c r="FR34" s="831" t="e">
        <f t="shared" si="77"/>
        <v>#VALUE!</v>
      </c>
      <c r="FS34" s="832" t="str">
        <f t="shared" si="78"/>
        <v/>
      </c>
      <c r="FT34" s="833" t="str">
        <f t="shared" si="79"/>
        <v/>
      </c>
      <c r="FU34" s="870">
        <f t="shared" si="80"/>
        <v>0</v>
      </c>
      <c r="FV34" s="871">
        <f t="shared" si="81"/>
        <v>0</v>
      </c>
      <c r="GA34" s="1791" t="str">
        <f t="shared" si="82"/>
        <v/>
      </c>
      <c r="GB34" s="1792" t="str">
        <f t="shared" si="83"/>
        <v/>
      </c>
      <c r="GC34" s="1793" t="str">
        <f t="shared" si="84"/>
        <v/>
      </c>
      <c r="GD34" s="1794" t="str">
        <f t="shared" si="85"/>
        <v/>
      </c>
      <c r="GE34" s="1795" t="str">
        <f t="shared" si="86"/>
        <v/>
      </c>
      <c r="GF34" s="600" t="str">
        <f t="shared" si="87"/>
        <v/>
      </c>
      <c r="GG34" s="1130"/>
      <c r="GH34" s="1131"/>
      <c r="GI34" s="1130"/>
      <c r="GJ34" s="1131"/>
      <c r="GK34" s="1636">
        <f t="shared" si="88"/>
        <v>0</v>
      </c>
      <c r="GL34" s="1636" t="e">
        <f t="shared" si="89"/>
        <v>#VALUE!</v>
      </c>
      <c r="GM34" s="1637" t="e">
        <f>IF(ABS(GK34-GL34)&gt;='Job Info.'!$L$22,ABS(GK34-GL34),0)</f>
        <v>#VALUE!</v>
      </c>
      <c r="GZ34" s="415"/>
      <c r="HA34" s="1391"/>
      <c r="HB34" s="1392"/>
      <c r="HC34" s="1392"/>
      <c r="HD34" s="1393"/>
      <c r="HE34" s="1394"/>
      <c r="HF34" s="1392"/>
      <c r="HG34" s="1392"/>
      <c r="HH34" s="1392"/>
      <c r="HI34" s="1395"/>
      <c r="HJ34" s="1392"/>
      <c r="HK34" s="1392"/>
      <c r="HL34" s="1392"/>
      <c r="HM34" s="1392"/>
      <c r="HN34" s="1392"/>
      <c r="HO34" s="1392"/>
      <c r="HP34" s="1392"/>
      <c r="HQ34" s="1395"/>
      <c r="HR34" s="1392"/>
      <c r="HS34" s="1392"/>
      <c r="HT34" s="1392"/>
      <c r="HU34" s="1392"/>
      <c r="HV34" s="1392"/>
      <c r="HW34" s="1394"/>
      <c r="HX34" s="1394"/>
      <c r="HY34" s="1394"/>
      <c r="HZ34" s="1394"/>
      <c r="IA34" s="1394"/>
      <c r="IB34" s="1394"/>
      <c r="IC34" s="1394"/>
      <c r="ID34" s="1394"/>
      <c r="IE34" s="1394"/>
      <c r="IF34" s="1396"/>
    </row>
    <row r="35" spans="1:240" ht="12.6" customHeight="1" x14ac:dyDescent="0.25">
      <c r="A35" s="1448" t="str">
        <f t="shared" si="1"/>
        <v/>
      </c>
      <c r="B35" s="1681" t="str">
        <f t="shared" si="2"/>
        <v/>
      </c>
      <c r="C35" s="1449" t="str">
        <f t="shared" si="3"/>
        <v/>
      </c>
      <c r="D35" s="1705" t="str">
        <f t="shared" si="95"/>
        <v/>
      </c>
      <c r="E35" s="1778" t="str">
        <f t="shared" si="96"/>
        <v/>
      </c>
      <c r="F35" s="1708" t="str">
        <f t="shared" si="97"/>
        <v/>
      </c>
      <c r="G35" s="1709" t="str">
        <f t="shared" si="98"/>
        <v/>
      </c>
      <c r="H35" s="1779" t="str">
        <f t="shared" si="99"/>
        <v/>
      </c>
      <c r="I35" s="1705" t="str">
        <f t="shared" si="100"/>
        <v/>
      </c>
      <c r="J35" s="1709" t="str">
        <f t="shared" si="101"/>
        <v/>
      </c>
      <c r="K35" s="1780" t="str">
        <f t="shared" si="102"/>
        <v/>
      </c>
      <c r="L35" s="1712" t="str">
        <f t="shared" si="103"/>
        <v/>
      </c>
      <c r="M35" s="1713" t="str">
        <f t="shared" si="104"/>
        <v/>
      </c>
      <c r="N35" s="1708" t="str">
        <f t="shared" si="105"/>
        <v/>
      </c>
      <c r="O35" s="1709" t="str">
        <f t="shared" si="106"/>
        <v/>
      </c>
      <c r="P35" s="1710" t="str">
        <f t="shared" si="107"/>
        <v/>
      </c>
      <c r="Q35" s="1705" t="str">
        <f t="shared" si="108"/>
        <v/>
      </c>
      <c r="R35" s="1709" t="str">
        <f t="shared" si="109"/>
        <v/>
      </c>
      <c r="S35" s="1753" t="str">
        <f t="shared" si="110"/>
        <v/>
      </c>
      <c r="T35" s="1708" t="str">
        <f t="shared" si="111"/>
        <v/>
      </c>
      <c r="U35" s="1709" t="str">
        <f t="shared" si="112"/>
        <v/>
      </c>
      <c r="V35" s="1705" t="str">
        <f t="shared" si="113"/>
        <v/>
      </c>
      <c r="W35" s="1709" t="str">
        <f t="shared" si="114"/>
        <v/>
      </c>
      <c r="X35" s="1750">
        <f t="shared" si="115"/>
        <v>0</v>
      </c>
      <c r="Y35" s="1781" t="str">
        <f t="shared" si="116"/>
        <v/>
      </c>
      <c r="Z35" s="1782" t="str">
        <f t="shared" si="117"/>
        <v/>
      </c>
      <c r="AA35" s="1783" t="str">
        <f t="shared" si="5"/>
        <v/>
      </c>
      <c r="AB35" s="1413"/>
      <c r="AC35" s="964" t="b">
        <v>0</v>
      </c>
      <c r="AD35" s="441">
        <f t="shared" si="6"/>
        <v>0</v>
      </c>
      <c r="AE35" s="442">
        <f t="shared" si="7"/>
        <v>0</v>
      </c>
      <c r="AF35" s="442">
        <f t="shared" si="8"/>
        <v>0</v>
      </c>
      <c r="AG35" s="442">
        <f t="shared" si="9"/>
        <v>0</v>
      </c>
      <c r="AH35" s="443">
        <f t="shared" si="10"/>
        <v>0</v>
      </c>
      <c r="AI35" s="444" t="b">
        <v>0</v>
      </c>
      <c r="AJ35" s="238">
        <f t="shared" si="128"/>
        <v>0</v>
      </c>
      <c r="AK35" s="238" t="str">
        <f t="shared" si="11"/>
        <v/>
      </c>
      <c r="AL35" s="1290" t="str">
        <f t="shared" si="12"/>
        <v/>
      </c>
      <c r="AM35" s="238" t="str">
        <f t="shared" si="13"/>
        <v/>
      </c>
      <c r="AN35" s="238" t="str">
        <f t="shared" si="14"/>
        <v/>
      </c>
      <c r="AO35" s="238" t="str">
        <f t="shared" si="15"/>
        <v/>
      </c>
      <c r="AP35" s="830" t="b">
        <f>IF(ISERROR(AJ35),FALSE,IF(OR(AJ35=0,ISERROR(AL35),ISERROR(AM35),ISERROR(AN35),ISERROR(AO35)),FALSE,IF(AL35&lt;&gt;"",IF(ISERROR(VLOOKUP(SUBSTITUTE(SUBSTITUTE(C35,"R",""),"A",""),TblJoistSize!$A:$A,1,FALSE)),FALSE,TRUE),TRUE)))</f>
        <v>0</v>
      </c>
      <c r="AQ35" s="1038" t="e">
        <f t="shared" si="16"/>
        <v>#N/A</v>
      </c>
      <c r="AR35" s="945" t="b">
        <f t="shared" si="92"/>
        <v>0</v>
      </c>
      <c r="AS35" s="1038" t="e">
        <f t="shared" si="17"/>
        <v>#N/A</v>
      </c>
      <c r="AT35" s="945" t="b">
        <f t="shared" si="93"/>
        <v>0</v>
      </c>
      <c r="AU35" s="1291" t="str">
        <f t="shared" si="18"/>
        <v/>
      </c>
      <c r="AV35" s="830" t="str">
        <f t="shared" si="19"/>
        <v/>
      </c>
      <c r="AW35" s="830" t="str">
        <f t="shared" si="90"/>
        <v/>
      </c>
      <c r="AX35" s="830" t="str">
        <f t="shared" si="94"/>
        <v/>
      </c>
      <c r="AY35" s="464" t="b">
        <f t="shared" si="20"/>
        <v>0</v>
      </c>
      <c r="AZ35" s="856" t="str">
        <f t="shared" si="91"/>
        <v/>
      </c>
      <c r="BA35" s="549"/>
      <c r="BB35" s="672"/>
      <c r="BC35" s="1684"/>
      <c r="BD35" s="733"/>
      <c r="BE35" s="734"/>
      <c r="BF35" s="735"/>
      <c r="BG35" s="672"/>
      <c r="BH35" s="982"/>
      <c r="BI35" s="983"/>
      <c r="BJ35" s="1625"/>
      <c r="BK35" s="982"/>
      <c r="BL35" s="983"/>
      <c r="BM35" s="1569"/>
      <c r="BN35" s="1570"/>
      <c r="BO35" s="1617" t="str">
        <f>IF(ISERROR(CU35),"",IF(CU35="","",IF(VLOOKUP(BG35,SectInfo!$B:$N,10,FALSE)="","","X")))</f>
        <v/>
      </c>
      <c r="BP35" s="1561"/>
      <c r="BQ35" s="1562" t="str">
        <f t="shared" si="21"/>
        <v/>
      </c>
      <c r="BR35" s="1563"/>
      <c r="BS35" s="672"/>
      <c r="BT35" s="982"/>
      <c r="BU35" s="983"/>
      <c r="BV35" s="1625"/>
      <c r="BW35" s="982"/>
      <c r="BX35" s="983"/>
      <c r="BY35" s="1569"/>
      <c r="BZ35" s="1570"/>
      <c r="CA35" s="1617" t="str">
        <f>IF(ISERROR(DE35),"",IF(DE35="","",IF(VLOOKUP(BS35,SectInfo!$B:$N,10,FALSE)="","","X")))</f>
        <v/>
      </c>
      <c r="CB35" s="1561"/>
      <c r="CC35" s="1562" t="str">
        <f t="shared" si="22"/>
        <v/>
      </c>
      <c r="CD35" s="1563"/>
      <c r="CE35" s="1574"/>
      <c r="CF35" s="736"/>
      <c r="CG35" s="737"/>
      <c r="CH35" s="643" t="str">
        <f t="shared" si="23"/>
        <v/>
      </c>
      <c r="CI35" s="644" t="str">
        <f t="shared" si="24"/>
        <v/>
      </c>
      <c r="CJ35" s="645" t="str">
        <f t="shared" si="25"/>
        <v/>
      </c>
      <c r="CK35" s="852" t="str">
        <f t="shared" si="26"/>
        <v/>
      </c>
      <c r="CL35" s="847" t="str">
        <f t="shared" si="27"/>
        <v/>
      </c>
      <c r="CM35" s="848" t="str">
        <f t="shared" si="28"/>
        <v/>
      </c>
      <c r="CN35" s="611" t="str">
        <f t="shared" si="29"/>
        <v/>
      </c>
      <c r="CO35" s="612" t="str">
        <f t="shared" si="30"/>
        <v/>
      </c>
      <c r="CP35" s="615" t="str">
        <f t="shared" si="31"/>
        <v/>
      </c>
      <c r="CQ35" s="616" t="str">
        <f t="shared" si="32"/>
        <v/>
      </c>
      <c r="CR35" s="750" t="str">
        <f t="shared" si="33"/>
        <v/>
      </c>
      <c r="CS35" s="751" t="str">
        <f t="shared" si="34"/>
        <v/>
      </c>
      <c r="CU35" s="114" t="str">
        <f>IF(BG35="","",VLOOKUP(BG35,SectInfo!$B:$N,12,FALSE))</f>
        <v/>
      </c>
      <c r="CV35" s="115" t="str">
        <f>IF(BG35="","",IF(ISBLANK(BP35),VLOOKUP(BG35,SectInfo!$B:$N,13,FALSE),BP35))</f>
        <v/>
      </c>
      <c r="CW35" s="1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115" t="str">
        <f>IF(BG35="","",IF(VLOOKUP(BG35,SectInfo!$B:$N,7,FALSE)="","",(VLOOKUP(BG35,SectInfo!$B:$N,7,FALSE)*-1)))</f>
        <v/>
      </c>
      <c r="DB35" s="815" t="str">
        <f>IF(BG35="","",IF(VLOOKUP(BG35,SectInfo!$B:$N,8,FALSE)="",VLOOKUP(AU35,$DF$2:$DN$9,6,FALSE),(VLOOKUP(BG35,SectInfo!$B:$N,8,FALSE))))</f>
        <v/>
      </c>
      <c r="DC35" s="815" t="str">
        <f>IF(BG35="","",VLOOKUP(BG35,SectInfo!$B:$N,9,FALSE))</f>
        <v/>
      </c>
      <c r="DD35" s="816">
        <f t="shared" si="35"/>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36"/>
        <v>0</v>
      </c>
      <c r="DO35" s="818">
        <f t="shared" si="37"/>
        <v>0</v>
      </c>
      <c r="DP35" s="822" t="str">
        <f t="shared" si="38"/>
        <v/>
      </c>
      <c r="DQ35" s="822" t="str">
        <f t="shared" si="39"/>
        <v/>
      </c>
      <c r="DR35" s="822" t="str">
        <f t="shared" si="40"/>
        <v/>
      </c>
      <c r="DS35" s="821">
        <f t="shared" si="41"/>
        <v>0</v>
      </c>
      <c r="DT35" s="821">
        <f t="shared" si="42"/>
        <v>0</v>
      </c>
      <c r="DU35" s="821" t="str">
        <f t="shared" si="43"/>
        <v/>
      </c>
      <c r="DV35" s="822" t="str">
        <f t="shared" si="44"/>
        <v/>
      </c>
      <c r="DW35" s="856" t="str">
        <f t="shared" si="45"/>
        <v/>
      </c>
      <c r="DX35" s="1006">
        <f t="shared" si="118"/>
        <v>0</v>
      </c>
      <c r="DY35" s="822">
        <f t="shared" si="46"/>
        <v>0</v>
      </c>
      <c r="DZ35" s="821">
        <f t="shared" si="47"/>
        <v>0</v>
      </c>
      <c r="EA35" s="821" t="str">
        <f t="shared" si="48"/>
        <v/>
      </c>
      <c r="EB35" s="822" t="str">
        <f t="shared" si="119"/>
        <v/>
      </c>
      <c r="EC35" s="856" t="str">
        <f t="shared" si="49"/>
        <v/>
      </c>
      <c r="ED35" s="1006">
        <f t="shared" si="120"/>
        <v>0</v>
      </c>
      <c r="EE35" s="1293" t="str">
        <f t="shared" si="50"/>
        <v/>
      </c>
      <c r="EF35" s="822" t="str">
        <f t="shared" si="121"/>
        <v/>
      </c>
      <c r="EG35" s="822" t="str">
        <f t="shared" si="122"/>
        <v/>
      </c>
      <c r="EH35" s="856" t="e">
        <f t="shared" si="51"/>
        <v>#N/A</v>
      </c>
      <c r="EI35" s="856" t="e">
        <f t="shared" si="52"/>
        <v>#N/A</v>
      </c>
      <c r="EJ35" s="822" t="str">
        <f t="shared" si="123"/>
        <v/>
      </c>
      <c r="EK35" s="822" t="str">
        <f t="shared" si="124"/>
        <v/>
      </c>
      <c r="EL35" s="1293" t="str">
        <f t="shared" si="54"/>
        <v/>
      </c>
      <c r="EM35" s="822" t="str">
        <f t="shared" si="125"/>
        <v/>
      </c>
      <c r="EN35" s="822" t="str">
        <f t="shared" si="126"/>
        <v/>
      </c>
      <c r="EO35" s="856" t="e">
        <f t="shared" si="55"/>
        <v>#N/A</v>
      </c>
      <c r="EP35" s="856" t="e">
        <f t="shared" si="56"/>
        <v>#N/A</v>
      </c>
      <c r="EQ35" s="822" t="str">
        <f t="shared" si="57"/>
        <v/>
      </c>
      <c r="ER35" s="822" t="str">
        <f t="shared" si="57"/>
        <v/>
      </c>
      <c r="ES35" s="822" t="str">
        <f t="shared" si="58"/>
        <v/>
      </c>
      <c r="ET35" s="822" t="str">
        <f t="shared" si="59"/>
        <v/>
      </c>
      <c r="EU35" s="829" t="str">
        <f t="shared" si="60"/>
        <v/>
      </c>
      <c r="EV35" s="824" t="str">
        <f t="shared" si="127"/>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61"/>
        <v/>
      </c>
      <c r="FA35" s="829" t="str">
        <f>IF(AND(DE35="G", ISBLANK(BW35), ISBLANK(BX35)),VLOOKUP(MIN(BT35:BU35),TblJoistSize!$M$3:$N$10,2),IF(OR(DE35="B", DE35="G"),MIN(BW35:BX35),""))</f>
        <v/>
      </c>
      <c r="FB35" s="829" t="str">
        <f>IF(AND(DE35="G", ISBLANK(BW35), ISBLANK(BX35)),VLOOKUP(MAX(BT35:BU35),TblJoistSize!$M$3:$N$10,2),IF(OR(DE35="B", DE35="G"),MAX(BW35:BX35),""))</f>
        <v/>
      </c>
      <c r="FC35" s="829" t="str">
        <f t="shared" si="62"/>
        <v/>
      </c>
      <c r="FD35" s="822">
        <f t="shared" si="63"/>
        <v>0</v>
      </c>
      <c r="FE35" s="822">
        <f t="shared" si="64"/>
        <v>0</v>
      </c>
      <c r="FF35" s="821">
        <f t="shared" si="65"/>
        <v>0</v>
      </c>
      <c r="FG35" s="821" t="str">
        <f t="shared" si="66"/>
        <v/>
      </c>
      <c r="FH35" s="822" t="str">
        <f t="shared" si="67"/>
        <v/>
      </c>
      <c r="FI35" s="822">
        <f t="shared" si="68"/>
        <v>0</v>
      </c>
      <c r="FJ35" s="822">
        <f t="shared" si="69"/>
        <v>0</v>
      </c>
      <c r="FK35" s="821">
        <f t="shared" si="70"/>
        <v>0</v>
      </c>
      <c r="FL35" s="821" t="str">
        <f t="shared" si="71"/>
        <v/>
      </c>
      <c r="FM35" s="822" t="str">
        <f t="shared" si="72"/>
        <v/>
      </c>
      <c r="FN35" s="822" t="e">
        <f t="shared" si="73"/>
        <v>#VALUE!</v>
      </c>
      <c r="FO35" s="940" t="e">
        <f t="shared" si="74"/>
        <v>#VALUE!</v>
      </c>
      <c r="FP35" s="940" t="e">
        <f t="shared" si="75"/>
        <v>#VALUE!</v>
      </c>
      <c r="FQ35" s="830" t="e">
        <f t="shared" si="76"/>
        <v>#VALUE!</v>
      </c>
      <c r="FR35" s="831" t="e">
        <f t="shared" si="77"/>
        <v>#VALUE!</v>
      </c>
      <c r="FS35" s="832" t="str">
        <f t="shared" si="78"/>
        <v/>
      </c>
      <c r="FT35" s="833" t="str">
        <f t="shared" si="79"/>
        <v/>
      </c>
      <c r="FU35" s="870">
        <f t="shared" si="80"/>
        <v>0</v>
      </c>
      <c r="FV35" s="871">
        <f t="shared" si="81"/>
        <v>0</v>
      </c>
      <c r="GA35" s="1791" t="str">
        <f t="shared" si="82"/>
        <v/>
      </c>
      <c r="GB35" s="1792" t="str">
        <f t="shared" si="83"/>
        <v/>
      </c>
      <c r="GC35" s="1793" t="str">
        <f t="shared" si="84"/>
        <v/>
      </c>
      <c r="GD35" s="1794" t="str">
        <f t="shared" si="85"/>
        <v/>
      </c>
      <c r="GE35" s="1795" t="str">
        <f t="shared" si="86"/>
        <v/>
      </c>
      <c r="GF35" s="600" t="str">
        <f t="shared" si="87"/>
        <v/>
      </c>
      <c r="GG35" s="1130"/>
      <c r="GH35" s="1131"/>
      <c r="GI35" s="1130"/>
      <c r="GJ35" s="1131"/>
      <c r="GK35" s="1636">
        <f t="shared" si="88"/>
        <v>0</v>
      </c>
      <c r="GL35" s="1636" t="e">
        <f t="shared" si="89"/>
        <v>#VALUE!</v>
      </c>
      <c r="GM35" s="1637" t="e">
        <f>IF(ABS(GK35-GL35)&gt;='Job Info.'!$L$22,ABS(GK35-GL35),0)</f>
        <v>#VALUE!</v>
      </c>
      <c r="GZ35" s="415"/>
      <c r="HA35" s="1391"/>
      <c r="HB35" s="1392"/>
      <c r="HC35" s="1392"/>
      <c r="HD35" s="1393"/>
      <c r="HE35" s="1394"/>
      <c r="HF35" s="1392"/>
      <c r="HG35" s="1392"/>
      <c r="HH35" s="1392"/>
      <c r="HI35" s="1395"/>
      <c r="HJ35" s="1392"/>
      <c r="HK35" s="1392"/>
      <c r="HL35" s="1392"/>
      <c r="HM35" s="1392"/>
      <c r="HN35" s="1392"/>
      <c r="HO35" s="1392"/>
      <c r="HP35" s="1392"/>
      <c r="HQ35" s="1395"/>
      <c r="HR35" s="1392"/>
      <c r="HS35" s="1392"/>
      <c r="HT35" s="1392"/>
      <c r="HU35" s="1392"/>
      <c r="HV35" s="1392"/>
      <c r="HW35" s="1394"/>
      <c r="HX35" s="1394"/>
      <c r="HY35" s="1394"/>
      <c r="HZ35" s="1394"/>
      <c r="IA35" s="1394"/>
      <c r="IB35" s="1394"/>
      <c r="IC35" s="1394"/>
      <c r="ID35" s="1394"/>
      <c r="IE35" s="1394"/>
      <c r="IF35" s="1396"/>
    </row>
    <row r="36" spans="1:240" ht="12.6" customHeight="1" x14ac:dyDescent="0.25">
      <c r="A36" s="1448" t="str">
        <f t="shared" si="1"/>
        <v/>
      </c>
      <c r="B36" s="1681" t="str">
        <f t="shared" si="2"/>
        <v/>
      </c>
      <c r="C36" s="1449" t="str">
        <f t="shared" si="3"/>
        <v/>
      </c>
      <c r="D36" s="1705" t="str">
        <f t="shared" si="95"/>
        <v/>
      </c>
      <c r="E36" s="1778" t="str">
        <f t="shared" si="96"/>
        <v/>
      </c>
      <c r="F36" s="1708" t="str">
        <f t="shared" si="97"/>
        <v/>
      </c>
      <c r="G36" s="1709" t="str">
        <f t="shared" si="98"/>
        <v/>
      </c>
      <c r="H36" s="1779" t="str">
        <f t="shared" si="99"/>
        <v/>
      </c>
      <c r="I36" s="1705" t="str">
        <f t="shared" si="100"/>
        <v/>
      </c>
      <c r="J36" s="1709" t="str">
        <f t="shared" si="101"/>
        <v/>
      </c>
      <c r="K36" s="1780" t="str">
        <f t="shared" si="102"/>
        <v/>
      </c>
      <c r="L36" s="1712" t="str">
        <f t="shared" si="103"/>
        <v/>
      </c>
      <c r="M36" s="1713" t="str">
        <f t="shared" si="104"/>
        <v/>
      </c>
      <c r="N36" s="1708" t="str">
        <f t="shared" si="105"/>
        <v/>
      </c>
      <c r="O36" s="1709" t="str">
        <f t="shared" si="106"/>
        <v/>
      </c>
      <c r="P36" s="1710" t="str">
        <f t="shared" si="107"/>
        <v/>
      </c>
      <c r="Q36" s="1705" t="str">
        <f t="shared" si="108"/>
        <v/>
      </c>
      <c r="R36" s="1709" t="str">
        <f t="shared" si="109"/>
        <v/>
      </c>
      <c r="S36" s="1753" t="str">
        <f t="shared" si="110"/>
        <v/>
      </c>
      <c r="T36" s="1708" t="str">
        <f t="shared" si="111"/>
        <v/>
      </c>
      <c r="U36" s="1709" t="str">
        <f t="shared" si="112"/>
        <v/>
      </c>
      <c r="V36" s="1705" t="str">
        <f t="shared" si="113"/>
        <v/>
      </c>
      <c r="W36" s="1709" t="str">
        <f t="shared" si="114"/>
        <v/>
      </c>
      <c r="X36" s="1750">
        <f t="shared" si="115"/>
        <v>0</v>
      </c>
      <c r="Y36" s="1781" t="str">
        <f t="shared" si="116"/>
        <v/>
      </c>
      <c r="Z36" s="1782" t="str">
        <f t="shared" si="117"/>
        <v/>
      </c>
      <c r="AA36" s="1783" t="str">
        <f t="shared" si="5"/>
        <v/>
      </c>
      <c r="AB36" s="1413"/>
      <c r="AC36" s="964" t="b">
        <v>0</v>
      </c>
      <c r="AD36" s="441">
        <f t="shared" si="6"/>
        <v>0</v>
      </c>
      <c r="AE36" s="442">
        <f t="shared" si="7"/>
        <v>0</v>
      </c>
      <c r="AF36" s="442">
        <f t="shared" si="8"/>
        <v>0</v>
      </c>
      <c r="AG36" s="442">
        <f t="shared" si="9"/>
        <v>0</v>
      </c>
      <c r="AH36" s="443">
        <f t="shared" si="10"/>
        <v>0</v>
      </c>
      <c r="AI36" s="444" t="b">
        <v>0</v>
      </c>
      <c r="AJ36" s="238">
        <f t="shared" si="128"/>
        <v>0</v>
      </c>
      <c r="AK36" s="238" t="str">
        <f t="shared" si="11"/>
        <v/>
      </c>
      <c r="AL36" s="1290" t="str">
        <f t="shared" si="12"/>
        <v/>
      </c>
      <c r="AM36" s="238" t="str">
        <f t="shared" si="13"/>
        <v/>
      </c>
      <c r="AN36" s="238" t="str">
        <f t="shared" si="14"/>
        <v/>
      </c>
      <c r="AO36" s="238" t="str">
        <f t="shared" si="15"/>
        <v/>
      </c>
      <c r="AP36" s="830" t="b">
        <f>IF(ISERROR(AJ36),FALSE,IF(OR(AJ36=0,ISERROR(AL36),ISERROR(AM36),ISERROR(AN36),ISERROR(AO36)),FALSE,IF(AL36&lt;&gt;"",IF(ISERROR(VLOOKUP(SUBSTITUTE(SUBSTITUTE(C36,"R",""),"A",""),TblJoistSize!$A:$A,1,FALSE)),FALSE,TRUE),TRUE)))</f>
        <v>0</v>
      </c>
      <c r="AQ36" s="1038" t="e">
        <f t="shared" si="16"/>
        <v>#N/A</v>
      </c>
      <c r="AR36" s="945" t="b">
        <f t="shared" si="92"/>
        <v>0</v>
      </c>
      <c r="AS36" s="1038" t="e">
        <f t="shared" si="17"/>
        <v>#N/A</v>
      </c>
      <c r="AT36" s="945" t="b">
        <f t="shared" si="93"/>
        <v>0</v>
      </c>
      <c r="AU36" s="1291" t="str">
        <f t="shared" si="18"/>
        <v/>
      </c>
      <c r="AV36" s="830" t="str">
        <f t="shared" si="19"/>
        <v/>
      </c>
      <c r="AW36" s="830" t="str">
        <f t="shared" si="90"/>
        <v/>
      </c>
      <c r="AX36" s="830" t="str">
        <f t="shared" si="94"/>
        <v/>
      </c>
      <c r="AY36" s="464" t="b">
        <f t="shared" si="20"/>
        <v>0</v>
      </c>
      <c r="AZ36" s="856" t="str">
        <f t="shared" si="91"/>
        <v/>
      </c>
      <c r="BA36" s="549"/>
      <c r="BB36" s="672"/>
      <c r="BC36" s="1684"/>
      <c r="BD36" s="733"/>
      <c r="BE36" s="734"/>
      <c r="BF36" s="735"/>
      <c r="BG36" s="672"/>
      <c r="BH36" s="982"/>
      <c r="BI36" s="983"/>
      <c r="BJ36" s="1625"/>
      <c r="BK36" s="982"/>
      <c r="BL36" s="983"/>
      <c r="BM36" s="1569"/>
      <c r="BN36" s="1570"/>
      <c r="BO36" s="1617" t="str">
        <f>IF(ISERROR(CU36),"",IF(CU36="","",IF(VLOOKUP(BG36,SectInfo!$B:$N,10,FALSE)="","","X")))</f>
        <v/>
      </c>
      <c r="BP36" s="1561"/>
      <c r="BQ36" s="1562" t="str">
        <f t="shared" si="21"/>
        <v/>
      </c>
      <c r="BR36" s="1563"/>
      <c r="BS36" s="672"/>
      <c r="BT36" s="982"/>
      <c r="BU36" s="983"/>
      <c r="BV36" s="1625"/>
      <c r="BW36" s="982"/>
      <c r="BX36" s="983"/>
      <c r="BY36" s="1569"/>
      <c r="BZ36" s="1570"/>
      <c r="CA36" s="1617" t="str">
        <f>IF(ISERROR(DE36),"",IF(DE36="","",IF(VLOOKUP(BS36,SectInfo!$B:$N,10,FALSE)="","","X")))</f>
        <v/>
      </c>
      <c r="CB36" s="1561"/>
      <c r="CC36" s="1562" t="str">
        <f t="shared" si="22"/>
        <v/>
      </c>
      <c r="CD36" s="1563"/>
      <c r="CE36" s="1574"/>
      <c r="CF36" s="736"/>
      <c r="CG36" s="737"/>
      <c r="CH36" s="643" t="str">
        <f t="shared" si="23"/>
        <v/>
      </c>
      <c r="CI36" s="644" t="str">
        <f t="shared" si="24"/>
        <v/>
      </c>
      <c r="CJ36" s="645" t="str">
        <f t="shared" si="25"/>
        <v/>
      </c>
      <c r="CK36" s="852" t="str">
        <f t="shared" si="26"/>
        <v/>
      </c>
      <c r="CL36" s="847" t="str">
        <f t="shared" si="27"/>
        <v/>
      </c>
      <c r="CM36" s="848" t="str">
        <f t="shared" si="28"/>
        <v/>
      </c>
      <c r="CN36" s="611" t="str">
        <f t="shared" si="29"/>
        <v/>
      </c>
      <c r="CO36" s="612" t="str">
        <f t="shared" si="30"/>
        <v/>
      </c>
      <c r="CP36" s="615" t="str">
        <f t="shared" si="31"/>
        <v/>
      </c>
      <c r="CQ36" s="616" t="str">
        <f t="shared" si="32"/>
        <v/>
      </c>
      <c r="CR36" s="750" t="str">
        <f t="shared" si="33"/>
        <v/>
      </c>
      <c r="CS36" s="751" t="str">
        <f t="shared" si="34"/>
        <v/>
      </c>
      <c r="CU36" s="114" t="str">
        <f>IF(BG36="","",VLOOKUP(BG36,SectInfo!$B:$N,12,FALSE))</f>
        <v/>
      </c>
      <c r="CV36" s="115" t="str">
        <f>IF(BG36="","",IF(ISBLANK(BP36),VLOOKUP(BG36,SectInfo!$B:$N,13,FALSE),BP36))</f>
        <v/>
      </c>
      <c r="CW36" s="1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115" t="str">
        <f>IF(BG36="","",IF(VLOOKUP(BG36,SectInfo!$B:$N,7,FALSE)="","",(VLOOKUP(BG36,SectInfo!$B:$N,7,FALSE)*-1)))</f>
        <v/>
      </c>
      <c r="DB36" s="815" t="str">
        <f>IF(BG36="","",IF(VLOOKUP(BG36,SectInfo!$B:$N,8,FALSE)="",VLOOKUP(AU36,$DF$2:$DN$9,6,FALSE),(VLOOKUP(BG36,SectInfo!$B:$N,8,FALSE))))</f>
        <v/>
      </c>
      <c r="DC36" s="815" t="str">
        <f>IF(BG36="","",VLOOKUP(BG36,SectInfo!$B:$N,9,FALSE))</f>
        <v/>
      </c>
      <c r="DD36" s="816">
        <f t="shared" si="35"/>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36"/>
        <v>0</v>
      </c>
      <c r="DO36" s="818">
        <f t="shared" si="37"/>
        <v>0</v>
      </c>
      <c r="DP36" s="822" t="str">
        <f t="shared" si="38"/>
        <v/>
      </c>
      <c r="DQ36" s="822" t="str">
        <f t="shared" si="39"/>
        <v/>
      </c>
      <c r="DR36" s="822" t="str">
        <f t="shared" si="40"/>
        <v/>
      </c>
      <c r="DS36" s="821">
        <f t="shared" si="41"/>
        <v>0</v>
      </c>
      <c r="DT36" s="821">
        <f t="shared" si="42"/>
        <v>0</v>
      </c>
      <c r="DU36" s="821" t="str">
        <f t="shared" si="43"/>
        <v/>
      </c>
      <c r="DV36" s="822" t="str">
        <f t="shared" si="44"/>
        <v/>
      </c>
      <c r="DW36" s="856" t="str">
        <f t="shared" si="45"/>
        <v/>
      </c>
      <c r="DX36" s="1006">
        <f t="shared" si="118"/>
        <v>0</v>
      </c>
      <c r="DY36" s="822">
        <f t="shared" si="46"/>
        <v>0</v>
      </c>
      <c r="DZ36" s="821">
        <f t="shared" si="47"/>
        <v>0</v>
      </c>
      <c r="EA36" s="821" t="str">
        <f t="shared" si="48"/>
        <v/>
      </c>
      <c r="EB36" s="822" t="str">
        <f t="shared" si="119"/>
        <v/>
      </c>
      <c r="EC36" s="856" t="str">
        <f t="shared" si="49"/>
        <v/>
      </c>
      <c r="ED36" s="1006">
        <f t="shared" si="120"/>
        <v>0</v>
      </c>
      <c r="EE36" s="1293" t="str">
        <f t="shared" si="50"/>
        <v/>
      </c>
      <c r="EF36" s="822" t="str">
        <f t="shared" si="121"/>
        <v/>
      </c>
      <c r="EG36" s="822" t="str">
        <f t="shared" si="122"/>
        <v/>
      </c>
      <c r="EH36" s="856" t="e">
        <f t="shared" si="51"/>
        <v>#N/A</v>
      </c>
      <c r="EI36" s="856" t="e">
        <f t="shared" si="52"/>
        <v>#N/A</v>
      </c>
      <c r="EJ36" s="822" t="str">
        <f t="shared" si="123"/>
        <v/>
      </c>
      <c r="EK36" s="822" t="str">
        <f t="shared" si="124"/>
        <v/>
      </c>
      <c r="EL36" s="1293" t="str">
        <f t="shared" si="54"/>
        <v/>
      </c>
      <c r="EM36" s="822" t="str">
        <f t="shared" si="125"/>
        <v/>
      </c>
      <c r="EN36" s="822" t="str">
        <f t="shared" si="126"/>
        <v/>
      </c>
      <c r="EO36" s="856" t="e">
        <f t="shared" si="55"/>
        <v>#N/A</v>
      </c>
      <c r="EP36" s="856" t="e">
        <f t="shared" si="56"/>
        <v>#N/A</v>
      </c>
      <c r="EQ36" s="822" t="str">
        <f t="shared" si="57"/>
        <v/>
      </c>
      <c r="ER36" s="822" t="str">
        <f t="shared" si="57"/>
        <v/>
      </c>
      <c r="ES36" s="822" t="str">
        <f t="shared" si="58"/>
        <v/>
      </c>
      <c r="ET36" s="822" t="str">
        <f t="shared" si="59"/>
        <v/>
      </c>
      <c r="EU36" s="829" t="str">
        <f t="shared" si="60"/>
        <v/>
      </c>
      <c r="EV36" s="824" t="str">
        <f t="shared" si="127"/>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61"/>
        <v/>
      </c>
      <c r="FA36" s="829" t="str">
        <f>IF(AND(DE36="G", ISBLANK(BW36), ISBLANK(BX36)),VLOOKUP(MIN(BT36:BU36),TblJoistSize!$M$3:$N$10,2),IF(OR(DE36="B", DE36="G"),MIN(BW36:BX36),""))</f>
        <v/>
      </c>
      <c r="FB36" s="829" t="str">
        <f>IF(AND(DE36="G", ISBLANK(BW36), ISBLANK(BX36)),VLOOKUP(MAX(BT36:BU36),TblJoistSize!$M$3:$N$10,2),IF(OR(DE36="B", DE36="G"),MAX(BW36:BX36),""))</f>
        <v/>
      </c>
      <c r="FC36" s="829" t="str">
        <f t="shared" si="62"/>
        <v/>
      </c>
      <c r="FD36" s="822">
        <f t="shared" si="63"/>
        <v>0</v>
      </c>
      <c r="FE36" s="822">
        <f t="shared" si="64"/>
        <v>0</v>
      </c>
      <c r="FF36" s="821">
        <f t="shared" si="65"/>
        <v>0</v>
      </c>
      <c r="FG36" s="821" t="str">
        <f t="shared" si="66"/>
        <v/>
      </c>
      <c r="FH36" s="822" t="str">
        <f t="shared" si="67"/>
        <v/>
      </c>
      <c r="FI36" s="822">
        <f t="shared" si="68"/>
        <v>0</v>
      </c>
      <c r="FJ36" s="822">
        <f t="shared" si="69"/>
        <v>0</v>
      </c>
      <c r="FK36" s="821">
        <f t="shared" si="70"/>
        <v>0</v>
      </c>
      <c r="FL36" s="821" t="str">
        <f t="shared" si="71"/>
        <v/>
      </c>
      <c r="FM36" s="822" t="str">
        <f t="shared" si="72"/>
        <v/>
      </c>
      <c r="FN36" s="822" t="e">
        <f t="shared" si="73"/>
        <v>#VALUE!</v>
      </c>
      <c r="FO36" s="940" t="e">
        <f t="shared" si="74"/>
        <v>#VALUE!</v>
      </c>
      <c r="FP36" s="940" t="e">
        <f t="shared" si="75"/>
        <v>#VALUE!</v>
      </c>
      <c r="FQ36" s="830" t="e">
        <f t="shared" si="76"/>
        <v>#VALUE!</v>
      </c>
      <c r="FR36" s="831" t="e">
        <f t="shared" si="77"/>
        <v>#VALUE!</v>
      </c>
      <c r="FS36" s="832" t="str">
        <f t="shared" si="78"/>
        <v/>
      </c>
      <c r="FT36" s="833" t="str">
        <f t="shared" si="79"/>
        <v/>
      </c>
      <c r="FU36" s="870">
        <f t="shared" si="80"/>
        <v>0</v>
      </c>
      <c r="FV36" s="871">
        <f t="shared" si="81"/>
        <v>0</v>
      </c>
      <c r="GA36" s="1791" t="str">
        <f t="shared" si="82"/>
        <v/>
      </c>
      <c r="GB36" s="1792" t="str">
        <f t="shared" si="83"/>
        <v/>
      </c>
      <c r="GC36" s="1793" t="str">
        <f t="shared" si="84"/>
        <v/>
      </c>
      <c r="GD36" s="1794" t="str">
        <f t="shared" si="85"/>
        <v/>
      </c>
      <c r="GE36" s="1795" t="str">
        <f t="shared" si="86"/>
        <v/>
      </c>
      <c r="GF36" s="600" t="str">
        <f t="shared" si="87"/>
        <v/>
      </c>
      <c r="GG36" s="1130"/>
      <c r="GH36" s="1131"/>
      <c r="GI36" s="1130"/>
      <c r="GJ36" s="1131"/>
      <c r="GK36" s="1636">
        <f t="shared" si="88"/>
        <v>0</v>
      </c>
      <c r="GL36" s="1636" t="e">
        <f t="shared" si="89"/>
        <v>#VALUE!</v>
      </c>
      <c r="GM36" s="1637" t="e">
        <f>IF(ABS(GK36-GL36)&gt;='Job Info.'!$L$22,ABS(GK36-GL36),0)</f>
        <v>#VALUE!</v>
      </c>
      <c r="GZ36" s="415"/>
      <c r="HA36" s="1391"/>
      <c r="HB36" s="1392"/>
      <c r="HC36" s="1392"/>
      <c r="HD36" s="1393"/>
      <c r="HE36" s="1394"/>
      <c r="HF36" s="1392"/>
      <c r="HG36" s="1392"/>
      <c r="HH36" s="1392"/>
      <c r="HI36" s="1395"/>
      <c r="HJ36" s="1392"/>
      <c r="HK36" s="1392"/>
      <c r="HL36" s="1392"/>
      <c r="HM36" s="1392"/>
      <c r="HN36" s="1392"/>
      <c r="HO36" s="1392"/>
      <c r="HP36" s="1392"/>
      <c r="HQ36" s="1395"/>
      <c r="HR36" s="1392"/>
      <c r="HS36" s="1392"/>
      <c r="HT36" s="1392"/>
      <c r="HU36" s="1392"/>
      <c r="HV36" s="1392"/>
      <c r="HW36" s="1394"/>
      <c r="HX36" s="1394"/>
      <c r="HY36" s="1394"/>
      <c r="HZ36" s="1394"/>
      <c r="IA36" s="1394"/>
      <c r="IB36" s="1394"/>
      <c r="IC36" s="1394"/>
      <c r="ID36" s="1394"/>
      <c r="IE36" s="1394"/>
      <c r="IF36" s="1396"/>
    </row>
    <row r="37" spans="1:240" ht="12.6" customHeight="1" x14ac:dyDescent="0.25">
      <c r="A37" s="1448" t="str">
        <f t="shared" si="1"/>
        <v/>
      </c>
      <c r="B37" s="1681" t="str">
        <f t="shared" si="2"/>
        <v/>
      </c>
      <c r="C37" s="1449" t="str">
        <f t="shared" si="3"/>
        <v/>
      </c>
      <c r="D37" s="1705" t="str">
        <f t="shared" si="95"/>
        <v/>
      </c>
      <c r="E37" s="1778" t="str">
        <f t="shared" si="96"/>
        <v/>
      </c>
      <c r="F37" s="1708" t="str">
        <f t="shared" si="97"/>
        <v/>
      </c>
      <c r="G37" s="1709" t="str">
        <f t="shared" si="98"/>
        <v/>
      </c>
      <c r="H37" s="1779" t="str">
        <f t="shared" si="99"/>
        <v/>
      </c>
      <c r="I37" s="1705" t="str">
        <f t="shared" si="100"/>
        <v/>
      </c>
      <c r="J37" s="1709" t="str">
        <f t="shared" si="101"/>
        <v/>
      </c>
      <c r="K37" s="1780" t="str">
        <f t="shared" si="102"/>
        <v/>
      </c>
      <c r="L37" s="1712" t="str">
        <f t="shared" si="103"/>
        <v/>
      </c>
      <c r="M37" s="1713" t="str">
        <f t="shared" si="104"/>
        <v/>
      </c>
      <c r="N37" s="1708" t="str">
        <f t="shared" si="105"/>
        <v/>
      </c>
      <c r="O37" s="1709" t="str">
        <f t="shared" si="106"/>
        <v/>
      </c>
      <c r="P37" s="1710" t="str">
        <f t="shared" si="107"/>
        <v/>
      </c>
      <c r="Q37" s="1705" t="str">
        <f t="shared" si="108"/>
        <v/>
      </c>
      <c r="R37" s="1709" t="str">
        <f t="shared" si="109"/>
        <v/>
      </c>
      <c r="S37" s="1753" t="str">
        <f t="shared" si="110"/>
        <v/>
      </c>
      <c r="T37" s="1708" t="str">
        <f t="shared" si="111"/>
        <v/>
      </c>
      <c r="U37" s="1709" t="str">
        <f t="shared" si="112"/>
        <v/>
      </c>
      <c r="V37" s="1705" t="str">
        <f t="shared" si="113"/>
        <v/>
      </c>
      <c r="W37" s="1709" t="str">
        <f t="shared" si="114"/>
        <v/>
      </c>
      <c r="X37" s="1750">
        <f t="shared" si="115"/>
        <v>0</v>
      </c>
      <c r="Y37" s="1781" t="str">
        <f t="shared" si="116"/>
        <v/>
      </c>
      <c r="Z37" s="1782" t="str">
        <f t="shared" si="117"/>
        <v/>
      </c>
      <c r="AA37" s="1783" t="str">
        <f t="shared" si="5"/>
        <v/>
      </c>
      <c r="AB37" s="1413"/>
      <c r="AC37" s="964" t="b">
        <v>0</v>
      </c>
      <c r="AD37" s="441">
        <f t="shared" si="6"/>
        <v>0</v>
      </c>
      <c r="AE37" s="442">
        <f t="shared" si="7"/>
        <v>0</v>
      </c>
      <c r="AF37" s="442">
        <f t="shared" si="8"/>
        <v>0</v>
      </c>
      <c r="AG37" s="442">
        <f t="shared" si="9"/>
        <v>0</v>
      </c>
      <c r="AH37" s="443">
        <f t="shared" si="10"/>
        <v>0</v>
      </c>
      <c r="AI37" s="444" t="b">
        <v>0</v>
      </c>
      <c r="AJ37" s="238">
        <f t="shared" si="128"/>
        <v>0</v>
      </c>
      <c r="AK37" s="238" t="str">
        <f t="shared" si="11"/>
        <v/>
      </c>
      <c r="AL37" s="1290" t="str">
        <f t="shared" si="12"/>
        <v/>
      </c>
      <c r="AM37" s="238" t="str">
        <f t="shared" si="13"/>
        <v/>
      </c>
      <c r="AN37" s="238" t="str">
        <f t="shared" si="14"/>
        <v/>
      </c>
      <c r="AO37" s="238" t="str">
        <f t="shared" si="15"/>
        <v/>
      </c>
      <c r="AP37" s="830" t="b">
        <f>IF(ISERROR(AJ37),FALSE,IF(OR(AJ37=0,ISERROR(AL37),ISERROR(AM37),ISERROR(AN37),ISERROR(AO37)),FALSE,IF(AL37&lt;&gt;"",IF(ISERROR(VLOOKUP(SUBSTITUTE(SUBSTITUTE(C37,"R",""),"A",""),TblJoistSize!$A:$A,1,FALSE)),FALSE,TRUE),TRUE)))</f>
        <v>0</v>
      </c>
      <c r="AQ37" s="1038" t="e">
        <f t="shared" si="16"/>
        <v>#N/A</v>
      </c>
      <c r="AR37" s="945" t="b">
        <f t="shared" si="92"/>
        <v>0</v>
      </c>
      <c r="AS37" s="1038" t="e">
        <f t="shared" si="17"/>
        <v>#N/A</v>
      </c>
      <c r="AT37" s="945" t="b">
        <f t="shared" si="93"/>
        <v>0</v>
      </c>
      <c r="AU37" s="1291" t="str">
        <f t="shared" si="18"/>
        <v/>
      </c>
      <c r="AV37" s="830" t="str">
        <f t="shared" si="19"/>
        <v/>
      </c>
      <c r="AW37" s="830" t="str">
        <f t="shared" si="90"/>
        <v/>
      </c>
      <c r="AX37" s="830" t="str">
        <f t="shared" si="94"/>
        <v/>
      </c>
      <c r="AY37" s="464" t="b">
        <f t="shared" si="20"/>
        <v>0</v>
      </c>
      <c r="AZ37" s="856" t="str">
        <f t="shared" si="91"/>
        <v/>
      </c>
      <c r="BA37" s="549"/>
      <c r="BB37" s="672"/>
      <c r="BC37" s="1684"/>
      <c r="BD37" s="733"/>
      <c r="BE37" s="734"/>
      <c r="BF37" s="735"/>
      <c r="BG37" s="672"/>
      <c r="BH37" s="982"/>
      <c r="BI37" s="983"/>
      <c r="BJ37" s="1625"/>
      <c r="BK37" s="982"/>
      <c r="BL37" s="983"/>
      <c r="BM37" s="1569"/>
      <c r="BN37" s="1570"/>
      <c r="BO37" s="1617" t="str">
        <f>IF(ISERROR(CU37),"",IF(CU37="","",IF(VLOOKUP(BG37,SectInfo!$B:$N,10,FALSE)="","","X")))</f>
        <v/>
      </c>
      <c r="BP37" s="1561"/>
      <c r="BQ37" s="1562" t="str">
        <f t="shared" si="21"/>
        <v/>
      </c>
      <c r="BR37" s="1563"/>
      <c r="BS37" s="672"/>
      <c r="BT37" s="982"/>
      <c r="BU37" s="983"/>
      <c r="BV37" s="1625"/>
      <c r="BW37" s="982"/>
      <c r="BX37" s="983"/>
      <c r="BY37" s="1569"/>
      <c r="BZ37" s="1570"/>
      <c r="CA37" s="1617" t="str">
        <f>IF(ISERROR(DE37),"",IF(DE37="","",IF(VLOOKUP(BS37,SectInfo!$B:$N,10,FALSE)="","","X")))</f>
        <v/>
      </c>
      <c r="CB37" s="1561"/>
      <c r="CC37" s="1562" t="str">
        <f t="shared" si="22"/>
        <v/>
      </c>
      <c r="CD37" s="1563"/>
      <c r="CE37" s="1574"/>
      <c r="CF37" s="736"/>
      <c r="CG37" s="737"/>
      <c r="CH37" s="643" t="str">
        <f t="shared" si="23"/>
        <v/>
      </c>
      <c r="CI37" s="644" t="str">
        <f t="shared" si="24"/>
        <v/>
      </c>
      <c r="CJ37" s="645" t="str">
        <f t="shared" si="25"/>
        <v/>
      </c>
      <c r="CK37" s="852" t="str">
        <f t="shared" si="26"/>
        <v/>
      </c>
      <c r="CL37" s="847" t="str">
        <f t="shared" si="27"/>
        <v/>
      </c>
      <c r="CM37" s="848" t="str">
        <f t="shared" si="28"/>
        <v/>
      </c>
      <c r="CN37" s="611" t="str">
        <f t="shared" si="29"/>
        <v/>
      </c>
      <c r="CO37" s="612" t="str">
        <f t="shared" si="30"/>
        <v/>
      </c>
      <c r="CP37" s="615" t="str">
        <f t="shared" si="31"/>
        <v/>
      </c>
      <c r="CQ37" s="616" t="str">
        <f t="shared" si="32"/>
        <v/>
      </c>
      <c r="CR37" s="750" t="str">
        <f t="shared" si="33"/>
        <v/>
      </c>
      <c r="CS37" s="751" t="str">
        <f t="shared" si="34"/>
        <v/>
      </c>
      <c r="CU37" s="114" t="str">
        <f>IF(BG37="","",VLOOKUP(BG37,SectInfo!$B:$N,12,FALSE))</f>
        <v/>
      </c>
      <c r="CV37" s="115" t="str">
        <f>IF(BG37="","",IF(ISBLANK(BP37),VLOOKUP(BG37,SectInfo!$B:$N,13,FALSE),BP37))</f>
        <v/>
      </c>
      <c r="CW37" s="1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115" t="str">
        <f>IF(BG37="","",IF(VLOOKUP(BG37,SectInfo!$B:$N,7,FALSE)="","",(VLOOKUP(BG37,SectInfo!$B:$N,7,FALSE)*-1)))</f>
        <v/>
      </c>
      <c r="DB37" s="815" t="str">
        <f>IF(BG37="","",IF(VLOOKUP(BG37,SectInfo!$B:$N,8,FALSE)="",VLOOKUP(AU37,$DF$2:$DN$9,6,FALSE),(VLOOKUP(BG37,SectInfo!$B:$N,8,FALSE))))</f>
        <v/>
      </c>
      <c r="DC37" s="815" t="str">
        <f>IF(BG37="","",VLOOKUP(BG37,SectInfo!$B:$N,9,FALSE))</f>
        <v/>
      </c>
      <c r="DD37" s="816">
        <f t="shared" si="35"/>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36"/>
        <v>0</v>
      </c>
      <c r="DO37" s="818">
        <f t="shared" si="37"/>
        <v>0</v>
      </c>
      <c r="DP37" s="822" t="str">
        <f t="shared" si="38"/>
        <v/>
      </c>
      <c r="DQ37" s="822" t="str">
        <f t="shared" si="39"/>
        <v/>
      </c>
      <c r="DR37" s="822" t="str">
        <f t="shared" si="40"/>
        <v/>
      </c>
      <c r="DS37" s="821">
        <f t="shared" si="41"/>
        <v>0</v>
      </c>
      <c r="DT37" s="821">
        <f t="shared" si="42"/>
        <v>0</v>
      </c>
      <c r="DU37" s="821" t="str">
        <f t="shared" si="43"/>
        <v/>
      </c>
      <c r="DV37" s="822" t="str">
        <f t="shared" si="44"/>
        <v/>
      </c>
      <c r="DW37" s="856" t="str">
        <f t="shared" si="45"/>
        <v/>
      </c>
      <c r="DX37" s="1006">
        <f t="shared" si="118"/>
        <v>0</v>
      </c>
      <c r="DY37" s="822">
        <f t="shared" si="46"/>
        <v>0</v>
      </c>
      <c r="DZ37" s="821">
        <f t="shared" si="47"/>
        <v>0</v>
      </c>
      <c r="EA37" s="821" t="str">
        <f t="shared" si="48"/>
        <v/>
      </c>
      <c r="EB37" s="822" t="str">
        <f t="shared" si="119"/>
        <v/>
      </c>
      <c r="EC37" s="856" t="str">
        <f t="shared" si="49"/>
        <v/>
      </c>
      <c r="ED37" s="1006">
        <f t="shared" si="120"/>
        <v>0</v>
      </c>
      <c r="EE37" s="1293" t="str">
        <f t="shared" si="50"/>
        <v/>
      </c>
      <c r="EF37" s="822" t="str">
        <f t="shared" si="121"/>
        <v/>
      </c>
      <c r="EG37" s="822" t="str">
        <f t="shared" si="122"/>
        <v/>
      </c>
      <c r="EH37" s="856" t="e">
        <f t="shared" si="51"/>
        <v>#N/A</v>
      </c>
      <c r="EI37" s="856" t="e">
        <f t="shared" si="52"/>
        <v>#N/A</v>
      </c>
      <c r="EJ37" s="822" t="str">
        <f t="shared" si="123"/>
        <v/>
      </c>
      <c r="EK37" s="822" t="str">
        <f t="shared" si="124"/>
        <v/>
      </c>
      <c r="EL37" s="1293" t="str">
        <f t="shared" si="54"/>
        <v/>
      </c>
      <c r="EM37" s="822" t="str">
        <f t="shared" si="125"/>
        <v/>
      </c>
      <c r="EN37" s="822" t="str">
        <f t="shared" si="126"/>
        <v/>
      </c>
      <c r="EO37" s="856" t="e">
        <f t="shared" si="55"/>
        <v>#N/A</v>
      </c>
      <c r="EP37" s="856" t="e">
        <f t="shared" si="56"/>
        <v>#N/A</v>
      </c>
      <c r="EQ37" s="822" t="str">
        <f t="shared" si="57"/>
        <v/>
      </c>
      <c r="ER37" s="822" t="str">
        <f t="shared" si="57"/>
        <v/>
      </c>
      <c r="ES37" s="822" t="str">
        <f t="shared" si="58"/>
        <v/>
      </c>
      <c r="ET37" s="822" t="str">
        <f t="shared" si="59"/>
        <v/>
      </c>
      <c r="EU37" s="829" t="str">
        <f t="shared" si="60"/>
        <v/>
      </c>
      <c r="EV37" s="824" t="str">
        <f t="shared" si="127"/>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61"/>
        <v/>
      </c>
      <c r="FA37" s="829" t="str">
        <f>IF(AND(DE37="G", ISBLANK(BW37), ISBLANK(BX37)),VLOOKUP(MIN(BT37:BU37),TblJoistSize!$M$3:$N$10,2),IF(OR(DE37="B", DE37="G"),MIN(BW37:BX37),""))</f>
        <v/>
      </c>
      <c r="FB37" s="829" t="str">
        <f>IF(AND(DE37="G", ISBLANK(BW37), ISBLANK(BX37)),VLOOKUP(MAX(BT37:BU37),TblJoistSize!$M$3:$N$10,2),IF(OR(DE37="B", DE37="G"),MAX(BW37:BX37),""))</f>
        <v/>
      </c>
      <c r="FC37" s="829" t="str">
        <f t="shared" si="62"/>
        <v/>
      </c>
      <c r="FD37" s="822">
        <f t="shared" si="63"/>
        <v>0</v>
      </c>
      <c r="FE37" s="822">
        <f t="shared" si="64"/>
        <v>0</v>
      </c>
      <c r="FF37" s="821">
        <f t="shared" si="65"/>
        <v>0</v>
      </c>
      <c r="FG37" s="821" t="str">
        <f t="shared" si="66"/>
        <v/>
      </c>
      <c r="FH37" s="822" t="str">
        <f t="shared" si="67"/>
        <v/>
      </c>
      <c r="FI37" s="822">
        <f t="shared" si="68"/>
        <v>0</v>
      </c>
      <c r="FJ37" s="822">
        <f t="shared" si="69"/>
        <v>0</v>
      </c>
      <c r="FK37" s="821">
        <f t="shared" si="70"/>
        <v>0</v>
      </c>
      <c r="FL37" s="821" t="str">
        <f t="shared" si="71"/>
        <v/>
      </c>
      <c r="FM37" s="822" t="str">
        <f t="shared" si="72"/>
        <v/>
      </c>
      <c r="FN37" s="822" t="e">
        <f t="shared" si="73"/>
        <v>#VALUE!</v>
      </c>
      <c r="FO37" s="940" t="e">
        <f t="shared" si="74"/>
        <v>#VALUE!</v>
      </c>
      <c r="FP37" s="940" t="e">
        <f t="shared" si="75"/>
        <v>#VALUE!</v>
      </c>
      <c r="FQ37" s="830" t="e">
        <f t="shared" si="76"/>
        <v>#VALUE!</v>
      </c>
      <c r="FR37" s="831" t="e">
        <f t="shared" si="77"/>
        <v>#VALUE!</v>
      </c>
      <c r="FS37" s="832" t="str">
        <f t="shared" si="78"/>
        <v/>
      </c>
      <c r="FT37" s="833" t="str">
        <f t="shared" si="79"/>
        <v/>
      </c>
      <c r="FU37" s="870">
        <f t="shared" si="80"/>
        <v>0</v>
      </c>
      <c r="FV37" s="871">
        <f t="shared" si="81"/>
        <v>0</v>
      </c>
      <c r="GA37" s="1791" t="str">
        <f t="shared" si="82"/>
        <v/>
      </c>
      <c r="GB37" s="1792" t="str">
        <f t="shared" si="83"/>
        <v/>
      </c>
      <c r="GC37" s="1793" t="str">
        <f t="shared" si="84"/>
        <v/>
      </c>
      <c r="GD37" s="1794" t="str">
        <f t="shared" si="85"/>
        <v/>
      </c>
      <c r="GE37" s="1795" t="str">
        <f t="shared" si="86"/>
        <v/>
      </c>
      <c r="GF37" s="600" t="str">
        <f t="shared" si="87"/>
        <v/>
      </c>
      <c r="GG37" s="1130"/>
      <c r="GH37" s="1131"/>
      <c r="GI37" s="1130"/>
      <c r="GJ37" s="1131"/>
      <c r="GK37" s="1636">
        <f t="shared" si="88"/>
        <v>0</v>
      </c>
      <c r="GL37" s="1636" t="e">
        <f t="shared" si="89"/>
        <v>#VALUE!</v>
      </c>
      <c r="GM37" s="1637" t="e">
        <f>IF(ABS(GK37-GL37)&gt;='Job Info.'!$L$22,ABS(GK37-GL37),0)</f>
        <v>#VALUE!</v>
      </c>
      <c r="GZ37" s="415"/>
      <c r="HA37" s="1391"/>
      <c r="HB37" s="1392"/>
      <c r="HC37" s="1392"/>
      <c r="HD37" s="1393"/>
      <c r="HE37" s="1394"/>
      <c r="HF37" s="1392"/>
      <c r="HG37" s="1392"/>
      <c r="HH37" s="1392"/>
      <c r="HI37" s="1395"/>
      <c r="HJ37" s="1392"/>
      <c r="HK37" s="1392"/>
      <c r="HL37" s="1392"/>
      <c r="HM37" s="1392"/>
      <c r="HN37" s="1392"/>
      <c r="HO37" s="1392"/>
      <c r="HP37" s="1392"/>
      <c r="HQ37" s="1395"/>
      <c r="HR37" s="1392"/>
      <c r="HS37" s="1392"/>
      <c r="HT37" s="1392"/>
      <c r="HU37" s="1392"/>
      <c r="HV37" s="1392"/>
      <c r="HW37" s="1394"/>
      <c r="HX37" s="1394"/>
      <c r="HY37" s="1394"/>
      <c r="HZ37" s="1394"/>
      <c r="IA37" s="1394"/>
      <c r="IB37" s="1394"/>
      <c r="IC37" s="1394"/>
      <c r="ID37" s="1394"/>
      <c r="IE37" s="1394"/>
      <c r="IF37" s="1396"/>
    </row>
    <row r="38" spans="1:240" ht="12.6" customHeight="1" x14ac:dyDescent="0.25">
      <c r="A38" s="1448" t="str">
        <f t="shared" si="1"/>
        <v/>
      </c>
      <c r="B38" s="1681" t="str">
        <f t="shared" si="2"/>
        <v/>
      </c>
      <c r="C38" s="1449" t="str">
        <f t="shared" si="3"/>
        <v/>
      </c>
      <c r="D38" s="1705" t="str">
        <f t="shared" si="95"/>
        <v/>
      </c>
      <c r="E38" s="1778" t="str">
        <f t="shared" si="96"/>
        <v/>
      </c>
      <c r="F38" s="1708" t="str">
        <f t="shared" si="97"/>
        <v/>
      </c>
      <c r="G38" s="1709" t="str">
        <f t="shared" si="98"/>
        <v/>
      </c>
      <c r="H38" s="1779" t="str">
        <f t="shared" si="99"/>
        <v/>
      </c>
      <c r="I38" s="1705" t="str">
        <f t="shared" si="100"/>
        <v/>
      </c>
      <c r="J38" s="1709" t="str">
        <f t="shared" si="101"/>
        <v/>
      </c>
      <c r="K38" s="1780" t="str">
        <f t="shared" si="102"/>
        <v/>
      </c>
      <c r="L38" s="1712" t="str">
        <f t="shared" si="103"/>
        <v/>
      </c>
      <c r="M38" s="1713" t="str">
        <f t="shared" si="104"/>
        <v/>
      </c>
      <c r="N38" s="1708" t="str">
        <f t="shared" si="105"/>
        <v/>
      </c>
      <c r="O38" s="1709" t="str">
        <f t="shared" si="106"/>
        <v/>
      </c>
      <c r="P38" s="1710" t="str">
        <f t="shared" si="107"/>
        <v/>
      </c>
      <c r="Q38" s="1705" t="str">
        <f t="shared" si="108"/>
        <v/>
      </c>
      <c r="R38" s="1709" t="str">
        <f t="shared" si="109"/>
        <v/>
      </c>
      <c r="S38" s="1753" t="str">
        <f t="shared" si="110"/>
        <v/>
      </c>
      <c r="T38" s="1708" t="str">
        <f t="shared" si="111"/>
        <v/>
      </c>
      <c r="U38" s="1709" t="str">
        <f t="shared" si="112"/>
        <v/>
      </c>
      <c r="V38" s="1705" t="str">
        <f t="shared" si="113"/>
        <v/>
      </c>
      <c r="W38" s="1709" t="str">
        <f t="shared" si="114"/>
        <v/>
      </c>
      <c r="X38" s="1750">
        <f t="shared" si="115"/>
        <v>0</v>
      </c>
      <c r="Y38" s="1781" t="str">
        <f t="shared" si="116"/>
        <v/>
      </c>
      <c r="Z38" s="1782" t="str">
        <f t="shared" si="117"/>
        <v/>
      </c>
      <c r="AA38" s="1783" t="str">
        <f t="shared" si="5"/>
        <v/>
      </c>
      <c r="AB38" s="1413"/>
      <c r="AC38" s="964" t="b">
        <v>0</v>
      </c>
      <c r="AD38" s="441">
        <f t="shared" si="6"/>
        <v>0</v>
      </c>
      <c r="AE38" s="442">
        <f t="shared" si="7"/>
        <v>0</v>
      </c>
      <c r="AF38" s="442">
        <f t="shared" si="8"/>
        <v>0</v>
      </c>
      <c r="AG38" s="442">
        <f t="shared" si="9"/>
        <v>0</v>
      </c>
      <c r="AH38" s="443">
        <f t="shared" si="10"/>
        <v>0</v>
      </c>
      <c r="AI38" s="444" t="b">
        <v>0</v>
      </c>
      <c r="AJ38" s="238">
        <f t="shared" si="128"/>
        <v>0</v>
      </c>
      <c r="AK38" s="238" t="str">
        <f t="shared" si="11"/>
        <v/>
      </c>
      <c r="AL38" s="1290" t="str">
        <f t="shared" si="12"/>
        <v/>
      </c>
      <c r="AM38" s="238" t="str">
        <f t="shared" si="13"/>
        <v/>
      </c>
      <c r="AN38" s="238" t="str">
        <f t="shared" si="14"/>
        <v/>
      </c>
      <c r="AO38" s="238" t="str">
        <f t="shared" si="15"/>
        <v/>
      </c>
      <c r="AP38" s="830" t="b">
        <f>IF(ISERROR(AJ38),FALSE,IF(OR(AJ38=0,ISERROR(AL38),ISERROR(AM38),ISERROR(AN38),ISERROR(AO38)),FALSE,IF(AL38&lt;&gt;"",IF(ISERROR(VLOOKUP(SUBSTITUTE(SUBSTITUTE(C38,"R",""),"A",""),TblJoistSize!$A:$A,1,FALSE)),FALSE,TRUE),TRUE)))</f>
        <v>0</v>
      </c>
      <c r="AQ38" s="1038" t="e">
        <f t="shared" si="16"/>
        <v>#N/A</v>
      </c>
      <c r="AR38" s="945" t="b">
        <f t="shared" si="92"/>
        <v>0</v>
      </c>
      <c r="AS38" s="1038" t="e">
        <f t="shared" si="17"/>
        <v>#N/A</v>
      </c>
      <c r="AT38" s="945" t="b">
        <f t="shared" si="93"/>
        <v>0</v>
      </c>
      <c r="AU38" s="1291" t="str">
        <f t="shared" si="18"/>
        <v/>
      </c>
      <c r="AV38" s="830" t="str">
        <f t="shared" si="19"/>
        <v/>
      </c>
      <c r="AW38" s="830" t="str">
        <f t="shared" si="90"/>
        <v/>
      </c>
      <c r="AX38" s="830" t="str">
        <f t="shared" si="94"/>
        <v/>
      </c>
      <c r="AY38" s="464" t="b">
        <f t="shared" si="20"/>
        <v>0</v>
      </c>
      <c r="AZ38" s="856" t="str">
        <f t="shared" si="91"/>
        <v/>
      </c>
      <c r="BA38" s="549"/>
      <c r="BB38" s="672"/>
      <c r="BC38" s="1684"/>
      <c r="BD38" s="733"/>
      <c r="BE38" s="734"/>
      <c r="BF38" s="735"/>
      <c r="BG38" s="672"/>
      <c r="BH38" s="982"/>
      <c r="BI38" s="983"/>
      <c r="BJ38" s="1625"/>
      <c r="BK38" s="982"/>
      <c r="BL38" s="983"/>
      <c r="BM38" s="1569"/>
      <c r="BN38" s="1570"/>
      <c r="BO38" s="1617" t="str">
        <f>IF(ISERROR(CU38),"",IF(CU38="","",IF(VLOOKUP(BG38,SectInfo!$B:$N,10,FALSE)="","","X")))</f>
        <v/>
      </c>
      <c r="BP38" s="1561"/>
      <c r="BQ38" s="1562" t="str">
        <f t="shared" si="21"/>
        <v/>
      </c>
      <c r="BR38" s="1563"/>
      <c r="BS38" s="672"/>
      <c r="BT38" s="982"/>
      <c r="BU38" s="983"/>
      <c r="BV38" s="1625"/>
      <c r="BW38" s="982"/>
      <c r="BX38" s="983"/>
      <c r="BY38" s="1569"/>
      <c r="BZ38" s="1570"/>
      <c r="CA38" s="1617" t="str">
        <f>IF(ISERROR(DE38),"",IF(DE38="","",IF(VLOOKUP(BS38,SectInfo!$B:$N,10,FALSE)="","","X")))</f>
        <v/>
      </c>
      <c r="CB38" s="1561"/>
      <c r="CC38" s="1562" t="str">
        <f t="shared" si="22"/>
        <v/>
      </c>
      <c r="CD38" s="1563"/>
      <c r="CE38" s="1574"/>
      <c r="CF38" s="736"/>
      <c r="CG38" s="737"/>
      <c r="CH38" s="643" t="str">
        <f t="shared" si="23"/>
        <v/>
      </c>
      <c r="CI38" s="644" t="str">
        <f t="shared" si="24"/>
        <v/>
      </c>
      <c r="CJ38" s="645" t="str">
        <f t="shared" si="25"/>
        <v/>
      </c>
      <c r="CK38" s="852" t="str">
        <f t="shared" si="26"/>
        <v/>
      </c>
      <c r="CL38" s="847" t="str">
        <f t="shared" si="27"/>
        <v/>
      </c>
      <c r="CM38" s="848" t="str">
        <f t="shared" si="28"/>
        <v/>
      </c>
      <c r="CN38" s="611" t="str">
        <f t="shared" si="29"/>
        <v/>
      </c>
      <c r="CO38" s="612" t="str">
        <f t="shared" si="30"/>
        <v/>
      </c>
      <c r="CP38" s="615" t="str">
        <f t="shared" si="31"/>
        <v/>
      </c>
      <c r="CQ38" s="616" t="str">
        <f t="shared" si="32"/>
        <v/>
      </c>
      <c r="CR38" s="750" t="str">
        <f t="shared" si="33"/>
        <v/>
      </c>
      <c r="CS38" s="751" t="str">
        <f t="shared" si="34"/>
        <v/>
      </c>
      <c r="CU38" s="114" t="str">
        <f>IF(BG38="","",VLOOKUP(BG38,SectInfo!$B:$N,12,FALSE))</f>
        <v/>
      </c>
      <c r="CV38" s="115" t="str">
        <f>IF(BG38="","",IF(ISBLANK(BP38),VLOOKUP(BG38,SectInfo!$B:$N,13,FALSE),BP38))</f>
        <v/>
      </c>
      <c r="CW38" s="1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115" t="str">
        <f>IF(BG38="","",IF(VLOOKUP(BG38,SectInfo!$B:$N,7,FALSE)="","",(VLOOKUP(BG38,SectInfo!$B:$N,7,FALSE)*-1)))</f>
        <v/>
      </c>
      <c r="DB38" s="815" t="str">
        <f>IF(BG38="","",IF(VLOOKUP(BG38,SectInfo!$B:$N,8,FALSE)="",VLOOKUP(AU38,$DF$2:$DN$9,6,FALSE),(VLOOKUP(BG38,SectInfo!$B:$N,8,FALSE))))</f>
        <v/>
      </c>
      <c r="DC38" s="815" t="str">
        <f>IF(BG38="","",VLOOKUP(BG38,SectInfo!$B:$N,9,FALSE))</f>
        <v/>
      </c>
      <c r="DD38" s="816">
        <f t="shared" si="35"/>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36"/>
        <v>0</v>
      </c>
      <c r="DO38" s="818">
        <f t="shared" si="37"/>
        <v>0</v>
      </c>
      <c r="DP38" s="822" t="str">
        <f t="shared" si="38"/>
        <v/>
      </c>
      <c r="DQ38" s="822" t="str">
        <f t="shared" si="39"/>
        <v/>
      </c>
      <c r="DR38" s="822" t="str">
        <f t="shared" si="40"/>
        <v/>
      </c>
      <c r="DS38" s="821">
        <f t="shared" si="41"/>
        <v>0</v>
      </c>
      <c r="DT38" s="821">
        <f t="shared" si="42"/>
        <v>0</v>
      </c>
      <c r="DU38" s="821" t="str">
        <f t="shared" si="43"/>
        <v/>
      </c>
      <c r="DV38" s="822" t="str">
        <f t="shared" si="44"/>
        <v/>
      </c>
      <c r="DW38" s="856" t="str">
        <f t="shared" si="45"/>
        <v/>
      </c>
      <c r="DX38" s="1006">
        <f t="shared" si="118"/>
        <v>0</v>
      </c>
      <c r="DY38" s="822">
        <f t="shared" si="46"/>
        <v>0</v>
      </c>
      <c r="DZ38" s="821">
        <f t="shared" si="47"/>
        <v>0</v>
      </c>
      <c r="EA38" s="821" t="str">
        <f t="shared" si="48"/>
        <v/>
      </c>
      <c r="EB38" s="822" t="str">
        <f t="shared" si="119"/>
        <v/>
      </c>
      <c r="EC38" s="856" t="str">
        <f t="shared" si="49"/>
        <v/>
      </c>
      <c r="ED38" s="1006">
        <f t="shared" si="120"/>
        <v>0</v>
      </c>
      <c r="EE38" s="1293" t="str">
        <f t="shared" si="50"/>
        <v/>
      </c>
      <c r="EF38" s="822" t="str">
        <f t="shared" si="121"/>
        <v/>
      </c>
      <c r="EG38" s="822" t="str">
        <f t="shared" si="122"/>
        <v/>
      </c>
      <c r="EH38" s="856" t="e">
        <f t="shared" si="51"/>
        <v>#N/A</v>
      </c>
      <c r="EI38" s="856" t="e">
        <f t="shared" si="52"/>
        <v>#N/A</v>
      </c>
      <c r="EJ38" s="822" t="str">
        <f t="shared" si="123"/>
        <v/>
      </c>
      <c r="EK38" s="822" t="str">
        <f t="shared" si="124"/>
        <v/>
      </c>
      <c r="EL38" s="1293" t="str">
        <f t="shared" si="54"/>
        <v/>
      </c>
      <c r="EM38" s="822" t="str">
        <f t="shared" si="125"/>
        <v/>
      </c>
      <c r="EN38" s="822" t="str">
        <f t="shared" si="126"/>
        <v/>
      </c>
      <c r="EO38" s="856" t="e">
        <f t="shared" si="55"/>
        <v>#N/A</v>
      </c>
      <c r="EP38" s="856" t="e">
        <f t="shared" si="56"/>
        <v>#N/A</v>
      </c>
      <c r="EQ38" s="822" t="str">
        <f t="shared" si="57"/>
        <v/>
      </c>
      <c r="ER38" s="822" t="str">
        <f t="shared" si="57"/>
        <v/>
      </c>
      <c r="ES38" s="822" t="str">
        <f t="shared" si="58"/>
        <v/>
      </c>
      <c r="ET38" s="822" t="str">
        <f t="shared" si="59"/>
        <v/>
      </c>
      <c r="EU38" s="829" t="str">
        <f t="shared" si="60"/>
        <v/>
      </c>
      <c r="EV38" s="824" t="str">
        <f t="shared" si="127"/>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61"/>
        <v/>
      </c>
      <c r="FA38" s="829" t="str">
        <f>IF(AND(DE38="G", ISBLANK(BW38), ISBLANK(BX38)),VLOOKUP(MIN(BT38:BU38),TblJoistSize!$M$3:$N$10,2),IF(OR(DE38="B", DE38="G"),MIN(BW38:BX38),""))</f>
        <v/>
      </c>
      <c r="FB38" s="829" t="str">
        <f>IF(AND(DE38="G", ISBLANK(BW38), ISBLANK(BX38)),VLOOKUP(MAX(BT38:BU38),TblJoistSize!$M$3:$N$10,2),IF(OR(DE38="B", DE38="G"),MAX(BW38:BX38),""))</f>
        <v/>
      </c>
      <c r="FC38" s="829" t="str">
        <f t="shared" si="62"/>
        <v/>
      </c>
      <c r="FD38" s="822">
        <f t="shared" si="63"/>
        <v>0</v>
      </c>
      <c r="FE38" s="822">
        <f t="shared" si="64"/>
        <v>0</v>
      </c>
      <c r="FF38" s="821">
        <f t="shared" si="65"/>
        <v>0</v>
      </c>
      <c r="FG38" s="821" t="str">
        <f t="shared" si="66"/>
        <v/>
      </c>
      <c r="FH38" s="822" t="str">
        <f t="shared" si="67"/>
        <v/>
      </c>
      <c r="FI38" s="822">
        <f t="shared" si="68"/>
        <v>0</v>
      </c>
      <c r="FJ38" s="822">
        <f t="shared" si="69"/>
        <v>0</v>
      </c>
      <c r="FK38" s="821">
        <f t="shared" si="70"/>
        <v>0</v>
      </c>
      <c r="FL38" s="821" t="str">
        <f t="shared" si="71"/>
        <v/>
      </c>
      <c r="FM38" s="822" t="str">
        <f t="shared" si="72"/>
        <v/>
      </c>
      <c r="FN38" s="822" t="e">
        <f t="shared" si="73"/>
        <v>#VALUE!</v>
      </c>
      <c r="FO38" s="940" t="e">
        <f t="shared" si="74"/>
        <v>#VALUE!</v>
      </c>
      <c r="FP38" s="940" t="e">
        <f t="shared" si="75"/>
        <v>#VALUE!</v>
      </c>
      <c r="FQ38" s="830" t="e">
        <f t="shared" si="76"/>
        <v>#VALUE!</v>
      </c>
      <c r="FR38" s="831" t="e">
        <f t="shared" si="77"/>
        <v>#VALUE!</v>
      </c>
      <c r="FS38" s="832" t="str">
        <f t="shared" si="78"/>
        <v/>
      </c>
      <c r="FT38" s="833" t="str">
        <f t="shared" si="79"/>
        <v/>
      </c>
      <c r="FU38" s="870">
        <f t="shared" si="80"/>
        <v>0</v>
      </c>
      <c r="FV38" s="871">
        <f t="shared" si="81"/>
        <v>0</v>
      </c>
      <c r="GA38" s="1791" t="str">
        <f t="shared" si="82"/>
        <v/>
      </c>
      <c r="GB38" s="1792" t="str">
        <f t="shared" si="83"/>
        <v/>
      </c>
      <c r="GC38" s="1793" t="str">
        <f t="shared" si="84"/>
        <v/>
      </c>
      <c r="GD38" s="1794" t="str">
        <f t="shared" si="85"/>
        <v/>
      </c>
      <c r="GE38" s="1795" t="str">
        <f t="shared" si="86"/>
        <v/>
      </c>
      <c r="GF38" s="600" t="str">
        <f t="shared" si="87"/>
        <v/>
      </c>
      <c r="GG38" s="1130"/>
      <c r="GH38" s="1131"/>
      <c r="GI38" s="1130"/>
      <c r="GJ38" s="1131"/>
      <c r="GK38" s="1636">
        <f t="shared" si="88"/>
        <v>0</v>
      </c>
      <c r="GL38" s="1636" t="e">
        <f t="shared" si="89"/>
        <v>#VALUE!</v>
      </c>
      <c r="GM38" s="1637" t="e">
        <f>IF(ABS(GK38-GL38)&gt;='Job Info.'!$L$22,ABS(GK38-GL38),0)</f>
        <v>#VALUE!</v>
      </c>
      <c r="GZ38" s="415"/>
      <c r="HA38" s="1391"/>
      <c r="HB38" s="1392"/>
      <c r="HC38" s="1392"/>
      <c r="HD38" s="1393"/>
      <c r="HE38" s="1394"/>
      <c r="HF38" s="1392"/>
      <c r="HG38" s="1392"/>
      <c r="HH38" s="1392"/>
      <c r="HI38" s="1395"/>
      <c r="HJ38" s="1392"/>
      <c r="HK38" s="1392"/>
      <c r="HL38" s="1392"/>
      <c r="HM38" s="1392"/>
      <c r="HN38" s="1392"/>
      <c r="HO38" s="1392"/>
      <c r="HP38" s="1392"/>
      <c r="HQ38" s="1395"/>
      <c r="HR38" s="1392"/>
      <c r="HS38" s="1392"/>
      <c r="HT38" s="1392"/>
      <c r="HU38" s="1392"/>
      <c r="HV38" s="1392"/>
      <c r="HW38" s="1394"/>
      <c r="HX38" s="1394"/>
      <c r="HY38" s="1394"/>
      <c r="HZ38" s="1394"/>
      <c r="IA38" s="1394"/>
      <c r="IB38" s="1394"/>
      <c r="IC38" s="1394"/>
      <c r="ID38" s="1394"/>
      <c r="IE38" s="1394"/>
      <c r="IF38" s="1396"/>
    </row>
    <row r="39" spans="1:240" ht="12.6" customHeight="1" x14ac:dyDescent="0.25">
      <c r="A39" s="1448" t="str">
        <f t="shared" si="1"/>
        <v/>
      </c>
      <c r="B39" s="1681" t="str">
        <f t="shared" si="2"/>
        <v/>
      </c>
      <c r="C39" s="1449" t="str">
        <f t="shared" si="3"/>
        <v/>
      </c>
      <c r="D39" s="1705" t="str">
        <f t="shared" si="95"/>
        <v/>
      </c>
      <c r="E39" s="1778" t="str">
        <f t="shared" si="96"/>
        <v/>
      </c>
      <c r="F39" s="1708" t="str">
        <f t="shared" si="97"/>
        <v/>
      </c>
      <c r="G39" s="1709" t="str">
        <f t="shared" si="98"/>
        <v/>
      </c>
      <c r="H39" s="1779" t="str">
        <f t="shared" si="99"/>
        <v/>
      </c>
      <c r="I39" s="1705" t="str">
        <f t="shared" si="100"/>
        <v/>
      </c>
      <c r="J39" s="1709" t="str">
        <f t="shared" si="101"/>
        <v/>
      </c>
      <c r="K39" s="1780" t="str">
        <f t="shared" si="102"/>
        <v/>
      </c>
      <c r="L39" s="1712" t="str">
        <f t="shared" si="103"/>
        <v/>
      </c>
      <c r="M39" s="1713" t="str">
        <f t="shared" si="104"/>
        <v/>
      </c>
      <c r="N39" s="1708" t="str">
        <f t="shared" si="105"/>
        <v/>
      </c>
      <c r="O39" s="1709" t="str">
        <f t="shared" si="106"/>
        <v/>
      </c>
      <c r="P39" s="1710" t="str">
        <f t="shared" si="107"/>
        <v/>
      </c>
      <c r="Q39" s="1705" t="str">
        <f t="shared" si="108"/>
        <v/>
      </c>
      <c r="R39" s="1709" t="str">
        <f t="shared" si="109"/>
        <v/>
      </c>
      <c r="S39" s="1753" t="str">
        <f t="shared" si="110"/>
        <v/>
      </c>
      <c r="T39" s="1708" t="str">
        <f t="shared" si="111"/>
        <v/>
      </c>
      <c r="U39" s="1709" t="str">
        <f t="shared" si="112"/>
        <v/>
      </c>
      <c r="V39" s="1705" t="str">
        <f t="shared" si="113"/>
        <v/>
      </c>
      <c r="W39" s="1709" t="str">
        <f t="shared" si="114"/>
        <v/>
      </c>
      <c r="X39" s="1750">
        <f t="shared" si="115"/>
        <v>0</v>
      </c>
      <c r="Y39" s="1781" t="str">
        <f t="shared" si="116"/>
        <v/>
      </c>
      <c r="Z39" s="1782" t="str">
        <f t="shared" si="117"/>
        <v/>
      </c>
      <c r="AA39" s="1783" t="str">
        <f t="shared" si="5"/>
        <v/>
      </c>
      <c r="AB39" s="1413"/>
      <c r="AC39" s="964" t="b">
        <v>0</v>
      </c>
      <c r="AD39" s="441">
        <f t="shared" si="6"/>
        <v>0</v>
      </c>
      <c r="AE39" s="442">
        <f t="shared" si="7"/>
        <v>0</v>
      </c>
      <c r="AF39" s="442">
        <f t="shared" si="8"/>
        <v>0</v>
      </c>
      <c r="AG39" s="442">
        <f t="shared" si="9"/>
        <v>0</v>
      </c>
      <c r="AH39" s="443">
        <f t="shared" si="10"/>
        <v>0</v>
      </c>
      <c r="AI39" s="444" t="b">
        <v>0</v>
      </c>
      <c r="AJ39" s="238">
        <f t="shared" si="128"/>
        <v>0</v>
      </c>
      <c r="AK39" s="238" t="str">
        <f t="shared" si="11"/>
        <v/>
      </c>
      <c r="AL39" s="1290" t="str">
        <f t="shared" si="12"/>
        <v/>
      </c>
      <c r="AM39" s="238" t="str">
        <f t="shared" si="13"/>
        <v/>
      </c>
      <c r="AN39" s="238" t="str">
        <f t="shared" si="14"/>
        <v/>
      </c>
      <c r="AO39" s="238" t="str">
        <f t="shared" si="15"/>
        <v/>
      </c>
      <c r="AP39" s="830" t="b">
        <f>IF(ISERROR(AJ39),FALSE,IF(OR(AJ39=0,ISERROR(AL39),ISERROR(AM39),ISERROR(AN39),ISERROR(AO39)),FALSE,IF(AL39&lt;&gt;"",IF(ISERROR(VLOOKUP(SUBSTITUTE(SUBSTITUTE(C39,"R",""),"A",""),TblJoistSize!$A:$A,1,FALSE)),FALSE,TRUE),TRUE)))</f>
        <v>0</v>
      </c>
      <c r="AQ39" s="1038" t="e">
        <f t="shared" si="16"/>
        <v>#N/A</v>
      </c>
      <c r="AR39" s="945" t="b">
        <f t="shared" si="92"/>
        <v>0</v>
      </c>
      <c r="AS39" s="1038" t="e">
        <f t="shared" si="17"/>
        <v>#N/A</v>
      </c>
      <c r="AT39" s="945" t="b">
        <f t="shared" si="93"/>
        <v>0</v>
      </c>
      <c r="AU39" s="1291" t="str">
        <f t="shared" si="18"/>
        <v/>
      </c>
      <c r="AV39" s="830" t="str">
        <f t="shared" si="19"/>
        <v/>
      </c>
      <c r="AW39" s="830" t="str">
        <f t="shared" si="90"/>
        <v/>
      </c>
      <c r="AX39" s="830" t="str">
        <f t="shared" si="94"/>
        <v/>
      </c>
      <c r="AY39" s="464" t="b">
        <f t="shared" si="20"/>
        <v>0</v>
      </c>
      <c r="AZ39" s="856" t="str">
        <f t="shared" si="91"/>
        <v/>
      </c>
      <c r="BA39" s="549"/>
      <c r="BB39" s="672"/>
      <c r="BC39" s="1684"/>
      <c r="BD39" s="733"/>
      <c r="BE39" s="734"/>
      <c r="BF39" s="735"/>
      <c r="BG39" s="672"/>
      <c r="BH39" s="982"/>
      <c r="BI39" s="983"/>
      <c r="BJ39" s="1625"/>
      <c r="BK39" s="982"/>
      <c r="BL39" s="983"/>
      <c r="BM39" s="1569"/>
      <c r="BN39" s="1570"/>
      <c r="BO39" s="1617" t="str">
        <f>IF(ISERROR(CU39),"",IF(CU39="","",IF(VLOOKUP(BG39,SectInfo!$B:$N,10,FALSE)="","","X")))</f>
        <v/>
      </c>
      <c r="BP39" s="1561"/>
      <c r="BQ39" s="1562" t="str">
        <f t="shared" si="21"/>
        <v/>
      </c>
      <c r="BR39" s="1563"/>
      <c r="BS39" s="672"/>
      <c r="BT39" s="982"/>
      <c r="BU39" s="983"/>
      <c r="BV39" s="1625"/>
      <c r="BW39" s="982"/>
      <c r="BX39" s="983"/>
      <c r="BY39" s="1569"/>
      <c r="BZ39" s="1570"/>
      <c r="CA39" s="1617" t="str">
        <f>IF(ISERROR(DE39),"",IF(DE39="","",IF(VLOOKUP(BS39,SectInfo!$B:$N,10,FALSE)="","","X")))</f>
        <v/>
      </c>
      <c r="CB39" s="1561"/>
      <c r="CC39" s="1562" t="str">
        <f t="shared" si="22"/>
        <v/>
      </c>
      <c r="CD39" s="1563"/>
      <c r="CE39" s="1574"/>
      <c r="CF39" s="736"/>
      <c r="CG39" s="737"/>
      <c r="CH39" s="643" t="str">
        <f t="shared" si="23"/>
        <v/>
      </c>
      <c r="CI39" s="644" t="str">
        <f t="shared" si="24"/>
        <v/>
      </c>
      <c r="CJ39" s="645" t="str">
        <f t="shared" si="25"/>
        <v/>
      </c>
      <c r="CK39" s="852" t="str">
        <f t="shared" si="26"/>
        <v/>
      </c>
      <c r="CL39" s="847" t="str">
        <f t="shared" si="27"/>
        <v/>
      </c>
      <c r="CM39" s="848" t="str">
        <f t="shared" si="28"/>
        <v/>
      </c>
      <c r="CN39" s="611" t="str">
        <f t="shared" si="29"/>
        <v/>
      </c>
      <c r="CO39" s="612" t="str">
        <f t="shared" si="30"/>
        <v/>
      </c>
      <c r="CP39" s="615" t="str">
        <f t="shared" si="31"/>
        <v/>
      </c>
      <c r="CQ39" s="616" t="str">
        <f t="shared" si="32"/>
        <v/>
      </c>
      <c r="CR39" s="750" t="str">
        <f t="shared" si="33"/>
        <v/>
      </c>
      <c r="CS39" s="751" t="str">
        <f t="shared" si="34"/>
        <v/>
      </c>
      <c r="CU39" s="114" t="str">
        <f>IF(BG39="","",VLOOKUP(BG39,SectInfo!$B:$N,12,FALSE))</f>
        <v/>
      </c>
      <c r="CV39" s="115" t="str">
        <f>IF(BG39="","",IF(ISBLANK(BP39),VLOOKUP(BG39,SectInfo!$B:$N,13,FALSE),BP39))</f>
        <v/>
      </c>
      <c r="CW39" s="1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115" t="str">
        <f>IF(BG39="","",IF(VLOOKUP(BG39,SectInfo!$B:$N,7,FALSE)="","",(VLOOKUP(BG39,SectInfo!$B:$N,7,FALSE)*-1)))</f>
        <v/>
      </c>
      <c r="DB39" s="815" t="str">
        <f>IF(BG39="","",IF(VLOOKUP(BG39,SectInfo!$B:$N,8,FALSE)="",VLOOKUP(AU39,$DF$2:$DN$9,6,FALSE),(VLOOKUP(BG39,SectInfo!$B:$N,8,FALSE))))</f>
        <v/>
      </c>
      <c r="DC39" s="815" t="str">
        <f>IF(BG39="","",VLOOKUP(BG39,SectInfo!$B:$N,9,FALSE))</f>
        <v/>
      </c>
      <c r="DD39" s="816">
        <f t="shared" si="35"/>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36"/>
        <v>0</v>
      </c>
      <c r="DO39" s="818">
        <f t="shared" si="37"/>
        <v>0</v>
      </c>
      <c r="DP39" s="822" t="str">
        <f t="shared" si="38"/>
        <v/>
      </c>
      <c r="DQ39" s="822" t="str">
        <f t="shared" si="39"/>
        <v/>
      </c>
      <c r="DR39" s="822" t="str">
        <f t="shared" si="40"/>
        <v/>
      </c>
      <c r="DS39" s="821">
        <f t="shared" si="41"/>
        <v>0</v>
      </c>
      <c r="DT39" s="821">
        <f t="shared" si="42"/>
        <v>0</v>
      </c>
      <c r="DU39" s="821" t="str">
        <f t="shared" si="43"/>
        <v/>
      </c>
      <c r="DV39" s="822" t="str">
        <f t="shared" si="44"/>
        <v/>
      </c>
      <c r="DW39" s="856" t="str">
        <f t="shared" si="45"/>
        <v/>
      </c>
      <c r="DX39" s="1006">
        <f t="shared" si="118"/>
        <v>0</v>
      </c>
      <c r="DY39" s="822">
        <f t="shared" si="46"/>
        <v>0</v>
      </c>
      <c r="DZ39" s="821">
        <f t="shared" si="47"/>
        <v>0</v>
      </c>
      <c r="EA39" s="821" t="str">
        <f t="shared" si="48"/>
        <v/>
      </c>
      <c r="EB39" s="822" t="str">
        <f t="shared" si="119"/>
        <v/>
      </c>
      <c r="EC39" s="856" t="str">
        <f t="shared" si="49"/>
        <v/>
      </c>
      <c r="ED39" s="1006">
        <f t="shared" si="120"/>
        <v>0</v>
      </c>
      <c r="EE39" s="1293" t="str">
        <f t="shared" si="50"/>
        <v/>
      </c>
      <c r="EF39" s="822" t="str">
        <f t="shared" si="121"/>
        <v/>
      </c>
      <c r="EG39" s="822" t="str">
        <f t="shared" si="122"/>
        <v/>
      </c>
      <c r="EH39" s="856" t="e">
        <f t="shared" si="51"/>
        <v>#N/A</v>
      </c>
      <c r="EI39" s="856" t="e">
        <f t="shared" si="52"/>
        <v>#N/A</v>
      </c>
      <c r="EJ39" s="822" t="str">
        <f t="shared" si="123"/>
        <v/>
      </c>
      <c r="EK39" s="822" t="str">
        <f t="shared" si="124"/>
        <v/>
      </c>
      <c r="EL39" s="1293" t="str">
        <f t="shared" si="54"/>
        <v/>
      </c>
      <c r="EM39" s="822" t="str">
        <f t="shared" si="125"/>
        <v/>
      </c>
      <c r="EN39" s="822" t="str">
        <f t="shared" si="126"/>
        <v/>
      </c>
      <c r="EO39" s="856" t="e">
        <f t="shared" si="55"/>
        <v>#N/A</v>
      </c>
      <c r="EP39" s="856" t="e">
        <f t="shared" si="56"/>
        <v>#N/A</v>
      </c>
      <c r="EQ39" s="822" t="str">
        <f t="shared" si="57"/>
        <v/>
      </c>
      <c r="ER39" s="822" t="str">
        <f t="shared" si="57"/>
        <v/>
      </c>
      <c r="ES39" s="822" t="str">
        <f t="shared" si="58"/>
        <v/>
      </c>
      <c r="ET39" s="822" t="str">
        <f t="shared" si="59"/>
        <v/>
      </c>
      <c r="EU39" s="829" t="str">
        <f t="shared" si="60"/>
        <v/>
      </c>
      <c r="EV39" s="824" t="str">
        <f t="shared" si="127"/>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61"/>
        <v/>
      </c>
      <c r="FA39" s="829" t="str">
        <f>IF(AND(DE39="G", ISBLANK(BW39), ISBLANK(BX39)),VLOOKUP(MIN(BT39:BU39),TblJoistSize!$M$3:$N$10,2),IF(OR(DE39="B", DE39="G"),MIN(BW39:BX39),""))</f>
        <v/>
      </c>
      <c r="FB39" s="829" t="str">
        <f>IF(AND(DE39="G", ISBLANK(BW39), ISBLANK(BX39)),VLOOKUP(MAX(BT39:BU39),TblJoistSize!$M$3:$N$10,2),IF(OR(DE39="B", DE39="G"),MAX(BW39:BX39),""))</f>
        <v/>
      </c>
      <c r="FC39" s="829" t="str">
        <f t="shared" si="62"/>
        <v/>
      </c>
      <c r="FD39" s="822">
        <f t="shared" si="63"/>
        <v>0</v>
      </c>
      <c r="FE39" s="822">
        <f t="shared" si="64"/>
        <v>0</v>
      </c>
      <c r="FF39" s="821">
        <f t="shared" si="65"/>
        <v>0</v>
      </c>
      <c r="FG39" s="821" t="str">
        <f t="shared" si="66"/>
        <v/>
      </c>
      <c r="FH39" s="822" t="str">
        <f t="shared" si="67"/>
        <v/>
      </c>
      <c r="FI39" s="822">
        <f t="shared" si="68"/>
        <v>0</v>
      </c>
      <c r="FJ39" s="822">
        <f t="shared" si="69"/>
        <v>0</v>
      </c>
      <c r="FK39" s="821">
        <f t="shared" si="70"/>
        <v>0</v>
      </c>
      <c r="FL39" s="821" t="str">
        <f t="shared" si="71"/>
        <v/>
      </c>
      <c r="FM39" s="822" t="str">
        <f t="shared" si="72"/>
        <v/>
      </c>
      <c r="FN39" s="822" t="e">
        <f t="shared" si="73"/>
        <v>#VALUE!</v>
      </c>
      <c r="FO39" s="940" t="e">
        <f t="shared" si="74"/>
        <v>#VALUE!</v>
      </c>
      <c r="FP39" s="940" t="e">
        <f t="shared" si="75"/>
        <v>#VALUE!</v>
      </c>
      <c r="FQ39" s="830" t="e">
        <f t="shared" si="76"/>
        <v>#VALUE!</v>
      </c>
      <c r="FR39" s="831" t="e">
        <f t="shared" si="77"/>
        <v>#VALUE!</v>
      </c>
      <c r="FS39" s="832" t="str">
        <f t="shared" si="78"/>
        <v/>
      </c>
      <c r="FT39" s="833" t="str">
        <f t="shared" si="79"/>
        <v/>
      </c>
      <c r="FU39" s="870">
        <f t="shared" si="80"/>
        <v>0</v>
      </c>
      <c r="FV39" s="871">
        <f t="shared" si="81"/>
        <v>0</v>
      </c>
      <c r="GA39" s="1791" t="str">
        <f t="shared" si="82"/>
        <v/>
      </c>
      <c r="GB39" s="1792" t="str">
        <f t="shared" si="83"/>
        <v/>
      </c>
      <c r="GC39" s="1793" t="str">
        <f t="shared" si="84"/>
        <v/>
      </c>
      <c r="GD39" s="1794" t="str">
        <f t="shared" si="85"/>
        <v/>
      </c>
      <c r="GE39" s="1795" t="str">
        <f t="shared" si="86"/>
        <v/>
      </c>
      <c r="GF39" s="600" t="str">
        <f t="shared" si="87"/>
        <v/>
      </c>
      <c r="GG39" s="1130"/>
      <c r="GH39" s="1131"/>
      <c r="GI39" s="1130"/>
      <c r="GJ39" s="1131"/>
      <c r="GK39" s="1636">
        <f t="shared" si="88"/>
        <v>0</v>
      </c>
      <c r="GL39" s="1636" t="e">
        <f t="shared" si="89"/>
        <v>#VALUE!</v>
      </c>
      <c r="GM39" s="1637" t="e">
        <f>IF(ABS(GK39-GL39)&gt;='Job Info.'!$L$22,ABS(GK39-GL39),0)</f>
        <v>#VALUE!</v>
      </c>
      <c r="GZ39" s="415"/>
      <c r="HA39" s="1391"/>
      <c r="HB39" s="1392"/>
      <c r="HC39" s="1392"/>
      <c r="HD39" s="1393"/>
      <c r="HE39" s="1394"/>
      <c r="HF39" s="1392"/>
      <c r="HG39" s="1392"/>
      <c r="HH39" s="1392"/>
      <c r="HI39" s="1395"/>
      <c r="HJ39" s="1392"/>
      <c r="HK39" s="1392"/>
      <c r="HL39" s="1392"/>
      <c r="HM39" s="1392"/>
      <c r="HN39" s="1392"/>
      <c r="HO39" s="1392"/>
      <c r="HP39" s="1392"/>
      <c r="HQ39" s="1395"/>
      <c r="HR39" s="1392"/>
      <c r="HS39" s="1392"/>
      <c r="HT39" s="1392"/>
      <c r="HU39" s="1392"/>
      <c r="HV39" s="1392"/>
      <c r="HW39" s="1394"/>
      <c r="HX39" s="1394"/>
      <c r="HY39" s="1394"/>
      <c r="HZ39" s="1394"/>
      <c r="IA39" s="1394"/>
      <c r="IB39" s="1394"/>
      <c r="IC39" s="1394"/>
      <c r="ID39" s="1394"/>
      <c r="IE39" s="1394"/>
      <c r="IF39" s="1396"/>
    </row>
    <row r="40" spans="1:240" ht="12.6" customHeight="1" thickBot="1" x14ac:dyDescent="0.3">
      <c r="A40" s="1460" t="str">
        <f t="shared" si="1"/>
        <v/>
      </c>
      <c r="B40" s="1682" t="str">
        <f t="shared" si="2"/>
        <v/>
      </c>
      <c r="C40" s="1461" t="str">
        <f t="shared" si="3"/>
        <v/>
      </c>
      <c r="D40" s="1719" t="str">
        <f t="shared" si="95"/>
        <v/>
      </c>
      <c r="E40" s="1784" t="str">
        <f t="shared" si="96"/>
        <v/>
      </c>
      <c r="F40" s="1722" t="str">
        <f t="shared" si="97"/>
        <v/>
      </c>
      <c r="G40" s="1723" t="str">
        <f t="shared" si="98"/>
        <v/>
      </c>
      <c r="H40" s="1785" t="str">
        <f t="shared" si="99"/>
        <v/>
      </c>
      <c r="I40" s="1719" t="str">
        <f t="shared" si="100"/>
        <v/>
      </c>
      <c r="J40" s="1723" t="str">
        <f t="shared" si="101"/>
        <v/>
      </c>
      <c r="K40" s="1786" t="str">
        <f t="shared" si="102"/>
        <v/>
      </c>
      <c r="L40" s="1726" t="str">
        <f t="shared" si="103"/>
        <v/>
      </c>
      <c r="M40" s="1727" t="str">
        <f t="shared" si="104"/>
        <v/>
      </c>
      <c r="N40" s="1722" t="str">
        <f t="shared" si="105"/>
        <v/>
      </c>
      <c r="O40" s="1723" t="str">
        <f t="shared" si="106"/>
        <v/>
      </c>
      <c r="P40" s="1724" t="str">
        <f t="shared" si="107"/>
        <v/>
      </c>
      <c r="Q40" s="1719" t="str">
        <f t="shared" si="108"/>
        <v/>
      </c>
      <c r="R40" s="1723" t="str">
        <f t="shared" si="109"/>
        <v/>
      </c>
      <c r="S40" s="1760" t="str">
        <f t="shared" si="110"/>
        <v/>
      </c>
      <c r="T40" s="1722" t="str">
        <f t="shared" si="111"/>
        <v/>
      </c>
      <c r="U40" s="1723" t="str">
        <f t="shared" si="112"/>
        <v/>
      </c>
      <c r="V40" s="1719" t="str">
        <f t="shared" si="113"/>
        <v/>
      </c>
      <c r="W40" s="1723" t="str">
        <f t="shared" si="114"/>
        <v/>
      </c>
      <c r="X40" s="1757">
        <f t="shared" si="115"/>
        <v>0</v>
      </c>
      <c r="Y40" s="1787" t="str">
        <f t="shared" si="116"/>
        <v/>
      </c>
      <c r="Z40" s="1788" t="str">
        <f t="shared" si="117"/>
        <v/>
      </c>
      <c r="AA40" s="1789" t="str">
        <f t="shared" si="5"/>
        <v/>
      </c>
      <c r="AB40" s="1413"/>
      <c r="AC40" s="964" t="b">
        <v>0</v>
      </c>
      <c r="AD40" s="441">
        <f t="shared" si="6"/>
        <v>0</v>
      </c>
      <c r="AE40" s="442">
        <f t="shared" si="7"/>
        <v>0</v>
      </c>
      <c r="AF40" s="442">
        <f t="shared" si="8"/>
        <v>0</v>
      </c>
      <c r="AG40" s="442">
        <f t="shared" si="9"/>
        <v>0</v>
      </c>
      <c r="AH40" s="443">
        <f t="shared" si="10"/>
        <v>0</v>
      </c>
      <c r="AI40" s="444" t="b">
        <v>0</v>
      </c>
      <c r="AJ40" s="238">
        <f t="shared" si="128"/>
        <v>0</v>
      </c>
      <c r="AK40" s="238" t="str">
        <f t="shared" si="11"/>
        <v/>
      </c>
      <c r="AL40" s="1290" t="str">
        <f t="shared" si="12"/>
        <v/>
      </c>
      <c r="AM40" s="238" t="str">
        <f t="shared" si="13"/>
        <v/>
      </c>
      <c r="AN40" s="238" t="str">
        <f t="shared" si="14"/>
        <v/>
      </c>
      <c r="AO40" s="238" t="str">
        <f t="shared" si="15"/>
        <v/>
      </c>
      <c r="AP40" s="830" t="b">
        <f>IF(ISERROR(AJ40),FALSE,IF(OR(AJ40=0,ISERROR(AL40),ISERROR(AM40),ISERROR(AN40),ISERROR(AO40)),FALSE,IF(AL40&lt;&gt;"",IF(ISERROR(VLOOKUP(SUBSTITUTE(SUBSTITUTE(C40,"R",""),"A",""),TblJoistSize!$A:$A,1,FALSE)),FALSE,TRUE),TRUE)))</f>
        <v>0</v>
      </c>
      <c r="AQ40" s="1038" t="e">
        <f t="shared" si="16"/>
        <v>#N/A</v>
      </c>
      <c r="AR40" s="945" t="b">
        <f t="shared" si="92"/>
        <v>0</v>
      </c>
      <c r="AS40" s="1038" t="e">
        <f t="shared" si="17"/>
        <v>#N/A</v>
      </c>
      <c r="AT40" s="945" t="b">
        <f t="shared" si="93"/>
        <v>0</v>
      </c>
      <c r="AU40" s="1291" t="str">
        <f t="shared" si="18"/>
        <v/>
      </c>
      <c r="AV40" s="830" t="str">
        <f t="shared" si="19"/>
        <v/>
      </c>
      <c r="AW40" s="830" t="str">
        <f t="shared" si="90"/>
        <v/>
      </c>
      <c r="AX40" s="830" t="str">
        <f t="shared" si="94"/>
        <v/>
      </c>
      <c r="AY40" s="464" t="b">
        <f t="shared" si="20"/>
        <v>0</v>
      </c>
      <c r="AZ40" s="856" t="str">
        <f t="shared" si="91"/>
        <v/>
      </c>
      <c r="BA40" s="549"/>
      <c r="BB40" s="681"/>
      <c r="BC40" s="1685"/>
      <c r="BD40" s="807"/>
      <c r="BE40" s="808"/>
      <c r="BF40" s="809"/>
      <c r="BG40" s="681"/>
      <c r="BH40" s="985"/>
      <c r="BI40" s="986"/>
      <c r="BJ40" s="1626"/>
      <c r="BK40" s="985"/>
      <c r="BL40" s="986"/>
      <c r="BM40" s="1571"/>
      <c r="BN40" s="1572"/>
      <c r="BO40" s="1618" t="str">
        <f>IF(ISERROR(CU40),"",IF(CU40="","",IF(VLOOKUP(BG40,SectInfo!$B:$N,10,FALSE)="","","X")))</f>
        <v/>
      </c>
      <c r="BP40" s="1564"/>
      <c r="BQ40" s="1565" t="str">
        <f t="shared" si="21"/>
        <v/>
      </c>
      <c r="BR40" s="1566"/>
      <c r="BS40" s="681"/>
      <c r="BT40" s="985"/>
      <c r="BU40" s="986"/>
      <c r="BV40" s="1626"/>
      <c r="BW40" s="985"/>
      <c r="BX40" s="986"/>
      <c r="BY40" s="1571"/>
      <c r="BZ40" s="1572"/>
      <c r="CA40" s="1618" t="str">
        <f>IF(ISERROR(DE40),"",IF(DE40="","",IF(VLOOKUP(BS40,SectInfo!$B:$N,10,FALSE)="","","X")))</f>
        <v/>
      </c>
      <c r="CB40" s="1564"/>
      <c r="CC40" s="1565" t="str">
        <f t="shared" si="22"/>
        <v/>
      </c>
      <c r="CD40" s="1566"/>
      <c r="CE40" s="1575"/>
      <c r="CF40" s="739"/>
      <c r="CG40" s="740"/>
      <c r="CH40" s="801" t="str">
        <f t="shared" si="23"/>
        <v/>
      </c>
      <c r="CI40" s="802" t="str">
        <f t="shared" si="24"/>
        <v/>
      </c>
      <c r="CJ40" s="803" t="str">
        <f t="shared" si="25"/>
        <v/>
      </c>
      <c r="CK40" s="853" t="str">
        <f t="shared" si="26"/>
        <v/>
      </c>
      <c r="CL40" s="849" t="str">
        <f t="shared" si="27"/>
        <v/>
      </c>
      <c r="CM40" s="850" t="str">
        <f t="shared" si="28"/>
        <v/>
      </c>
      <c r="CN40" s="804" t="str">
        <f t="shared" si="29"/>
        <v/>
      </c>
      <c r="CO40" s="805" t="str">
        <f t="shared" si="30"/>
        <v/>
      </c>
      <c r="CP40" s="617" t="str">
        <f t="shared" si="31"/>
        <v/>
      </c>
      <c r="CQ40" s="618" t="str">
        <f t="shared" si="32"/>
        <v/>
      </c>
      <c r="CR40" s="752" t="str">
        <f t="shared" si="33"/>
        <v/>
      </c>
      <c r="CS40" s="753" t="str">
        <f t="shared" si="34"/>
        <v/>
      </c>
      <c r="CU40" s="209" t="str">
        <f>IF(BG40="","",VLOOKUP(BG40,SectInfo!$B:$N,12,FALSE))</f>
        <v/>
      </c>
      <c r="CV40" s="210" t="str">
        <f>IF(BG40="","",IF(ISBLANK(BP40),VLOOKUP(BG40,SectInfo!$B:$N,13,FALSE),BP40))</f>
        <v/>
      </c>
      <c r="CW40" s="210" t="str">
        <f>IF(BG40="","",IF(VLOOKUP(BG40,SectInfo!$B:$N,5,FALSE)="","R",UPPER(VLOOKUP(BG40,SectInfo!$B:$N,5,FALSE))))</f>
        <v/>
      </c>
      <c r="CX40" s="834" t="str">
        <f>IF(BG40="","",IF(ISBLANK(BR40),VLOOKUP(BG40,SectInfo!$B:$N,6,FALSE),BR40))</f>
        <v/>
      </c>
      <c r="CY40" s="1287" t="str">
        <f>IF(BG40="","",IF(VLOOKUP(BG40,SectInfo!$B:$N,10,FALSE)="","",(IF(BO40="X",VLOOKUP(BG40,SectInfo!$B:$N,10,FALSE),VALUE(BO40))*-1)))</f>
        <v/>
      </c>
      <c r="CZ40" s="1123" t="str">
        <f>IF(BG40="","",IF(VLOOKUP(BG40,SectInfo!$B:$N,11,FALSE)="","2",(VLOOKUP(BG40,SectInfo!$B:$N,11,FALSE))))</f>
        <v/>
      </c>
      <c r="DA40" s="210" t="str">
        <f>IF(BG40="","",IF(VLOOKUP(BG40,SectInfo!$B:$N,7,FALSE)="","",(VLOOKUP(BG40,SectInfo!$B:$N,7,FALSE)*-1)))</f>
        <v/>
      </c>
      <c r="DB40" s="834" t="str">
        <f>IF(BG40="","",IF(VLOOKUP(BG40,SectInfo!$B:$N,8,FALSE)="",VLOOKUP(AU40,$DF$2:$DN$9,6,FALSE),(VLOOKUP(BG40,SectInfo!$B:$N,8,FALSE))))</f>
        <v/>
      </c>
      <c r="DC40" s="834" t="str">
        <f>IF(BG40="","",VLOOKUP(BG40,SectInfo!$B:$N,9,FALSE))</f>
        <v/>
      </c>
      <c r="DD40" s="835">
        <f t="shared" si="35"/>
        <v>0</v>
      </c>
      <c r="DE40" s="836" t="str">
        <f>IF(BS40="","",VLOOKUP(BS40,SectInfo!$B:$N,12,FALSE))</f>
        <v/>
      </c>
      <c r="DF40" s="834" t="str">
        <f>IF(BS40="","",IF(ISBLANK(CB40),VLOOKUP(BS40,SectInfo!$B:$N,13,FALSE),CB40))</f>
        <v/>
      </c>
      <c r="DG40" s="834" t="str">
        <f>IF(BS40="","",IF(VLOOKUP(BS40,SectInfo!$B:$N,5,FALSE)="","R",UPPER(VLOOKUP(BS40,SectInfo!$B:$N,5,FALSE))))</f>
        <v/>
      </c>
      <c r="DH40" s="834" t="str">
        <f>IF(BS40="","",IF(ISBLANK(CD40),VLOOKUP(BS40,SectInfo!$B:$N,6,FALSE),CD40))</f>
        <v/>
      </c>
      <c r="DI40" s="1287" t="str">
        <f>IF(BS40="","",IF(VLOOKUP(BS40,SectInfo!$B:$N,10,FALSE)="","",(IF(CA40="X",VLOOKUP(BS40,SectInfo!$B:$N,10,FALSE),VALUE(CA40))*-1)))</f>
        <v/>
      </c>
      <c r="DJ40" s="1123" t="str">
        <f>IF(BS40="","",IF(VLOOKUP(BS40,SectInfo!$B:$N,11,FALSE)="","2",(VLOOKUP(BS40,SectInfo!$B:$N,11,FALSE))))</f>
        <v/>
      </c>
      <c r="DK40" s="834" t="str">
        <f>IF(BS40="","",IF(VLOOKUP(BS40,SectInfo!$B:$N,7,FALSE)="","",(VLOOKUP(BS40,SectInfo!$B:$N,7,FALSE)*-1)))</f>
        <v/>
      </c>
      <c r="DL40" s="834" t="str">
        <f>IF(BS40="","",IF(VLOOKUP(BS40,SectInfo!$B:$N,8,FALSE)="",VLOOKUP(AU40,$DF$2:$DN$9,6,FALSE),(VLOOKUP(BS40,SectInfo!$B:$N,8,FALSE))))</f>
        <v/>
      </c>
      <c r="DM40" s="834" t="str">
        <f>IF(BS40="","",VLOOKUP(BS40,SectInfo!$B:$N,9,FALSE))</f>
        <v/>
      </c>
      <c r="DN40" s="835">
        <f t="shared" si="36"/>
        <v>0</v>
      </c>
      <c r="DO40" s="837">
        <f t="shared" si="37"/>
        <v>0</v>
      </c>
      <c r="DP40" s="838" t="str">
        <f t="shared" si="38"/>
        <v/>
      </c>
      <c r="DQ40" s="838" t="str">
        <f t="shared" si="39"/>
        <v/>
      </c>
      <c r="DR40" s="838" t="str">
        <f t="shared" si="40"/>
        <v/>
      </c>
      <c r="DS40" s="839">
        <f t="shared" si="41"/>
        <v>0</v>
      </c>
      <c r="DT40" s="839">
        <f t="shared" si="42"/>
        <v>0</v>
      </c>
      <c r="DU40" s="839" t="str">
        <f t="shared" si="43"/>
        <v/>
      </c>
      <c r="DV40" s="838" t="str">
        <f t="shared" si="44"/>
        <v/>
      </c>
      <c r="DW40" s="1128" t="str">
        <f t="shared" si="45"/>
        <v/>
      </c>
      <c r="DX40" s="1007">
        <f t="shared" si="118"/>
        <v>0</v>
      </c>
      <c r="DY40" s="838">
        <f t="shared" si="46"/>
        <v>0</v>
      </c>
      <c r="DZ40" s="839">
        <f t="shared" si="47"/>
        <v>0</v>
      </c>
      <c r="EA40" s="839" t="str">
        <f t="shared" si="48"/>
        <v/>
      </c>
      <c r="EB40" s="838" t="str">
        <f t="shared" si="119"/>
        <v/>
      </c>
      <c r="EC40" s="1128" t="str">
        <f t="shared" si="49"/>
        <v/>
      </c>
      <c r="ED40" s="1007">
        <f t="shared" si="120"/>
        <v>0</v>
      </c>
      <c r="EE40" s="1294" t="str">
        <f t="shared" si="50"/>
        <v/>
      </c>
      <c r="EF40" s="838" t="str">
        <f t="shared" si="121"/>
        <v/>
      </c>
      <c r="EG40" s="838" t="str">
        <f t="shared" si="122"/>
        <v/>
      </c>
      <c r="EH40" s="856" t="e">
        <f t="shared" si="51"/>
        <v>#N/A</v>
      </c>
      <c r="EI40" s="856" t="e">
        <f t="shared" si="52"/>
        <v>#N/A</v>
      </c>
      <c r="EJ40" s="838" t="str">
        <f t="shared" si="123"/>
        <v/>
      </c>
      <c r="EK40" s="838" t="str">
        <f t="shared" si="124"/>
        <v/>
      </c>
      <c r="EL40" s="1294" t="str">
        <f t="shared" si="54"/>
        <v/>
      </c>
      <c r="EM40" s="838" t="str">
        <f t="shared" si="125"/>
        <v/>
      </c>
      <c r="EN40" s="838" t="str">
        <f t="shared" si="126"/>
        <v/>
      </c>
      <c r="EO40" s="856" t="e">
        <f t="shared" si="55"/>
        <v>#N/A</v>
      </c>
      <c r="EP40" s="856" t="e">
        <f t="shared" si="56"/>
        <v>#N/A</v>
      </c>
      <c r="EQ40" s="838" t="str">
        <f t="shared" si="57"/>
        <v/>
      </c>
      <c r="ER40" s="838" t="str">
        <f t="shared" si="57"/>
        <v/>
      </c>
      <c r="ES40" s="838" t="str">
        <f t="shared" si="58"/>
        <v/>
      </c>
      <c r="ET40" s="838" t="str">
        <f t="shared" si="59"/>
        <v/>
      </c>
      <c r="EU40" s="840" t="str">
        <f t="shared" si="60"/>
        <v/>
      </c>
      <c r="EV40" s="956" t="str">
        <f t="shared" si="127"/>
        <v/>
      </c>
      <c r="EW40" s="840"/>
      <c r="EX40" s="840" t="str">
        <f>IF(AND(CU40="G", ISBLANK(BK40), ISBLANK(BL40)),VLOOKUP(MIN(BH40:BI40),TblJoistSize!$M$3:$N$10,2),IF(OR(CU40="B",CU40="G"),MIN(BK40:BL40),""))</f>
        <v/>
      </c>
      <c r="EY40" s="840" t="str">
        <f>IF(AND(CU40="G", ISBLANK(BK40), ISBLANK(BL40)),VLOOKUP(MAX(BH40:BI40),TblJoistSize!$M$3:$N$10,2),IF(OR(CU40="B",CU40="G"),MAX(BK40:BL40),""))</f>
        <v/>
      </c>
      <c r="EZ40" s="840" t="str">
        <f t="shared" si="61"/>
        <v/>
      </c>
      <c r="FA40" s="840" t="str">
        <f>IF(AND(DE40="G", ISBLANK(BW40), ISBLANK(BX40)),VLOOKUP(MIN(BT40:BU40),TblJoistSize!$M$3:$N$10,2),IF(OR(DE40="B", DE40="G"),MIN(BW40:BX40),""))</f>
        <v/>
      </c>
      <c r="FB40" s="840" t="str">
        <f>IF(AND(DE40="G", ISBLANK(BW40), ISBLANK(BX40)),VLOOKUP(MAX(BT40:BU40),TblJoistSize!$M$3:$N$10,2),IF(OR(DE40="B", DE40="G"),MAX(BW40:BX40),""))</f>
        <v/>
      </c>
      <c r="FC40" s="840" t="str">
        <f t="shared" si="62"/>
        <v/>
      </c>
      <c r="FD40" s="838">
        <f t="shared" si="63"/>
        <v>0</v>
      </c>
      <c r="FE40" s="838">
        <f t="shared" si="64"/>
        <v>0</v>
      </c>
      <c r="FF40" s="839">
        <f t="shared" si="65"/>
        <v>0</v>
      </c>
      <c r="FG40" s="839" t="str">
        <f t="shared" si="66"/>
        <v/>
      </c>
      <c r="FH40" s="838" t="str">
        <f t="shared" si="67"/>
        <v/>
      </c>
      <c r="FI40" s="838">
        <f t="shared" si="68"/>
        <v>0</v>
      </c>
      <c r="FJ40" s="838">
        <f t="shared" si="69"/>
        <v>0</v>
      </c>
      <c r="FK40" s="839">
        <f t="shared" si="70"/>
        <v>0</v>
      </c>
      <c r="FL40" s="839" t="str">
        <f t="shared" si="71"/>
        <v/>
      </c>
      <c r="FM40" s="838" t="str">
        <f t="shared" si="72"/>
        <v/>
      </c>
      <c r="FN40" s="838" t="e">
        <f t="shared" si="73"/>
        <v>#VALUE!</v>
      </c>
      <c r="FO40" s="1387" t="e">
        <f t="shared" si="74"/>
        <v>#VALUE!</v>
      </c>
      <c r="FP40" s="1387" t="e">
        <f t="shared" si="75"/>
        <v>#VALUE!</v>
      </c>
      <c r="FQ40" s="841" t="e">
        <f t="shared" si="76"/>
        <v>#VALUE!</v>
      </c>
      <c r="FR40" s="842" t="e">
        <f t="shared" si="77"/>
        <v>#VALUE!</v>
      </c>
      <c r="FS40" s="843" t="str">
        <f t="shared" si="78"/>
        <v/>
      </c>
      <c r="FT40" s="844" t="str">
        <f t="shared" si="79"/>
        <v/>
      </c>
      <c r="FU40" s="1011">
        <f t="shared" si="80"/>
        <v>0</v>
      </c>
      <c r="FV40" s="1012">
        <f t="shared" si="81"/>
        <v>0</v>
      </c>
      <c r="GA40" s="1791" t="str">
        <f t="shared" si="82"/>
        <v/>
      </c>
      <c r="GB40" s="1792" t="str">
        <f t="shared" si="83"/>
        <v/>
      </c>
      <c r="GC40" s="1793" t="str">
        <f t="shared" si="84"/>
        <v/>
      </c>
      <c r="GD40" s="1794" t="str">
        <f t="shared" si="85"/>
        <v/>
      </c>
      <c r="GE40" s="1795" t="str">
        <f t="shared" si="86"/>
        <v/>
      </c>
      <c r="GF40" s="600" t="str">
        <f t="shared" si="87"/>
        <v/>
      </c>
      <c r="GG40" s="1132"/>
      <c r="GH40" s="1133"/>
      <c r="GI40" s="1132"/>
      <c r="GJ40" s="1133"/>
      <c r="GK40" s="1636">
        <f t="shared" si="88"/>
        <v>0</v>
      </c>
      <c r="GL40" s="1636" t="e">
        <f t="shared" si="89"/>
        <v>#VALUE!</v>
      </c>
      <c r="GM40" s="1637" t="e">
        <f>IF(ABS(GK40-GL40)&gt;='Job Info.'!$L$22,ABS(GK40-GL40),0)</f>
        <v>#VALUE!</v>
      </c>
      <c r="GZ40" s="415"/>
      <c r="HA40" s="1397"/>
      <c r="HB40" s="1398"/>
      <c r="HC40" s="1398"/>
      <c r="HD40" s="1399"/>
      <c r="HE40" s="1400"/>
      <c r="HF40" s="1398"/>
      <c r="HG40" s="1398"/>
      <c r="HH40" s="1398"/>
      <c r="HI40" s="1401"/>
      <c r="HJ40" s="1398"/>
      <c r="HK40" s="1398"/>
      <c r="HL40" s="1398"/>
      <c r="HM40" s="1398"/>
      <c r="HN40" s="1398"/>
      <c r="HO40" s="1398"/>
      <c r="HP40" s="1398"/>
      <c r="HQ40" s="1401"/>
      <c r="HR40" s="1398"/>
      <c r="HS40" s="1398"/>
      <c r="HT40" s="1398"/>
      <c r="HU40" s="1398"/>
      <c r="HV40" s="1398"/>
      <c r="HW40" s="1400"/>
      <c r="HX40" s="1400"/>
      <c r="HY40" s="1400"/>
      <c r="HZ40" s="1400"/>
      <c r="IA40" s="1400"/>
      <c r="IB40" s="1400"/>
      <c r="IC40" s="1400"/>
      <c r="ID40" s="1400"/>
      <c r="IE40" s="1400"/>
      <c r="IF40" s="1402"/>
    </row>
    <row r="41" spans="1:240" ht="15" customHeight="1" thickTop="1" thickBot="1" x14ac:dyDescent="0.25">
      <c r="A41" s="1143"/>
      <c r="B41" s="1143"/>
      <c r="C41" s="1143"/>
      <c r="D41" s="1143"/>
      <c r="E41" s="1143"/>
      <c r="F41" s="1143"/>
      <c r="G41" s="1143"/>
      <c r="H41" s="1143"/>
      <c r="I41" s="1143"/>
      <c r="J41" s="1143"/>
      <c r="K41" s="1143"/>
      <c r="L41" s="1143"/>
      <c r="M41" s="1143"/>
      <c r="N41" s="1143"/>
      <c r="O41" s="1143"/>
      <c r="P41" s="1143"/>
      <c r="Q41" s="1143"/>
      <c r="R41" s="1143"/>
      <c r="S41" s="1143"/>
      <c r="T41" s="1143"/>
      <c r="U41" s="1143"/>
      <c r="V41" s="1143"/>
      <c r="W41" s="1143"/>
      <c r="X41" s="1143"/>
      <c r="Y41" s="1143"/>
      <c r="Z41" s="1143"/>
      <c r="AA41" s="1143"/>
      <c r="AD41" s="452">
        <f>SUM(AD23:AD40)</f>
        <v>0</v>
      </c>
      <c r="AE41" s="453">
        <f>SUM(AE23:AE40)</f>
        <v>0</v>
      </c>
      <c r="AF41" s="453">
        <f>SUM(AF23:AF40)</f>
        <v>0</v>
      </c>
      <c r="AG41" s="453">
        <f>SUM(AG23:AG40)</f>
        <v>0</v>
      </c>
      <c r="AH41" s="454">
        <f>SUM(AH23:AH40)</f>
        <v>0</v>
      </c>
      <c r="CN41" s="246"/>
      <c r="CO41" s="246"/>
      <c r="DK41" s="455"/>
      <c r="EO41" s="1008"/>
      <c r="EP41" s="1008"/>
      <c r="FU41" s="455"/>
      <c r="FV41" s="455"/>
      <c r="GA41" s="455"/>
      <c r="GB41" s="455"/>
      <c r="GC41" s="455"/>
      <c r="GD41" s="455"/>
      <c r="GE41" s="455"/>
      <c r="GF41" s="455"/>
      <c r="HA41" s="117"/>
      <c r="HB41" s="117"/>
      <c r="HC41" s="117"/>
      <c r="HD41" s="242"/>
      <c r="HE41" s="248"/>
      <c r="HF41" s="117"/>
      <c r="HG41" s="117"/>
      <c r="HH41" s="117"/>
      <c r="HI41" s="117"/>
      <c r="HJ41" s="117"/>
      <c r="HK41" s="117"/>
      <c r="HL41" s="117"/>
      <c r="HM41" s="117"/>
      <c r="HN41" s="117"/>
      <c r="HO41" s="117"/>
      <c r="HP41" s="117"/>
      <c r="HQ41" s="117"/>
      <c r="HR41" s="117"/>
      <c r="HS41" s="117"/>
      <c r="HT41" s="117"/>
      <c r="HU41" s="117"/>
      <c r="HV41" s="117"/>
      <c r="HW41" s="117"/>
      <c r="HX41" s="117"/>
    </row>
    <row r="42" spans="1:240" ht="15" customHeight="1" x14ac:dyDescent="0.2">
      <c r="EB42" s="1028"/>
    </row>
    <row r="43" spans="1:240" ht="15" customHeight="1" x14ac:dyDescent="0.2">
      <c r="AZ43" s="633"/>
      <c r="CH43" s="504"/>
      <c r="EB43" s="1028"/>
      <c r="EF43" s="856" t="str">
        <f>IF(EE43="ERR","ERR",IF(EE43="","",IF(DB43*TAN(DS43)&lt;=(VLOOKUP(AU43,$DF$2:$DN$9,8,FALSE)-(VLOOKUP(AU43,$DF$2:$DN$9,7,FALSE)-0.0625)),CV43-(EE43-FH43)/IF(OR(CU43="C",AND(CU43="M",$DD$1="N")),1,COS(DS43))-IF(OR(MID(CW43,1,1)="R",CW43="Q"),0,DW43),(ABS(EE43-FH43)/IF(OR(CU43="C",AND(CU43="M",$DD$1="N")),1,COS(DS43))+CV43)-((DB43/2)*TAN(DS43))-IF(OR(MID(CW43,1,1)="R",CW43="Q"),0,DW43))))</f>
        <v/>
      </c>
      <c r="EG43" s="856"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47"/>
      <c r="DQ44" s="562"/>
      <c r="DR44" s="378"/>
      <c r="DS44" s="378"/>
    </row>
    <row r="45" spans="1:240" ht="15" customHeight="1" x14ac:dyDescent="0.2">
      <c r="BI45" s="1028"/>
      <c r="BP45" s="1028"/>
      <c r="BQ45" s="633"/>
    </row>
    <row r="46" spans="1:240" ht="15" customHeight="1" x14ac:dyDescent="0.2"/>
    <row r="47" spans="1:240" ht="15" customHeight="1" thickBot="1" x14ac:dyDescent="0.25">
      <c r="A47" s="907" t="s">
        <v>720</v>
      </c>
      <c r="AD47" s="906">
        <f>SUM(AD41:AH41)</f>
        <v>0</v>
      </c>
      <c r="EK47" s="2317" t="s">
        <v>1060</v>
      </c>
      <c r="EL47" s="2317"/>
      <c r="EM47" s="2317"/>
      <c r="EN47" s="2317"/>
      <c r="EO47" s="2317"/>
    </row>
    <row r="48" spans="1:240" s="1008" customFormat="1" ht="15" hidden="1" customHeight="1" x14ac:dyDescent="0.2">
      <c r="AA48" s="1194"/>
      <c r="AI48" s="1085"/>
      <c r="HD48" s="1195"/>
      <c r="HE48" s="1196"/>
    </row>
    <row r="49" spans="1:192" ht="15" hidden="1" customHeight="1" x14ac:dyDescent="0.2"/>
    <row r="50" spans="1:192" ht="11.25" hidden="1" customHeight="1" x14ac:dyDescent="0.2">
      <c r="A50" s="1320"/>
      <c r="B50" s="1320"/>
      <c r="C50" s="1320"/>
      <c r="D50" s="1320"/>
      <c r="E50" s="1320"/>
      <c r="F50" s="1320"/>
      <c r="G50" s="1320"/>
      <c r="H50" s="1320"/>
      <c r="I50" s="1320"/>
      <c r="J50" s="1320"/>
      <c r="K50" s="1320"/>
      <c r="L50" s="1320"/>
      <c r="M50" s="1320"/>
      <c r="N50" s="1320"/>
      <c r="O50" s="1320"/>
      <c r="P50" s="1320"/>
      <c r="Q50" s="1320"/>
      <c r="R50" s="1320"/>
      <c r="S50" s="1320"/>
      <c r="T50" s="1320"/>
      <c r="U50" s="1320"/>
      <c r="V50" s="1320"/>
      <c r="W50" s="1320"/>
      <c r="X50" s="1320"/>
      <c r="Y50" s="1320"/>
      <c r="Z50" s="1320"/>
      <c r="AA50" s="1320"/>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144"/>
    </row>
    <row r="57" spans="1:192" ht="15" hidden="1" customHeight="1" x14ac:dyDescent="0.25">
      <c r="A57" s="1001" t="e">
        <f>IF(#REF!="","",UPPER(#REF!))</f>
        <v>#REF!</v>
      </c>
      <c r="B57" s="1679" t="e">
        <f>IF(#REF!="","",#REF!)</f>
        <v>#REF!</v>
      </c>
      <c r="C57" s="1002" t="e">
        <f>IF(#REF!="","",UPPER(#REF!))</f>
        <v>#REF!</v>
      </c>
      <c r="D57" s="998" t="str">
        <f>IF(DP57="","",TRUNC(DP57/12))</f>
        <v/>
      </c>
      <c r="E57" s="1097" t="str">
        <f>IF(DP57="","",DP57-(D57*12))</f>
        <v/>
      </c>
      <c r="F57" s="1000" t="str">
        <f>IF(DX57=0,"",TRUNC(DX57/12))</f>
        <v/>
      </c>
      <c r="G57" s="999" t="str">
        <f>IF(DX57=0,"",DX57-(F57*12))</f>
        <v/>
      </c>
      <c r="H57" s="1003" t="str">
        <f>IF(DX57=0,"",CW57)</f>
        <v/>
      </c>
      <c r="I57" s="998" t="str">
        <f>IF(ED57=0,"",TRUNC(ED57/12))</f>
        <v/>
      </c>
      <c r="J57" s="999" t="str">
        <f>IF(ED57=0,"",ED57-(I57*12))</f>
        <v/>
      </c>
      <c r="K57" s="1098" t="str">
        <f>IF(ED57=0,"",DG57)</f>
        <v/>
      </c>
      <c r="L57" s="1045">
        <f>DQ57</f>
        <v>0</v>
      </c>
      <c r="M57" s="1047">
        <f>DR57</f>
        <v>0</v>
      </c>
      <c r="N57" s="1000" t="str">
        <f>IF(ES57="","",IF(AND(ES57&lt;0,ES57&gt;-12),TRUNC(ES57/12)-0.0000001,TRUNC(ES57/12)))</f>
        <v/>
      </c>
      <c r="O57" s="999" t="str">
        <f>IF(ES57="","",IF(AND(ES57-(N57*12)=0,ES57&lt;0),-0.000001,ES57-(N57*12)))</f>
        <v/>
      </c>
      <c r="P57" s="1317" t="str">
        <f>IF(ES57="","",IF(OR(CW57="Q",CW57="C"),3,CZ57))</f>
        <v/>
      </c>
      <c r="Q57" s="998" t="str">
        <f>IF(ET57="","",IF(AND(ET57&lt;0,ET57&gt;-12),TRUNC(ET57/12)-0.0000001,TRUNC(ET57/12)))</f>
        <v/>
      </c>
      <c r="R57" s="999" t="str">
        <f>IF(ET57="","",IF(AND(ET57-(Q57*12)=0,ET57&lt;0),-0.000001,ET57-(Q57*12)))</f>
        <v/>
      </c>
      <c r="S57" s="1318" t="str">
        <f>IF(ET57="","",IF(OR(DG57="Q",DG57="C"),3,DJ57))</f>
        <v/>
      </c>
      <c r="T57" s="1000" t="str">
        <f>IF(CH57="ERR","",IF(EK57="","",IF(EK57="ERR",TRUNC(EJ57/12),TRUNC(EK57/12))))</f>
        <v/>
      </c>
      <c r="U57" s="999" t="str">
        <f>IF(CH57="ERR","",IF(EK57="","",IF(EK57="ERR",EJ57-(T57*12),EK57-(T57*12))))</f>
        <v/>
      </c>
      <c r="V57" s="998" t="str">
        <f>IF(CI57="ERR","",IF(ER57="","",IF(ER57="ERR",TRUNC(EQ57/12),TRUNC(ER57/12))))</f>
        <v/>
      </c>
      <c r="W57" s="999" t="str">
        <f>IF(CI57="ERR","",IF(ER57="","",IF(ER57="ERR",EQ57-(V57*12),ER57-(V57*12))))</f>
        <v/>
      </c>
      <c r="X57" s="1095">
        <f>IF(EV57="",0,EV57)</f>
        <v>0</v>
      </c>
      <c r="Y57" s="1069">
        <f>FG57</f>
        <v>0</v>
      </c>
      <c r="Z57" s="1070">
        <f>FL57</f>
        <v>0</v>
      </c>
      <c r="AA57" s="1068" t="e">
        <f>CONCATENATE(IF(#REF!="","",CONCATENATE("[",SUBSTITUTE(#REF!," ",""),"]")),IF(#REF!="","",CONCATENATE("(",SUBSTITUTE(#REF!," ",""),") ")))</f>
        <v>#REF!</v>
      </c>
      <c r="GA57" s="599" t="str">
        <f t="shared" ref="GA57" si="129">IF(GF57="","",BE57)</f>
        <v/>
      </c>
      <c r="GB57" s="619" t="str">
        <f t="shared" ref="GB57" si="130">IF(GF57="","",BF57)</f>
        <v/>
      </c>
      <c r="GC57" s="621" t="str">
        <f t="shared" ref="GC57" si="131">IF(GF57="","",IF(CV57="",0,CV57))</f>
        <v/>
      </c>
      <c r="GD57" s="622" t="str">
        <f t="shared" ref="GD57" si="132">IF(GF57="","",IF(DF57="",0,DF57))</f>
        <v/>
      </c>
      <c r="GE57" s="620"/>
      <c r="GF57" s="600"/>
      <c r="GG57" s="1646"/>
      <c r="GH57" s="1647"/>
      <c r="GI57" s="1646"/>
      <c r="GJ57" s="1647"/>
    </row>
    <row r="58" spans="1:192" ht="15" hidden="1" customHeight="1" x14ac:dyDescent="0.2">
      <c r="AA58" s="1145"/>
    </row>
    <row r="59" spans="1:192" ht="15" hidden="1" customHeight="1" x14ac:dyDescent="0.2"/>
    <row r="60" spans="1:192" ht="15" hidden="1" customHeight="1" x14ac:dyDescent="0.2">
      <c r="A60" s="892" t="s">
        <v>1176</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45" t="s">
        <v>799</v>
      </c>
    </row>
    <row r="68" spans="1:213" ht="15" hidden="1" customHeight="1" x14ac:dyDescent="0.2">
      <c r="CA68" s="245" t="s">
        <v>800</v>
      </c>
      <c r="CB68" s="567">
        <f>IF(ISBLANK(BD68),0,IF(CX68&gt;VLOOKUP($DF$2:$DN$9,AU68,3,FALSE),"X",0))</f>
        <v>0</v>
      </c>
      <c r="CC68" s="568">
        <f>IF(FV68&gt;0.0625,CEILING(FV68-0.0625,0.125),FV68)</f>
        <v>0</v>
      </c>
    </row>
    <row r="69" spans="1:213" ht="15" hidden="1" customHeight="1" x14ac:dyDescent="0.25">
      <c r="CA69" s="245" t="s">
        <v>801</v>
      </c>
      <c r="CB69" s="569" t="e">
        <f>IF(FU69&gt;0.0625,CEILING(FU69-0.0625,0.125),FU69)</f>
        <v>#REF!</v>
      </c>
      <c r="CC69" s="570" t="e">
        <f>IF(FV69&gt;0.0625,CEILING(FV69-0.0625,0.125),FV69)</f>
        <v>#REF!</v>
      </c>
      <c r="CS69" s="2339">
        <v>40961</v>
      </c>
      <c r="CT69" s="2340"/>
      <c r="CU69" s="115" t="e">
        <f>IF(#REF!="","",IF(VLOOKUP(#REF!,SectInfo!$B:$N,5,FALSE)="","R",UPPER(VLOOKUP(#REF!,SectInfo!$B:$N,5,FALSE))))</f>
        <v>#REF!</v>
      </c>
      <c r="CV69" s="115" t="e">
        <f>IF(#REF!="","",VLOOKUP(#REF!,SectInfo!$B:$N,6,FALSE))</f>
        <v>#REF!</v>
      </c>
      <c r="CW69" s="115" t="e">
        <f>IF(#REF!="","",IF(VLOOKUP(#REF!,SectInfo!$B:$N,10,FALSE)="","",(VLOOKUP(#REF!,SectInfo!$B:$N,10,FALSE)*-1)))</f>
        <v>#REF!</v>
      </c>
      <c r="CX69" s="118" t="e">
        <f>IF(#REF!="","",IF(VLOOKUP(#REF!,SectInfo!$B:$N,11,FALSE)="","",(VLOOKUP(#REF!,SectInfo!$B:$N,11,FALSE))))</f>
        <v>#REF!</v>
      </c>
      <c r="CY69" s="115" t="e">
        <f>IF(#REF!="","",IF(VLOOKUP(#REF!,SectInfo!$B:$N,7,FALSE)="","",(VLOOKUP(#REF!,SectInfo!$B:$N,7,FALSE)*-1)))</f>
        <v>#REF!</v>
      </c>
      <c r="CZ69" s="115" t="e">
        <f>IF(#REF!="","",IF(VLOOKUP(#REF!,SectInfo!$B:$N,8,FALSE)="",IF(OR(DM69="K",DM69="KCS",DM69="JS"),$CZ$4,$CZ$5),(VLOOKUP(#REF!,SectInfo!$B:$N,8,FALSE))))</f>
        <v>#REF!</v>
      </c>
      <c r="DA69" s="115" t="e">
        <f>IF(#REF!="","",VLOOKUP(#REF!,SectInfo!$B:$N,9,FALSE))</f>
        <v>#REF!</v>
      </c>
      <c r="DB69" s="107" t="e">
        <f>#REF!</f>
        <v>#REF!</v>
      </c>
      <c r="DC69" s="114" t="e">
        <f>IF(#REF!="","",VLOOKUP(#REF!,SectInfo!$B:$N,12,FALSE))</f>
        <v>#REF!</v>
      </c>
      <c r="DD69" s="115" t="e">
        <f>IF(#REF!="","",IF(ISBLANK(#REF!),VLOOKUP(#REF!,SectInfo!$B:$N,13,FALSE),#REF!))</f>
        <v>#REF!</v>
      </c>
      <c r="DE69" s="115" t="e">
        <f>IF(#REF!="","",IF(VLOOKUP(#REF!,SectInfo!$B:$N,5,FALSE)="","R",UPPER(VLOOKUP(#REF!,SectInfo!$B:$N,5,FALSE))))</f>
        <v>#REF!</v>
      </c>
      <c r="DF69" s="115" t="e">
        <f>IF(#REF!="","",VLOOKUP(#REF!,SectInfo!$B:$N,6,FALSE))</f>
        <v>#REF!</v>
      </c>
      <c r="DG69" s="115" t="e">
        <f>IF(#REF!="","",IF(VLOOKUP(#REF!,SectInfo!$B:$N,10,FALSE)="","",(VLOOKUP(#REF!,SectInfo!$B:$N,10,FALSE)*-1)))</f>
        <v>#REF!</v>
      </c>
      <c r="DH69" s="118" t="e">
        <f>IF(#REF!="","",IF(VLOOKUP(#REF!,SectInfo!$B:$N,11,FALSE)="","",(VLOOKUP(#REF!,SectInfo!$B:$N,11,FALSE))))</f>
        <v>#REF!</v>
      </c>
      <c r="DI69" s="115" t="e">
        <f>IF(#REF!="","",IF(VLOOKUP(#REF!,SectInfo!$B:$N,7,FALSE)="","",(VLOOKUP(#REF!,SectInfo!$B:$N,7,FALSE)*-1)))</f>
        <v>#REF!</v>
      </c>
      <c r="DJ69" s="115" t="e">
        <f>IF(#REF!="","",IF(VLOOKUP(#REF!,SectInfo!$B:$N,8,FALSE)="",IF(OR(DM69="K",DM69="KCS",DM69="JS"),$CZ$4,$CZ$5),(VLOOKUP(#REF!,SectInfo!$B:$N,8,FALSE))))</f>
        <v>#REF!</v>
      </c>
      <c r="DK69" s="115" t="e">
        <f>IF(#REF!="","",VLOOKUP(#REF!,SectInfo!$B:$N,9,FALSE))</f>
        <v>#REF!</v>
      </c>
      <c r="DL69" s="107" t="e">
        <f>#REF!</f>
        <v>#REF!</v>
      </c>
      <c r="DM69" s="116">
        <f>IF(IF(AX62="",AW62,AX62)="SLH","DLH",IF(IF(AX62="",AW62,AX62)="CJ","LH",IF(AX62="",AW62,AX62)))</f>
        <v>0</v>
      </c>
      <c r="DN69" s="125" t="e">
        <f>IF(#REF!="",0,ATAN(#REF!/12))</f>
        <v>#REF!</v>
      </c>
      <c r="DO69" s="109" t="e">
        <f>IF(OR(CT69="",#REF!="",DD69=""),"",CEILING(IF(AND(#REF!="",#REF!=""),"",((#REF!*12+#REF!)+CT69+DD69)/COS(FO69))-0.0625,0.125))</f>
        <v>#REF!</v>
      </c>
      <c r="DP69" s="109" t="e">
        <f>IF(OR(CV69="",#REF!="",DF69=""),"",CEILING(IF(AND(#REF!="",#REF!=""),"",((#REF!*12+#REF!)+CV69+DF69)/COS(FN69))-0.0625,0.125))</f>
        <v>#REF!</v>
      </c>
      <c r="DQ69" s="109" t="str">
        <f>IF(AU54="","",IF(ABS(FF69)&lt;ABS($CX$2),CX69,IF(FF69=0,CX69,CEILING((CX69+((DW69-CV69)/12)*FF69)-0.0625,0.125))))</f>
        <v/>
      </c>
      <c r="DR69" s="109" t="str">
        <f>IF(AU54="","",IF(ABS(FK69)&lt;ABS($CX$2),DH69,IF(FK69=0,DH69,CEILING((DH69+((EC69-DF69)/12)*FK69)-0.0625,0.125))))</f>
        <v/>
      </c>
      <c r="DS69" s="110" t="e">
        <f>IF(#REF!="",0,RADIANS(ABS(#REF!)))</f>
        <v>#REF!</v>
      </c>
      <c r="DT69" s="110" t="e">
        <f>MIN(IF(#REF!&gt;0,#REF!/2,MAX(#REF!/2,DC69)),IF(#REF!&gt;0,#REF!/2,MAX(#REF!/2,DC69)),IF(DC69&gt;0,DC69,MAX(#REF!/2,#REF!/2)))/COS(DS69)</f>
        <v>#REF!</v>
      </c>
      <c r="DU69" s="110" t="e">
        <f>IF(CV69="","",IF(DC69&gt;=0,MAX(#REF!/2,#REF!/2,DC69),DC69)/COS(DS69))</f>
        <v>#REF!</v>
      </c>
      <c r="DV69" s="109" t="e">
        <f>IF(CV69="","",CV69+DU69+IF(OR(AU54="K",AU54="KCS"),$CV$4/2,$CV$5/2)*TAN(DS69))</f>
        <v>#REF!</v>
      </c>
      <c r="DW69" s="50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11" t="e">
        <f>IF(CV69="",0,IF(DW69/COS(FN69)&lt;0.0625,0,CEILING(DW69/COS(FN69)-0.0625,0.125)))</f>
        <v>#REF!</v>
      </c>
      <c r="DY69" s="109" t="e">
        <f>RADIANS(ABS(#REF!))</f>
        <v>#REF!</v>
      </c>
      <c r="DZ69" s="110" t="e">
        <f>MIN(IF(#REF!&gt;0,#REF!/2,MAX(#REF!/2,DM69)),IF(#REF!&gt;0,#REF!/2,MAX(#REF!/2,DM69)),IF(DM69&gt;0,DM69,MAX(#REF!/2,#REF!/2)))/COS(DY69)</f>
        <v>#REF!</v>
      </c>
      <c r="EA69" s="110" t="e">
        <f>IF(DF69="","",IF(DM69&gt;=0,MAX(#REF!/2,#REF!/2,DM69),DM69)/COS(DY69))</f>
        <v>#REF!</v>
      </c>
      <c r="EB69" s="109" t="e">
        <f>IF(DF69="","",DF69+EA69+IF(OR(AU54="K",AU54="KCS"),$CV$4/2,$CV$5/2)*TAN(DY69))</f>
        <v>#REF!</v>
      </c>
      <c r="EC69" s="50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11" t="e">
        <f>IF(DF69="",0,IF(EC69/COS(FN69)&lt;0.0625,0,CEILING(EC69/COS(FN69)-0.0625,0.125)))</f>
        <v>#REF!</v>
      </c>
      <c r="EE69" s="109" t="e">
        <f>IF(AND(EZ69="",DA69=""),"",IF(EZ69="ERR","ERR",IF(ISNUMBER(EZ69),(EZ69/2)*-1,DA69)))</f>
        <v>#REF!</v>
      </c>
      <c r="EF69" s="109" t="e">
        <f>IF(EE69="ERR","ERR",IF(EE69="","",IF(OR(AND(OR(AU54="K",AU54="KCS"),(DB69*TAN(DS69)&lt;=($DB$4-($DA$4-0.0625)))),AND(OR(AU54="LH",AU54="DLH"),(DB69*TAN(DS69)&lt;=($DB$5-($DA$5-0.0625))))),CV69-(EE69-FH69)/COS(DS69)-IF(MID(CW69,1,1)="R",0,DW69),(ABS(EE69-FH69)/COS(DS69)+CV69)-((DB69/2)*TAN(DS69))-IF(MID(CW69,1,1)="R",0,DW69))))</f>
        <v>#REF!</v>
      </c>
      <c r="EG69" s="109" t="e">
        <f>IF(EE69="ERR","ERR",IF(EE69="","",IF(OR(AND(OR(AU54="K",AU54="KCS"),(DB69*TAN(DS69)&lt;=($DB$4-($DA$4-0.0625)))),AND(OR(AU54="LH",AU54="DLH"),(DB69*TAN(DS69)&lt;=($DB$5-($DA$5-0.0625))))),CV69-(EE69-FH69)/COS(DS69)-IF(MID(CW69,1,1)="R",0,DW69),(ABS(EE69-FH69)/COS(DS69)+CV69)+((DB69/2)*TAN(DS69))-IF(MID(CW69,1,1)="R",0,DW69))))</f>
        <v>#REF!</v>
      </c>
      <c r="EH69" s="109"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09"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09" t="str">
        <f>IF(ISERROR(EF69),"ERR",IF(EF69="","",IF(EH69="ERR","ERR",CEILING(EH69-0.0625,0.125))))</f>
        <v>ERR</v>
      </c>
      <c r="EK69" s="109" t="str">
        <f>IF(ISERROR(EG69),"ERR",IF(EG69="","",IF(EI69="ERR","ERR",CEILING(EI69-0.0625,0.125))))</f>
        <v>ERR</v>
      </c>
      <c r="EL69" s="109" t="e">
        <f>IF(AND(FC69="",DK69=""),"",IF(FC69="ERR","ERR",IF(ISNUMBER(FC69),(FC69/2)*-1,DK69)))</f>
        <v>#REF!</v>
      </c>
      <c r="EM69" s="109" t="e">
        <f>IF(EL69="ERR","ERR",IF(EL69="","",IF(OR(AND(OR(AU54="K",AU54="KCS"),(DL69*TAN(DY69)&lt;=($DB$4-($DA$4-0.0625)))),AND(OR(AU54="LH",AU54="DLH"),(DL69*TAN(DY69)&lt;=($DB$5-($DA$5-0.0625))))),DF69-(EL69-FM69)/COS(DY69)-IF(MID(DG69,1,1)="R",0,EC69),(ABS(EL69-FM69)/COS(DY69)+DF69)-((DL69/2)*TAN(DY69))-IF(MID(DG69,1,1)="R",0,EC69))))</f>
        <v>#REF!</v>
      </c>
      <c r="EN69" s="109" t="e">
        <f>IF(EL69="ERR","ERR",IF(EL69="","",IF(OR(AND(OR(AU54="K",AU54="KCS"),(DL69*TAN(DY69)&lt;=($DB$4-($DA$4-0.0625)))),AND(OR(AU54="LH",AU54="DLH"),(DL69*TAN(DY69)&lt;=($DB$5-($DA$5-0.0625))))),DF69-(EL69-FM69)/COS(DY69)-IF(MID(DG69,1,1)="R",0,EC69),(ABS(EL69-FM69)/COS(DY69)+DF69)+((DL69/2)*TAN(DY69))-IF(MID(DG69,1,1)="R",0,EC69))))</f>
        <v>#REF!</v>
      </c>
      <c r="EO69" s="109"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09"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09" t="str">
        <f>IF(ISERROR(EM69),"ERR",IF(EM69="","",IF(EO69="ERR","ERR",CEILING(EO69-0.0625,0.125))))</f>
        <v>ERR</v>
      </c>
      <c r="ER69" s="109" t="str">
        <f>IF(ISERROR(EN69),"ERR",IF(EN69="","",IF(EP69="ERR","ERR",CEILING(EP69-0.0625,0.125))))</f>
        <v>ERR</v>
      </c>
      <c r="ES69" s="501" t="e">
        <f>IF(OR(CY69="",AU54="JS",AU54="HDR",#REF!=""),"",IF((CV69-CY69)/COS(DO69)-FS69&lt;=-0.0625,CEILING((CV69-CY69)/COS(DO69)-FS69+0.0625,-0.125),IF((CV69-CY69)/COS(DO69)-FS69&gt;=0.0625,CEILING((CV69-CY69)/COS(DO69)-FS69-0.0625,0.125),0)))</f>
        <v>#REF!</v>
      </c>
      <c r="ET69" s="501" t="e">
        <f>IF(OR(DI69="",AU54="JS",AU54="HDR",#REF!=""),"",IF((DF69-DI69)/COS(DO69)-FT69&lt;=-0.0625,CEILING((DF69-DI69)/COS(DO69)-FT69+0.0625,-0.125),IF((DF69-DI69)/COS(DO69)-FT69&gt;=0.0625,CEILING((DF69-DI69)/COS(DO69)-FT69-0.0625,0.125),0)))</f>
        <v>#REF!</v>
      </c>
      <c r="EU69" s="112" t="str">
        <f>IF(AU54="","",IF(OR(AU54="K",AU54="KCS",AU54="JS"),$CZ$4,$CZ$5))</f>
        <v/>
      </c>
      <c r="EV69" s="113" t="e">
        <f>IF(AND(EK69="",ER69=""),"",IF(OR(IF(ISBLANK(#REF!),FALSE,DB69=EU69),IF(ISBLANK(#REF!),FALSE,DL69=EU69)),EU69,DB69))</f>
        <v>#REF!</v>
      </c>
      <c r="EW69" s="112" t="e">
        <f>IF(#REF!="","",CEILING(IF(OR(AU54="K",AU54="KCS"),2.5/COS(DO69)+$CX$4/12*ABS(#REF!)+0.5,IF(OR(AU54="LH",AU54="DLH"),5/COS(DO69)+$CX$5/12*ABS(#REF!)+0.5,0)),0.125))</f>
        <v>#REF!</v>
      </c>
      <c r="EX69" s="112" t="e">
        <f>(IF(CU69="G",VLOOKUP(MIN(#REF!),TblJoistSize!$M$3:$N$10,2),IF(CU69="B",MIN(#REF!),"")))</f>
        <v>#REF!</v>
      </c>
      <c r="EY69" s="112" t="e">
        <f>(IF(CU69="G",VLOOKUP(MAX(#REF!),TblJoistSize!$M$3:$N$10,2),IF(CU69="B",MAX(#REF!),"")))</f>
        <v>#REF!</v>
      </c>
      <c r="EZ69" s="112" t="e">
        <f>IF(#REF!="X",IF((EY69-EX69)/2&lt;=IF(OR(AU54="K",AU54="KCS",AU54="JS"),($DB$4-($DA$4-0.0625)),($DB$5-($DA$5-0.0625))),(EX69+EY69)/2,"ERR"),"")</f>
        <v>#REF!</v>
      </c>
      <c r="FA69" s="112" t="e">
        <f>(IF(DE69="G",VLOOKUP(MIN(#REF!),TblJoistSize!$M$3:$N$10,2),IF(DE69="B",MIN(#REF!),"")))</f>
        <v>#REF!</v>
      </c>
      <c r="FB69" s="112" t="e">
        <f>(IF(DE69="G",VLOOKUP(MAX(#REF!),TblJoistSize!$M$3:$N$10,2),IF(DE69="B",MAX(#REF!),"")))</f>
        <v>#REF!</v>
      </c>
      <c r="FC69" s="112" t="e">
        <f>IF(#REF!="X",IF((FB69-FA69)/2&lt;=IF(OR(AU54="K",AU54="KCS",AU54="JS"),($DB$4-($DA$4-0.0625)),($DB$5-($DA$5-0.0625))),(FA69+FB69)/2,"ERR"),"")</f>
        <v>#REF!</v>
      </c>
      <c r="FD69" s="110" t="e">
        <f>IF(DD69="",0,ATAN(DD69/12))</f>
        <v>#REF!</v>
      </c>
      <c r="FE69" s="110" t="e">
        <f>DO69-FD69</f>
        <v>#REF!</v>
      </c>
      <c r="FF69" s="110" t="e">
        <f>TAN(FE69)*12</f>
        <v>#REF!</v>
      </c>
      <c r="FG69" s="110" t="e">
        <f>IF(FF69=0,"",IF(ABS(FF69)&lt;$CX$2,IF(AND(ABS(MIN(DV69,FQ69)/12*FF69)&gt;$DD$2,FF69&gt;0),IF(FF69&gt;0,CEILING(FF69-0.0625,0.125),CEILING(FF69+0.0625,-0.125)),""),IF(FF69&gt;0,CEILING(FF69-0.0625,0.125),CEILING(FF69+0.0625,-0.125))))</f>
        <v>#REF!</v>
      </c>
      <c r="FH69" s="109" t="e">
        <f>IF(CX69="","",CX69*TAN(FD69))</f>
        <v>#REF!</v>
      </c>
      <c r="FI69" s="110" t="e">
        <f>IF(DN69="",0,ATAN(DN69/12))</f>
        <v>#REF!</v>
      </c>
      <c r="FJ69" s="110" t="e">
        <f>DO69+FI69</f>
        <v>#REF!</v>
      </c>
      <c r="FK69" s="110" t="e">
        <f>TAN(FJ69)*-12</f>
        <v>#REF!</v>
      </c>
      <c r="FL69" s="110" t="e">
        <f>IF(FK69=0,"",IF(ABS(FK69)&lt;$CX$2,IF(AND(ABS(MIN(EB69,FR69)/12*FK69)&gt;$DD$2,FK69&gt;0),IF(FK69&gt;0,CEILING(FK69-0.0625,0.125),CEILING(FK69+0.0625,-0.125)),""),IF(FK69&gt;0,CEILING(FK69-0.0625,0.125),CEILING(FK69+0.0625,-0.125))))</f>
        <v>#REF!</v>
      </c>
      <c r="FM69" s="109" t="e">
        <f>IF(DH69="","",DH69*TAN(FI69))</f>
        <v>#REF!</v>
      </c>
      <c r="FN69" s="109" t="e">
        <f>IF((#REF!*12+#REF!)/COS(DO69)-(#REF!*12+#REF!)&lt;$DB$2,0,DO69)</f>
        <v>#REF!</v>
      </c>
      <c r="FO69" s="134" t="e">
        <f>CEILING(MIN(IF(#REF!&gt;0,#REF!/2,MAX(#REF!/2,DC69)),IF(#REF!&gt;0,#REF!/2,MAX(#REF!/2,DC69)),IF(DC69&gt;0,DC69,MAX(#REF!/2,#REF!/2)))/COS(DS69)+CV69-DW69-0.0625,0.125)</f>
        <v>#REF!</v>
      </c>
      <c r="FP69" s="134" t="e">
        <f>CEILING(MIN(IF(#REF!&gt;0,#REF!/2,MAX(#REF!/2,DM69)),IF(#REF!&gt;0,#REF!/2,MAX(#REF!/2,DM69)),IF(DM69&gt;0,DM69,MAX(#REF!/2,#REF!/2)))/COS(DY69)+DF69-EC69-0.0625,0.125)</f>
        <v>#REF!</v>
      </c>
      <c r="FQ69" s="238" t="e">
        <f>IF(OR(CU69="M", CU69="B",CU69="G"),MAX(#REF!,#REF!),DC69+CY69)</f>
        <v>#REF!</v>
      </c>
      <c r="FR69" s="449" t="e">
        <f>IF(OR(DE69="M", DE69="B",DE69="G"),MAX(#REF!,#REF!),DM69+DI69)</f>
        <v>#REF!</v>
      </c>
      <c r="FS69" s="558" t="e">
        <f>IF(CY69="","",IF(ABS(#REF!*((AJ54-IF(#REF!&gt;0,VLOOKUP(AU54,$DF$2:$DN$9,9,FALSE),0))/12))&gt;$CZ$2,#REF!*((AJ54-IF(#REF!&gt;0,VLOOKUP(AU54,$DF$2:$DN$9,9,FALSE),0))/12),0))</f>
        <v>#REF!</v>
      </c>
      <c r="FT69" s="559" t="e">
        <f>IF(DI69="","",IF(ABS(#REF!*((AJ54-IF(#REF!&lt;0,VLOOKUP(AU54,$DF$2:$DN$9,9,FALSE),0))/12))&gt;$CZ$2,#REF!*((AJ54-IF(#REF!&lt;0,VLOOKUP(AU54,$DF$2:$DN$9,9,FALSE),0))/12)*-1,0))</f>
        <v>#REF!</v>
      </c>
      <c r="FU69" s="560" t="e">
        <f>IF(CX69="",0,MAX(0,MIN(DV69-VLOOKUP(AU54,DF$2:DN$9,4,FALSE),(MAX(0,CX69-VLOOKUP(AU54,DF$2:DN$9,3,FALSE))+VLOOKUP(AU54,DF$2:DN$9,4,FALSE))*COS(DO69)+((MAX(0,CX69-VLOOKUP(AU54,DF$2:DN$9,3,FALSE))+VLOOKUP(AU54,DF$2:DN$9,4,FALSE))*COS(PI()/2-DO69))/TAN(PI()/2-(DO69+PI()/4))-VLOOKUP(AU54,DF$2:DN$9,4,FALSE))))</f>
        <v>#REF!</v>
      </c>
      <c r="FV69" s="561" t="e">
        <f>IF(DH69="",0,MAX(0,MIN(EB69-VLOOKUP(AU54,DF$2:DN$9,4,FALSE),(MAX(0,DH69-VLOOKUP(AU54,DF$2:DN$9,3,FALSE))+VLOOKUP(AU54,DF$2:DN$9,4,FALSE))*COS(DO69)+((MAX(0,DH69-VLOOKUP(AU54,DF$2:DN$9,3,FALSE))+VLOOKUP(AU54,DF$2:DN$9,4,FALSE))*COS(PI()/2-DO69))/TAN(PI()/2-(DO69+PI()/4))-VLOOKUP(AU54,DF$2:DN$9,4,FALSE))))</f>
        <v>#REF!</v>
      </c>
    </row>
    <row r="70" spans="1:213" s="1008" customFormat="1" ht="15" hidden="1" customHeight="1" thickBot="1" x14ac:dyDescent="0.25">
      <c r="AI70" s="1085"/>
      <c r="HD70" s="1195"/>
      <c r="HE70" s="1196"/>
    </row>
    <row r="71" spans="1:213" ht="15" customHeight="1" x14ac:dyDescent="0.2">
      <c r="A71" s="907" t="s">
        <v>721</v>
      </c>
      <c r="EL71" s="2342" t="s">
        <v>524</v>
      </c>
      <c r="EM71" s="2343"/>
      <c r="EN71" s="2343"/>
      <c r="EO71" s="2344"/>
    </row>
    <row r="73" spans="1:213" ht="12.75" customHeight="1" x14ac:dyDescent="0.2"/>
    <row r="74" spans="1:213" ht="12.75" customHeight="1" x14ac:dyDescent="0.2"/>
    <row r="75" spans="1:213" ht="12.75" customHeight="1" x14ac:dyDescent="0.2"/>
    <row r="76" spans="1:213" ht="13.5" customHeight="1" x14ac:dyDescent="0.2"/>
  </sheetData>
  <sheetProtection selectLockedCells="1"/>
  <dataConsolidate link="1"/>
  <mergeCells count="192">
    <mergeCell ref="IC21:IC22"/>
    <mergeCell ref="ID21:ID22"/>
    <mergeCell ref="IE21:IE22"/>
    <mergeCell ref="IF21:IF22"/>
    <mergeCell ref="EY19:EY22"/>
    <mergeCell ref="FF19:FF22"/>
    <mergeCell ref="FB19:FB22"/>
    <mergeCell ref="FO21:FO22"/>
    <mergeCell ref="FP21:FP22"/>
    <mergeCell ref="FK19:FK22"/>
    <mergeCell ref="FC19:FC22"/>
    <mergeCell ref="FD19:FD22"/>
    <mergeCell ref="FJ19:FJ22"/>
    <mergeCell ref="FH19:FH22"/>
    <mergeCell ref="FM19:FM22"/>
    <mergeCell ref="FN19:FN22"/>
    <mergeCell ref="FG19:FG22"/>
    <mergeCell ref="FL19:FL22"/>
    <mergeCell ref="FA19:FA22"/>
    <mergeCell ref="HR21:HR22"/>
    <mergeCell ref="HS21:HS22"/>
    <mergeCell ref="HW21:HW22"/>
    <mergeCell ref="HX21:HX22"/>
    <mergeCell ref="HA19:IF20"/>
    <mergeCell ref="FS21:FS22"/>
    <mergeCell ref="HY21:HY22"/>
    <mergeCell ref="HZ21:HZ22"/>
    <mergeCell ref="IA21:IA22"/>
    <mergeCell ref="FQ21:FQ22"/>
    <mergeCell ref="BT21:BU22"/>
    <mergeCell ref="BV21:BV22"/>
    <mergeCell ref="BW21:BX22"/>
    <mergeCell ref="HA21:HA22"/>
    <mergeCell ref="GA21:GB21"/>
    <mergeCell ref="FR21:FR22"/>
    <mergeCell ref="GL21:GL22"/>
    <mergeCell ref="CE20:CE22"/>
    <mergeCell ref="CF20:CG21"/>
    <mergeCell ref="BY21:BY22"/>
    <mergeCell ref="HP21:HP22"/>
    <mergeCell ref="FT21:FT22"/>
    <mergeCell ref="FU21:FV21"/>
    <mergeCell ref="HO21:HO22"/>
    <mergeCell ref="DP21:DP22"/>
    <mergeCell ref="DJ21:DJ22"/>
    <mergeCell ref="DE20:DN20"/>
    <mergeCell ref="IB21:IB22"/>
    <mergeCell ref="AZ21:AZ22"/>
    <mergeCell ref="BS21:BS22"/>
    <mergeCell ref="BG20:BR20"/>
    <mergeCell ref="BS20:CD20"/>
    <mergeCell ref="BB21:BB22"/>
    <mergeCell ref="M7:S7"/>
    <mergeCell ref="EZ19:EZ22"/>
    <mergeCell ref="HV21:HV22"/>
    <mergeCell ref="FE19:FE22"/>
    <mergeCell ref="HQ21:HQ22"/>
    <mergeCell ref="HT21:HT22"/>
    <mergeCell ref="HU21:HU22"/>
    <mergeCell ref="FI19:FI22"/>
    <mergeCell ref="HD21:HE22"/>
    <mergeCell ref="GK21:GK22"/>
    <mergeCell ref="HM21:HM22"/>
    <mergeCell ref="HI21:HI22"/>
    <mergeCell ref="CP19:CQ21"/>
    <mergeCell ref="CN19:CO21"/>
    <mergeCell ref="CL21:CM21"/>
    <mergeCell ref="S9:AA9"/>
    <mergeCell ref="Z10:AA10"/>
    <mergeCell ref="T22:U22"/>
    <mergeCell ref="V22:W22"/>
    <mergeCell ref="P1:S1"/>
    <mergeCell ref="Q22:R22"/>
    <mergeCell ref="Q21:S21"/>
    <mergeCell ref="A5:M5"/>
    <mergeCell ref="T21:X21"/>
    <mergeCell ref="C9:O9"/>
    <mergeCell ref="D21:E22"/>
    <mergeCell ref="F21:H21"/>
    <mergeCell ref="I22:J22"/>
    <mergeCell ref="I21:K21"/>
    <mergeCell ref="P2:S3"/>
    <mergeCell ref="P4:S4"/>
    <mergeCell ref="C10:O10"/>
    <mergeCell ref="S10:W10"/>
    <mergeCell ref="L21:M21"/>
    <mergeCell ref="A21:A22"/>
    <mergeCell ref="B21:B22"/>
    <mergeCell ref="Y6:Z6"/>
    <mergeCell ref="C21:C22"/>
    <mergeCell ref="N21:P21"/>
    <mergeCell ref="N22:O22"/>
    <mergeCell ref="F22:G22"/>
    <mergeCell ref="DC21:DC22"/>
    <mergeCell ref="CZ21:CZ22"/>
    <mergeCell ref="DB21:DB22"/>
    <mergeCell ref="CS19:CS22"/>
    <mergeCell ref="CU21:CU22"/>
    <mergeCell ref="CH21:CJ21"/>
    <mergeCell ref="CK21:CK22"/>
    <mergeCell ref="AV20:AW22"/>
    <mergeCell ref="Y21:Z21"/>
    <mergeCell ref="AU20:AU22"/>
    <mergeCell ref="CR19:CR22"/>
    <mergeCell ref="CU20:DD20"/>
    <mergeCell ref="BC21:BC22"/>
    <mergeCell ref="BD21:BD22"/>
    <mergeCell ref="BE21:BF22"/>
    <mergeCell ref="BG21:BG22"/>
    <mergeCell ref="BH21:BI22"/>
    <mergeCell ref="M6:T6"/>
    <mergeCell ref="CC15:CF15"/>
    <mergeCell ref="BB18:CB19"/>
    <mergeCell ref="CD18:CG19"/>
    <mergeCell ref="BJ21:BJ22"/>
    <mergeCell ref="BK21:BL22"/>
    <mergeCell ref="BM21:BM22"/>
    <mergeCell ref="BN21:BN22"/>
    <mergeCell ref="BO21:BO22"/>
    <mergeCell ref="BP21:BR21"/>
    <mergeCell ref="BB20:BF20"/>
    <mergeCell ref="BZ21:BZ22"/>
    <mergeCell ref="CA21:CA22"/>
    <mergeCell ref="CB21:CD21"/>
    <mergeCell ref="EW13:EW14"/>
    <mergeCell ref="EX19:EX22"/>
    <mergeCell ref="DW21:DW22"/>
    <mergeCell ref="EV19:EV22"/>
    <mergeCell ref="DY21:DY22"/>
    <mergeCell ref="DZ21:EA21"/>
    <mergeCell ref="EM21:EN21"/>
    <mergeCell ref="EO21:EP21"/>
    <mergeCell ref="EL21:EL22"/>
    <mergeCell ref="EC21:EC22"/>
    <mergeCell ref="EH21:EI21"/>
    <mergeCell ref="EJ21:EK21"/>
    <mergeCell ref="EE21:EE22"/>
    <mergeCell ref="EF21:EG21"/>
    <mergeCell ref="EU13:EU14"/>
    <mergeCell ref="EW19:EW22"/>
    <mergeCell ref="ES21:ES22"/>
    <mergeCell ref="EV13:EV14"/>
    <mergeCell ref="ET21:ET22"/>
    <mergeCell ref="EU21:EU22"/>
    <mergeCell ref="CS69:CT69"/>
    <mergeCell ref="CW21:CW22"/>
    <mergeCell ref="CV21:CV22"/>
    <mergeCell ref="CX21:CX22"/>
    <mergeCell ref="CY21:CY22"/>
    <mergeCell ref="DA21:DA22"/>
    <mergeCell ref="EL71:EO71"/>
    <mergeCell ref="EQ13:EQ14"/>
    <mergeCell ref="DD21:DD22"/>
    <mergeCell ref="DT21:DU21"/>
    <mergeCell ref="DQ21:DQ22"/>
    <mergeCell ref="DM21:DM22"/>
    <mergeCell ref="EB21:EB22"/>
    <mergeCell ref="ED21:ED22"/>
    <mergeCell ref="DO21:DO22"/>
    <mergeCell ref="EQ21:ER21"/>
    <mergeCell ref="DE21:DE22"/>
    <mergeCell ref="DF21:DF22"/>
    <mergeCell ref="DL21:DL22"/>
    <mergeCell ref="DG21:DG22"/>
    <mergeCell ref="DH21:DH22"/>
    <mergeCell ref="DX21:DX22"/>
    <mergeCell ref="DN21:DN22"/>
    <mergeCell ref="DI21:DI22"/>
    <mergeCell ref="EK47:EO47"/>
    <mergeCell ref="DK21:DK22"/>
    <mergeCell ref="DR21:DR22"/>
    <mergeCell ref="DS21:DS22"/>
    <mergeCell ref="DV21:DV22"/>
    <mergeCell ref="GZ17:GZ18"/>
    <mergeCell ref="HL21:HL22"/>
    <mergeCell ref="HN21:HN22"/>
    <mergeCell ref="HG21:HG22"/>
    <mergeCell ref="HH21:HH22"/>
    <mergeCell ref="HJ21:HJ22"/>
    <mergeCell ref="HK21:HK22"/>
    <mergeCell ref="HC21:HC22"/>
    <mergeCell ref="GC21:GD21"/>
    <mergeCell ref="GF21:GF22"/>
    <mergeCell ref="GE21:GE22"/>
    <mergeCell ref="GM21:GM22"/>
    <mergeCell ref="GG21:GH21"/>
    <mergeCell ref="GZ20:GZ22"/>
    <mergeCell ref="HF21:HF22"/>
    <mergeCell ref="GI21:GJ21"/>
    <mergeCell ref="GA20:GJ20"/>
    <mergeCell ref="HB21:HB22"/>
    <mergeCell ref="FQ19:FR20"/>
  </mergeCells>
  <phoneticPr fontId="0" type="noConversion"/>
  <conditionalFormatting sqref="BD23:BD40">
    <cfRule type="expression" dxfId="791" priority="363">
      <formula>AND(NOT($AY23),NOT($AP23))</formula>
    </cfRule>
  </conditionalFormatting>
  <conditionalFormatting sqref="EF69 EF23:EF40">
    <cfRule type="cellIs" dxfId="790" priority="677" stopIfTrue="1" operator="notEqual">
      <formula>$EG23</formula>
    </cfRule>
  </conditionalFormatting>
  <conditionalFormatting sqref="EM69 EM23:EM40">
    <cfRule type="cellIs" dxfId="789" priority="678" stopIfTrue="1" operator="notEqual">
      <formula>$EN23</formula>
    </cfRule>
  </conditionalFormatting>
  <conditionalFormatting sqref="CB69:CC69">
    <cfRule type="cellIs" dxfId="788" priority="712" stopIfTrue="1" operator="equal">
      <formula>0</formula>
    </cfRule>
    <cfRule type="expression" dxfId="787" priority="713" stopIfTrue="1">
      <formula>OR(CB69&lt;0,CB69&gt;FU69)</formula>
    </cfRule>
  </conditionalFormatting>
  <conditionalFormatting sqref="P2:S4">
    <cfRule type="cellIs" dxfId="786" priority="714" stopIfTrue="1" operator="equal">
      <formula>""</formula>
    </cfRule>
  </conditionalFormatting>
  <conditionalFormatting sqref="CC16">
    <cfRule type="expression" dxfId="785" priority="715" stopIfTrue="1">
      <formula>ISBLANK($CC$16)</formula>
    </cfRule>
  </conditionalFormatting>
  <conditionalFormatting sqref="CC15">
    <cfRule type="expression" dxfId="784" priority="716" stopIfTrue="1">
      <formula>ISBLANK($CC$15)</formula>
    </cfRule>
  </conditionalFormatting>
  <conditionalFormatting sqref="M7">
    <cfRule type="expression" dxfId="783" priority="718" stopIfTrue="1">
      <formula>NOT(OR(COUNTIF(masterFinishList, $M$7) &gt; 0, COUNTIF($M$7, "Other:*") &gt; 0))</formula>
    </cfRule>
  </conditionalFormatting>
  <conditionalFormatting sqref="U23:U40">
    <cfRule type="expression" dxfId="782" priority="327">
      <formula>AND(NOT($AY23),NOT(AR23),$P23&lt;&gt;3)</formula>
    </cfRule>
  </conditionalFormatting>
  <conditionalFormatting sqref="W23:W40">
    <cfRule type="expression" dxfId="781" priority="335">
      <formula>AND(NOT($AY23),NOT(AT23),$S23&lt;&gt;3)</formula>
    </cfRule>
  </conditionalFormatting>
  <conditionalFormatting sqref="A23:B40">
    <cfRule type="expression" dxfId="780" priority="36">
      <formula>AND(NOT($AE$1),$B23=0,$AD$1="M")</formula>
    </cfRule>
  </conditionalFormatting>
  <conditionalFormatting sqref="T23:T40">
    <cfRule type="expression" dxfId="779" priority="324">
      <formula>AND(NOT($AY23),NOT(AR23),$P23&lt;&gt;3)</formula>
    </cfRule>
  </conditionalFormatting>
  <conditionalFormatting sqref="V23:V40">
    <cfRule type="expression" dxfId="778" priority="332">
      <formula>AND(NOT($AY23),NOT(AT23),$S23&lt;&gt;3)</formula>
    </cfRule>
  </conditionalFormatting>
  <conditionalFormatting sqref="C23:C40">
    <cfRule type="expression" dxfId="777" priority="106">
      <formula>AND(NOT($AY23),NOT($AP23))</formula>
    </cfRule>
  </conditionalFormatting>
  <conditionalFormatting sqref="M7:S7">
    <cfRule type="expression" dxfId="776" priority="241">
      <formula>OR(ISBLANK($M$7),$M$7="")</formula>
    </cfRule>
  </conditionalFormatting>
  <conditionalFormatting sqref="X23:X40">
    <cfRule type="expression" dxfId="775" priority="19">
      <formula>$X23=0</formula>
    </cfRule>
  </conditionalFormatting>
  <conditionalFormatting sqref="BO23:BO40">
    <cfRule type="expression" dxfId="774" priority="143">
      <formula>AND(BO23="X",CY23="")</formula>
    </cfRule>
    <cfRule type="expression" dxfId="773" priority="144">
      <formula>AND(BO23="",CY23&lt;&gt;"")</formula>
    </cfRule>
  </conditionalFormatting>
  <conditionalFormatting sqref="CA23:CA40">
    <cfRule type="expression" dxfId="772" priority="145">
      <formula>AND(CA23="X",DI23="")</formula>
    </cfRule>
    <cfRule type="expression" dxfId="771" priority="146">
      <formula>AND(CA23="",DI23&lt;&gt;"")</formula>
    </cfRule>
  </conditionalFormatting>
  <conditionalFormatting sqref="BQ23:BQ40">
    <cfRule type="expression" dxfId="770" priority="126">
      <formula>CP23&lt;&gt;""</formula>
    </cfRule>
  </conditionalFormatting>
  <conditionalFormatting sqref="CC23:CC40">
    <cfRule type="expression" dxfId="769" priority="125">
      <formula>CQ23&lt;&gt;""</formula>
    </cfRule>
  </conditionalFormatting>
  <conditionalFormatting sqref="CG23:CG40">
    <cfRule type="expression" dxfId="768" priority="749">
      <formula>OR(CH23&lt;&gt;"",CI23&lt;&gt;"",CJ23&lt;&gt;"",CK23&lt;&gt;"",CL23&lt;&gt;"",CM23&lt;&gt;"",CP23&lt;&gt;"",CQ23&lt;&gt;"")</formula>
    </cfRule>
  </conditionalFormatting>
  <conditionalFormatting sqref="BE23:BF40">
    <cfRule type="expression" dxfId="767" priority="750">
      <formula>AND(NOT($AY23),AND($AZ23,AND($AK23&lt;&gt;"HDR",$AK23&lt;&gt;"JS",$AJ23&gt;=8)))</formula>
    </cfRule>
  </conditionalFormatting>
  <conditionalFormatting sqref="D23:E40">
    <cfRule type="expression" dxfId="766" priority="115">
      <formula>AND(NOT($AY23),AND($AZ23,AND($AK23&lt;&gt;"HDR",$AK23&lt;&gt;"JS",$AJ23&gt;=8)))</formula>
    </cfRule>
  </conditionalFormatting>
  <conditionalFormatting sqref="CF23:CG40">
    <cfRule type="expression" dxfId="765" priority="112">
      <formula>LEN($AA23)&gt;31</formula>
    </cfRule>
  </conditionalFormatting>
  <conditionalFormatting sqref="AA12">
    <cfRule type="expression" dxfId="764" priority="109">
      <formula>OR(ISBLANK(AA12),AA12="")</formula>
    </cfRule>
  </conditionalFormatting>
  <conditionalFormatting sqref="A23:AA40">
    <cfRule type="expression" dxfId="763" priority="825">
      <formula>$AC23</formula>
    </cfRule>
  </conditionalFormatting>
  <conditionalFormatting sqref="AA23:AA40">
    <cfRule type="expression" dxfId="762" priority="20">
      <formula>AND(NOT($AY23),LEN(AA23)&gt;31)</formula>
    </cfRule>
  </conditionalFormatting>
  <conditionalFormatting sqref="GA23:GB40">
    <cfRule type="expression" dxfId="761" priority="18" stopIfTrue="1">
      <formula>$GM23&gt;=0.125</formula>
    </cfRule>
  </conditionalFormatting>
  <conditionalFormatting sqref="EF43">
    <cfRule type="cellIs" dxfId="760" priority="12" stopIfTrue="1" operator="notEqual">
      <formula>$EG43</formula>
    </cfRule>
  </conditionalFormatting>
  <conditionalFormatting sqref="U57">
    <cfRule type="expression" dxfId="759" priority="8">
      <formula>AND(NOT($AY57),NOT(AR57),$P57&lt;&gt;3)</formula>
    </cfRule>
  </conditionalFormatting>
  <conditionalFormatting sqref="W57">
    <cfRule type="expression" dxfId="758" priority="10">
      <formula>AND(NOT($AY57),NOT(AT57),$S57&lt;&gt;3)</formula>
    </cfRule>
  </conditionalFormatting>
  <conditionalFormatting sqref="A57:B57">
    <cfRule type="expression" dxfId="757" priority="4">
      <formula>AND(NOT($AE$1),$B57=0,$AD$1="M")</formula>
    </cfRule>
  </conditionalFormatting>
  <conditionalFormatting sqref="T57">
    <cfRule type="expression" dxfId="756" priority="7">
      <formula>AND(NOT($AY57),NOT(AR57),$P57&lt;&gt;3)</formula>
    </cfRule>
  </conditionalFormatting>
  <conditionalFormatting sqref="V57">
    <cfRule type="expression" dxfId="755" priority="9">
      <formula>AND(NOT($AY57),NOT(AT57),$S57&lt;&gt;3)</formula>
    </cfRule>
  </conditionalFormatting>
  <conditionalFormatting sqref="C57">
    <cfRule type="expression" dxfId="754" priority="5">
      <formula>AND(NOT($AY57),NOT($AP57))</formula>
    </cfRule>
  </conditionalFormatting>
  <conditionalFormatting sqref="X57">
    <cfRule type="expression" dxfId="753" priority="2">
      <formula>$X57=0</formula>
    </cfRule>
  </conditionalFormatting>
  <conditionalFormatting sqref="D57:E57">
    <cfRule type="expression" dxfId="752" priority="6">
      <formula>AND(NOT($AY57),AND($AZ57,AND($AK57&lt;&gt;"HDR",$AK57&lt;&gt;"JS",$AJ57&gt;=8)))</formula>
    </cfRule>
  </conditionalFormatting>
  <conditionalFormatting sqref="A57:AA57">
    <cfRule type="expression" dxfId="751" priority="11">
      <formula>$AC57</formula>
    </cfRule>
  </conditionalFormatting>
  <conditionalFormatting sqref="AA57">
    <cfRule type="expression" dxfId="750" priority="3">
      <formula>AND(NOT($AY57),LEN(AA57)&gt;31)</formula>
    </cfRule>
  </conditionalFormatting>
  <conditionalFormatting sqref="BB23:BC40">
    <cfRule type="expression" dxfId="749" priority="1251">
      <formula>AND(NOT($AE$1),$B23=0,$AD$1="M")</formula>
    </cfRule>
  </conditionalFormatting>
  <conditionalFormatting sqref="CE23:CG40">
    <cfRule type="expression" dxfId="748" priority="1284">
      <formula>$AC23</formula>
    </cfRule>
  </conditionalFormatting>
  <conditionalFormatting sqref="BB23:CD40">
    <cfRule type="expression" dxfId="747" priority="1320">
      <formula>$AC23</formula>
    </cfRule>
  </conditionalFormatting>
  <conditionalFormatting sqref="BS23:BS40">
    <cfRule type="expression" dxfId="746" priority="1393">
      <formula>AND(NOT($AY23),ISERROR(DE23))</formula>
    </cfRule>
    <cfRule type="expression" dxfId="745" priority="1394">
      <formula>AND(NOT($AY23),OR(DE23="", CQ23&lt;&gt;""))</formula>
    </cfRule>
  </conditionalFormatting>
  <conditionalFormatting sqref="BG23:BG40">
    <cfRule type="expression" dxfId="744" priority="1395">
      <formula>AND(NOT($AY23),ISERROR(CU23))</formula>
    </cfRule>
    <cfRule type="expression" dxfId="743" priority="1396">
      <formula>AND(NOT($AY23),OR(CP23&lt;&gt;"", CU23=""))</formula>
    </cfRule>
  </conditionalFormatting>
  <conditionalFormatting sqref="BH23:BH40">
    <cfRule type="expression" dxfId="742" priority="1429">
      <formula>AND(NOT($AY23),OR($CU23="M",$CU23="C",AND($CU23="B",$DC23&gt;0)))</formula>
    </cfRule>
    <cfRule type="expression" dxfId="741" priority="1430">
      <formula>AND(NOT($AY23),AND(BH23="",BI23="",OR($CU23="B",$CU23="G")))</formula>
    </cfRule>
    <cfRule type="expression" dxfId="740" priority="1431">
      <formula>AND(NOT($AY23),(BH23/2)/COS(RADIANS(BM23))+CV23-DW23&lt;VLOOKUP(AU23,$DF$2:$DJ$9,5,FALSE))</formula>
    </cfRule>
  </conditionalFormatting>
  <conditionalFormatting sqref="BI23:BI40">
    <cfRule type="expression" dxfId="739" priority="1432">
      <formula>AND(NOT($AY23),OR($CU23="M",$CU23="C",AND($CU23="B",$DC23&gt;0)))</formula>
    </cfRule>
    <cfRule type="expression" dxfId="738" priority="1433">
      <formula>AND(NOT($AY23),AND(BH23="",BI23="",OR($CU23="B",$CU23="G")))</formula>
    </cfRule>
    <cfRule type="expression" dxfId="737" priority="1434">
      <formula>AND(NOT($AY23),(BI23/2)/COS(RADIANS(BM23))+CV23-DW23&lt;VLOOKUP(AU23,$DF$2:$DJ$9,5,FALSE))</formula>
    </cfRule>
  </conditionalFormatting>
  <conditionalFormatting sqref="BK23:BK40">
    <cfRule type="expression" dxfId="736" priority="1435">
      <formula>AND(NOT($AY23),OR($CU23="M",$CU23="C",AND($CU23="B",$DA23&lt;&gt;"")))</formula>
    </cfRule>
    <cfRule type="expression" dxfId="735" priority="1436">
      <formula>AND(NOT($AY23),AND(BJ23="X",BK23="",BL23=""))</formula>
    </cfRule>
    <cfRule type="expression" dxfId="734" priority="1437">
      <formula>AND(NOT($AY23),EZ23="ERR")</formula>
    </cfRule>
  </conditionalFormatting>
  <conditionalFormatting sqref="BL23:BL40">
    <cfRule type="expression" dxfId="733" priority="1438">
      <formula>AND(NOT($AY23),OR($CU23="M",$CU23="C",AND($CU23="B",$DA23&lt;&gt;"")))</formula>
    </cfRule>
    <cfRule type="expression" dxfId="732" priority="1439">
      <formula>AND(NOT($AY23),AND(BJ23="X",BK23="",BL23=""))</formula>
    </cfRule>
    <cfRule type="expression" dxfId="731" priority="1440">
      <formula>AND(NOT($AY23),EZ23="ERR")</formula>
    </cfRule>
  </conditionalFormatting>
  <conditionalFormatting sqref="BW23:BW40">
    <cfRule type="expression" dxfId="730" priority="1441">
      <formula>AND(NOT($AY23),OR($DE23="M",$DE23="C",AND($DE23="B",$DK23&lt;&gt;"")))</formula>
    </cfRule>
    <cfRule type="expression" dxfId="729" priority="1442">
      <formula>AND(NOT($AY23),AND(BV23="X",BW23="",BX23=""))</formula>
    </cfRule>
    <cfRule type="expression" dxfId="728" priority="1443">
      <formula>AND(NOT($AY23),FC23="ERR")</formula>
    </cfRule>
  </conditionalFormatting>
  <conditionalFormatting sqref="BX23:BX40">
    <cfRule type="expression" dxfId="727" priority="1444">
      <formula>AND(NOT($AY23),OR($DE23="M",$DE23="C",AND($DE23="B",$DK23&lt;&gt;"")))</formula>
    </cfRule>
    <cfRule type="expression" dxfId="726" priority="1445">
      <formula>AND(NOT($AY23),AND(BV23="X",BW23="",BX23=""))</formula>
    </cfRule>
    <cfRule type="expression" dxfId="725" priority="1446">
      <formula>AND(NOT($AY23),FC23="ERR")</formula>
    </cfRule>
  </conditionalFormatting>
  <conditionalFormatting sqref="BT23:BT40">
    <cfRule type="expression" dxfId="724" priority="1447">
      <formula>AND(NOT($AY23),OR($DE23="M",$DE23="C",AND($DE23="B",$DM23&gt;0)))</formula>
    </cfRule>
    <cfRule type="expression" dxfId="723" priority="1448">
      <formula>AND(NOT($AY23),AND(BT23="",BU23="",OR($DE23="B",$DE23="G")))</formula>
    </cfRule>
    <cfRule type="expression" dxfId="722" priority="1449">
      <formula>AND(NOT($AY23),(BT23/2)/COS(RADIANS(BY23))+DF23-EC23&lt;VLOOKUP(AU23,$DF$2:$DJ$9,5,FALSE))</formula>
    </cfRule>
  </conditionalFormatting>
  <conditionalFormatting sqref="BU23:BU40">
    <cfRule type="expression" dxfId="721" priority="1450">
      <formula>AND(NOT($AY23),OR($DE23="M",$DE23="C",AND($DE23="B",$DM23&gt;0)))</formula>
    </cfRule>
    <cfRule type="expression" dxfId="720" priority="1451">
      <formula>AND(NOT($AY23),AND(BT23="",BU23="",OR($DE23="B",$DE23="G")))</formula>
    </cfRule>
    <cfRule type="expression" dxfId="719" priority="1452">
      <formula>AND(NOT($AY23),(BU23/2)/COS(RADIANS(BY23))+DF23-EC23&lt;VLOOKUP(AU23,$DF$2:$DJ$9,5,FALSE))</formula>
    </cfRule>
  </conditionalFormatting>
  <conditionalFormatting sqref="BZ23:BZ40 BN23:BN40">
    <cfRule type="expression" dxfId="718" priority="1453">
      <formula>AND(NOT($AY23),AND(ISBLANK(BN23),AND(NOT(ISBLANK(BM23)),$CE23&lt;&gt;0)))</formula>
    </cfRule>
  </conditionalFormatting>
  <conditionalFormatting sqref="BJ23:BJ40">
    <cfRule type="expression" dxfId="717" priority="1455">
      <formula>AND(NOT($AY23),OR($CU23="C",AND($CU23="M",$DA23&gt;0)))</formula>
    </cfRule>
    <cfRule type="expression" dxfId="716" priority="1456">
      <formula>AND(NOT($AY23),OR(NOT(IF(AND(OR(MID($BB23,1,1)="T",($BE23+$BF23/12)/IF(ABS($CE23)&gt;$DQ$1,COS($DO23),1)&gt;=40),OR($CU23="B",$CU23="G")),"X","")="X"),$EZ23="ERR"))</formula>
    </cfRule>
    <cfRule type="expression" dxfId="715" priority="1457">
      <formula>AND(NOT($AY23),$BJ23&lt;&gt;"X",$BJ23&lt;&gt;IF(AND(OR(MID(BB23,1,1)="T",($BE23+$BF23/12)/IF(ABS($CE23)&gt;$DQ$1,COS($DO23),1)&gt;=40),OR($CU23="B",$CU23="G")),"X",""))</formula>
    </cfRule>
  </conditionalFormatting>
  <conditionalFormatting sqref="BV23:BV40">
    <cfRule type="expression" dxfId="714" priority="1458">
      <formula>AND(NOT($AY23),OR($DE23="C",AND($DE23="M",$DK23&gt;0)))</formula>
    </cfRule>
    <cfRule type="expression" dxfId="713" priority="1459">
      <formula>AND(NOT($AY23),OR(NOT(IF(AND(OR(MID($BB23,1,1)="T",($BE23+$BF23/12)/IF(ABS($CE23)&gt;$DQ$1,COS($DO23),1)&gt;=40),OR($DE23="B",$DE23="G")),"X","")="X"),$FC23="ERR"))</formula>
    </cfRule>
    <cfRule type="expression" dxfId="712" priority="1460">
      <formula>AND(NOT($AY23),$BV23&lt;&gt;"X",$BV23&lt;&gt;IF(AND(OR(MID(BB23,1,1)="T",($BE23+$BF23/12)/IF(ABS($CE23)&gt;$DQ$1,COS($DO23),1)&gt;=40),OR($DE23="B",$DE23="G")),"X",""))</formula>
    </cfRule>
  </conditionalFormatting>
  <conditionalFormatting sqref="GA57:GB57">
    <cfRule type="expression" dxfId="711" priority="1" stopIfTrue="1">
      <formula>$GM57&gt;=0.125</formula>
    </cfRule>
  </conditionalFormatting>
  <conditionalFormatting sqref="D23:E40">
    <cfRule type="expression" dxfId="710" priority="1461" stopIfTrue="1">
      <formula xml:space="preserve"> AND($GM23 &gt;= 0.125, $GL23 &gt; 0)</formula>
    </cfRule>
  </conditionalFormatting>
  <dataValidations count="15">
    <dataValidation type="list" allowBlank="1" showInputMessage="1" sqref="M7:S7 CC15:CF15" xr:uid="{00000000-0002-0000-0C00-000000000000}">
      <formula1>masterFinishList</formula1>
    </dataValidation>
    <dataValidation type="whole" operator="greaterThanOrEqual" allowBlank="1" showErrorMessage="1" errorTitle="Dimensional Error" error="&quot;Feet&quot; can only be whole numbers." sqref="D23:D40 F23:F40 I23:I40 T23:T40 V23:V40 BE23:BE40 D57 F57 I57 T57 V57" xr:uid="{00000000-0002-0000-0C00-000001000000}">
      <formula1>0</formula1>
    </dataValidation>
    <dataValidation type="decimal" allowBlank="1" showInputMessage="1" showErrorMessage="1" errorTitle="Dimensional Error" error="&quot;Inches&quot; must be a number from 0 to 11.875." sqref="BF23:BF40 E23:E40 W23:W40 G23:G40 J23:J40 U23:U40 E57 W57 G57 J57 U57" xr:uid="{00000000-0002-0000-0C00-000002000000}">
      <formula1>0</formula1>
      <formula2>11.875</formula2>
    </dataValidation>
    <dataValidation type="decimal" operator="greaterThanOrEqual" allowBlank="1" showInputMessage="1" showErrorMessage="1" errorTitle="Dimensional Error" error="&quot;Inches&quot; must be a number." sqref="BH23:BI40 BK23:BL40 BT23:BU40 BW23:BX40" xr:uid="{00000000-0002-0000-0C00-000003000000}">
      <formula1>0</formula1>
    </dataValidation>
    <dataValidation type="decimal" operator="notEqual" allowBlank="1" showInputMessage="1" showErrorMessage="1" errorTitle="Input Error" error="Enter + or - Numbers Only._x000a_Do NOT use &quot;&lt;&quot; or &quot;&gt;&quot;." sqref="Y23:Z40 Y57:Z57" xr:uid="{00000000-0002-0000-0C00-000004000000}">
      <formula1>0</formula1>
    </dataValidation>
    <dataValidation type="whole" operator="notBetween" allowBlank="1" showInputMessage="1" showErrorMessage="1" sqref="B57" xr:uid="{00000000-0002-0000-0C00-000005000000}">
      <formula1>-10001</formula1>
      <formula2>-10000</formula2>
    </dataValidation>
    <dataValidation type="decimal" operator="greaterThan" allowBlank="1" showInputMessage="1" showErrorMessage="1" errorTitle="Dimensional Error" error="Only positive numeric values permitted here." sqref="L23:M40 L57:M57" xr:uid="{00000000-0002-0000-0C00-000006000000}">
      <formula1>0</formula1>
    </dataValidation>
    <dataValidation type="decimal" operator="lessThanOrEqual" allowBlank="1" showInputMessage="1" errorTitle="BL Over-Ride Error!" error="Base Length can't be past Joist Overall Length!  See section for Maximum Over-Ride Dimension." sqref="BQ23:BQ40" xr:uid="{00000000-0002-0000-0C00-000007000000}">
      <formula1>$CV23</formula1>
    </dataValidation>
    <dataValidation type="decimal" operator="lessThanOrEqual" allowBlank="1" showInputMessage="1" errorTitle="BL Over-Ride Error!" error="Base Length can't be past Joist Overall Length!  See section for Maximum Over-Ride Dimension." sqref="CC23:CC40" xr:uid="{00000000-0002-0000-0C00-000008000000}">
      <formula1>$DF23</formula1>
    </dataValidation>
    <dataValidation type="custom" allowBlank="1" showInputMessage="1" showErrorMessage="1" errorTitle="Input Error:" error="Value must be &quot;X&quot; or a Number that Over-rides the BCX Dimension in the Section." sqref="BO23:BO40 CA23:CA40" xr:uid="{EB6B120B-D0AA-4EB1-BE7B-890F316BA579}">
      <formula1>IF(ISTEXT(BO23),BO23="X",ISNUMBER(BO23))</formula1>
    </dataValidation>
    <dataValidation type="decimal" allowBlank="1" showInputMessage="1" showErrorMessage="1" errorTitle="Input Error" error="Numeric Values Only!" sqref="GC23:GD40 GC57:GD57 BP23:BP40 CB23:CB40" xr:uid="{130FE3E0-08C5-4F30-BB0B-32BF891752DB}">
      <formula1>-1200</formula1>
      <formula2>1200</formula2>
    </dataValidation>
    <dataValidation type="decimal" allowBlank="1" showInputMessage="1" showErrorMessage="1" errorTitle="Input Error" error="Numbers from 0&quot; to 11 7/8&quot; only!" sqref="GB23:GB40 GB57" xr:uid="{D53A0F0A-E86B-4BA9-9222-2CD5E6FECFAD}">
      <formula1>0</formula1>
      <formula2>11.875</formula2>
    </dataValidation>
    <dataValidation type="whole" operator="greaterThanOrEqual" allowBlank="1" showInputMessage="1" showErrorMessage="1" errorTitle="Input Error" error="Positive Integers Only!" sqref="GA23:GA40 GA57" xr:uid="{33A3FF89-91E1-4A86-AFFA-9B958DF49DCD}">
      <formula1>0</formula1>
    </dataValidation>
    <dataValidation type="decimal" operator="greaterThan" allowBlank="1" showInputMessage="1" showErrorMessage="1" errorTitle="Input Error" error="Positive Numeric Values Only!" sqref="BR23:BR40 CD23:CD40" xr:uid="{4A6CCAD8-3209-4FA9-A368-18FC41A82EE1}">
      <formula1>0</formula1>
    </dataValidation>
    <dataValidation type="whole" operator="greaterThan" allowBlank="1" showInputMessage="1" showErrorMessage="1" errorTitle="Quantity Error" error="Value must be an integer greater than -1000." sqref="B23:B40 BC23:BC40" xr:uid="{15905C63-304B-4F85-A4D4-58231A05F1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85" max="39" man="1"/>
  </col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43"/>
  </sheetPr>
  <dimension ref="A1:IG104"/>
  <sheetViews>
    <sheetView showGridLines="0" zoomScaleNormal="100" zoomScaleSheetLayoutView="75" workbookViewId="0">
      <selection activeCell="A16" sqref="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48" t="str">
        <f>IF(AD1="","",VLOOKUP(AD1,'Job Info.'!X:AA,4,FALSE))</f>
        <v>Master</v>
      </c>
      <c r="Q1" s="1848"/>
      <c r="R1" s="1848"/>
      <c r="S1" s="1848"/>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53" t="str">
        <f>IF(AD1="","",IF(VLOOKUP(AD1,'Job Info.'!X:Z,2,FALSE),"Released for Fabrication",""))</f>
        <v/>
      </c>
      <c r="Q2" s="1854"/>
      <c r="R2" s="1854"/>
      <c r="S2" s="1855"/>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56"/>
      <c r="Q3" s="1857"/>
      <c r="R3" s="1857"/>
      <c r="S3" s="1858"/>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59" t="str">
        <f>IF(AD1="","",IF(VLOOKUP(AD1,'Job Info.'!X:Z,2,FALSE),VLOOKUP(AD1,'Job Info.'!X:Z,3,FALSE),""))</f>
        <v/>
      </c>
      <c r="Q4" s="1860"/>
      <c r="R4" s="1860"/>
      <c r="S4" s="1861"/>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00" t="str">
        <f ca="1">'Job Info.'!D11</f>
        <v>8200 Woolery Way | Fallon, NV 89406 | www.newmill.com</v>
      </c>
      <c r="B5" s="2423"/>
      <c r="C5" s="2423"/>
      <c r="D5" s="2423"/>
      <c r="E5" s="2423"/>
      <c r="F5" s="2423"/>
      <c r="G5" s="2423"/>
      <c r="H5" s="2423"/>
      <c r="I5" s="2423"/>
      <c r="J5" s="2423"/>
      <c r="K5" s="2423"/>
      <c r="L5" s="2423"/>
      <c r="M5" s="2423"/>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082" t="str">
        <f>IF(NOT(ISERROR(FIND("galv",LOWER($M$7)))),"**USE STEEL TAGS**  **NO A490 BOLTS**","")</f>
        <v/>
      </c>
      <c r="N6" s="1947"/>
      <c r="O6" s="1947"/>
      <c r="P6" s="1947"/>
      <c r="Q6" s="1947"/>
      <c r="R6" s="1947"/>
      <c r="S6" s="1947"/>
      <c r="T6" s="1947"/>
      <c r="U6" s="1092"/>
      <c r="V6" s="374"/>
      <c r="W6" s="374"/>
      <c r="X6" s="460" t="s">
        <v>20</v>
      </c>
      <c r="Y6" s="1832">
        <f>IF(ISBLANK('Job Info.'!D8),"",'Job Info.'!D8)</f>
        <v>45048</v>
      </c>
      <c r="Z6" s="1832"/>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22"/>
      <c r="CD6" s="1940"/>
      <c r="CE6" s="1940"/>
      <c r="CF6" s="1940"/>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437" t="str">
        <f>IF(ISBLANK(CC6),"",CC6)</f>
        <v/>
      </c>
      <c r="N7" s="1940"/>
      <c r="O7" s="1940"/>
      <c r="P7" s="1940"/>
      <c r="Q7" s="1940"/>
      <c r="R7" s="1940"/>
      <c r="S7" s="1940"/>
      <c r="T7"/>
      <c r="U7" s="1092"/>
      <c r="V7" s="374"/>
      <c r="W7" s="374"/>
      <c r="X7" s="460" t="s">
        <v>21</v>
      </c>
      <c r="Y7" s="1175" t="str">
        <f>CONCATENATE(AC7, " of ",IF(ISBLANK('Job Info.'!D9),"",'Job Info.'!D9))</f>
        <v xml:space="preserve"> of 19</v>
      </c>
      <c r="Z7" s="658"/>
      <c r="AA7" s="374"/>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24" t="str">
        <f>IF(ISBLANK('Job Info.'!D3),"",'Job Info.'!D3)</f>
        <v>MINDEN UPS BLDG 1</v>
      </c>
      <c r="D9" s="1824"/>
      <c r="E9" s="1824"/>
      <c r="F9" s="1824"/>
      <c r="G9" s="1824"/>
      <c r="H9" s="1824"/>
      <c r="I9" s="1824"/>
      <c r="J9" s="1824"/>
      <c r="K9" s="1824"/>
      <c r="L9" s="1824"/>
      <c r="M9" s="1824"/>
      <c r="N9" s="1824"/>
      <c r="O9" s="1825"/>
      <c r="P9" s="397"/>
      <c r="Q9" s="398"/>
      <c r="R9" s="458" t="s">
        <v>2</v>
      </c>
      <c r="S9" s="1825" t="str">
        <f>IF(ISBLANK('Job Info.'!D5),"",'Job Info.'!D5)</f>
        <v>NN22-0071</v>
      </c>
      <c r="T9" s="2101"/>
      <c r="U9" s="2101"/>
      <c r="V9" s="2101"/>
      <c r="W9" s="2101"/>
      <c r="X9" s="2101"/>
      <c r="Y9" s="2101"/>
      <c r="Z9" s="2101"/>
      <c r="AA9" s="2101"/>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24" t="str">
        <f>IF(ISBLANK('Job Info.'!D4),"",'Job Info.'!D4)</f>
        <v>MINDEN, NV</v>
      </c>
      <c r="D10" s="1824"/>
      <c r="E10" s="1824"/>
      <c r="F10" s="1824"/>
      <c r="G10" s="1824"/>
      <c r="H10" s="1824"/>
      <c r="I10" s="1824"/>
      <c r="J10" s="1824"/>
      <c r="K10" s="1824"/>
      <c r="L10" s="1824"/>
      <c r="M10" s="1824"/>
      <c r="N10" s="1824"/>
      <c r="O10" s="1825"/>
      <c r="P10" s="402"/>
      <c r="Q10" s="403"/>
      <c r="R10" s="459" t="s">
        <v>22</v>
      </c>
      <c r="S10" s="1824" t="str">
        <f>IF(ISBLANK('Job Info.'!D6),"",'Job Info.'!D6)</f>
        <v>JMM</v>
      </c>
      <c r="T10" s="1824"/>
      <c r="U10" s="1824"/>
      <c r="V10" s="1824"/>
      <c r="W10" s="1825"/>
      <c r="X10" s="403"/>
      <c r="Y10" s="459" t="s">
        <v>23</v>
      </c>
      <c r="Z10" s="1825" t="str">
        <f>IF(ISBLANK('Job Info.'!D7),"",'Job Info.'!D7)</f>
        <v>NR</v>
      </c>
      <c r="AA10" s="2101"/>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375" t="s">
        <v>592</v>
      </c>
      <c r="BC11" s="2376"/>
      <c r="BD11" s="2376"/>
      <c r="BE11" s="2376"/>
      <c r="BF11" s="2376"/>
      <c r="BG11" s="2376"/>
      <c r="BH11" s="2376"/>
      <c r="BI11" s="2376"/>
      <c r="BJ11" s="2376"/>
      <c r="BK11" s="2376"/>
      <c r="BL11" s="2376"/>
      <c r="BM11" s="2376"/>
      <c r="BN11" s="2376"/>
      <c r="BO11" s="2376"/>
      <c r="BP11" s="2376"/>
      <c r="BQ11" s="2376"/>
      <c r="BR11" s="2376"/>
      <c r="BS11" s="2376"/>
      <c r="BT11" s="2376"/>
      <c r="BU11" s="2376"/>
      <c r="BV11" s="2376"/>
      <c r="BW11" s="2376"/>
      <c r="BX11" s="2376"/>
      <c r="BY11" s="2376"/>
      <c r="BZ11" s="2376"/>
      <c r="CA11" s="2376"/>
      <c r="CB11" s="2376"/>
      <c r="CC11" s="1557"/>
      <c r="CD11" s="2379"/>
      <c r="CE11" s="2379"/>
      <c r="CF11" s="2379"/>
      <c r="CG11" s="2380"/>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377"/>
      <c r="BC12" s="2378"/>
      <c r="BD12" s="2378"/>
      <c r="BE12" s="2378"/>
      <c r="BF12" s="2378"/>
      <c r="BG12" s="2378"/>
      <c r="BH12" s="2378"/>
      <c r="BI12" s="2378"/>
      <c r="BJ12" s="2378"/>
      <c r="BK12" s="2378"/>
      <c r="BL12" s="2378"/>
      <c r="BM12" s="2378"/>
      <c r="BN12" s="2378"/>
      <c r="BO12" s="2378"/>
      <c r="BP12" s="2378"/>
      <c r="BQ12" s="2378"/>
      <c r="BR12" s="2378"/>
      <c r="BS12" s="2378"/>
      <c r="BT12" s="2378"/>
      <c r="BU12" s="2378"/>
      <c r="BV12" s="2378"/>
      <c r="BW12" s="2378"/>
      <c r="BX12" s="2378"/>
      <c r="BY12" s="2378"/>
      <c r="BZ12" s="2378"/>
      <c r="CA12" s="2378"/>
      <c r="CB12" s="2378"/>
      <c r="CC12" s="1556"/>
      <c r="CD12" s="2381"/>
      <c r="CE12" s="2382"/>
      <c r="CF12" s="2382"/>
      <c r="CG12" s="2383"/>
      <c r="CH12" s="244"/>
      <c r="CI12" s="244"/>
      <c r="CJ12" s="244"/>
      <c r="CK12" s="244"/>
      <c r="CL12" s="244"/>
      <c r="CM12" s="933"/>
      <c r="CN12" s="2448" t="s">
        <v>679</v>
      </c>
      <c r="CO12" s="2449"/>
      <c r="CP12" s="2120" t="s">
        <v>615</v>
      </c>
      <c r="CQ12" s="2443"/>
      <c r="CR12" s="2410" t="s">
        <v>482</v>
      </c>
      <c r="CS12" s="2402"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364" t="s">
        <v>581</v>
      </c>
      <c r="EW12" s="2362" t="s">
        <v>472</v>
      </c>
      <c r="EX12" s="2362" t="s">
        <v>525</v>
      </c>
      <c r="EY12" s="2362" t="s">
        <v>526</v>
      </c>
      <c r="EZ12" s="2362" t="s">
        <v>527</v>
      </c>
      <c r="FA12" s="2362" t="s">
        <v>528</v>
      </c>
      <c r="FB12" s="2362" t="s">
        <v>529</v>
      </c>
      <c r="FC12" s="2362" t="s">
        <v>530</v>
      </c>
      <c r="FD12" s="2362" t="s">
        <v>531</v>
      </c>
      <c r="FE12" s="2362" t="s">
        <v>473</v>
      </c>
      <c r="FF12" s="2362" t="s">
        <v>532</v>
      </c>
      <c r="FG12" s="2362" t="s">
        <v>583</v>
      </c>
      <c r="FH12" s="2362" t="s">
        <v>474</v>
      </c>
      <c r="FI12" s="2362" t="s">
        <v>533</v>
      </c>
      <c r="FJ12" s="2362" t="s">
        <v>475</v>
      </c>
      <c r="FK12" s="2362" t="s">
        <v>534</v>
      </c>
      <c r="FL12" s="2362" t="s">
        <v>584</v>
      </c>
      <c r="FM12" s="2362" t="s">
        <v>476</v>
      </c>
      <c r="FN12" s="2362" t="s">
        <v>477</v>
      </c>
      <c r="FQ12" s="2335" t="s">
        <v>656</v>
      </c>
      <c r="FR12" s="2336"/>
      <c r="GA12" s="374"/>
      <c r="GB12" s="374"/>
      <c r="GC12" s="374"/>
      <c r="GD12" s="374"/>
      <c r="GE12" s="374"/>
      <c r="GF12" s="374"/>
      <c r="GG12" s="374"/>
      <c r="GH12" s="374"/>
      <c r="GI12" s="374"/>
      <c r="GJ12" s="374"/>
      <c r="HA12" s="2470" t="s">
        <v>621</v>
      </c>
      <c r="HB12" s="2471"/>
      <c r="HC12" s="2471"/>
      <c r="HD12" s="2471"/>
      <c r="HE12" s="2471"/>
      <c r="HF12" s="2471"/>
      <c r="HG12" s="2471"/>
      <c r="HH12" s="2471"/>
      <c r="HI12" s="2471"/>
      <c r="HJ12" s="2471"/>
      <c r="HK12" s="2471"/>
      <c r="HL12" s="2471"/>
      <c r="HM12" s="2471"/>
      <c r="HN12" s="2471"/>
      <c r="HO12" s="2471"/>
      <c r="HP12" s="2471"/>
      <c r="HQ12" s="2471"/>
      <c r="HR12" s="2471"/>
      <c r="HS12" s="2471"/>
      <c r="HT12" s="2471"/>
      <c r="HU12" s="2471"/>
      <c r="HV12" s="2472"/>
      <c r="HW12" s="2472"/>
      <c r="HX12" s="2472"/>
      <c r="HY12" s="2473"/>
      <c r="HZ12" s="2473"/>
      <c r="IA12" s="2473"/>
      <c r="IB12" s="2473"/>
      <c r="IC12" s="2473"/>
      <c r="ID12" s="2473"/>
      <c r="IE12" s="2473"/>
      <c r="IF12" s="2474"/>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82" t="s">
        <v>450</v>
      </c>
      <c r="AV13" s="2335" t="s">
        <v>451</v>
      </c>
      <c r="AW13" s="2336"/>
      <c r="AX13" s="465"/>
      <c r="BA13" s="246"/>
      <c r="BB13" s="2493"/>
      <c r="BC13" s="2494"/>
      <c r="BD13" s="2494"/>
      <c r="BE13" s="2494"/>
      <c r="BF13" s="1966"/>
      <c r="BG13" s="2430" t="s">
        <v>469</v>
      </c>
      <c r="BH13" s="2431"/>
      <c r="BI13" s="2431"/>
      <c r="BJ13" s="2431"/>
      <c r="BK13" s="2431"/>
      <c r="BL13" s="2432"/>
      <c r="BM13" s="2433"/>
      <c r="BN13" s="2433"/>
      <c r="BO13" s="2434"/>
      <c r="BP13" s="2434"/>
      <c r="BQ13" s="2434"/>
      <c r="BR13" s="2435"/>
      <c r="BS13" s="2430" t="s">
        <v>470</v>
      </c>
      <c r="BT13" s="2432"/>
      <c r="BU13" s="2432"/>
      <c r="BV13" s="2432"/>
      <c r="BW13" s="2432"/>
      <c r="BX13" s="2432"/>
      <c r="BY13" s="2433"/>
      <c r="BZ13" s="2433"/>
      <c r="CA13" s="2434"/>
      <c r="CB13" s="2434"/>
      <c r="CC13" s="2434"/>
      <c r="CD13" s="2435"/>
      <c r="CE13" s="2484" t="s">
        <v>804</v>
      </c>
      <c r="CF13" s="2463"/>
      <c r="CG13" s="2464"/>
      <c r="CH13" s="244"/>
      <c r="CI13" s="244"/>
      <c r="CJ13" s="244"/>
      <c r="CK13" s="244"/>
      <c r="CL13" s="934"/>
      <c r="CM13" s="935"/>
      <c r="CN13" s="2450"/>
      <c r="CO13" s="2451"/>
      <c r="CP13" s="2444"/>
      <c r="CQ13" s="2445"/>
      <c r="CR13" s="2411"/>
      <c r="CS13" s="2403"/>
      <c r="CU13" s="2413" t="s">
        <v>471</v>
      </c>
      <c r="CV13" s="2414"/>
      <c r="CW13" s="2414"/>
      <c r="CX13" s="2414"/>
      <c r="CY13" s="2414"/>
      <c r="CZ13" s="2414"/>
      <c r="DA13" s="2414"/>
      <c r="DB13" s="2414"/>
      <c r="DC13" s="2414"/>
      <c r="DD13" s="2415"/>
      <c r="DE13" s="2413" t="s">
        <v>470</v>
      </c>
      <c r="DF13" s="2414"/>
      <c r="DG13" s="2414"/>
      <c r="DH13" s="2414"/>
      <c r="DI13" s="2414"/>
      <c r="DJ13" s="2414"/>
      <c r="DK13" s="2414"/>
      <c r="DL13" s="2414"/>
      <c r="DM13" s="2414"/>
      <c r="DN13" s="2415"/>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365"/>
      <c r="EW13" s="2323"/>
      <c r="EX13" s="2363"/>
      <c r="EY13" s="2363"/>
      <c r="EZ13" s="2438"/>
      <c r="FA13" s="2363"/>
      <c r="FB13" s="2363"/>
      <c r="FC13" s="2363"/>
      <c r="FD13" s="2439"/>
      <c r="FE13" s="2439"/>
      <c r="FF13" s="2439"/>
      <c r="FG13" s="2439"/>
      <c r="FH13" s="2439"/>
      <c r="FI13" s="2439"/>
      <c r="FJ13" s="2439"/>
      <c r="FK13" s="2439"/>
      <c r="FL13" s="2439"/>
      <c r="FM13" s="2439"/>
      <c r="FN13" s="2439"/>
      <c r="FQ13" s="2337"/>
      <c r="FR13" s="2338"/>
      <c r="GA13" s="2334" t="s">
        <v>1140</v>
      </c>
      <c r="GB13" s="2334"/>
      <c r="GC13" s="2334"/>
      <c r="GD13" s="2334"/>
      <c r="GE13" s="2334"/>
      <c r="GF13" s="2334"/>
      <c r="GG13" s="1951"/>
      <c r="GH13" s="1951"/>
      <c r="GI13" s="1951"/>
      <c r="GJ13" s="1951"/>
      <c r="HA13" s="2475"/>
      <c r="HB13" s="2476"/>
      <c r="HC13" s="2476"/>
      <c r="HD13" s="2476"/>
      <c r="HE13" s="2476"/>
      <c r="HF13" s="2476"/>
      <c r="HG13" s="2476"/>
      <c r="HH13" s="2476"/>
      <c r="HI13" s="2476"/>
      <c r="HJ13" s="2476"/>
      <c r="HK13" s="2476"/>
      <c r="HL13" s="2476"/>
      <c r="HM13" s="2476"/>
      <c r="HN13" s="2476"/>
      <c r="HO13" s="2476"/>
      <c r="HP13" s="2476"/>
      <c r="HQ13" s="2476"/>
      <c r="HR13" s="2476"/>
      <c r="HS13" s="2476"/>
      <c r="HT13" s="2476"/>
      <c r="HU13" s="2476"/>
      <c r="HV13" s="2477"/>
      <c r="HW13" s="2477"/>
      <c r="HX13" s="2477"/>
      <c r="HY13" s="2478"/>
      <c r="HZ13" s="2478"/>
      <c r="IA13" s="2478"/>
      <c r="IB13" s="2478"/>
      <c r="IC13" s="2478"/>
      <c r="ID13" s="2478"/>
      <c r="IE13" s="2478"/>
      <c r="IF13" s="2479"/>
    </row>
    <row r="14" spans="1:241" ht="12.6" customHeight="1" thickTop="1" thickBot="1" x14ac:dyDescent="0.25">
      <c r="A14" s="2426" t="s">
        <v>40</v>
      </c>
      <c r="B14" s="2400" t="s">
        <v>28</v>
      </c>
      <c r="C14" s="2400" t="s">
        <v>24</v>
      </c>
      <c r="D14" s="2400" t="s">
        <v>25</v>
      </c>
      <c r="E14" s="2480"/>
      <c r="F14" s="2092" t="s">
        <v>9</v>
      </c>
      <c r="G14" s="2093"/>
      <c r="H14" s="2093"/>
      <c r="I14" s="2093" t="s">
        <v>10</v>
      </c>
      <c r="J14" s="2093"/>
      <c r="K14" s="2094"/>
      <c r="L14" s="2092" t="s">
        <v>11</v>
      </c>
      <c r="M14" s="2094"/>
      <c r="N14" s="1985" t="s">
        <v>12</v>
      </c>
      <c r="O14" s="2093"/>
      <c r="P14" s="2093"/>
      <c r="Q14" s="2093" t="s">
        <v>13</v>
      </c>
      <c r="R14" s="2093"/>
      <c r="S14" s="1983"/>
      <c r="T14" s="2092" t="s">
        <v>14</v>
      </c>
      <c r="U14" s="2093"/>
      <c r="V14" s="2093"/>
      <c r="W14" s="2093"/>
      <c r="X14" s="2094"/>
      <c r="Y14" s="2087" t="s">
        <v>111</v>
      </c>
      <c r="Z14" s="2088"/>
      <c r="AA14" s="1059" t="s">
        <v>15</v>
      </c>
      <c r="AB14" s="1411"/>
      <c r="AD14" s="426"/>
      <c r="AE14" s="426"/>
      <c r="AF14" s="426"/>
      <c r="AG14" s="426"/>
      <c r="AH14" s="426"/>
      <c r="AI14" s="426"/>
      <c r="AJ14" s="426"/>
      <c r="AK14" s="426"/>
      <c r="AL14" s="426"/>
      <c r="AM14" s="426"/>
      <c r="AN14" s="426"/>
      <c r="AO14" s="426"/>
      <c r="AP14" s="426"/>
      <c r="AQ14" s="426"/>
      <c r="AR14" s="426"/>
      <c r="AS14" s="426"/>
      <c r="AT14" s="426"/>
      <c r="AU14" s="1913"/>
      <c r="AV14" s="2337"/>
      <c r="AW14" s="2338"/>
      <c r="AX14" s="502"/>
      <c r="AY14" s="426"/>
      <c r="AZ14" s="2353" t="s">
        <v>1059</v>
      </c>
      <c r="BA14" s="246"/>
      <c r="BB14" s="2436" t="s">
        <v>539</v>
      </c>
      <c r="BC14" s="2416" t="s">
        <v>130</v>
      </c>
      <c r="BD14" s="2417" t="s">
        <v>540</v>
      </c>
      <c r="BE14" s="2418" t="s">
        <v>1290</v>
      </c>
      <c r="BF14" s="2419"/>
      <c r="BG14" s="2242" t="s">
        <v>1282</v>
      </c>
      <c r="BH14" s="2417" t="s">
        <v>803</v>
      </c>
      <c r="BI14" s="2245"/>
      <c r="BJ14" s="2384" t="s">
        <v>541</v>
      </c>
      <c r="BK14" s="2417" t="s">
        <v>1072</v>
      </c>
      <c r="BL14" s="2245"/>
      <c r="BM14" s="2416" t="s">
        <v>488</v>
      </c>
      <c r="BN14" s="2504" t="s">
        <v>793</v>
      </c>
      <c r="BO14" s="2491" t="s">
        <v>1275</v>
      </c>
      <c r="BP14" s="1953" t="s">
        <v>1276</v>
      </c>
      <c r="BQ14" s="1954"/>
      <c r="BR14" s="1955"/>
      <c r="BS14" s="2242" t="s">
        <v>1282</v>
      </c>
      <c r="BT14" s="2417" t="s">
        <v>803</v>
      </c>
      <c r="BU14" s="2245"/>
      <c r="BV14" s="2384" t="s">
        <v>541</v>
      </c>
      <c r="BW14" s="2417" t="s">
        <v>1072</v>
      </c>
      <c r="BX14" s="2245"/>
      <c r="BY14" s="2416" t="s">
        <v>488</v>
      </c>
      <c r="BZ14" s="2489" t="s">
        <v>793</v>
      </c>
      <c r="CA14" s="2491" t="s">
        <v>1275</v>
      </c>
      <c r="CB14" s="1953" t="s">
        <v>1276</v>
      </c>
      <c r="CC14" s="1954"/>
      <c r="CD14" s="1955"/>
      <c r="CE14" s="2485"/>
      <c r="CF14" s="2465"/>
      <c r="CG14" s="2464"/>
      <c r="CH14" s="2405" t="s">
        <v>588</v>
      </c>
      <c r="CI14" s="2406"/>
      <c r="CJ14" s="2406"/>
      <c r="CK14" s="2405" t="s">
        <v>589</v>
      </c>
      <c r="CL14" s="2452" t="s">
        <v>786</v>
      </c>
      <c r="CM14" s="2452"/>
      <c r="CN14" s="2450"/>
      <c r="CO14" s="2451"/>
      <c r="CP14" s="2446"/>
      <c r="CQ14" s="2447"/>
      <c r="CR14" s="2411"/>
      <c r="CS14" s="2403"/>
      <c r="CT14" s="426"/>
      <c r="CU14" s="2358" t="s">
        <v>498</v>
      </c>
      <c r="CV14" s="2318" t="s">
        <v>499</v>
      </c>
      <c r="CW14" s="2318" t="s">
        <v>500</v>
      </c>
      <c r="CX14" s="2318" t="s">
        <v>501</v>
      </c>
      <c r="CY14" s="2318" t="s">
        <v>560</v>
      </c>
      <c r="CZ14" s="2318" t="s">
        <v>578</v>
      </c>
      <c r="DA14" s="2318" t="s">
        <v>502</v>
      </c>
      <c r="DB14" s="2318" t="s">
        <v>579</v>
      </c>
      <c r="DC14" s="2318" t="s">
        <v>503</v>
      </c>
      <c r="DD14" s="2318" t="s">
        <v>504</v>
      </c>
      <c r="DE14" s="2358" t="s">
        <v>498</v>
      </c>
      <c r="DF14" s="2318" t="s">
        <v>499</v>
      </c>
      <c r="DG14" s="2318" t="s">
        <v>505</v>
      </c>
      <c r="DH14" s="2318" t="s">
        <v>501</v>
      </c>
      <c r="DI14" s="2318" t="s">
        <v>560</v>
      </c>
      <c r="DJ14" s="2318" t="s">
        <v>578</v>
      </c>
      <c r="DK14" s="2318" t="s">
        <v>502</v>
      </c>
      <c r="DL14" s="2318" t="s">
        <v>579</v>
      </c>
      <c r="DM14" s="2318" t="s">
        <v>503</v>
      </c>
      <c r="DN14" s="2360" t="s">
        <v>504</v>
      </c>
      <c r="DO14" s="2355" t="s">
        <v>491</v>
      </c>
      <c r="DP14" s="2453" t="s">
        <v>506</v>
      </c>
      <c r="DQ14" s="2349" t="s">
        <v>507</v>
      </c>
      <c r="DR14" s="2320" t="s">
        <v>508</v>
      </c>
      <c r="DS14" s="2322" t="s">
        <v>543</v>
      </c>
      <c r="DT14" s="2347" t="s">
        <v>509</v>
      </c>
      <c r="DU14" s="2348"/>
      <c r="DV14" s="2324" t="s">
        <v>1103</v>
      </c>
      <c r="DW14" s="2351" t="s">
        <v>1104</v>
      </c>
      <c r="DX14" s="2353" t="s">
        <v>514</v>
      </c>
      <c r="DY14" s="2322" t="s">
        <v>544</v>
      </c>
      <c r="DZ14" s="2347" t="s">
        <v>511</v>
      </c>
      <c r="EA14" s="2348"/>
      <c r="EB14" s="2351" t="s">
        <v>1105</v>
      </c>
      <c r="EC14" s="2351" t="s">
        <v>1106</v>
      </c>
      <c r="ED14" s="2353" t="s">
        <v>516</v>
      </c>
      <c r="EE14" s="2349" t="s">
        <v>545</v>
      </c>
      <c r="EF14" s="2367" t="s">
        <v>546</v>
      </c>
      <c r="EG14" s="2368"/>
      <c r="EH14" s="2367" t="s">
        <v>547</v>
      </c>
      <c r="EI14" s="2369"/>
      <c r="EJ14" s="2320" t="s">
        <v>548</v>
      </c>
      <c r="EK14" s="2357"/>
      <c r="EL14" s="2349" t="s">
        <v>568</v>
      </c>
      <c r="EM14" s="2367" t="s">
        <v>549</v>
      </c>
      <c r="EN14" s="2368"/>
      <c r="EO14" s="2367" t="s">
        <v>550</v>
      </c>
      <c r="EP14" s="2369"/>
      <c r="EQ14" s="2320" t="s">
        <v>551</v>
      </c>
      <c r="ER14" s="2357"/>
      <c r="ES14" s="2349" t="s">
        <v>12</v>
      </c>
      <c r="ET14" s="2349" t="s">
        <v>13</v>
      </c>
      <c r="EU14" s="2320" t="s">
        <v>582</v>
      </c>
      <c r="EV14" s="2365"/>
      <c r="EW14" s="2323"/>
      <c r="EX14" s="2363"/>
      <c r="EY14" s="2363"/>
      <c r="EZ14" s="2438"/>
      <c r="FA14" s="2363"/>
      <c r="FB14" s="2363"/>
      <c r="FC14" s="2363"/>
      <c r="FD14" s="2439"/>
      <c r="FE14" s="2439"/>
      <c r="FF14" s="2439"/>
      <c r="FG14" s="2439"/>
      <c r="FH14" s="2439"/>
      <c r="FI14" s="2439"/>
      <c r="FJ14" s="2439"/>
      <c r="FK14" s="2439"/>
      <c r="FL14" s="2439"/>
      <c r="FM14" s="2439"/>
      <c r="FN14" s="2439"/>
      <c r="FO14" s="2349" t="s">
        <v>590</v>
      </c>
      <c r="FP14" s="2349" t="s">
        <v>591</v>
      </c>
      <c r="FQ14" s="2455" t="s">
        <v>654</v>
      </c>
      <c r="FR14" s="2458" t="s">
        <v>655</v>
      </c>
      <c r="FS14" s="2453" t="s">
        <v>682</v>
      </c>
      <c r="FT14" s="2466" t="s">
        <v>683</v>
      </c>
      <c r="FU14" s="2175" t="s">
        <v>787</v>
      </c>
      <c r="FV14" s="2176"/>
      <c r="FW14" s="426"/>
      <c r="FX14" s="426"/>
      <c r="FY14" s="426"/>
      <c r="FZ14" s="426"/>
      <c r="GA14" s="2134" t="s">
        <v>708</v>
      </c>
      <c r="GB14" s="2135"/>
      <c r="GC14" s="2134" t="s">
        <v>558</v>
      </c>
      <c r="GD14" s="2135"/>
      <c r="GE14" s="2136" t="s">
        <v>711</v>
      </c>
      <c r="GF14" s="2138" t="s">
        <v>40</v>
      </c>
      <c r="GG14" s="2332" t="s">
        <v>1142</v>
      </c>
      <c r="GH14" s="2333"/>
      <c r="GI14" s="2332" t="s">
        <v>1141</v>
      </c>
      <c r="GJ14" s="2333"/>
      <c r="GK14" s="2139" t="s">
        <v>712</v>
      </c>
      <c r="GL14" s="2139" t="s">
        <v>713</v>
      </c>
      <c r="GM14" s="2139" t="s">
        <v>714</v>
      </c>
      <c r="HA14" s="2456" t="s">
        <v>539</v>
      </c>
      <c r="HB14" s="2330" t="s">
        <v>130</v>
      </c>
      <c r="HC14" s="2330" t="s">
        <v>540</v>
      </c>
      <c r="HD14" s="2440" t="str">
        <f>IF($HA$1,"Joist ""BayLength""","Overall Length")</f>
        <v>Overall Length</v>
      </c>
      <c r="HE14" s="2330"/>
      <c r="HF14" s="2328" t="str">
        <f>IF($HA$1,"Left Sect. #","TCXL Feet")</f>
        <v>TCXL Feet</v>
      </c>
      <c r="HG14" s="2328" t="str">
        <f>IF($HA$1,"L Min Sup Width","TCXL Inch")</f>
        <v>TCXL Inch</v>
      </c>
      <c r="HH14" s="2328" t="str">
        <f>IF($HA$1,"L Max Sup Width","TCXL Type")</f>
        <v>TCXL Type</v>
      </c>
      <c r="HI14" s="2328" t="str">
        <f>IF($HA$1,"Left Bolt ""X""","TCXR Feet")</f>
        <v>TCXR Feet</v>
      </c>
      <c r="HJ14" s="2328" t="str">
        <f>IF($HA$1,"L Min Flg Ga","TCXR Inch")</f>
        <v>TCXR Inch</v>
      </c>
      <c r="HK14" s="2328" t="str">
        <f>IF($HA$1,"L Max Flg Ga","TCXR Type")</f>
        <v>TCXR Type</v>
      </c>
      <c r="HL14" s="2328" t="str">
        <f>IF($HA$1,"Left Skew","BDL")</f>
        <v>BDL</v>
      </c>
      <c r="HM14" s="2328" t="str">
        <f>IF($HA$1,"Left Brg Slp","BDR")</f>
        <v>BDR</v>
      </c>
      <c r="HN14" s="2328" t="str">
        <f>IF($HA$1,"Right Sect. #","BCXL Feet")</f>
        <v>BCXL Feet</v>
      </c>
      <c r="HO14" s="2328" t="str">
        <f>IF($HA$1,"R Min Sup Width","BCXL Inch")</f>
        <v>BCXL Inch</v>
      </c>
      <c r="HP14" s="2328" t="str">
        <f>IF($HA$1,"R Max Sup Width","BCXL Type")</f>
        <v>BCXL Type</v>
      </c>
      <c r="HQ14" s="2328" t="str">
        <f>IF($HA$1,"Right Bolt ""X""","BCXR Feet")</f>
        <v>BCXR Feet</v>
      </c>
      <c r="HR14" s="2328" t="str">
        <f>IF($HA$1,"R Min Flg Ga","BCXR Inch")</f>
        <v>BCXR Inch</v>
      </c>
      <c r="HS14" s="2328" t="str">
        <f>IF($HA$1,"R Max Flg Ga","BCXR Type")</f>
        <v>BCXR Type</v>
      </c>
      <c r="HT14" s="2328" t="str">
        <f>IF($HA$1,"Right Skew","HL Feet")</f>
        <v>HL Feet</v>
      </c>
      <c r="HU14" s="2328" t="str">
        <f>IF($HA$1,"Right Brg Slp","HL Inch")</f>
        <v>HL Inch</v>
      </c>
      <c r="HV14" s="2328" t="str">
        <f>IF($HA$1,"TC Slope","HR Feet")</f>
        <v>HR Feet</v>
      </c>
      <c r="HW14" s="2328" t="str">
        <f>IF($HA$1,"Load Notes","HR Inch")</f>
        <v>HR Inch</v>
      </c>
      <c r="HX14" s="2328" t="str">
        <f>IF($HA$1,"Spcl Notes","Slot Ga")</f>
        <v>Slot Ga</v>
      </c>
      <c r="HY14" s="2328" t="str">
        <f>IF($HA$1,"TC L Override","L Seat Slp")</f>
        <v>L Seat Slp</v>
      </c>
      <c r="HZ14" s="2328" t="str">
        <f>IF($HA$1,"TCR Override","R Seat Slp")</f>
        <v>R Seat Slp</v>
      </c>
      <c r="IA14" s="2328" t="str">
        <f>IF($HA$1,"L-BL Override","Sp Notes")</f>
        <v>Sp Notes</v>
      </c>
      <c r="IB14" s="2328" t="str">
        <f>IF($HA$1,"R-BL Override","Ld Notes")</f>
        <v>Ld Notes</v>
      </c>
      <c r="IC14" s="2328" t="str">
        <f>IF($HA$1,"BCXL ""X""","-")</f>
        <v>-</v>
      </c>
      <c r="ID14" s="2328" t="str">
        <f>IF($HA$1,"BCXR ""X""","-")</f>
        <v>-</v>
      </c>
      <c r="IE14" s="2328" t="str">
        <f>IF($HA$1,"BDL Override","-")</f>
        <v>-</v>
      </c>
      <c r="IF14" s="2468" t="str">
        <f>IF($HA$1,"BDR Override","-")</f>
        <v>-</v>
      </c>
    </row>
    <row r="15" spans="1:241" ht="12.6" customHeight="1" thickTop="1" thickBot="1" x14ac:dyDescent="0.25">
      <c r="A15" s="2427"/>
      <c r="B15" s="2401"/>
      <c r="C15" s="2401"/>
      <c r="D15" s="2401"/>
      <c r="E15" s="2481"/>
      <c r="F15" s="1996" t="s">
        <v>16</v>
      </c>
      <c r="G15" s="2086"/>
      <c r="H15" s="1102" t="s">
        <v>732</v>
      </c>
      <c r="I15" s="2086" t="s">
        <v>16</v>
      </c>
      <c r="J15" s="2086"/>
      <c r="K15" s="461" t="s">
        <v>732</v>
      </c>
      <c r="L15" s="1106" t="s">
        <v>18</v>
      </c>
      <c r="M15" s="461" t="s">
        <v>19</v>
      </c>
      <c r="N15" s="1993" t="s">
        <v>16</v>
      </c>
      <c r="O15" s="2086"/>
      <c r="P15" s="1102" t="s">
        <v>732</v>
      </c>
      <c r="Q15" s="2086" t="s">
        <v>16</v>
      </c>
      <c r="R15" s="2086"/>
      <c r="S15" s="1065" t="s">
        <v>732</v>
      </c>
      <c r="T15" s="1996" t="s">
        <v>80</v>
      </c>
      <c r="U15" s="2086"/>
      <c r="V15" s="2086" t="s">
        <v>81</v>
      </c>
      <c r="W15" s="2086"/>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914"/>
      <c r="AV15" s="2408"/>
      <c r="AW15" s="2409"/>
      <c r="AX15" s="503" t="s">
        <v>632</v>
      </c>
      <c r="AY15" s="503" t="s">
        <v>133</v>
      </c>
      <c r="AZ15" s="2483"/>
      <c r="BA15" s="246"/>
      <c r="BB15" s="2144"/>
      <c r="BC15" s="2073"/>
      <c r="BD15" s="2146"/>
      <c r="BE15" s="2420"/>
      <c r="BF15" s="2421"/>
      <c r="BG15" s="2243"/>
      <c r="BH15" s="2487"/>
      <c r="BI15" s="2488"/>
      <c r="BJ15" s="2385"/>
      <c r="BK15" s="2487"/>
      <c r="BL15" s="2488"/>
      <c r="BM15" s="2073"/>
      <c r="BN15" s="2505"/>
      <c r="BO15" s="2492"/>
      <c r="BP15" s="1546" t="s">
        <v>1277</v>
      </c>
      <c r="BQ15" s="1547" t="s">
        <v>1278</v>
      </c>
      <c r="BR15" s="1548" t="s">
        <v>501</v>
      </c>
      <c r="BS15" s="2243"/>
      <c r="BT15" s="2487"/>
      <c r="BU15" s="2488"/>
      <c r="BV15" s="2385"/>
      <c r="BW15" s="2487"/>
      <c r="BX15" s="2488"/>
      <c r="BY15" s="2073"/>
      <c r="BZ15" s="2490"/>
      <c r="CA15" s="2492"/>
      <c r="CB15" s="1546" t="s">
        <v>1277</v>
      </c>
      <c r="CC15" s="1547" t="s">
        <v>1278</v>
      </c>
      <c r="CD15" s="1548" t="s">
        <v>501</v>
      </c>
      <c r="CE15" s="2486"/>
      <c r="CF15" s="1554" t="s">
        <v>418</v>
      </c>
      <c r="CG15" s="1549" t="s">
        <v>553</v>
      </c>
      <c r="CH15" s="498" t="s">
        <v>585</v>
      </c>
      <c r="CI15" s="433" t="s">
        <v>586</v>
      </c>
      <c r="CJ15" s="434" t="s">
        <v>587</v>
      </c>
      <c r="CK15" s="2407"/>
      <c r="CL15" s="499" t="s">
        <v>606</v>
      </c>
      <c r="CM15" s="500" t="s">
        <v>607</v>
      </c>
      <c r="CN15" s="932" t="s">
        <v>606</v>
      </c>
      <c r="CO15" s="435" t="s">
        <v>607</v>
      </c>
      <c r="CP15" s="436" t="s">
        <v>520</v>
      </c>
      <c r="CQ15" s="437" t="s">
        <v>169</v>
      </c>
      <c r="CR15" s="2412"/>
      <c r="CS15" s="2404"/>
      <c r="CT15" s="426"/>
      <c r="CU15" s="2359"/>
      <c r="CV15" s="2341"/>
      <c r="CW15" s="2341"/>
      <c r="CX15" s="2319"/>
      <c r="CY15" s="2319"/>
      <c r="CZ15" s="2319"/>
      <c r="DA15" s="2319"/>
      <c r="DB15" s="2319"/>
      <c r="DC15" s="2319"/>
      <c r="DD15" s="2319"/>
      <c r="DE15" s="2359"/>
      <c r="DF15" s="2341"/>
      <c r="DG15" s="2341"/>
      <c r="DH15" s="2319"/>
      <c r="DI15" s="2319"/>
      <c r="DJ15" s="2319"/>
      <c r="DK15" s="2319"/>
      <c r="DL15" s="2319"/>
      <c r="DM15" s="2319"/>
      <c r="DN15" s="2361"/>
      <c r="DO15" s="2356"/>
      <c r="DP15" s="2467"/>
      <c r="DQ15" s="2350"/>
      <c r="DR15" s="2321"/>
      <c r="DS15" s="2323"/>
      <c r="DT15" s="438" t="s">
        <v>554</v>
      </c>
      <c r="DU15" s="438" t="s">
        <v>555</v>
      </c>
      <c r="DV15" s="2325"/>
      <c r="DW15" s="2352"/>
      <c r="DX15" s="2354"/>
      <c r="DY15" s="2323"/>
      <c r="DZ15" s="438" t="s">
        <v>554</v>
      </c>
      <c r="EA15" s="438" t="s">
        <v>555</v>
      </c>
      <c r="EB15" s="2352"/>
      <c r="EC15" s="2352"/>
      <c r="ED15" s="2354"/>
      <c r="EE15" s="2370"/>
      <c r="EF15" s="439" t="s">
        <v>521</v>
      </c>
      <c r="EG15" s="440" t="s">
        <v>522</v>
      </c>
      <c r="EH15" s="439" t="s">
        <v>521</v>
      </c>
      <c r="EI15" s="440" t="s">
        <v>522</v>
      </c>
      <c r="EJ15" s="439" t="s">
        <v>521</v>
      </c>
      <c r="EK15" s="440" t="s">
        <v>522</v>
      </c>
      <c r="EL15" s="2370"/>
      <c r="EM15" s="439" t="s">
        <v>521</v>
      </c>
      <c r="EN15" s="440" t="s">
        <v>522</v>
      </c>
      <c r="EO15" s="439" t="s">
        <v>521</v>
      </c>
      <c r="EP15" s="440" t="s">
        <v>522</v>
      </c>
      <c r="EQ15" s="439" t="s">
        <v>521</v>
      </c>
      <c r="ER15" s="440" t="s">
        <v>522</v>
      </c>
      <c r="ES15" s="2373"/>
      <c r="ET15" s="2373"/>
      <c r="EU15" s="2374"/>
      <c r="EV15" s="2366"/>
      <c r="EW15" s="2323"/>
      <c r="EX15" s="2363"/>
      <c r="EY15" s="2363"/>
      <c r="EZ15" s="2438"/>
      <c r="FA15" s="2363"/>
      <c r="FB15" s="2363"/>
      <c r="FC15" s="2363"/>
      <c r="FD15" s="2439"/>
      <c r="FE15" s="2439"/>
      <c r="FF15" s="2439"/>
      <c r="FG15" s="2439"/>
      <c r="FH15" s="2439"/>
      <c r="FI15" s="2439"/>
      <c r="FJ15" s="2439"/>
      <c r="FK15" s="2439"/>
      <c r="FL15" s="2439"/>
      <c r="FM15" s="2439"/>
      <c r="FN15" s="2439"/>
      <c r="FO15" s="2373"/>
      <c r="FP15" s="2373"/>
      <c r="FQ15" s="2373"/>
      <c r="FR15" s="2459"/>
      <c r="FS15" s="2454"/>
      <c r="FT15" s="2459"/>
      <c r="FU15" s="508" t="s">
        <v>606</v>
      </c>
      <c r="FV15" s="509" t="s">
        <v>607</v>
      </c>
      <c r="FW15" s="426"/>
      <c r="FX15" s="426"/>
      <c r="FY15" s="426"/>
      <c r="FZ15" s="426"/>
      <c r="GA15" s="1035" t="s">
        <v>1112</v>
      </c>
      <c r="GB15" s="1036" t="s">
        <v>710</v>
      </c>
      <c r="GC15" s="1031" t="s">
        <v>606</v>
      </c>
      <c r="GD15" s="1032" t="s">
        <v>607</v>
      </c>
      <c r="GE15" s="2137"/>
      <c r="GF15" s="2137"/>
      <c r="GG15" s="1033" t="s">
        <v>1112</v>
      </c>
      <c r="GH15" s="1034" t="s">
        <v>710</v>
      </c>
      <c r="GI15" s="1033" t="s">
        <v>1112</v>
      </c>
      <c r="GJ15" s="1034" t="s">
        <v>710</v>
      </c>
      <c r="GK15" s="2140"/>
      <c r="GL15" s="2140"/>
      <c r="GM15" s="2140"/>
      <c r="HA15" s="2457"/>
      <c r="HB15" s="2331"/>
      <c r="HC15" s="2331"/>
      <c r="HD15" s="2331"/>
      <c r="HE15" s="2331"/>
      <c r="HF15" s="2329"/>
      <c r="HG15" s="2329"/>
      <c r="HH15" s="2329"/>
      <c r="HI15" s="2329"/>
      <c r="HJ15" s="2329"/>
      <c r="HK15" s="2329"/>
      <c r="HL15" s="2329"/>
      <c r="HM15" s="2329"/>
      <c r="HN15" s="2329"/>
      <c r="HO15" s="2329"/>
      <c r="HP15" s="2329"/>
      <c r="HQ15" s="2329"/>
      <c r="HR15" s="2329"/>
      <c r="HS15" s="2329"/>
      <c r="HT15" s="2329"/>
      <c r="HU15" s="2329"/>
      <c r="HV15" s="2329"/>
      <c r="HW15" s="2329"/>
      <c r="HX15" s="2329"/>
      <c r="HY15" s="2329"/>
      <c r="HZ15" s="2329"/>
      <c r="IA15" s="2329"/>
      <c r="IB15" s="2329"/>
      <c r="IC15" s="2329"/>
      <c r="ID15" s="2329"/>
      <c r="IE15" s="2329"/>
      <c r="IF15" s="2469"/>
    </row>
    <row r="16" spans="1:241" ht="12.6" customHeight="1" thickTop="1" x14ac:dyDescent="0.25">
      <c r="A16" s="1448" t="str">
        <f t="shared" ref="A16:A44" si="1">IF(BB16="","",UPPER(BB16))</f>
        <v/>
      </c>
      <c r="B16" s="1681" t="str">
        <f t="shared" ref="B16:B44" si="2">IF(BC16="","",BC16)</f>
        <v/>
      </c>
      <c r="C16" s="1449" t="str">
        <f t="shared" ref="C16:C44" si="3">IF(BD16="","",UPPER(BD16))</f>
        <v/>
      </c>
      <c r="D16" s="1705" t="str">
        <f t="shared" ref="D16:D44" si="4">IF(DP16="","",TRUNC(DP16/12))</f>
        <v/>
      </c>
      <c r="E16" s="1706" t="str">
        <f t="shared" ref="E16:E44" si="5">IF(DP16="","",DP16-(D16*12))</f>
        <v/>
      </c>
      <c r="F16" s="1714" t="str">
        <f t="shared" ref="F16:F44" si="6">IF(DX16=0,"",TRUNC(DX16/12))</f>
        <v/>
      </c>
      <c r="G16" s="1709" t="str">
        <f t="shared" ref="G16:G44" si="7">IF(DX16=0,"",DX16-(F16*12))</f>
        <v/>
      </c>
      <c r="H16" s="1779" t="str">
        <f t="shared" ref="H16:H44" si="8">IF(DX16=0,"",CW16)</f>
        <v/>
      </c>
      <c r="I16" s="1705" t="str">
        <f t="shared" ref="I16:I44" si="9">IF(ED16=0,"",TRUNC(ED16/12))</f>
        <v/>
      </c>
      <c r="J16" s="1709" t="str">
        <f t="shared" ref="J16:J44" si="10">IF(ED16=0,"",ED16-(I16*12))</f>
        <v/>
      </c>
      <c r="K16" s="1796" t="str">
        <f t="shared" ref="K16:K44" si="11">IF(ED16=0,"",DG16)</f>
        <v/>
      </c>
      <c r="L16" s="1712" t="str">
        <f t="shared" ref="L16:L44" si="12">DQ16</f>
        <v/>
      </c>
      <c r="M16" s="1713" t="str">
        <f t="shared" ref="M16:M44" si="13">DR16</f>
        <v/>
      </c>
      <c r="N16" s="1708" t="str">
        <f t="shared" ref="N16:N45" si="14">IF(ES16="","",IF(AND(ES16&lt;0,ES16&gt;-12),TRUNC(ES16/12)-0.0000001,TRUNC(ES16/12)))</f>
        <v/>
      </c>
      <c r="O16" s="1709" t="str">
        <f t="shared" ref="O16:O45" si="15">IF(ES16="","",IF(AND(ES16-(N16*12)=0,ES16&lt;0),-0.000001,ES16-(N16*12)))</f>
        <v/>
      </c>
      <c r="P16" s="1710" t="str">
        <f t="shared" ref="P16:P45" si="16">IF(ES16="","",IF(OR(CW16="Q",CW16="C"),3,CZ16))</f>
        <v/>
      </c>
      <c r="Q16" s="1705" t="str">
        <f t="shared" ref="Q16:Q45" si="17">IF(ET16="","",IF(AND(ET16&lt;0,ET16&gt;-12),TRUNC(ET16/12)-0.0000001,TRUNC(ET16/12)))</f>
        <v/>
      </c>
      <c r="R16" s="1709" t="str">
        <f t="shared" ref="R16:R45" si="18">IF(ET16="","",IF(AND(ET16-(Q16*12)=0,ET16&lt;0),-0.000001,ET16-(Q16*12)))</f>
        <v/>
      </c>
      <c r="S16" s="1711" t="str">
        <f t="shared" ref="S16:S45" si="19">IF(ET16="","",IF(OR(DG16="Q",DG16="C"),3,DJ16))</f>
        <v/>
      </c>
      <c r="T16" s="1714" t="str">
        <f t="shared" ref="T16:T45" si="20">IF(CH16="ERR","",IF(EK16="","",IF(EK16="ERR",TRUNC(EJ16/12),TRUNC(EK16/12))))</f>
        <v/>
      </c>
      <c r="U16" s="1709" t="str">
        <f t="shared" ref="U16:U45" si="21">IF(CH16="ERR","",IF(EK16="","",IF(EK16="ERR",EJ16-(T16*12),EK16-(T16*12))))</f>
        <v/>
      </c>
      <c r="V16" s="1705" t="str">
        <f t="shared" ref="V16:V45" si="22">IF(CI16="ERR","",IF(ER16="","",IF(ER16="ERR",TRUNC(EQ16/12),TRUNC(ER16/12))))</f>
        <v/>
      </c>
      <c r="W16" s="1709" t="str">
        <f t="shared" ref="W16:W45" si="23">IF(CI16="ERR","",IF(ER16="","",IF(ER16="ERR",EQ16-(V16*12),ER16-(V16*12))))</f>
        <v/>
      </c>
      <c r="X16" s="1713">
        <f t="shared" ref="X16:X44" si="24">IF(EV16="",0,EV16)</f>
        <v>0</v>
      </c>
      <c r="Y16" s="1781" t="str">
        <f t="shared" ref="Y16:Y44" si="25">FG16</f>
        <v/>
      </c>
      <c r="Z16" s="1782" t="str">
        <f t="shared" ref="Z16:Z44" si="26">FL16</f>
        <v/>
      </c>
      <c r="AA16" s="1783" t="str">
        <f t="shared" ref="AA16:AA45" si="27">CONCATENATE(IF(CG16="","",CONCATENATE("[",SUBSTITUTE(CG16," ",""),"]")),IF(CF16="","",CONCATENATE("(",SUBSTITUTE(CF16," ",""),") ")))</f>
        <v/>
      </c>
      <c r="AB16" s="1413"/>
      <c r="AC16" s="964" t="b">
        <v>0</v>
      </c>
      <c r="AD16" s="441">
        <f t="shared" ref="AD16:AD45" si="28">IF($C16="",0,IF(SUM(AE16:AG16)&gt;0,0,IF(ISERROR(SEARCH("K",$C16,1))=TRUE,0,$B16)))</f>
        <v>0</v>
      </c>
      <c r="AE16" s="442">
        <f t="shared" ref="AE16:AE45" si="29">IF(ISERROR(SEARCH("LH",$C16,1))=TRUE,0,$B16)</f>
        <v>0</v>
      </c>
      <c r="AF16" s="442">
        <f t="shared" ref="AF16:AF45" si="30">IF(ISERROR(SEARCH("JS",$C16))=TRUE,IF(ISERROR(SEARCH("2.5K",$C16))=TRUE,0,$B16),$B16)</f>
        <v>0</v>
      </c>
      <c r="AG16" s="442">
        <f t="shared" ref="AG16:AG45" si="31">IF(ISERROR(SEARCH("HDR",$C16,1))=TRUE,0,$B16)</f>
        <v>0</v>
      </c>
      <c r="AH16" s="443">
        <f t="shared" ref="AH16:AH45" si="32">IF(ISERROR(SEARCH("CJ",$C16,1))=TRUE,0,$B16)</f>
        <v>0</v>
      </c>
      <c r="AI16" s="444" t="b">
        <v>0</v>
      </c>
      <c r="AJ16" s="238">
        <f t="shared" ref="AJ16:AJ45" si="33">IF(OR(ISERROR(VALUE(LEFT(C16,SEARCH(AK16,C16)-1))),AK16=""),0,VALUE(LEFT(C16,SEARCH(AK16,C16)-1)))</f>
        <v>0</v>
      </c>
      <c r="AK16" s="830" t="str">
        <f t="shared" ref="AK16:AK45" si="34">IF(AV16="",AW16,AV16)</f>
        <v/>
      </c>
      <c r="AL16" s="945" t="str">
        <f t="shared" ref="AL16:AL45" si="35">IF(AK16="","",IF(ISERROR(SEARCH("/",C16)),IF(VALUE(MID(C16,SEARCH(AK16,C16)+LEN(AK16),LEN(C16)))&gt;25,"",VALUE(MID(C16,SEARCH(AK16,C16)+LEN(AK16),LEN(C16)))),""))</f>
        <v/>
      </c>
      <c r="AM16" s="830" t="str">
        <f t="shared" ref="AM16:AM45" si="36">IF(AK16="","",IF(ISERROR(SEARCH("/",C16)),IF(VALUE(MID(C16,SEARCH(AK16,C16)+LEN(AK16),LEN(C16)))&lt;26,"",VALUE(MID(C16,SEARCH(AK16,C16)+LEN(AK16),LEN(C16)))),VALUE(MID(C16,SEARCH(AK16,C16)+LEN(AK16),SEARCH("/",C16)-SEARCH(AK16,C16)-LEN(AK16)))))</f>
        <v/>
      </c>
      <c r="AN16" s="830" t="str">
        <f t="shared" ref="AN16:AN45" si="37">IF(AK16="","",IF(AK16="CJ",MID(MID(C16,SEARCH("/",C16)+1,LEN(C16)),1,SEARCH("/",MID(C16,SEARCH("/",C16)+1,LEN(C16)))-1),IF(ISERROR(SEARCH("/",C16)),"",VALUE(MID(C16,SEARCH("/",C16)+1,LEN(C16))))))</f>
        <v/>
      </c>
      <c r="AO16" s="830" t="str">
        <f t="shared" ref="AO16:AO45" si="38">IF(AK16="CJ",VALUE(MID(MID(C16,SEARCH("/",C16)+1,LEN(C16)),SEARCH("/",MID(C16,SEARCH("/",C16)+1,LEN(C16)))+1,LEN(MID(C16,SEARCH("/",C16)+1,LEN(C16))))),"")</f>
        <v/>
      </c>
      <c r="AP16" s="830" t="b">
        <f>IF(ISERROR(AJ16),FALSE,IF(OR(AJ16=0,ISERROR(AL16),ISERROR(AM16),ISERROR(AN16),ISERROR(AO16)),FALSE,IF(AL16&lt;&gt;"",IF(ISERROR(VLOOKUP(SUBSTITUTE(SUBSTITUTE(C16,"R",""),"A",""),TblJoistSize!$A:$A,1,FALSE)),FALSE,TRUE),TRUE)))</f>
        <v>0</v>
      </c>
      <c r="AQ16" s="1038" t="e">
        <f t="shared" ref="AQ16:AQ45" si="39">VLOOKUP(AK16,$DF$2:$DN$9,4,FALSE)+IF(LEFT(H16,1)="R",IF(ISNUMBER(F16),F16*12,0)+IF(ISNUMBER(G16),G16,0),0)</f>
        <v>#N/A</v>
      </c>
      <c r="AR16" s="945" t="b">
        <f t="shared" ref="AR16:AR45" si="40">IF(IF(ISNUMBER(T16),T16*12,0)+IF(ISNUMBER(U16),U16,0)&gt;0,IF(AND(IF(ISNUMBER(T16),T16*12,0)+IF(ISNUMBER(U16),U16,0)&gt;=VLOOKUP(AU16,$DF$2:$DN$9,8,FALSE)/2+$DQ$2,IF(ISNUMBER(T16),T16*12,0)+IF(ISNUMBER(U16),U16,0)&lt;=(AQ16-(VLOOKUP(AU16,$DF$2:$DN$9,8,FALSE)/2+$DQ$2))+IF(H16="X",2,0)),TRUE,FALSE),FALSE)</f>
        <v>0</v>
      </c>
      <c r="AS16" s="1038" t="e">
        <f t="shared" ref="AS16:AS45" si="41">VLOOKUP(AK16,$DF$2:$DN$9,4,FALSE)+IF(LEFT(K16,1)="R",(IF(ISNUMBER(I16),I16*12,0)+IF(ISNUMBER(J16),J16,0)),0)</f>
        <v>#N/A</v>
      </c>
      <c r="AT16" s="945" t="b">
        <f t="shared" ref="AT16:AT45" si="42">IF(IF(ISNUMBER(V16),V16*12,0)+IF(ISNUMBER(W16),W16,0)&gt;0,IF(AND((IF(ISNUMBER(V16),V16*12,0)+IF(ISNUMBER(W16),W16,0))&gt;=VLOOKUP(AU16,$DF$2:$DN$9,8,FALSE)/2+$DQ$2,(IF(ISNUMBER(V16),V16*12,0)+IF(ISNUMBER(W16),W16,0))&lt;=(AS16-(VLOOKUP(AU16,$DF$2:$DN$9,8,FALSE)/2+$DQ$2))+IF(K16="X",2,0)),TRUE,FALSE),FALSE)</f>
        <v>0</v>
      </c>
      <c r="AU16" s="946" t="str">
        <f t="shared" ref="AU16:AU45" si="43">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830" t="str">
        <f t="shared" ref="AV16:AV45" si="44">IF(NOT(ISERROR(SEARCH("KCSR",C16))),"KCSR",IF(NOT(ISERROR(SEARCH("KCSA",C16))),"KCSA",IF(NOT(ISERROR(SEARCH("KCS",C16))),"KCS",IF(NOT(ISERROR(SEARCH("KR",C16))),"KR",IF(NOT(ISERROR(SEARCH("KA",C16))),"KA",IF(NOT(ISERROR(SEARCH("K",C16))),"K",IF(NOT(ISERROR(SEARCH("CJ",C16))),"CJ","")))))))</f>
        <v/>
      </c>
      <c r="AW16" s="830" t="str">
        <f t="shared" ref="AW16:AW45" si="45">IF(NOT(ISERROR(SEARCH("HDR",C16))),"HDR",IF(NOT(ISERROR(SEARCH("JS",C16))),"JS",IF(NOT(ISERROR(SEARCH("SLH",C16))),"SLH",IF(NOT(ISERROR(SEARCH("DLH",C16))),"DLH",IF(NOT(ISERROR(SEARCH("LH",C16))),"LH","")))))</f>
        <v/>
      </c>
      <c r="AX16" s="830" t="str">
        <f>IF(OR(ISBLANK(A16),A16=""),"",A16)</f>
        <v/>
      </c>
      <c r="AY16" s="1039" t="b">
        <f t="shared" ref="AY16:AY45" si="46">IF($AE$1,IF(AX16=AX15,AY15,IF(AND(AX16&lt;&gt;"",OR(B16=0,B16="")),TRUE,FALSE)),FALSE)</f>
        <v>0</v>
      </c>
      <c r="AZ16" s="856" t="str">
        <f t="shared" ref="AZ16:AZ45" si="47">IF(AND(NOT(ISERROR(AJ16)),AJ16&gt;0),((IF(D16="",0,D16)*12+IF(E16="",0,E16))-(IF(F16="",0,F16)*12+IF(G16="",0,G16))-(IF(I16="",0,I16)*12+IF(J16="",0,J16)))&gt;AJ16*24,"")</f>
        <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48">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49">IF(ISERROR(DE16),"",IF(DG16="","",IF(DG16="C",DF16,IF(DG16="Q",2,""))))</f>
        <v/>
      </c>
      <c r="CD16" s="909"/>
      <c r="CE16" s="729"/>
      <c r="CF16" s="730"/>
      <c r="CG16" s="731"/>
      <c r="CH16" s="583" t="str">
        <f t="shared" ref="CH16:CH45" si="50">IF(EJ16=EK16,IF(EK16="ERR","ERR",""),CONCATENATE(IF(BM16&lt;0,"NS ","FS "),IF(EK16="ERR","Slot Only",CONCATENATE("Slot @ ",EJ16))))</f>
        <v/>
      </c>
      <c r="CI16" s="584" t="str">
        <f t="shared" ref="CI16:CI45" si="51">IF(EQ16=ER16,IF(ER16="ERR","ERR",""),CONCATENATE(IF(BY16&lt;0,"FS ","NS "),IF(ER16="ERR","Slot Only",CONCATENATE("Slot @ ",EQ16))))</f>
        <v/>
      </c>
      <c r="CJ16" s="585" t="str">
        <f t="shared" ref="CJ16:CJ45" si="52">IF(EV16="","",IF(AND(DB16&lt;&gt;EV16,OR(NOT(ISBLANK(BJ16)),CU16="C")),CONCATENATE("LE slots @ ",DB16," Ga."),IF(AND(DL16&lt;&gt;EV16,OR(NOT(ISBLANK(BV16)),DE16="C")),CONCATENATE("RE slots @ ",DL16," Ga."),"")))</f>
        <v/>
      </c>
      <c r="CK16" s="586" t="str">
        <f t="shared" ref="CK16:CK45" si="53">IF(AND(CP16&lt;&gt;"",BM16&lt;&gt;"",CQ16&lt;&gt;"",BY16&lt;&gt;""),"BE",IF(AND(CP16&lt;&gt;"",BM16&lt;&gt;""),"LE",IF(AND(CQ16&lt;&gt;"",BY16&lt;&gt;""),"RE","")))</f>
        <v/>
      </c>
      <c r="CL16" s="587" t="str">
        <f t="shared" ref="CL16:CL45" si="54">IF(BQ16="","",IF(CEILING(DV16,0.125)&lt;=DW16+VLOOKUP(AU16,$DF$2:$DI$9,4,FALSE),"",CEILING(DV16,0.125)))</f>
        <v/>
      </c>
      <c r="CM16" s="588" t="str">
        <f t="shared" ref="CM16:CM45" si="55">IF(CC16="","",IF(CEILING(EB16,0.125)&lt;=EC16+VLOOKUP(AU16,$DF$2:$DI$9,4,FALSE),"",CEILING(EB16,0.125)))</f>
        <v/>
      </c>
      <c r="CN16" s="589" t="str">
        <f t="shared" ref="CN16:CN45" si="56">IF(AND(CE16&lt;&gt;0,BM16&lt;&gt;0),CE16*COS(RADIANS(90-BM16))/(1/COS(RADIANS(90-BM16)))*-1,"")</f>
        <v/>
      </c>
      <c r="CO16" s="590" t="str">
        <f t="shared" ref="CO16:CO45" si="57">IF(AND(CE16&lt;&gt;0,BY16&lt;&gt;0),CE16*COS(RADIANS(90-BY16))/(1/COS(RADIANS(90-BY16))),"")</f>
        <v/>
      </c>
      <c r="CP16" s="613" t="str">
        <f t="shared" ref="CP16:CP45" si="58">IF(BG16="","",IF(AU16="JS","",IF(VLOOKUP(AU16,$DF$2:$DN$9,5,FALSE)&gt;FO16,IF(FO16&gt;=0.0625,CEILING(FO16-0.0625,0.125),FO16),"")))</f>
        <v/>
      </c>
      <c r="CQ16" s="614" t="str">
        <f t="shared" ref="CQ16:CQ45" si="59">IF(BS16="","",IF(AU16="JS","",IF(VLOOKUP(AU16,$DF$2:$DN$9,5,FALSE)&gt;FP16,IF(FP16&gt;=0.0625,CEILING(FP16-0.0625,0.125),FP16),"")))</f>
        <v/>
      </c>
      <c r="CR16" s="748" t="str">
        <f t="shared" ref="CR16:CR45" si="60">IF(AU16="","",IF(ABS(FF16)&lt;ABS($CX$2),VLOOKUP(AU16,$DF$2:$DN$9,3,FALSE),CEILING(VLOOKUP(AU16,$DF$2:$DN$9,3,FALSE)/COS(FE16)+0.375+IF(CU16="M",IF(FE16&gt;0,(DV16-DW16)/12,0),IF(FE16&gt;0,0,(DV16-CV16)/12))*ABS(FF16),0.125)))</f>
        <v/>
      </c>
      <c r="CS16" s="749" t="str">
        <f t="shared" ref="CS16:CS45" si="61">IF(AU16="","",IF(ABS(FK16)&lt;ABS($CX$2),VLOOKUP(AU16,$DF$2:$DN$9,3,FALSE),CEILING(VLOOKUP(AU16,$DF$2:$DN$9,3,FALSE)/COS(FJ16)+0.375+IF(DE16="M",IF(FJ16&lt;0,(EB16-EC16)/12,0),IF(FJ16&lt;0,0,(EB16-DF16)/12))*ABS(FK16),0.125)))</f>
        <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62">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63">BZ16*-1</f>
        <v>0</v>
      </c>
      <c r="DO16" s="860">
        <f t="shared" ref="DO16:DO45" si="64">IF(CE16="",0,ATAN(CE16/12))</f>
        <v>0</v>
      </c>
      <c r="DP16" s="861" t="str">
        <f t="shared" ref="DP16:DP45" si="65">IF(OR(CV16="",BE16="",DF16=""),"",CEILING(IF(AND(BE16="",BF16=""),"",((BE16*12+BF16)+CV16+DF16)/COS(FN16))-0.0625,0.125))</f>
        <v/>
      </c>
      <c r="DQ16" s="861" t="str">
        <f t="shared" ref="DQ16:DQ45" si="66">IF(AU16="","",IF(ABS(FF16)&lt;ABS($CX$2),CX16,IF(FF16=0,CX16,CEILING((CX16+((DW16-CV16)/12)*FF16)-0.0625,0.125))))</f>
        <v/>
      </c>
      <c r="DR16" s="861" t="str">
        <f t="shared" ref="DR16:DR45" si="67">IF(AU16="","",IF(ABS(FK16)&lt;ABS($CX$2),DH16,IF(FK16=0,DH16,CEILING((DH16+((EC16-DF16)/12)*FK16)-0.0625,0.125))))</f>
        <v/>
      </c>
      <c r="DS16" s="862">
        <f t="shared" ref="DS16:DS45" si="68">IF(BM16="",0,RADIANS(ABS(BM16)))</f>
        <v>0</v>
      </c>
      <c r="DT16" s="821">
        <f t="shared" ref="DT16:DT45" si="69">MIN(IF(BH16&gt;0,BH16/2,MAX(BI16/2,DC16)),IF(BI16&gt;0,BI16/2,MAX(BH16/2,DC16)),IF(DC16&gt;0,DC16,MAX(BI16/2,BH16/2)))/IF(OR(CU16="C",AND(CU16="M",$DD$1="N")),1,COS(DS16))</f>
        <v>0</v>
      </c>
      <c r="DU16" s="821" t="str">
        <f t="shared" ref="DU16:DU45" si="70">IF(CV16="","",IF(DC16&gt;=0,MAX(BH16/2,BI16/2,DC16),DC16)/IF(OR(CU16="C",AND(CU16="M",$DD$1="N")),1,COS(DS16)))</f>
        <v/>
      </c>
      <c r="DV16" s="861" t="str">
        <f t="shared" ref="DV16:DV45" si="71">IF(CV16="","",(CV16+DU16+(VLOOKUP(IF(AU16="HDR","K",AU16),$DF$2:$DN$9,2,FALSE))*TAN(DS16))/COS(FD16)-FH16)</f>
        <v/>
      </c>
      <c r="DW16" s="872" t="str">
        <f t="shared" ref="DW16:DW45" si="72">IF(CV16="","",MAX(0,IF(NOT(BQ16=""),CV16-BQ16,DV16-VLOOKUP(IF(AU16="HDR","K",AU16),$DF$2:$DN$9,4,FALSE))))</f>
        <v/>
      </c>
      <c r="DX16" s="1129">
        <f t="shared" ref="DX16:DX45" si="73">IF(CV16="",0,IF(DW16/COS(FN16-FD16)&lt;0.0625,0,CEILING(DW16/COS(FN16-FD16)-0.03125,0.125)))</f>
        <v>0</v>
      </c>
      <c r="DY16" s="861">
        <f t="shared" ref="DY16:DY45" si="74">RADIANS(ABS(BY16))</f>
        <v>0</v>
      </c>
      <c r="DZ16" s="821">
        <f t="shared" ref="DZ16:DZ45" si="75">MIN(IF(BT16&gt;0,BT16/2,MAX(BU16/2,DM16)),IF(BU16&gt;0,BU16/2,MAX(BT16/2,DM16)),IF(DM16&gt;0,DM16,MAX(BU16/2,BT16/2)))/IF(OR(DE16="C",AND(DE16="M",$DD$1="N")),1,COS(DY16))</f>
        <v>0</v>
      </c>
      <c r="EA16" s="821" t="str">
        <f t="shared" ref="EA16:EA45" si="76">IF(DF16="","",IF(DM16&gt;=0,MAX(BT16/2,BU16/2,DM16),DM16)/IF(OR(DE16="C",AND(DE16="M",$DD$1="N")),1,COS(DY16)))</f>
        <v/>
      </c>
      <c r="EB16" s="861" t="str">
        <f t="shared" ref="EB16:EB45" si="77">IF(DF16="","",(DF16+EA16+(VLOOKUP(IF(AU16="HDR","K",AU16),$DF$2:$DN$9,2,FALSE))*TAN(DY16))/COS(FI16)-FM16)</f>
        <v/>
      </c>
      <c r="EC16" s="872" t="str">
        <f t="shared" ref="EC16:EC45" si="78">IF(DF16="","",MAX(0,IF(NOT(CC16=""),DF16-CC16,EB16-VLOOKUP(IF(AU16="HDR","K",AU16),$DF$2:$DN$9,4,FALSE))))</f>
        <v/>
      </c>
      <c r="ED16" s="1129">
        <f t="shared" ref="ED16:ED45" si="79">IF(DF16="",0,IF(EC16/COS(FN16+FI16)&lt;0.0625,0,CEILING(EC16/COS(FN16+FI16)-0.03125,0.125)))</f>
        <v>0</v>
      </c>
      <c r="EE16" s="1339" t="str">
        <f t="shared" ref="EE16:EE45" si="80">IF(AND(EZ16="",DA16=""),"",IF(EZ16="ERR","ERR",IF(CU16="C",DA16,IF(BJ16="","",IF(DA16="",(EZ16/2)*-1,DA16)))))</f>
        <v/>
      </c>
      <c r="EF16" s="1339" t="str">
        <f t="shared" ref="EF16:EF45" si="81">IF(EE16="ERR","ERR",IF(EE16="","",IF(DB16*TAN(DS16)&lt;=(VLOOKUP(AU16,$DF$2:$DN$9,8,FALSE)-(VLOOKUP(AU16,$DF$2:$DN$9,7,FALSE)-0.0625)),CV16-(EE16-FH16)/IF(OR(CU16="C",AND(CU16="M",$DD$1="N")),1,COS(DS16))-IF(MID(CW16,1,1)="R",0,DW16),(ABS(EE16-FH16)/IF(OR(CU16="C",AND(CU16="M",$DD$1="N")),1,COS(DS16))+CV16)-((DB16/2)*TAN(DS16))-IF(MID(CW16,1,1)="R",0,DW16))))</f>
        <v/>
      </c>
      <c r="EG16" s="1339" t="str">
        <f t="shared" ref="EG16:EG45" si="82">IF(EE16="ERR","ERR",IF(EE16="","",IF(DB16*TAN(DS16)&lt;=(VLOOKUP(AU16,$DF$2:$DN$9,8,FALSE)-(VLOOKUP(AU16,$DF$2:$DN$9,7,FALSE)-0.0625)),CV16-(EE16-FH16)/IF(OR(CU16="C",AND(CU16="M",$DD$1="N")),1,COS(DS16))-IF(MID(CW16,1,1)="R",0,DW16),(ABS(EE16-FH16)/IF(OR(CU16="C",AND(CU16="M",$DD$1="N")),1,COS(DS16))+CV16)+((DB16/2)*TAN(DS16))-IF(MID(CW16,1,1)="R",0,DW16))))</f>
        <v/>
      </c>
      <c r="EH16" s="856" t="e">
        <f t="shared" ref="EH16:EH45" si="83">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#N/A</v>
      </c>
      <c r="EI16" s="856" t="e">
        <f t="shared" ref="EI16:EI45" si="84">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#N/A</v>
      </c>
      <c r="EJ16" s="822" t="str">
        <f t="shared" ref="EJ16:EK45" si="85">IF(ISERROR(EF16),"ERR",IF(EF16="","",IF(EH16="ERR","ERR",CEILING(EH16-0.0625,0.125))))</f>
        <v/>
      </c>
      <c r="EK16" s="822" t="str">
        <f t="shared" si="85"/>
        <v/>
      </c>
      <c r="EL16" s="1293" t="str">
        <f t="shared" ref="EL16:EL45" si="86">IF(AND(FC16="",DK16=""),"",IF(FC16="ERR","ERR",IF(DE16="C",DK16,IF(BV16="","",IF(DK16="",(FC16/2)*-1,DK16)))))</f>
        <v/>
      </c>
      <c r="EM16" s="822" t="str">
        <f t="shared" ref="EM16:EM45" si="87">IF(EL16="ERR","ERR",IF(EL16="","",IF(DL16*TAN(DY16)&lt;=(VLOOKUP(AU16,$DF$2:$DN$9,8,FALSE)-(VLOOKUP(AU16,$DF$2:$DN$9,7,FALSE)-0.0625)),DF16-(EL16-FM16)/IF(OR(DE16="C",AND(DE16="M",$DD$1="N")),1,COS(DY16))-IF(MID(DG16,1,1)="R",0,EC16),(ABS(EL16-FM16)/IF(OR(DE16="C",AND(DE16="M",$DD$1="N")),1,COS(DY16))+DF16)-((DL16/2)*TAN(DY16))-IF(MID(DG16,1,1)="R",0,EC16))))</f>
        <v/>
      </c>
      <c r="EN16" s="822" t="str">
        <f t="shared" ref="EN16:EN45" si="88">IF(EL16="ERR","ERR",IF(EL16="","",IF(DL16*TAN(DY16)&lt;=(VLOOKUP(AU16,$DF$2:$DN$9,8,FALSE)-(VLOOKUP(AU16,$DF$2:$DN$9,7,FALSE)-0.0625)),DF16-(EL16-FM16)/IF(OR(DE16="C",AND(DE16="M",$DD$1="N")),1,COS(DY16))-IF(MID(DG16,1,1)="R",0,EC16),(ABS(EL16-FM16)/IF(OR(DE16="C",AND(DE16="M",$DD$1="N")),1,COS(DY16))+DF16)+((DL16/2)*TAN(DY16))-IF(MID(DG16,1,1)="R",0,EC16))))</f>
        <v/>
      </c>
      <c r="EO16" s="856" t="e">
        <f t="shared" ref="EO16:EO45" si="89">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#N/A</v>
      </c>
      <c r="EP16" s="856" t="e">
        <f t="shared" ref="EP16:EP45" si="90">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#N/A</v>
      </c>
      <c r="EQ16" s="1339" t="str">
        <f t="shared" ref="EQ16:ER45" si="91">IF(ISERROR(EM16),"ERR",IF(EM16="","",IF(EO16="ERR","ERR",CEILING(EO16-0.0625,0.125))))</f>
        <v/>
      </c>
      <c r="ER16" s="861" t="str">
        <f t="shared" si="91"/>
        <v/>
      </c>
      <c r="ES16" s="822" t="str">
        <f t="shared" ref="ES16:ES45" si="92">IF(OR(CY16="",AU16="JS",AU16="HDR",BO16=""),"",IF((CV16-CY16)/COS(DO16)-FS16&lt;=-0.0625,CEILING((CV16-CY16)/COS(DO16)-FS16+0.0625,-0.125),IF((CV16-CY16)/COS(DO16)-FS16&gt;=0.0625,CEILING((CV16-CY16)/COS(DO16)-FS16-0.0625,0.125),0)))</f>
        <v/>
      </c>
      <c r="ET16" s="822" t="str">
        <f t="shared" ref="ET16:ET45" si="93">IF(OR(DI16="",AU16="JS",AU16="HDR",CA16=""),"",IF((DF16-DI16)/COS(DO16)-FT16&lt;=-0.0625,CEILING((DF16-DI16)/COS(DO16)-FT16+0.0625,-0.125),IF((DF16-DI16)/COS(DO16)-FT16&gt;=0.0625,CEILING((DF16-DI16)/COS(DO16)-FT16-0.0625,0.125),0)))</f>
        <v/>
      </c>
      <c r="EU16" s="863" t="str">
        <f t="shared" ref="EU16:EU45" si="94">IF(AU16="","",VLOOKUP(AU16,$DF$2:$DN$9,6,FALSE))</f>
        <v/>
      </c>
      <c r="EV16" s="824" t="str">
        <f t="shared" ref="EV16:EV45" si="95">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96">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97">IF(BV16="X",IF(OR(DE16="M",DE16="C"),"",IF((FB16-FA16)/2&lt;=(VLOOKUP(AU16,$DF$2:$DN$9,8,FALSE)-(VLOOKUP(AU16,$DF$2:$DN$9,7,FALSE)-0.0625)),(FA16+FB16)/2,"ERR")),"")</f>
        <v/>
      </c>
      <c r="FD16" s="862">
        <f>IF(DD16="",0,ATAN(DD16/12))</f>
        <v>0</v>
      </c>
      <c r="FE16" s="862">
        <f t="shared" ref="FE16:FE45" si="98">DO16-FD16</f>
        <v>0</v>
      </c>
      <c r="FF16" s="862">
        <f t="shared" ref="FF16:FF45" si="99">TAN(FE16)*12</f>
        <v>0</v>
      </c>
      <c r="FG16" s="862" t="str">
        <f t="shared" ref="FG16:FG45" si="100">IF(FF16=0,"",IF(ABS(FF16)&lt;$CX$2,IF(AND(ABS(MIN(DV16,FQ16)/12*FF16)&gt;$DD$2,FF16&gt;0),IF(FF16&gt;0,CEILING(FF16-0.0625,0.125),CEILING(FF16+0.0625,-0.125)),""),IF(FF16&gt;0,CEILING(FF16-0.0625,0.125),CEILING(FF16+0.0625,-0.125))))</f>
        <v/>
      </c>
      <c r="FH16" s="861" t="str">
        <f t="shared" ref="FH16:FH45" si="101">IF(CX16="","",CX16*TAN(FD16))</f>
        <v/>
      </c>
      <c r="FI16" s="862">
        <f>IF(DN16="",0,ATAN(DN16/12))</f>
        <v>0</v>
      </c>
      <c r="FJ16" s="862">
        <f t="shared" ref="FJ16:FJ45" si="102">DO16+FI16</f>
        <v>0</v>
      </c>
      <c r="FK16" s="862">
        <f t="shared" ref="FK16:FK45" si="103">TAN(FJ16)*-12</f>
        <v>0</v>
      </c>
      <c r="FL16" s="862" t="str">
        <f t="shared" ref="FL16:FL45" si="104">IF(FK16=0,"",IF(ABS(FK16)&lt;$CX$2,IF(AND(ABS(MIN(EB16,FR16)/12*FK16)&gt;$DD$2,FK16&gt;0),IF(FK16&gt;0,CEILING(FK16-0.0625,0.125),CEILING(FK16+0.0625,-0.125)),""),IF(FK16&gt;0,CEILING(FK16-0.0625,0.125),CEILING(FK16+0.0625,-0.125))))</f>
        <v/>
      </c>
      <c r="FM16" s="861" t="str">
        <f t="shared" ref="FM16:FM45" si="105">IF(DH16="","",DH16*TAN(FI16))</f>
        <v/>
      </c>
      <c r="FN16" s="861" t="e">
        <f t="shared" ref="FN16:FN45" si="106">IF(((BE16*12+BF16)+CV16+DF16)/COS(DO16)-((BE16*12+BF16)+CV16+DF16)&lt;$DB$2,0,DO16)</f>
        <v>#VALUE!</v>
      </c>
      <c r="FO16" s="1388" t="e">
        <f t="shared" ref="FO16:FO45" si="107">MIN(IF(BH16&gt;0,BH16/2,MAX(BI16/2,DC16)),IF(BI16&gt;0,BI16/2,MAX(BH16/2,DC16)),IF(DC16&gt;0,DC16,MAX(BI16/2,BH16/2)))/COS(DS16)+CV16-DW16-FH16</f>
        <v>#VALUE!</v>
      </c>
      <c r="FP16" s="1388" t="e">
        <f t="shared" ref="FP16:FP45" si="108">MIN(IF(BT16&gt;0,BT16/2,MAX(BU16/2,DM16)),IF(BU16&gt;0,BU16/2,MAX(BT16/2,DM16)),IF(DM16&gt;0,DM16,MAX(BU16/2,BT16/2)))/COS(DY16)+DF16-EC16-FM16</f>
        <v>#VALUE!</v>
      </c>
      <c r="FQ16" s="864" t="e">
        <f t="shared" ref="FQ16:FQ45" si="109">IF(OR(CU16="B",CU16="G"),MAX(BH16,BI16),IF(CU16="M",12,DC16+CV16))</f>
        <v>#VALUE!</v>
      </c>
      <c r="FR16" s="865" t="e">
        <f t="shared" ref="FR16:FR45" si="110">IF(OR(DE16="B",DE16="G"),MAX(BT16,BU16),IF(DE16="M",12,DM16+DF16))</f>
        <v>#VALUE!</v>
      </c>
      <c r="FS16" s="866" t="str">
        <f t="shared" ref="FS16:FS45" si="111">IF(CY16="","",IF(ABS(CE16*((AJ16-IF(CE16&gt;0,VLOOKUP(AU16,$DF$2:$DN$9,9,FALSE),0))/12))&gt;$CZ$2,CE16*((AJ16-IF(CE16&gt;0,VLOOKUP(AU16,$DF$2:$DN$9,9,FALSE),0))/12),0))</f>
        <v/>
      </c>
      <c r="FT16" s="867" t="str">
        <f t="shared" ref="FT16:FT45" si="112">IF(DI16="","",IF(ABS(CE16*((AJ16-IF(CE16&lt;0,VLOOKUP(AU16,$DF$2:$DN$9,9,FALSE),0))/12))&gt;$CZ$2,CE16*((AJ16-IF(CE16&lt;0,VLOOKUP(AU16,$DF$2:$DN$9,9,FALSE),0))/12)*-1,0))</f>
        <v/>
      </c>
      <c r="FU16" s="868">
        <f t="shared" ref="FU16:FU45" si="113">IF(CX16="",0,MAX(0,MIN(DV16-VLOOKUP(AU16,DF$2:DN$9,4,FALSE),(MAX(0,CX16-VLOOKUP(AU16,DF$2:DN$9,3,FALSE))+VLOOKUP(AU16,DF$2:DN$9,4,FALSE))*COS(DO16)+((MAX(0,CX16-VLOOKUP(AU16,DF$2:DN$9,3,FALSE))+VLOOKUP(AU16,DF$2:DN$9,4,FALSE))*COS(PI()/2-DO16))/TAN(PI()/2-(DO16+PI()/4))-VLOOKUP(AU16,DF$2:DN$9,4,FALSE))))</f>
        <v>0</v>
      </c>
      <c r="FV16" s="869">
        <f t="shared" ref="FV16:FV45" si="114">IF(DH16="",0,MAX(0,MIN(EB16-VLOOKUP(AU16,DF$2:DN$9,4,FALSE),(MAX(0,DH16-VLOOKUP(AU16,DF$2:DN$9,3,FALSE))+VLOOKUP(AU16,DF$2:DN$9,4,FALSE))*COS(DO16)+((MAX(0,DH16-VLOOKUP(AU16,DF$2:DN$9,3,FALSE))+VLOOKUP(AU16,DF$2:DN$9,4,FALSE))*COS(PI()/2-DO16))/TAN(PI()/2-(DO16+PI()/4))-VLOOKUP(AU16,DF$2:DN$9,4,FALSE))))</f>
        <v>0</v>
      </c>
      <c r="GA16" s="1791" t="str">
        <f t="shared" ref="GA16:GA45" si="115">IF(GF16="","",BE16)</f>
        <v/>
      </c>
      <c r="GB16" s="1792" t="str">
        <f t="shared" ref="GB16:GB45" si="116">IF(GF16="","",BF16)</f>
        <v/>
      </c>
      <c r="GC16" s="1793" t="str">
        <f t="shared" ref="GC16:GC45" si="117">IF(GF16="","",IF(CV16="",0,CV16))</f>
        <v/>
      </c>
      <c r="GD16" s="1794" t="str">
        <f t="shared" ref="GD16:GD45" si="118">IF(GF16="","",IF(DF16="",0,DF16))</f>
        <v/>
      </c>
      <c r="GE16" s="1795" t="str">
        <f t="shared" ref="GE16:GE45" si="119">IF(GF16="","",IF(ISBLANK(CE16),IF(Y16=Z16,0,MAX(ABS(Y16),ABS(Z16))*IF(Y16&lt;0,-1,1)),CE16))</f>
        <v/>
      </c>
      <c r="GF16" s="600" t="str">
        <f t="shared" ref="GF16:GF45" si="120">IF(A16=0,"",A16)</f>
        <v/>
      </c>
      <c r="GG16" s="1130"/>
      <c r="GH16" s="1131"/>
      <c r="GI16" s="1130"/>
      <c r="GJ16" s="1131"/>
      <c r="GK16" s="1638">
        <f t="shared" ref="GK16:GK45" si="121">IF(D16="",0,D16*12+E16)</f>
        <v>0</v>
      </c>
      <c r="GL16" s="1636" t="e">
        <f t="shared" ref="GL16:GL45" si="122">(GA16*12+GB16+GC16+GD16)/COS(ATAN(ABS(GE16/12)))</f>
        <v>#VALUE!</v>
      </c>
      <c r="GM16" s="1637" t="e">
        <f>IF(ABS(GK16-GL16)&gt;='Job Info.'!$L$22,ABS(GK16-GL16),0)</f>
        <v>#VALUE!</v>
      </c>
      <c r="HA16" s="1263"/>
      <c r="HB16" s="1264"/>
      <c r="HC16" s="1264"/>
      <c r="HD16" s="1265"/>
      <c r="HE16" s="1266"/>
      <c r="HF16" s="1264"/>
      <c r="HG16" s="1264"/>
      <c r="HH16" s="1264"/>
      <c r="HI16" s="1267"/>
      <c r="HJ16" s="1264"/>
      <c r="HK16" s="1264"/>
      <c r="HL16" s="1264"/>
      <c r="HM16" s="1264"/>
      <c r="HN16" s="1264"/>
      <c r="HO16" s="1264"/>
      <c r="HP16" s="1264"/>
      <c r="HQ16" s="1267"/>
      <c r="HR16" s="1264"/>
      <c r="HS16" s="1264"/>
      <c r="HT16" s="1264"/>
      <c r="HU16" s="1264"/>
      <c r="HV16" s="1264"/>
      <c r="HW16" s="1266"/>
      <c r="HX16" s="1266"/>
      <c r="HY16" s="1266"/>
      <c r="HZ16" s="1266"/>
      <c r="IA16" s="1266"/>
      <c r="IB16" s="1266"/>
      <c r="IC16" s="1266"/>
      <c r="ID16" s="1266"/>
      <c r="IE16" s="1266"/>
      <c r="IF16" s="1268"/>
    </row>
    <row r="17" spans="1:240" ht="12.6" customHeight="1" x14ac:dyDescent="0.25">
      <c r="A17" s="1448" t="str">
        <f t="shared" si="1"/>
        <v/>
      </c>
      <c r="B17" s="1681" t="str">
        <f t="shared" si="2"/>
        <v/>
      </c>
      <c r="C17" s="1449" t="str">
        <f t="shared" si="3"/>
        <v/>
      </c>
      <c r="D17" s="1705" t="str">
        <f t="shared" si="4"/>
        <v/>
      </c>
      <c r="E17" s="1706" t="str">
        <f t="shared" si="5"/>
        <v/>
      </c>
      <c r="F17" s="1714" t="str">
        <f t="shared" si="6"/>
        <v/>
      </c>
      <c r="G17" s="1709" t="str">
        <f t="shared" si="7"/>
        <v/>
      </c>
      <c r="H17" s="1779" t="str">
        <f t="shared" si="8"/>
        <v/>
      </c>
      <c r="I17" s="1705" t="str">
        <f t="shared" si="9"/>
        <v/>
      </c>
      <c r="J17" s="1709" t="str">
        <f t="shared" si="10"/>
        <v/>
      </c>
      <c r="K17" s="1796" t="str">
        <f t="shared" si="11"/>
        <v/>
      </c>
      <c r="L17" s="1712" t="str">
        <f t="shared" si="12"/>
        <v/>
      </c>
      <c r="M17" s="1713" t="str">
        <f t="shared" si="13"/>
        <v/>
      </c>
      <c r="N17" s="1708" t="str">
        <f t="shared" si="14"/>
        <v/>
      </c>
      <c r="O17" s="1709" t="str">
        <f t="shared" si="15"/>
        <v/>
      </c>
      <c r="P17" s="1710" t="str">
        <f t="shared" si="16"/>
        <v/>
      </c>
      <c r="Q17" s="1705" t="str">
        <f t="shared" si="17"/>
        <v/>
      </c>
      <c r="R17" s="1709" t="str">
        <f t="shared" si="18"/>
        <v/>
      </c>
      <c r="S17" s="1711" t="str">
        <f t="shared" si="19"/>
        <v/>
      </c>
      <c r="T17" s="1714" t="str">
        <f t="shared" si="20"/>
        <v/>
      </c>
      <c r="U17" s="1709" t="str">
        <f t="shared" si="21"/>
        <v/>
      </c>
      <c r="V17" s="1705" t="str">
        <f t="shared" si="22"/>
        <v/>
      </c>
      <c r="W17" s="1709" t="str">
        <f t="shared" si="23"/>
        <v/>
      </c>
      <c r="X17" s="1713">
        <f t="shared" si="24"/>
        <v>0</v>
      </c>
      <c r="Y17" s="1781" t="str">
        <f t="shared" si="25"/>
        <v/>
      </c>
      <c r="Z17" s="1782" t="str">
        <f t="shared" si="26"/>
        <v/>
      </c>
      <c r="AA17" s="1783" t="str">
        <f t="shared" si="27"/>
        <v/>
      </c>
      <c r="AB17" s="1413"/>
      <c r="AC17" s="964" t="b">
        <v>0</v>
      </c>
      <c r="AD17" s="441">
        <f t="shared" si="28"/>
        <v>0</v>
      </c>
      <c r="AE17" s="442">
        <f t="shared" si="29"/>
        <v>0</v>
      </c>
      <c r="AF17" s="442">
        <f t="shared" si="30"/>
        <v>0</v>
      </c>
      <c r="AG17" s="442">
        <f t="shared" si="31"/>
        <v>0</v>
      </c>
      <c r="AH17" s="443">
        <f t="shared" si="32"/>
        <v>0</v>
      </c>
      <c r="AI17" s="444" t="b">
        <v>0</v>
      </c>
      <c r="AJ17" s="238">
        <f t="shared" si="33"/>
        <v>0</v>
      </c>
      <c r="AK17" s="830" t="str">
        <f t="shared" si="34"/>
        <v/>
      </c>
      <c r="AL17" s="945" t="str">
        <f t="shared" si="35"/>
        <v/>
      </c>
      <c r="AM17" s="830" t="str">
        <f t="shared" si="36"/>
        <v/>
      </c>
      <c r="AN17" s="830" t="str">
        <f t="shared" si="37"/>
        <v/>
      </c>
      <c r="AO17" s="830" t="str">
        <f t="shared" si="38"/>
        <v/>
      </c>
      <c r="AP17" s="830" t="b">
        <f>IF(ISERROR(AJ17),FALSE,IF(OR(AJ17=0,ISERROR(AL17),ISERROR(AM17),ISERROR(AN17),ISERROR(AO17)),FALSE,IF(AL17&lt;&gt;"",IF(ISERROR(VLOOKUP(SUBSTITUTE(SUBSTITUTE(C17,"R",""),"A",""),TblJoistSize!$A:$A,1,FALSE)),FALSE,TRUE),TRUE)))</f>
        <v>0</v>
      </c>
      <c r="AQ17" s="1038" t="e">
        <f t="shared" si="39"/>
        <v>#N/A</v>
      </c>
      <c r="AR17" s="945" t="b">
        <f t="shared" si="40"/>
        <v>0</v>
      </c>
      <c r="AS17" s="1038" t="e">
        <f t="shared" si="41"/>
        <v>#N/A</v>
      </c>
      <c r="AT17" s="945" t="b">
        <f t="shared" si="42"/>
        <v>0</v>
      </c>
      <c r="AU17" s="946" t="str">
        <f t="shared" si="43"/>
        <v/>
      </c>
      <c r="AV17" s="830" t="str">
        <f t="shared" si="44"/>
        <v/>
      </c>
      <c r="AW17" s="830" t="str">
        <f t="shared" si="45"/>
        <v/>
      </c>
      <c r="AX17" s="830" t="str">
        <f t="shared" ref="AX17:AX45" si="123">IF(AND(OR(ISBLANK(A17),A17=""),AA17&lt;&gt;""),AX16,IF(OR(ISBLANK(A17),A17=""),"",A17))</f>
        <v/>
      </c>
      <c r="AY17" s="1039" t="b">
        <f t="shared" si="46"/>
        <v>0</v>
      </c>
      <c r="AZ17" s="856" t="str">
        <f t="shared" si="47"/>
        <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48"/>
        <v/>
      </c>
      <c r="BR17" s="910"/>
      <c r="BS17" s="672"/>
      <c r="BT17" s="713"/>
      <c r="BU17" s="714"/>
      <c r="BV17" s="1625"/>
      <c r="BW17" s="713"/>
      <c r="BX17" s="714"/>
      <c r="BY17" s="715"/>
      <c r="BZ17" s="716"/>
      <c r="CA17" s="680" t="str">
        <f>IF(ISERROR(DE17),"",IF(DE17="","",IF(VLOOKUP(BS17,SectInfo!$B:$N,10,FALSE)="","","X")))</f>
        <v/>
      </c>
      <c r="CB17" s="738"/>
      <c r="CC17" s="1551" t="str">
        <f t="shared" si="49"/>
        <v/>
      </c>
      <c r="CD17" s="910"/>
      <c r="CE17" s="717"/>
      <c r="CF17" s="736"/>
      <c r="CG17" s="737"/>
      <c r="CH17" s="591" t="str">
        <f t="shared" si="50"/>
        <v/>
      </c>
      <c r="CI17" s="592" t="str">
        <f t="shared" si="51"/>
        <v/>
      </c>
      <c r="CJ17" s="593" t="str">
        <f t="shared" si="52"/>
        <v/>
      </c>
      <c r="CK17" s="594" t="str">
        <f t="shared" si="53"/>
        <v/>
      </c>
      <c r="CL17" s="595" t="str">
        <f t="shared" si="54"/>
        <v/>
      </c>
      <c r="CM17" s="596" t="str">
        <f t="shared" si="55"/>
        <v/>
      </c>
      <c r="CN17" s="597" t="str">
        <f t="shared" si="56"/>
        <v/>
      </c>
      <c r="CO17" s="598" t="str">
        <f t="shared" si="57"/>
        <v/>
      </c>
      <c r="CP17" s="615" t="str">
        <f t="shared" si="58"/>
        <v/>
      </c>
      <c r="CQ17" s="616" t="str">
        <f t="shared" si="59"/>
        <v/>
      </c>
      <c r="CR17" s="750" t="str">
        <f t="shared" si="60"/>
        <v/>
      </c>
      <c r="CS17" s="751" t="str">
        <f t="shared" si="61"/>
        <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62"/>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63"/>
        <v>0</v>
      </c>
      <c r="DO17" s="818">
        <f t="shared" si="64"/>
        <v>0</v>
      </c>
      <c r="DP17" s="822" t="str">
        <f t="shared" si="65"/>
        <v/>
      </c>
      <c r="DQ17" s="822" t="str">
        <f t="shared" si="66"/>
        <v/>
      </c>
      <c r="DR17" s="822" t="str">
        <f t="shared" si="67"/>
        <v/>
      </c>
      <c r="DS17" s="821">
        <f t="shared" si="68"/>
        <v>0</v>
      </c>
      <c r="DT17" s="821">
        <f t="shared" si="69"/>
        <v>0</v>
      </c>
      <c r="DU17" s="821" t="str">
        <f t="shared" si="70"/>
        <v/>
      </c>
      <c r="DV17" s="822" t="str">
        <f t="shared" si="71"/>
        <v/>
      </c>
      <c r="DW17" s="856" t="str">
        <f t="shared" si="72"/>
        <v/>
      </c>
      <c r="DX17" s="1006">
        <f t="shared" si="73"/>
        <v>0</v>
      </c>
      <c r="DY17" s="822">
        <f t="shared" si="74"/>
        <v>0</v>
      </c>
      <c r="DZ17" s="821">
        <f t="shared" si="75"/>
        <v>0</v>
      </c>
      <c r="EA17" s="821" t="str">
        <f t="shared" si="76"/>
        <v/>
      </c>
      <c r="EB17" s="822" t="str">
        <f t="shared" si="77"/>
        <v/>
      </c>
      <c r="EC17" s="856" t="str">
        <f t="shared" si="78"/>
        <v/>
      </c>
      <c r="ED17" s="1006">
        <f t="shared" si="79"/>
        <v>0</v>
      </c>
      <c r="EE17" s="1293" t="str">
        <f t="shared" si="80"/>
        <v/>
      </c>
      <c r="EF17" s="1293" t="str">
        <f t="shared" si="81"/>
        <v/>
      </c>
      <c r="EG17" s="1293" t="str">
        <f t="shared" si="82"/>
        <v/>
      </c>
      <c r="EH17" s="856" t="e">
        <f t="shared" si="83"/>
        <v>#N/A</v>
      </c>
      <c r="EI17" s="856" t="e">
        <f t="shared" si="84"/>
        <v>#N/A</v>
      </c>
      <c r="EJ17" s="822" t="str">
        <f t="shared" si="85"/>
        <v/>
      </c>
      <c r="EK17" s="822" t="str">
        <f t="shared" si="85"/>
        <v/>
      </c>
      <c r="EL17" s="1293" t="str">
        <f t="shared" si="86"/>
        <v/>
      </c>
      <c r="EM17" s="822" t="str">
        <f t="shared" si="87"/>
        <v/>
      </c>
      <c r="EN17" s="822" t="str">
        <f t="shared" si="88"/>
        <v/>
      </c>
      <c r="EO17" s="856" t="e">
        <f t="shared" si="89"/>
        <v>#N/A</v>
      </c>
      <c r="EP17" s="856" t="e">
        <f t="shared" si="90"/>
        <v>#N/A</v>
      </c>
      <c r="EQ17" s="1293" t="str">
        <f t="shared" si="91"/>
        <v/>
      </c>
      <c r="ER17" s="822" t="str">
        <f t="shared" si="91"/>
        <v/>
      </c>
      <c r="ES17" s="822" t="str">
        <f t="shared" si="92"/>
        <v/>
      </c>
      <c r="ET17" s="822" t="str">
        <f t="shared" si="93"/>
        <v/>
      </c>
      <c r="EU17" s="829" t="str">
        <f t="shared" si="94"/>
        <v/>
      </c>
      <c r="EV17" s="824" t="str">
        <f t="shared" si="95"/>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96"/>
        <v/>
      </c>
      <c r="FA17" s="829" t="str">
        <f>IF(AND(DE17="G", ISBLANK(BW17), ISBLANK(BX17)),VLOOKUP(MIN(BT17:BU17),TblJoistSize!$M$3:$N$10,2),IF(OR(DE17="B", DE17="G"),MIN(BW17:BX17),""))</f>
        <v/>
      </c>
      <c r="FB17" s="829" t="str">
        <f>IF(AND(DE17="G", ISBLANK(BW17), ISBLANK(BX17)),VLOOKUP(MAX(BT17:BU17),TblJoistSize!$M$3:$N$10,2),IF(OR(DE17="B", DE17="G"),MAX(BW17:BX17),""))</f>
        <v/>
      </c>
      <c r="FC17" s="829" t="str">
        <f t="shared" si="97"/>
        <v/>
      </c>
      <c r="FD17" s="821">
        <f t="shared" ref="FD17:FD45" si="124">IF(DD17="",0,ATAN(DD17/12))</f>
        <v>0</v>
      </c>
      <c r="FE17" s="821">
        <f t="shared" si="98"/>
        <v>0</v>
      </c>
      <c r="FF17" s="821">
        <f t="shared" si="99"/>
        <v>0</v>
      </c>
      <c r="FG17" s="821" t="str">
        <f t="shared" si="100"/>
        <v/>
      </c>
      <c r="FH17" s="822" t="str">
        <f t="shared" si="101"/>
        <v/>
      </c>
      <c r="FI17" s="821">
        <f t="shared" ref="FI17:FI45" si="125">IF(DN17="",0,ATAN(DN17/12))</f>
        <v>0</v>
      </c>
      <c r="FJ17" s="821">
        <f t="shared" si="102"/>
        <v>0</v>
      </c>
      <c r="FK17" s="821">
        <f t="shared" si="103"/>
        <v>0</v>
      </c>
      <c r="FL17" s="821" t="str">
        <f t="shared" si="104"/>
        <v/>
      </c>
      <c r="FM17" s="822" t="str">
        <f t="shared" si="105"/>
        <v/>
      </c>
      <c r="FN17" s="822" t="e">
        <f t="shared" si="106"/>
        <v>#VALUE!</v>
      </c>
      <c r="FO17" s="940" t="e">
        <f t="shared" si="107"/>
        <v>#VALUE!</v>
      </c>
      <c r="FP17" s="940" t="e">
        <f t="shared" si="108"/>
        <v>#VALUE!</v>
      </c>
      <c r="FQ17" s="830" t="e">
        <f t="shared" si="109"/>
        <v>#VALUE!</v>
      </c>
      <c r="FR17" s="831" t="e">
        <f t="shared" si="110"/>
        <v>#VALUE!</v>
      </c>
      <c r="FS17" s="832" t="str">
        <f t="shared" si="111"/>
        <v/>
      </c>
      <c r="FT17" s="833" t="str">
        <f t="shared" si="112"/>
        <v/>
      </c>
      <c r="FU17" s="870">
        <f t="shared" si="113"/>
        <v>0</v>
      </c>
      <c r="FV17" s="871">
        <f t="shared" si="114"/>
        <v>0</v>
      </c>
      <c r="GA17" s="1791" t="str">
        <f t="shared" si="115"/>
        <v/>
      </c>
      <c r="GB17" s="1792" t="str">
        <f t="shared" si="116"/>
        <v/>
      </c>
      <c r="GC17" s="1793" t="str">
        <f t="shared" si="117"/>
        <v/>
      </c>
      <c r="GD17" s="1794" t="str">
        <f t="shared" si="118"/>
        <v/>
      </c>
      <c r="GE17" s="1795" t="str">
        <f t="shared" si="119"/>
        <v/>
      </c>
      <c r="GF17" s="600" t="str">
        <f t="shared" si="120"/>
        <v/>
      </c>
      <c r="GG17" s="1130"/>
      <c r="GH17" s="1131"/>
      <c r="GI17" s="1130"/>
      <c r="GJ17" s="1131"/>
      <c r="GK17" s="1638">
        <f t="shared" si="121"/>
        <v>0</v>
      </c>
      <c r="GL17" s="1636" t="e">
        <f t="shared" si="122"/>
        <v>#VALUE!</v>
      </c>
      <c r="GM17" s="1637" t="e">
        <f>IF(ABS(GK17-GL17)&gt;='Job Info.'!$L$22,ABS(GK17-GL17),0)</f>
        <v>#VALUE!</v>
      </c>
      <c r="HA17" s="1269"/>
      <c r="HB17" s="1270"/>
      <c r="HC17" s="1270"/>
      <c r="HD17" s="1271"/>
      <c r="HE17" s="1272"/>
      <c r="HF17" s="1270"/>
      <c r="HG17" s="1270"/>
      <c r="HH17" s="1270"/>
      <c r="HI17" s="1273"/>
      <c r="HJ17" s="1270"/>
      <c r="HK17" s="1270"/>
      <c r="HL17" s="1270"/>
      <c r="HM17" s="1270"/>
      <c r="HN17" s="1270"/>
      <c r="HO17" s="1270"/>
      <c r="HP17" s="1270"/>
      <c r="HQ17" s="1273"/>
      <c r="HR17" s="1270"/>
      <c r="HS17" s="1270"/>
      <c r="HT17" s="1270"/>
      <c r="HU17" s="1270"/>
      <c r="HV17" s="1270"/>
      <c r="HW17" s="1272"/>
      <c r="HX17" s="1272"/>
      <c r="HY17" s="1272"/>
      <c r="HZ17" s="1272"/>
      <c r="IA17" s="1272"/>
      <c r="IB17" s="1272"/>
      <c r="IC17" s="1272"/>
      <c r="ID17" s="1272"/>
      <c r="IE17" s="1272"/>
      <c r="IF17" s="1274"/>
    </row>
    <row r="18" spans="1:240" ht="12.6" customHeight="1" x14ac:dyDescent="0.25">
      <c r="A18" s="1448" t="str">
        <f t="shared" si="1"/>
        <v/>
      </c>
      <c r="B18" s="1681" t="str">
        <f t="shared" si="2"/>
        <v/>
      </c>
      <c r="C18" s="1449" t="str">
        <f t="shared" si="3"/>
        <v/>
      </c>
      <c r="D18" s="1705" t="str">
        <f t="shared" si="4"/>
        <v/>
      </c>
      <c r="E18" s="1706" t="str">
        <f t="shared" si="5"/>
        <v/>
      </c>
      <c r="F18" s="1714" t="str">
        <f t="shared" si="6"/>
        <v/>
      </c>
      <c r="G18" s="1709" t="str">
        <f t="shared" si="7"/>
        <v/>
      </c>
      <c r="H18" s="1779" t="str">
        <f t="shared" si="8"/>
        <v/>
      </c>
      <c r="I18" s="1705" t="str">
        <f t="shared" si="9"/>
        <v/>
      </c>
      <c r="J18" s="1709" t="str">
        <f t="shared" si="10"/>
        <v/>
      </c>
      <c r="K18" s="1796" t="str">
        <f t="shared" si="11"/>
        <v/>
      </c>
      <c r="L18" s="1712" t="str">
        <f t="shared" si="12"/>
        <v/>
      </c>
      <c r="M18" s="1713" t="str">
        <f t="shared" si="13"/>
        <v/>
      </c>
      <c r="N18" s="1708" t="str">
        <f t="shared" si="14"/>
        <v/>
      </c>
      <c r="O18" s="1709" t="str">
        <f t="shared" si="15"/>
        <v/>
      </c>
      <c r="P18" s="1710" t="str">
        <f t="shared" si="16"/>
        <v/>
      </c>
      <c r="Q18" s="1705" t="str">
        <f t="shared" si="17"/>
        <v/>
      </c>
      <c r="R18" s="1709" t="str">
        <f t="shared" si="18"/>
        <v/>
      </c>
      <c r="S18" s="1711" t="str">
        <f t="shared" si="19"/>
        <v/>
      </c>
      <c r="T18" s="1714" t="str">
        <f t="shared" si="20"/>
        <v/>
      </c>
      <c r="U18" s="1709" t="str">
        <f t="shared" si="21"/>
        <v/>
      </c>
      <c r="V18" s="1705" t="str">
        <f t="shared" si="22"/>
        <v/>
      </c>
      <c r="W18" s="1709" t="str">
        <f t="shared" si="23"/>
        <v/>
      </c>
      <c r="X18" s="1713">
        <f t="shared" si="24"/>
        <v>0</v>
      </c>
      <c r="Y18" s="1781" t="str">
        <f t="shared" si="25"/>
        <v/>
      </c>
      <c r="Z18" s="1782" t="str">
        <f t="shared" si="26"/>
        <v/>
      </c>
      <c r="AA18" s="1783" t="str">
        <f t="shared" si="27"/>
        <v/>
      </c>
      <c r="AB18" s="1413"/>
      <c r="AC18" s="964" t="b">
        <v>0</v>
      </c>
      <c r="AD18" s="441">
        <f t="shared" si="28"/>
        <v>0</v>
      </c>
      <c r="AE18" s="442">
        <f t="shared" si="29"/>
        <v>0</v>
      </c>
      <c r="AF18" s="442">
        <f t="shared" si="30"/>
        <v>0</v>
      </c>
      <c r="AG18" s="442">
        <f t="shared" si="31"/>
        <v>0</v>
      </c>
      <c r="AH18" s="443">
        <f t="shared" si="32"/>
        <v>0</v>
      </c>
      <c r="AI18" s="444" t="b">
        <v>0</v>
      </c>
      <c r="AJ18" s="238">
        <f t="shared" si="33"/>
        <v>0</v>
      </c>
      <c r="AK18" s="830" t="str">
        <f t="shared" si="34"/>
        <v/>
      </c>
      <c r="AL18" s="945" t="str">
        <f t="shared" si="35"/>
        <v/>
      </c>
      <c r="AM18" s="830" t="str">
        <f t="shared" si="36"/>
        <v/>
      </c>
      <c r="AN18" s="830" t="str">
        <f t="shared" si="37"/>
        <v/>
      </c>
      <c r="AO18" s="830" t="str">
        <f t="shared" si="38"/>
        <v/>
      </c>
      <c r="AP18" s="830" t="b">
        <f>IF(ISERROR(AJ18),FALSE,IF(OR(AJ18=0,ISERROR(AL18),ISERROR(AM18),ISERROR(AN18),ISERROR(AO18)),FALSE,IF(AL18&lt;&gt;"",IF(ISERROR(VLOOKUP(SUBSTITUTE(SUBSTITUTE(C18,"R",""),"A",""),TblJoistSize!$A:$A,1,FALSE)),FALSE,TRUE),TRUE)))</f>
        <v>0</v>
      </c>
      <c r="AQ18" s="1038" t="e">
        <f t="shared" si="39"/>
        <v>#N/A</v>
      </c>
      <c r="AR18" s="945" t="b">
        <f t="shared" si="40"/>
        <v>0</v>
      </c>
      <c r="AS18" s="1038" t="e">
        <f t="shared" si="41"/>
        <v>#N/A</v>
      </c>
      <c r="AT18" s="945" t="b">
        <f t="shared" si="42"/>
        <v>0</v>
      </c>
      <c r="AU18" s="946" t="str">
        <f t="shared" si="43"/>
        <v/>
      </c>
      <c r="AV18" s="830" t="str">
        <f t="shared" si="44"/>
        <v/>
      </c>
      <c r="AW18" s="830" t="str">
        <f t="shared" si="45"/>
        <v/>
      </c>
      <c r="AX18" s="830" t="str">
        <f t="shared" si="123"/>
        <v/>
      </c>
      <c r="AY18" s="1039" t="b">
        <f t="shared" si="46"/>
        <v>0</v>
      </c>
      <c r="AZ18" s="856" t="str">
        <f t="shared" si="47"/>
        <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48"/>
        <v/>
      </c>
      <c r="BR18" s="910"/>
      <c r="BS18" s="672"/>
      <c r="BT18" s="713"/>
      <c r="BU18" s="714"/>
      <c r="BV18" s="1625"/>
      <c r="BW18" s="713"/>
      <c r="BX18" s="714"/>
      <c r="BY18" s="715"/>
      <c r="BZ18" s="716"/>
      <c r="CA18" s="680" t="str">
        <f>IF(ISERROR(DE18),"",IF(DE18="","",IF(VLOOKUP(BS18,SectInfo!$B:$N,10,FALSE)="","","X")))</f>
        <v/>
      </c>
      <c r="CB18" s="738"/>
      <c r="CC18" s="1551" t="str">
        <f t="shared" si="49"/>
        <v/>
      </c>
      <c r="CD18" s="910"/>
      <c r="CE18" s="717"/>
      <c r="CF18" s="736"/>
      <c r="CG18" s="737"/>
      <c r="CH18" s="591" t="str">
        <f t="shared" si="50"/>
        <v/>
      </c>
      <c r="CI18" s="592" t="str">
        <f t="shared" si="51"/>
        <v/>
      </c>
      <c r="CJ18" s="593" t="str">
        <f t="shared" si="52"/>
        <v/>
      </c>
      <c r="CK18" s="594" t="str">
        <f t="shared" si="53"/>
        <v/>
      </c>
      <c r="CL18" s="595" t="str">
        <f t="shared" si="54"/>
        <v/>
      </c>
      <c r="CM18" s="596" t="str">
        <f t="shared" si="55"/>
        <v/>
      </c>
      <c r="CN18" s="597" t="str">
        <f t="shared" si="56"/>
        <v/>
      </c>
      <c r="CO18" s="598" t="str">
        <f t="shared" si="57"/>
        <v/>
      </c>
      <c r="CP18" s="615" t="str">
        <f t="shared" si="58"/>
        <v/>
      </c>
      <c r="CQ18" s="616" t="str">
        <f t="shared" si="59"/>
        <v/>
      </c>
      <c r="CR18" s="750" t="str">
        <f t="shared" si="60"/>
        <v/>
      </c>
      <c r="CS18" s="751" t="str">
        <f t="shared" si="61"/>
        <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62"/>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63"/>
        <v>0</v>
      </c>
      <c r="DO18" s="818">
        <f t="shared" si="64"/>
        <v>0</v>
      </c>
      <c r="DP18" s="822" t="str">
        <f t="shared" si="65"/>
        <v/>
      </c>
      <c r="DQ18" s="822" t="str">
        <f t="shared" si="66"/>
        <v/>
      </c>
      <c r="DR18" s="822" t="str">
        <f t="shared" si="67"/>
        <v/>
      </c>
      <c r="DS18" s="821">
        <f t="shared" si="68"/>
        <v>0</v>
      </c>
      <c r="DT18" s="821">
        <f t="shared" si="69"/>
        <v>0</v>
      </c>
      <c r="DU18" s="821" t="str">
        <f t="shared" si="70"/>
        <v/>
      </c>
      <c r="DV18" s="822" t="str">
        <f t="shared" si="71"/>
        <v/>
      </c>
      <c r="DW18" s="856" t="str">
        <f t="shared" si="72"/>
        <v/>
      </c>
      <c r="DX18" s="1006">
        <f t="shared" si="73"/>
        <v>0</v>
      </c>
      <c r="DY18" s="822">
        <f t="shared" si="74"/>
        <v>0</v>
      </c>
      <c r="DZ18" s="821">
        <f t="shared" si="75"/>
        <v>0</v>
      </c>
      <c r="EA18" s="821" t="str">
        <f t="shared" si="76"/>
        <v/>
      </c>
      <c r="EB18" s="822" t="str">
        <f t="shared" si="77"/>
        <v/>
      </c>
      <c r="EC18" s="856" t="str">
        <f t="shared" si="78"/>
        <v/>
      </c>
      <c r="ED18" s="1006">
        <f t="shared" si="79"/>
        <v>0</v>
      </c>
      <c r="EE18" s="1293" t="str">
        <f t="shared" si="80"/>
        <v/>
      </c>
      <c r="EF18" s="1293" t="str">
        <f t="shared" si="81"/>
        <v/>
      </c>
      <c r="EG18" s="1293" t="str">
        <f t="shared" si="82"/>
        <v/>
      </c>
      <c r="EH18" s="856" t="e">
        <f t="shared" si="83"/>
        <v>#N/A</v>
      </c>
      <c r="EI18" s="856" t="e">
        <f t="shared" si="84"/>
        <v>#N/A</v>
      </c>
      <c r="EJ18" s="822" t="str">
        <f t="shared" si="85"/>
        <v/>
      </c>
      <c r="EK18" s="822" t="str">
        <f t="shared" si="85"/>
        <v/>
      </c>
      <c r="EL18" s="1293" t="str">
        <f t="shared" si="86"/>
        <v/>
      </c>
      <c r="EM18" s="822" t="str">
        <f t="shared" si="87"/>
        <v/>
      </c>
      <c r="EN18" s="822" t="str">
        <f t="shared" si="88"/>
        <v/>
      </c>
      <c r="EO18" s="856" t="e">
        <f t="shared" si="89"/>
        <v>#N/A</v>
      </c>
      <c r="EP18" s="856" t="e">
        <f t="shared" si="90"/>
        <v>#N/A</v>
      </c>
      <c r="EQ18" s="1293" t="str">
        <f t="shared" si="91"/>
        <v/>
      </c>
      <c r="ER18" s="822" t="str">
        <f t="shared" si="91"/>
        <v/>
      </c>
      <c r="ES18" s="822" t="str">
        <f t="shared" si="92"/>
        <v/>
      </c>
      <c r="ET18" s="822" t="str">
        <f t="shared" si="93"/>
        <v/>
      </c>
      <c r="EU18" s="829" t="str">
        <f t="shared" si="94"/>
        <v/>
      </c>
      <c r="EV18" s="824" t="str">
        <f t="shared" si="95"/>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96"/>
        <v/>
      </c>
      <c r="FA18" s="829" t="str">
        <f>IF(AND(DE18="G", ISBLANK(BW18), ISBLANK(BX18)),VLOOKUP(MIN(BT18:BU18),TblJoistSize!$M$3:$N$10,2),IF(OR(DE18="B", DE18="G"),MIN(BW18:BX18),""))</f>
        <v/>
      </c>
      <c r="FB18" s="829" t="str">
        <f>IF(AND(DE18="G", ISBLANK(BW18), ISBLANK(BX18)),VLOOKUP(MAX(BT18:BU18),TblJoistSize!$M$3:$N$10,2),IF(OR(DE18="B", DE18="G"),MAX(BW18:BX18),""))</f>
        <v/>
      </c>
      <c r="FC18" s="829" t="str">
        <f t="shared" si="97"/>
        <v/>
      </c>
      <c r="FD18" s="821">
        <f t="shared" si="124"/>
        <v>0</v>
      </c>
      <c r="FE18" s="821">
        <f t="shared" si="98"/>
        <v>0</v>
      </c>
      <c r="FF18" s="821">
        <f t="shared" si="99"/>
        <v>0</v>
      </c>
      <c r="FG18" s="821" t="str">
        <f t="shared" si="100"/>
        <v/>
      </c>
      <c r="FH18" s="822" t="str">
        <f t="shared" si="101"/>
        <v/>
      </c>
      <c r="FI18" s="821">
        <f t="shared" si="125"/>
        <v>0</v>
      </c>
      <c r="FJ18" s="821">
        <f t="shared" si="102"/>
        <v>0</v>
      </c>
      <c r="FK18" s="821">
        <f t="shared" si="103"/>
        <v>0</v>
      </c>
      <c r="FL18" s="821" t="str">
        <f t="shared" si="104"/>
        <v/>
      </c>
      <c r="FM18" s="822" t="str">
        <f t="shared" si="105"/>
        <v/>
      </c>
      <c r="FN18" s="822" t="e">
        <f t="shared" si="106"/>
        <v>#VALUE!</v>
      </c>
      <c r="FO18" s="940" t="e">
        <f t="shared" si="107"/>
        <v>#VALUE!</v>
      </c>
      <c r="FP18" s="940" t="e">
        <f t="shared" si="108"/>
        <v>#VALUE!</v>
      </c>
      <c r="FQ18" s="830" t="e">
        <f t="shared" si="109"/>
        <v>#VALUE!</v>
      </c>
      <c r="FR18" s="831" t="e">
        <f t="shared" si="110"/>
        <v>#VALUE!</v>
      </c>
      <c r="FS18" s="832" t="str">
        <f t="shared" si="111"/>
        <v/>
      </c>
      <c r="FT18" s="833" t="str">
        <f t="shared" si="112"/>
        <v/>
      </c>
      <c r="FU18" s="870">
        <f t="shared" si="113"/>
        <v>0</v>
      </c>
      <c r="FV18" s="871">
        <f t="shared" si="114"/>
        <v>0</v>
      </c>
      <c r="GA18" s="1791" t="str">
        <f t="shared" si="115"/>
        <v/>
      </c>
      <c r="GB18" s="1792" t="str">
        <f t="shared" si="116"/>
        <v/>
      </c>
      <c r="GC18" s="1793" t="str">
        <f t="shared" si="117"/>
        <v/>
      </c>
      <c r="GD18" s="1794" t="str">
        <f t="shared" si="118"/>
        <v/>
      </c>
      <c r="GE18" s="1795" t="str">
        <f t="shared" si="119"/>
        <v/>
      </c>
      <c r="GF18" s="600" t="str">
        <f t="shared" si="120"/>
        <v/>
      </c>
      <c r="GG18" s="1130"/>
      <c r="GH18" s="1131"/>
      <c r="GI18" s="1130"/>
      <c r="GJ18" s="1131"/>
      <c r="GK18" s="1638">
        <f t="shared" si="121"/>
        <v>0</v>
      </c>
      <c r="GL18" s="1636" t="e">
        <f t="shared" si="122"/>
        <v>#VALUE!</v>
      </c>
      <c r="GM18" s="1637" t="e">
        <f>IF(ABS(GK18-GL18)&gt;='Job Info.'!$L$22,ABS(GK18-GL18),0)</f>
        <v>#VALUE!</v>
      </c>
      <c r="HA18" s="1269"/>
      <c r="HB18" s="1270"/>
      <c r="HC18" s="1270"/>
      <c r="HD18" s="1271"/>
      <c r="HE18" s="1272"/>
      <c r="HF18" s="1270"/>
      <c r="HG18" s="1270"/>
      <c r="HH18" s="1270"/>
      <c r="HI18" s="1273"/>
      <c r="HJ18" s="1270"/>
      <c r="HK18" s="1270"/>
      <c r="HL18" s="1270"/>
      <c r="HM18" s="1270"/>
      <c r="HN18" s="1270"/>
      <c r="HO18" s="1270"/>
      <c r="HP18" s="1270"/>
      <c r="HQ18" s="1273"/>
      <c r="HR18" s="1270"/>
      <c r="HS18" s="1270"/>
      <c r="HT18" s="1270"/>
      <c r="HU18" s="1270"/>
      <c r="HV18" s="1270"/>
      <c r="HW18" s="1272"/>
      <c r="HX18" s="1272"/>
      <c r="HY18" s="1272"/>
      <c r="HZ18" s="1272"/>
      <c r="IA18" s="1272"/>
      <c r="IB18" s="1272"/>
      <c r="IC18" s="1272"/>
      <c r="ID18" s="1272"/>
      <c r="IE18" s="1272"/>
      <c r="IF18" s="1274"/>
    </row>
    <row r="19" spans="1:240" ht="12.6" customHeight="1" x14ac:dyDescent="0.25">
      <c r="A19" s="1448" t="str">
        <f t="shared" si="1"/>
        <v/>
      </c>
      <c r="B19" s="1681" t="str">
        <f t="shared" si="2"/>
        <v/>
      </c>
      <c r="C19" s="1449" t="str">
        <f t="shared" si="3"/>
        <v/>
      </c>
      <c r="D19" s="1705" t="str">
        <f t="shared" si="4"/>
        <v/>
      </c>
      <c r="E19" s="1706" t="str">
        <f t="shared" si="5"/>
        <v/>
      </c>
      <c r="F19" s="1714" t="str">
        <f t="shared" si="6"/>
        <v/>
      </c>
      <c r="G19" s="1709" t="str">
        <f t="shared" si="7"/>
        <v/>
      </c>
      <c r="H19" s="1779" t="str">
        <f t="shared" si="8"/>
        <v/>
      </c>
      <c r="I19" s="1705" t="str">
        <f t="shared" si="9"/>
        <v/>
      </c>
      <c r="J19" s="1709" t="str">
        <f t="shared" si="10"/>
        <v/>
      </c>
      <c r="K19" s="1796" t="str">
        <f t="shared" si="11"/>
        <v/>
      </c>
      <c r="L19" s="1712" t="str">
        <f t="shared" si="12"/>
        <v/>
      </c>
      <c r="M19" s="1713" t="str">
        <f t="shared" si="13"/>
        <v/>
      </c>
      <c r="N19" s="1708" t="str">
        <f t="shared" si="14"/>
        <v/>
      </c>
      <c r="O19" s="1709" t="str">
        <f t="shared" si="15"/>
        <v/>
      </c>
      <c r="P19" s="1710" t="str">
        <f t="shared" si="16"/>
        <v/>
      </c>
      <c r="Q19" s="1705" t="str">
        <f t="shared" si="17"/>
        <v/>
      </c>
      <c r="R19" s="1709" t="str">
        <f t="shared" si="18"/>
        <v/>
      </c>
      <c r="S19" s="1711" t="str">
        <f t="shared" si="19"/>
        <v/>
      </c>
      <c r="T19" s="1714" t="str">
        <f t="shared" si="20"/>
        <v/>
      </c>
      <c r="U19" s="1709" t="str">
        <f t="shared" si="21"/>
        <v/>
      </c>
      <c r="V19" s="1705" t="str">
        <f t="shared" si="22"/>
        <v/>
      </c>
      <c r="W19" s="1709" t="str">
        <f t="shared" si="23"/>
        <v/>
      </c>
      <c r="X19" s="1713">
        <f t="shared" si="24"/>
        <v>0</v>
      </c>
      <c r="Y19" s="1781" t="str">
        <f t="shared" si="25"/>
        <v/>
      </c>
      <c r="Z19" s="1782" t="str">
        <f t="shared" si="26"/>
        <v/>
      </c>
      <c r="AA19" s="1783" t="str">
        <f t="shared" si="27"/>
        <v/>
      </c>
      <c r="AB19" s="1413"/>
      <c r="AC19" s="964" t="b">
        <v>0</v>
      </c>
      <c r="AD19" s="441">
        <f t="shared" si="28"/>
        <v>0</v>
      </c>
      <c r="AE19" s="442">
        <f t="shared" si="29"/>
        <v>0</v>
      </c>
      <c r="AF19" s="442">
        <f t="shared" si="30"/>
        <v>0</v>
      </c>
      <c r="AG19" s="442">
        <f t="shared" si="31"/>
        <v>0</v>
      </c>
      <c r="AH19" s="443">
        <f t="shared" si="32"/>
        <v>0</v>
      </c>
      <c r="AI19" s="444" t="b">
        <v>0</v>
      </c>
      <c r="AJ19" s="238">
        <f t="shared" si="33"/>
        <v>0</v>
      </c>
      <c r="AK19" s="830" t="str">
        <f t="shared" si="34"/>
        <v/>
      </c>
      <c r="AL19" s="945" t="str">
        <f t="shared" si="35"/>
        <v/>
      </c>
      <c r="AM19" s="830" t="str">
        <f t="shared" si="36"/>
        <v/>
      </c>
      <c r="AN19" s="830" t="str">
        <f t="shared" si="37"/>
        <v/>
      </c>
      <c r="AO19" s="830" t="str">
        <f t="shared" si="38"/>
        <v/>
      </c>
      <c r="AP19" s="830" t="b">
        <f>IF(ISERROR(AJ19),FALSE,IF(OR(AJ19=0,ISERROR(AL19),ISERROR(AM19),ISERROR(AN19),ISERROR(AO19)),FALSE,IF(AL19&lt;&gt;"",IF(ISERROR(VLOOKUP(SUBSTITUTE(SUBSTITUTE(C19,"R",""),"A",""),TblJoistSize!$A:$A,1,FALSE)),FALSE,TRUE),TRUE)))</f>
        <v>0</v>
      </c>
      <c r="AQ19" s="1038" t="e">
        <f t="shared" si="39"/>
        <v>#N/A</v>
      </c>
      <c r="AR19" s="945" t="b">
        <f t="shared" si="40"/>
        <v>0</v>
      </c>
      <c r="AS19" s="1038" t="e">
        <f t="shared" si="41"/>
        <v>#N/A</v>
      </c>
      <c r="AT19" s="945" t="b">
        <f t="shared" si="42"/>
        <v>0</v>
      </c>
      <c r="AU19" s="946" t="str">
        <f t="shared" si="43"/>
        <v/>
      </c>
      <c r="AV19" s="830" t="str">
        <f t="shared" si="44"/>
        <v/>
      </c>
      <c r="AW19" s="830" t="str">
        <f t="shared" si="45"/>
        <v/>
      </c>
      <c r="AX19" s="830" t="str">
        <f t="shared" si="123"/>
        <v/>
      </c>
      <c r="AY19" s="1039" t="b">
        <f t="shared" si="46"/>
        <v>0</v>
      </c>
      <c r="AZ19" s="856" t="str">
        <f t="shared" si="47"/>
        <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48"/>
        <v/>
      </c>
      <c r="BR19" s="910"/>
      <c r="BS19" s="672"/>
      <c r="BT19" s="713"/>
      <c r="BU19" s="714"/>
      <c r="BV19" s="1625"/>
      <c r="BW19" s="713"/>
      <c r="BX19" s="714"/>
      <c r="BY19" s="715"/>
      <c r="BZ19" s="716"/>
      <c r="CA19" s="680" t="str">
        <f>IF(ISERROR(DE19),"",IF(DE19="","",IF(VLOOKUP(BS19,SectInfo!$B:$N,10,FALSE)="","","X")))</f>
        <v/>
      </c>
      <c r="CB19" s="738"/>
      <c r="CC19" s="1551" t="str">
        <f t="shared" si="49"/>
        <v/>
      </c>
      <c r="CD19" s="910"/>
      <c r="CE19" s="717"/>
      <c r="CF19" s="736"/>
      <c r="CG19" s="737"/>
      <c r="CH19" s="591" t="str">
        <f t="shared" si="50"/>
        <v/>
      </c>
      <c r="CI19" s="592" t="str">
        <f t="shared" si="51"/>
        <v/>
      </c>
      <c r="CJ19" s="593" t="str">
        <f t="shared" si="52"/>
        <v/>
      </c>
      <c r="CK19" s="594" t="str">
        <f t="shared" si="53"/>
        <v/>
      </c>
      <c r="CL19" s="595" t="str">
        <f t="shared" si="54"/>
        <v/>
      </c>
      <c r="CM19" s="596" t="str">
        <f t="shared" si="55"/>
        <v/>
      </c>
      <c r="CN19" s="597" t="str">
        <f t="shared" si="56"/>
        <v/>
      </c>
      <c r="CO19" s="598" t="str">
        <f t="shared" si="57"/>
        <v/>
      </c>
      <c r="CP19" s="615" t="str">
        <f t="shared" si="58"/>
        <v/>
      </c>
      <c r="CQ19" s="616" t="str">
        <f t="shared" si="59"/>
        <v/>
      </c>
      <c r="CR19" s="750" t="str">
        <f t="shared" si="60"/>
        <v/>
      </c>
      <c r="CS19" s="751" t="str">
        <f t="shared" si="61"/>
        <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62"/>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63"/>
        <v>0</v>
      </c>
      <c r="DO19" s="818">
        <f t="shared" si="64"/>
        <v>0</v>
      </c>
      <c r="DP19" s="822" t="str">
        <f t="shared" si="65"/>
        <v/>
      </c>
      <c r="DQ19" s="822" t="str">
        <f t="shared" si="66"/>
        <v/>
      </c>
      <c r="DR19" s="822" t="str">
        <f t="shared" si="67"/>
        <v/>
      </c>
      <c r="DS19" s="821">
        <f t="shared" si="68"/>
        <v>0</v>
      </c>
      <c r="DT19" s="821">
        <f t="shared" si="69"/>
        <v>0</v>
      </c>
      <c r="DU19" s="821" t="str">
        <f t="shared" si="70"/>
        <v/>
      </c>
      <c r="DV19" s="822" t="str">
        <f t="shared" si="71"/>
        <v/>
      </c>
      <c r="DW19" s="856" t="str">
        <f t="shared" si="72"/>
        <v/>
      </c>
      <c r="DX19" s="1006">
        <f t="shared" si="73"/>
        <v>0</v>
      </c>
      <c r="DY19" s="822">
        <f t="shared" si="74"/>
        <v>0</v>
      </c>
      <c r="DZ19" s="821">
        <f t="shared" si="75"/>
        <v>0</v>
      </c>
      <c r="EA19" s="821" t="str">
        <f t="shared" si="76"/>
        <v/>
      </c>
      <c r="EB19" s="822" t="str">
        <f t="shared" si="77"/>
        <v/>
      </c>
      <c r="EC19" s="856" t="str">
        <f t="shared" si="78"/>
        <v/>
      </c>
      <c r="ED19" s="1006">
        <f t="shared" si="79"/>
        <v>0</v>
      </c>
      <c r="EE19" s="1293" t="str">
        <f t="shared" si="80"/>
        <v/>
      </c>
      <c r="EF19" s="1293" t="str">
        <f t="shared" si="81"/>
        <v/>
      </c>
      <c r="EG19" s="1293" t="str">
        <f t="shared" si="82"/>
        <v/>
      </c>
      <c r="EH19" s="856" t="e">
        <f t="shared" si="83"/>
        <v>#N/A</v>
      </c>
      <c r="EI19" s="856" t="e">
        <f t="shared" si="84"/>
        <v>#N/A</v>
      </c>
      <c r="EJ19" s="822" t="str">
        <f t="shared" si="85"/>
        <v/>
      </c>
      <c r="EK19" s="822" t="str">
        <f t="shared" si="85"/>
        <v/>
      </c>
      <c r="EL19" s="1293" t="str">
        <f t="shared" si="86"/>
        <v/>
      </c>
      <c r="EM19" s="822" t="str">
        <f t="shared" si="87"/>
        <v/>
      </c>
      <c r="EN19" s="822" t="str">
        <f t="shared" si="88"/>
        <v/>
      </c>
      <c r="EO19" s="856" t="e">
        <f t="shared" si="89"/>
        <v>#N/A</v>
      </c>
      <c r="EP19" s="856" t="e">
        <f t="shared" si="90"/>
        <v>#N/A</v>
      </c>
      <c r="EQ19" s="1293" t="str">
        <f t="shared" si="91"/>
        <v/>
      </c>
      <c r="ER19" s="822" t="str">
        <f t="shared" si="91"/>
        <v/>
      </c>
      <c r="ES19" s="822" t="str">
        <f t="shared" si="92"/>
        <v/>
      </c>
      <c r="ET19" s="822" t="str">
        <f t="shared" si="93"/>
        <v/>
      </c>
      <c r="EU19" s="829" t="str">
        <f t="shared" si="94"/>
        <v/>
      </c>
      <c r="EV19" s="824" t="str">
        <f t="shared" si="95"/>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96"/>
        <v/>
      </c>
      <c r="FA19" s="829" t="str">
        <f>IF(AND(DE19="G", ISBLANK(BW19), ISBLANK(BX19)),VLOOKUP(MIN(BT19:BU19),TblJoistSize!$M$3:$N$10,2),IF(OR(DE19="B", DE19="G"),MIN(BW19:BX19),""))</f>
        <v/>
      </c>
      <c r="FB19" s="829" t="str">
        <f>IF(AND(DE19="G", ISBLANK(BW19), ISBLANK(BX19)),VLOOKUP(MAX(BT19:BU19),TblJoistSize!$M$3:$N$10,2),IF(OR(DE19="B", DE19="G"),MAX(BW19:BX19),""))</f>
        <v/>
      </c>
      <c r="FC19" s="829" t="str">
        <f t="shared" si="97"/>
        <v/>
      </c>
      <c r="FD19" s="821">
        <f t="shared" si="124"/>
        <v>0</v>
      </c>
      <c r="FE19" s="821">
        <f t="shared" si="98"/>
        <v>0</v>
      </c>
      <c r="FF19" s="821">
        <f t="shared" si="99"/>
        <v>0</v>
      </c>
      <c r="FG19" s="821" t="str">
        <f t="shared" si="100"/>
        <v/>
      </c>
      <c r="FH19" s="822" t="str">
        <f t="shared" si="101"/>
        <v/>
      </c>
      <c r="FI19" s="821">
        <f t="shared" si="125"/>
        <v>0</v>
      </c>
      <c r="FJ19" s="821">
        <f t="shared" si="102"/>
        <v>0</v>
      </c>
      <c r="FK19" s="821">
        <f t="shared" si="103"/>
        <v>0</v>
      </c>
      <c r="FL19" s="821" t="str">
        <f t="shared" si="104"/>
        <v/>
      </c>
      <c r="FM19" s="822" t="str">
        <f t="shared" si="105"/>
        <v/>
      </c>
      <c r="FN19" s="822" t="e">
        <f t="shared" si="106"/>
        <v>#VALUE!</v>
      </c>
      <c r="FO19" s="940" t="e">
        <f t="shared" si="107"/>
        <v>#VALUE!</v>
      </c>
      <c r="FP19" s="940" t="e">
        <f t="shared" si="108"/>
        <v>#VALUE!</v>
      </c>
      <c r="FQ19" s="830" t="e">
        <f t="shared" si="109"/>
        <v>#VALUE!</v>
      </c>
      <c r="FR19" s="831" t="e">
        <f t="shared" si="110"/>
        <v>#VALUE!</v>
      </c>
      <c r="FS19" s="832" t="str">
        <f t="shared" si="111"/>
        <v/>
      </c>
      <c r="FT19" s="833" t="str">
        <f t="shared" si="112"/>
        <v/>
      </c>
      <c r="FU19" s="870">
        <f t="shared" si="113"/>
        <v>0</v>
      </c>
      <c r="FV19" s="871">
        <f t="shared" si="114"/>
        <v>0</v>
      </c>
      <c r="GA19" s="1791" t="str">
        <f t="shared" si="115"/>
        <v/>
      </c>
      <c r="GB19" s="1792" t="str">
        <f t="shared" si="116"/>
        <v/>
      </c>
      <c r="GC19" s="1793" t="str">
        <f t="shared" si="117"/>
        <v/>
      </c>
      <c r="GD19" s="1794" t="str">
        <f t="shared" si="118"/>
        <v/>
      </c>
      <c r="GE19" s="1795" t="str">
        <f t="shared" si="119"/>
        <v/>
      </c>
      <c r="GF19" s="600" t="str">
        <f t="shared" si="120"/>
        <v/>
      </c>
      <c r="GG19" s="1130"/>
      <c r="GH19" s="1131"/>
      <c r="GI19" s="1130"/>
      <c r="GJ19" s="1131"/>
      <c r="GK19" s="1638">
        <f t="shared" si="121"/>
        <v>0</v>
      </c>
      <c r="GL19" s="1636" t="e">
        <f t="shared" si="122"/>
        <v>#VALUE!</v>
      </c>
      <c r="GM19" s="1637" t="e">
        <f>IF(ABS(GK19-GL19)&gt;='Job Info.'!$L$22,ABS(GK19-GL19),0)</f>
        <v>#VALUE!</v>
      </c>
      <c r="HA19" s="1269"/>
      <c r="HB19" s="1270"/>
      <c r="HC19" s="1270"/>
      <c r="HD19" s="1271"/>
      <c r="HE19" s="1272"/>
      <c r="HF19" s="1270"/>
      <c r="HG19" s="1270"/>
      <c r="HH19" s="1270"/>
      <c r="HI19" s="1273"/>
      <c r="HJ19" s="1270"/>
      <c r="HK19" s="1270"/>
      <c r="HL19" s="1270"/>
      <c r="HM19" s="1270"/>
      <c r="HN19" s="1270"/>
      <c r="HO19" s="1270"/>
      <c r="HP19" s="1270"/>
      <c r="HQ19" s="1273"/>
      <c r="HR19" s="1270"/>
      <c r="HS19" s="1270"/>
      <c r="HT19" s="1270"/>
      <c r="HU19" s="1270"/>
      <c r="HV19" s="1270"/>
      <c r="HW19" s="1272"/>
      <c r="HX19" s="1272"/>
      <c r="HY19" s="1272"/>
      <c r="HZ19" s="1272"/>
      <c r="IA19" s="1272"/>
      <c r="IB19" s="1272"/>
      <c r="IC19" s="1272"/>
      <c r="ID19" s="1272"/>
      <c r="IE19" s="1272"/>
      <c r="IF19" s="1274"/>
    </row>
    <row r="20" spans="1:240" ht="12.6" customHeight="1" x14ac:dyDescent="0.25">
      <c r="A20" s="1448" t="str">
        <f t="shared" si="1"/>
        <v/>
      </c>
      <c r="B20" s="1681" t="str">
        <f t="shared" si="2"/>
        <v/>
      </c>
      <c r="C20" s="1449" t="str">
        <f t="shared" si="3"/>
        <v/>
      </c>
      <c r="D20" s="1705" t="str">
        <f t="shared" si="4"/>
        <v/>
      </c>
      <c r="E20" s="1706" t="str">
        <f t="shared" si="5"/>
        <v/>
      </c>
      <c r="F20" s="1714" t="str">
        <f t="shared" si="6"/>
        <v/>
      </c>
      <c r="G20" s="1709" t="str">
        <f t="shared" si="7"/>
        <v/>
      </c>
      <c r="H20" s="1779" t="str">
        <f t="shared" si="8"/>
        <v/>
      </c>
      <c r="I20" s="1705" t="str">
        <f t="shared" si="9"/>
        <v/>
      </c>
      <c r="J20" s="1709" t="str">
        <f t="shared" si="10"/>
        <v/>
      </c>
      <c r="K20" s="1796" t="str">
        <f t="shared" si="11"/>
        <v/>
      </c>
      <c r="L20" s="1712" t="str">
        <f t="shared" si="12"/>
        <v/>
      </c>
      <c r="M20" s="1713" t="str">
        <f t="shared" si="13"/>
        <v/>
      </c>
      <c r="N20" s="1708" t="str">
        <f t="shared" si="14"/>
        <v/>
      </c>
      <c r="O20" s="1709" t="str">
        <f t="shared" si="15"/>
        <v/>
      </c>
      <c r="P20" s="1710" t="str">
        <f t="shared" si="16"/>
        <v/>
      </c>
      <c r="Q20" s="1705" t="str">
        <f t="shared" si="17"/>
        <v/>
      </c>
      <c r="R20" s="1709" t="str">
        <f t="shared" si="18"/>
        <v/>
      </c>
      <c r="S20" s="1711" t="str">
        <f t="shared" si="19"/>
        <v/>
      </c>
      <c r="T20" s="1714" t="str">
        <f t="shared" si="20"/>
        <v/>
      </c>
      <c r="U20" s="1709" t="str">
        <f t="shared" si="21"/>
        <v/>
      </c>
      <c r="V20" s="1705" t="str">
        <f t="shared" si="22"/>
        <v/>
      </c>
      <c r="W20" s="1709" t="str">
        <f t="shared" si="23"/>
        <v/>
      </c>
      <c r="X20" s="1713">
        <f t="shared" si="24"/>
        <v>0</v>
      </c>
      <c r="Y20" s="1781" t="str">
        <f t="shared" si="25"/>
        <v/>
      </c>
      <c r="Z20" s="1782" t="str">
        <f t="shared" si="26"/>
        <v/>
      </c>
      <c r="AA20" s="1783" t="str">
        <f t="shared" si="27"/>
        <v/>
      </c>
      <c r="AB20" s="1413"/>
      <c r="AC20" s="964" t="b">
        <v>0</v>
      </c>
      <c r="AD20" s="441">
        <f t="shared" si="28"/>
        <v>0</v>
      </c>
      <c r="AE20" s="442">
        <f t="shared" si="29"/>
        <v>0</v>
      </c>
      <c r="AF20" s="442">
        <f t="shared" si="30"/>
        <v>0</v>
      </c>
      <c r="AG20" s="442">
        <f t="shared" si="31"/>
        <v>0</v>
      </c>
      <c r="AH20" s="443">
        <f t="shared" si="32"/>
        <v>0</v>
      </c>
      <c r="AI20" s="444" t="b">
        <v>0</v>
      </c>
      <c r="AJ20" s="238">
        <f t="shared" si="33"/>
        <v>0</v>
      </c>
      <c r="AK20" s="830" t="str">
        <f t="shared" si="34"/>
        <v/>
      </c>
      <c r="AL20" s="945" t="str">
        <f t="shared" si="35"/>
        <v/>
      </c>
      <c r="AM20" s="830" t="str">
        <f t="shared" si="36"/>
        <v/>
      </c>
      <c r="AN20" s="830" t="str">
        <f t="shared" si="37"/>
        <v/>
      </c>
      <c r="AO20" s="830" t="str">
        <f t="shared" si="38"/>
        <v/>
      </c>
      <c r="AP20" s="830" t="b">
        <f>IF(ISERROR(AJ20),FALSE,IF(OR(AJ20=0,ISERROR(AL20),ISERROR(AM20),ISERROR(AN20),ISERROR(AO20)),FALSE,IF(AL20&lt;&gt;"",IF(ISERROR(VLOOKUP(SUBSTITUTE(SUBSTITUTE(C20,"R",""),"A",""),TblJoistSize!$A:$A,1,FALSE)),FALSE,TRUE),TRUE)))</f>
        <v>0</v>
      </c>
      <c r="AQ20" s="1038" t="e">
        <f t="shared" si="39"/>
        <v>#N/A</v>
      </c>
      <c r="AR20" s="945" t="b">
        <f t="shared" si="40"/>
        <v>0</v>
      </c>
      <c r="AS20" s="1038" t="e">
        <f t="shared" si="41"/>
        <v>#N/A</v>
      </c>
      <c r="AT20" s="945" t="b">
        <f t="shared" si="42"/>
        <v>0</v>
      </c>
      <c r="AU20" s="946" t="str">
        <f t="shared" si="43"/>
        <v/>
      </c>
      <c r="AV20" s="830" t="str">
        <f t="shared" si="44"/>
        <v/>
      </c>
      <c r="AW20" s="830" t="str">
        <f t="shared" si="45"/>
        <v/>
      </c>
      <c r="AX20" s="830" t="str">
        <f t="shared" si="123"/>
        <v/>
      </c>
      <c r="AY20" s="1039" t="b">
        <f t="shared" si="46"/>
        <v>0</v>
      </c>
      <c r="AZ20" s="856" t="str">
        <f t="shared" si="47"/>
        <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48"/>
        <v/>
      </c>
      <c r="BR20" s="910"/>
      <c r="BS20" s="672"/>
      <c r="BT20" s="713"/>
      <c r="BU20" s="714"/>
      <c r="BV20" s="1625"/>
      <c r="BW20" s="713"/>
      <c r="BX20" s="714"/>
      <c r="BY20" s="715"/>
      <c r="BZ20" s="716"/>
      <c r="CA20" s="680" t="str">
        <f>IF(ISERROR(DE20),"",IF(DE20="","",IF(VLOOKUP(BS20,SectInfo!$B:$N,10,FALSE)="","","X")))</f>
        <v/>
      </c>
      <c r="CB20" s="738"/>
      <c r="CC20" s="1551" t="str">
        <f t="shared" si="49"/>
        <v/>
      </c>
      <c r="CD20" s="910"/>
      <c r="CE20" s="717"/>
      <c r="CF20" s="736"/>
      <c r="CG20" s="737"/>
      <c r="CH20" s="591" t="str">
        <f t="shared" si="50"/>
        <v/>
      </c>
      <c r="CI20" s="592" t="str">
        <f t="shared" si="51"/>
        <v/>
      </c>
      <c r="CJ20" s="593" t="str">
        <f t="shared" si="52"/>
        <v/>
      </c>
      <c r="CK20" s="594" t="str">
        <f t="shared" si="53"/>
        <v/>
      </c>
      <c r="CL20" s="595" t="str">
        <f t="shared" si="54"/>
        <v/>
      </c>
      <c r="CM20" s="596" t="str">
        <f t="shared" si="55"/>
        <v/>
      </c>
      <c r="CN20" s="597" t="str">
        <f t="shared" si="56"/>
        <v/>
      </c>
      <c r="CO20" s="598" t="str">
        <f t="shared" si="57"/>
        <v/>
      </c>
      <c r="CP20" s="615" t="str">
        <f t="shared" si="58"/>
        <v/>
      </c>
      <c r="CQ20" s="616" t="str">
        <f t="shared" si="59"/>
        <v/>
      </c>
      <c r="CR20" s="750" t="str">
        <f t="shared" si="60"/>
        <v/>
      </c>
      <c r="CS20" s="751" t="str">
        <f t="shared" si="61"/>
        <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62"/>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63"/>
        <v>0</v>
      </c>
      <c r="DO20" s="818">
        <f t="shared" si="64"/>
        <v>0</v>
      </c>
      <c r="DP20" s="822" t="str">
        <f t="shared" si="65"/>
        <v/>
      </c>
      <c r="DQ20" s="822" t="str">
        <f t="shared" si="66"/>
        <v/>
      </c>
      <c r="DR20" s="822" t="str">
        <f t="shared" si="67"/>
        <v/>
      </c>
      <c r="DS20" s="821">
        <f t="shared" si="68"/>
        <v>0</v>
      </c>
      <c r="DT20" s="821">
        <f t="shared" si="69"/>
        <v>0</v>
      </c>
      <c r="DU20" s="821" t="str">
        <f t="shared" si="70"/>
        <v/>
      </c>
      <c r="DV20" s="822" t="str">
        <f t="shared" si="71"/>
        <v/>
      </c>
      <c r="DW20" s="856" t="str">
        <f t="shared" si="72"/>
        <v/>
      </c>
      <c r="DX20" s="1006">
        <f t="shared" si="73"/>
        <v>0</v>
      </c>
      <c r="DY20" s="822">
        <f t="shared" si="74"/>
        <v>0</v>
      </c>
      <c r="DZ20" s="821">
        <f t="shared" si="75"/>
        <v>0</v>
      </c>
      <c r="EA20" s="821" t="str">
        <f t="shared" si="76"/>
        <v/>
      </c>
      <c r="EB20" s="822" t="str">
        <f t="shared" si="77"/>
        <v/>
      </c>
      <c r="EC20" s="856" t="str">
        <f t="shared" si="78"/>
        <v/>
      </c>
      <c r="ED20" s="1006">
        <f t="shared" si="79"/>
        <v>0</v>
      </c>
      <c r="EE20" s="1293" t="str">
        <f t="shared" si="80"/>
        <v/>
      </c>
      <c r="EF20" s="1293" t="str">
        <f t="shared" si="81"/>
        <v/>
      </c>
      <c r="EG20" s="1293" t="str">
        <f t="shared" si="82"/>
        <v/>
      </c>
      <c r="EH20" s="856" t="e">
        <f t="shared" si="83"/>
        <v>#N/A</v>
      </c>
      <c r="EI20" s="856" t="e">
        <f t="shared" si="84"/>
        <v>#N/A</v>
      </c>
      <c r="EJ20" s="822" t="str">
        <f t="shared" si="85"/>
        <v/>
      </c>
      <c r="EK20" s="822" t="str">
        <f t="shared" si="85"/>
        <v/>
      </c>
      <c r="EL20" s="1293" t="str">
        <f t="shared" si="86"/>
        <v/>
      </c>
      <c r="EM20" s="822" t="str">
        <f t="shared" si="87"/>
        <v/>
      </c>
      <c r="EN20" s="822" t="str">
        <f t="shared" si="88"/>
        <v/>
      </c>
      <c r="EO20" s="856" t="e">
        <f t="shared" si="89"/>
        <v>#N/A</v>
      </c>
      <c r="EP20" s="856" t="e">
        <f t="shared" si="90"/>
        <v>#N/A</v>
      </c>
      <c r="EQ20" s="1293" t="str">
        <f t="shared" si="91"/>
        <v/>
      </c>
      <c r="ER20" s="822" t="str">
        <f t="shared" si="91"/>
        <v/>
      </c>
      <c r="ES20" s="822" t="str">
        <f t="shared" si="92"/>
        <v/>
      </c>
      <c r="ET20" s="822" t="str">
        <f t="shared" si="93"/>
        <v/>
      </c>
      <c r="EU20" s="829" t="str">
        <f t="shared" si="94"/>
        <v/>
      </c>
      <c r="EV20" s="824" t="str">
        <f t="shared" si="95"/>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96"/>
        <v/>
      </c>
      <c r="FA20" s="829" t="str">
        <f>IF(AND(DE20="G", ISBLANK(BW20), ISBLANK(BX20)),VLOOKUP(MIN(BT20:BU20),TblJoistSize!$M$3:$N$10,2),IF(OR(DE20="B", DE20="G"),MIN(BW20:BX20),""))</f>
        <v/>
      </c>
      <c r="FB20" s="829" t="str">
        <f>IF(AND(DE20="G", ISBLANK(BW20), ISBLANK(BX20)),VLOOKUP(MAX(BT20:BU20),TblJoistSize!$M$3:$N$10,2),IF(OR(DE20="B", DE20="G"),MAX(BW20:BX20),""))</f>
        <v/>
      </c>
      <c r="FC20" s="829" t="str">
        <f t="shared" si="97"/>
        <v/>
      </c>
      <c r="FD20" s="821">
        <f t="shared" si="124"/>
        <v>0</v>
      </c>
      <c r="FE20" s="821">
        <f t="shared" si="98"/>
        <v>0</v>
      </c>
      <c r="FF20" s="821">
        <f t="shared" si="99"/>
        <v>0</v>
      </c>
      <c r="FG20" s="821" t="str">
        <f t="shared" si="100"/>
        <v/>
      </c>
      <c r="FH20" s="822" t="str">
        <f t="shared" si="101"/>
        <v/>
      </c>
      <c r="FI20" s="821">
        <f t="shared" si="125"/>
        <v>0</v>
      </c>
      <c r="FJ20" s="821">
        <f t="shared" si="102"/>
        <v>0</v>
      </c>
      <c r="FK20" s="821">
        <f t="shared" si="103"/>
        <v>0</v>
      </c>
      <c r="FL20" s="821" t="str">
        <f t="shared" si="104"/>
        <v/>
      </c>
      <c r="FM20" s="822" t="str">
        <f t="shared" si="105"/>
        <v/>
      </c>
      <c r="FN20" s="822" t="e">
        <f t="shared" si="106"/>
        <v>#VALUE!</v>
      </c>
      <c r="FO20" s="940" t="e">
        <f t="shared" si="107"/>
        <v>#VALUE!</v>
      </c>
      <c r="FP20" s="940" t="e">
        <f t="shared" si="108"/>
        <v>#VALUE!</v>
      </c>
      <c r="FQ20" s="830" t="e">
        <f t="shared" si="109"/>
        <v>#VALUE!</v>
      </c>
      <c r="FR20" s="831" t="e">
        <f t="shared" si="110"/>
        <v>#VALUE!</v>
      </c>
      <c r="FS20" s="832" t="str">
        <f t="shared" si="111"/>
        <v/>
      </c>
      <c r="FT20" s="833" t="str">
        <f t="shared" si="112"/>
        <v/>
      </c>
      <c r="FU20" s="870">
        <f t="shared" si="113"/>
        <v>0</v>
      </c>
      <c r="FV20" s="871">
        <f t="shared" si="114"/>
        <v>0</v>
      </c>
      <c r="GA20" s="1791" t="str">
        <f t="shared" si="115"/>
        <v/>
      </c>
      <c r="GB20" s="1792" t="str">
        <f t="shared" si="116"/>
        <v/>
      </c>
      <c r="GC20" s="1793" t="str">
        <f t="shared" si="117"/>
        <v/>
      </c>
      <c r="GD20" s="1794" t="str">
        <f t="shared" si="118"/>
        <v/>
      </c>
      <c r="GE20" s="1795" t="str">
        <f t="shared" si="119"/>
        <v/>
      </c>
      <c r="GF20" s="600" t="str">
        <f t="shared" si="120"/>
        <v/>
      </c>
      <c r="GG20" s="1130"/>
      <c r="GH20" s="1131"/>
      <c r="GI20" s="1130"/>
      <c r="GJ20" s="1131"/>
      <c r="GK20" s="1638">
        <f t="shared" si="121"/>
        <v>0</v>
      </c>
      <c r="GL20" s="1636" t="e">
        <f t="shared" si="122"/>
        <v>#VALUE!</v>
      </c>
      <c r="GM20" s="1637" t="e">
        <f>IF(ABS(GK20-GL20)&gt;='Job Info.'!$L$22,ABS(GK20-GL20),0)</f>
        <v>#VALUE!</v>
      </c>
      <c r="HA20" s="1269"/>
      <c r="HB20" s="1270"/>
      <c r="HC20" s="1270"/>
      <c r="HD20" s="1271"/>
      <c r="HE20" s="1272"/>
      <c r="HF20" s="1270"/>
      <c r="HG20" s="1270"/>
      <c r="HH20" s="1270"/>
      <c r="HI20" s="1273"/>
      <c r="HJ20" s="1270"/>
      <c r="HK20" s="1270"/>
      <c r="HL20" s="1270"/>
      <c r="HM20" s="1270"/>
      <c r="HN20" s="1270"/>
      <c r="HO20" s="1270"/>
      <c r="HP20" s="1270"/>
      <c r="HQ20" s="1273"/>
      <c r="HR20" s="1270"/>
      <c r="HS20" s="1270"/>
      <c r="HT20" s="1270"/>
      <c r="HU20" s="1270"/>
      <c r="HV20" s="1270"/>
      <c r="HW20" s="1272"/>
      <c r="HX20" s="1272"/>
      <c r="HY20" s="1272"/>
      <c r="HZ20" s="1272"/>
      <c r="IA20" s="1272"/>
      <c r="IB20" s="1272"/>
      <c r="IC20" s="1272"/>
      <c r="ID20" s="1272"/>
      <c r="IE20" s="1272"/>
      <c r="IF20" s="1274"/>
    </row>
    <row r="21" spans="1:240" ht="12.6" customHeight="1" x14ac:dyDescent="0.25">
      <c r="A21" s="1448" t="str">
        <f t="shared" si="1"/>
        <v/>
      </c>
      <c r="B21" s="1681" t="str">
        <f t="shared" si="2"/>
        <v/>
      </c>
      <c r="C21" s="1449" t="str">
        <f t="shared" si="3"/>
        <v/>
      </c>
      <c r="D21" s="1705" t="str">
        <f t="shared" si="4"/>
        <v/>
      </c>
      <c r="E21" s="1706" t="str">
        <f t="shared" si="5"/>
        <v/>
      </c>
      <c r="F21" s="1714" t="str">
        <f t="shared" si="6"/>
        <v/>
      </c>
      <c r="G21" s="1709" t="str">
        <f t="shared" si="7"/>
        <v/>
      </c>
      <c r="H21" s="1779" t="str">
        <f t="shared" si="8"/>
        <v/>
      </c>
      <c r="I21" s="1705" t="str">
        <f t="shared" si="9"/>
        <v/>
      </c>
      <c r="J21" s="1709" t="str">
        <f t="shared" si="10"/>
        <v/>
      </c>
      <c r="K21" s="1796" t="str">
        <f t="shared" si="11"/>
        <v/>
      </c>
      <c r="L21" s="1712" t="str">
        <f t="shared" si="12"/>
        <v/>
      </c>
      <c r="M21" s="1713" t="str">
        <f t="shared" si="13"/>
        <v/>
      </c>
      <c r="N21" s="1708" t="str">
        <f t="shared" si="14"/>
        <v/>
      </c>
      <c r="O21" s="1709" t="str">
        <f t="shared" si="15"/>
        <v/>
      </c>
      <c r="P21" s="1710" t="str">
        <f t="shared" si="16"/>
        <v/>
      </c>
      <c r="Q21" s="1705" t="str">
        <f t="shared" si="17"/>
        <v/>
      </c>
      <c r="R21" s="1709" t="str">
        <f t="shared" si="18"/>
        <v/>
      </c>
      <c r="S21" s="1711" t="str">
        <f t="shared" si="19"/>
        <v/>
      </c>
      <c r="T21" s="1714" t="str">
        <f t="shared" si="20"/>
        <v/>
      </c>
      <c r="U21" s="1709" t="str">
        <f t="shared" si="21"/>
        <v/>
      </c>
      <c r="V21" s="1705" t="str">
        <f t="shared" si="22"/>
        <v/>
      </c>
      <c r="W21" s="1709" t="str">
        <f t="shared" si="23"/>
        <v/>
      </c>
      <c r="X21" s="1713">
        <f t="shared" si="24"/>
        <v>0</v>
      </c>
      <c r="Y21" s="1781" t="str">
        <f t="shared" si="25"/>
        <v/>
      </c>
      <c r="Z21" s="1782" t="str">
        <f t="shared" si="26"/>
        <v/>
      </c>
      <c r="AA21" s="1783" t="str">
        <f t="shared" si="27"/>
        <v/>
      </c>
      <c r="AB21" s="1413"/>
      <c r="AC21" s="964" t="b">
        <v>0</v>
      </c>
      <c r="AD21" s="441">
        <f t="shared" si="28"/>
        <v>0</v>
      </c>
      <c r="AE21" s="442">
        <f t="shared" si="29"/>
        <v>0</v>
      </c>
      <c r="AF21" s="442">
        <f t="shared" si="30"/>
        <v>0</v>
      </c>
      <c r="AG21" s="442">
        <f t="shared" si="31"/>
        <v>0</v>
      </c>
      <c r="AH21" s="443">
        <f t="shared" si="32"/>
        <v>0</v>
      </c>
      <c r="AI21" s="444" t="b">
        <v>0</v>
      </c>
      <c r="AJ21" s="238">
        <f t="shared" si="33"/>
        <v>0</v>
      </c>
      <c r="AK21" s="830" t="str">
        <f t="shared" si="34"/>
        <v/>
      </c>
      <c r="AL21" s="945" t="str">
        <f t="shared" si="35"/>
        <v/>
      </c>
      <c r="AM21" s="830" t="str">
        <f t="shared" si="36"/>
        <v/>
      </c>
      <c r="AN21" s="830" t="str">
        <f t="shared" si="37"/>
        <v/>
      </c>
      <c r="AO21" s="830" t="str">
        <f t="shared" si="38"/>
        <v/>
      </c>
      <c r="AP21" s="830" t="b">
        <f>IF(ISERROR(AJ21),FALSE,IF(OR(AJ21=0,ISERROR(AL21),ISERROR(AM21),ISERROR(AN21),ISERROR(AO21)),FALSE,IF(AL21&lt;&gt;"",IF(ISERROR(VLOOKUP(SUBSTITUTE(SUBSTITUTE(C21,"R",""),"A",""),TblJoistSize!$A:$A,1,FALSE)),FALSE,TRUE),TRUE)))</f>
        <v>0</v>
      </c>
      <c r="AQ21" s="1038" t="e">
        <f t="shared" si="39"/>
        <v>#N/A</v>
      </c>
      <c r="AR21" s="945" t="b">
        <f t="shared" si="40"/>
        <v>0</v>
      </c>
      <c r="AS21" s="1038" t="e">
        <f t="shared" si="41"/>
        <v>#N/A</v>
      </c>
      <c r="AT21" s="945" t="b">
        <f t="shared" si="42"/>
        <v>0</v>
      </c>
      <c r="AU21" s="946" t="str">
        <f t="shared" si="43"/>
        <v/>
      </c>
      <c r="AV21" s="830" t="str">
        <f t="shared" si="44"/>
        <v/>
      </c>
      <c r="AW21" s="830" t="str">
        <f t="shared" si="45"/>
        <v/>
      </c>
      <c r="AX21" s="830" t="str">
        <f t="shared" si="123"/>
        <v/>
      </c>
      <c r="AY21" s="1039" t="b">
        <f t="shared" si="46"/>
        <v>0</v>
      </c>
      <c r="AZ21" s="856" t="str">
        <f t="shared" si="47"/>
        <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48"/>
        <v/>
      </c>
      <c r="BR21" s="910"/>
      <c r="BS21" s="672"/>
      <c r="BT21" s="713"/>
      <c r="BU21" s="714"/>
      <c r="BV21" s="1625"/>
      <c r="BW21" s="713"/>
      <c r="BX21" s="714"/>
      <c r="BY21" s="715"/>
      <c r="BZ21" s="716"/>
      <c r="CA21" s="680" t="str">
        <f>IF(ISERROR(DE21),"",IF(DE21="","",IF(VLOOKUP(BS21,SectInfo!$B:$N,10,FALSE)="","","X")))</f>
        <v/>
      </c>
      <c r="CB21" s="738"/>
      <c r="CC21" s="1551" t="str">
        <f t="shared" si="49"/>
        <v/>
      </c>
      <c r="CD21" s="910"/>
      <c r="CE21" s="717"/>
      <c r="CF21" s="736"/>
      <c r="CG21" s="737"/>
      <c r="CH21" s="591" t="str">
        <f t="shared" si="50"/>
        <v/>
      </c>
      <c r="CI21" s="592" t="str">
        <f t="shared" si="51"/>
        <v/>
      </c>
      <c r="CJ21" s="593" t="str">
        <f t="shared" si="52"/>
        <v/>
      </c>
      <c r="CK21" s="594" t="str">
        <f t="shared" si="53"/>
        <v/>
      </c>
      <c r="CL21" s="595" t="str">
        <f t="shared" si="54"/>
        <v/>
      </c>
      <c r="CM21" s="596" t="str">
        <f t="shared" si="55"/>
        <v/>
      </c>
      <c r="CN21" s="597" t="str">
        <f t="shared" si="56"/>
        <v/>
      </c>
      <c r="CO21" s="598" t="str">
        <f t="shared" si="57"/>
        <v/>
      </c>
      <c r="CP21" s="615" t="str">
        <f t="shared" si="58"/>
        <v/>
      </c>
      <c r="CQ21" s="616" t="str">
        <f t="shared" si="59"/>
        <v/>
      </c>
      <c r="CR21" s="750" t="str">
        <f t="shared" si="60"/>
        <v/>
      </c>
      <c r="CS21" s="751" t="str">
        <f t="shared" si="61"/>
        <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62"/>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63"/>
        <v>0</v>
      </c>
      <c r="DO21" s="818">
        <f t="shared" si="64"/>
        <v>0</v>
      </c>
      <c r="DP21" s="822" t="str">
        <f t="shared" si="65"/>
        <v/>
      </c>
      <c r="DQ21" s="822" t="str">
        <f t="shared" si="66"/>
        <v/>
      </c>
      <c r="DR21" s="822" t="str">
        <f t="shared" si="67"/>
        <v/>
      </c>
      <c r="DS21" s="821">
        <f t="shared" si="68"/>
        <v>0</v>
      </c>
      <c r="DT21" s="821">
        <f t="shared" si="69"/>
        <v>0</v>
      </c>
      <c r="DU21" s="821" t="str">
        <f t="shared" si="70"/>
        <v/>
      </c>
      <c r="DV21" s="822" t="str">
        <f t="shared" si="71"/>
        <v/>
      </c>
      <c r="DW21" s="856" t="str">
        <f t="shared" si="72"/>
        <v/>
      </c>
      <c r="DX21" s="1006">
        <f t="shared" si="73"/>
        <v>0</v>
      </c>
      <c r="DY21" s="822">
        <f t="shared" si="74"/>
        <v>0</v>
      </c>
      <c r="DZ21" s="821">
        <f t="shared" si="75"/>
        <v>0</v>
      </c>
      <c r="EA21" s="821" t="str">
        <f t="shared" si="76"/>
        <v/>
      </c>
      <c r="EB21" s="822" t="str">
        <f t="shared" si="77"/>
        <v/>
      </c>
      <c r="EC21" s="856" t="str">
        <f t="shared" si="78"/>
        <v/>
      </c>
      <c r="ED21" s="1006">
        <f t="shared" si="79"/>
        <v>0</v>
      </c>
      <c r="EE21" s="1293" t="str">
        <f t="shared" si="80"/>
        <v/>
      </c>
      <c r="EF21" s="1293" t="str">
        <f t="shared" si="81"/>
        <v/>
      </c>
      <c r="EG21" s="1293" t="str">
        <f t="shared" si="82"/>
        <v/>
      </c>
      <c r="EH21" s="856" t="e">
        <f t="shared" si="83"/>
        <v>#N/A</v>
      </c>
      <c r="EI21" s="856" t="e">
        <f t="shared" si="84"/>
        <v>#N/A</v>
      </c>
      <c r="EJ21" s="822" t="str">
        <f t="shared" si="85"/>
        <v/>
      </c>
      <c r="EK21" s="822" t="str">
        <f t="shared" si="85"/>
        <v/>
      </c>
      <c r="EL21" s="1293" t="str">
        <f t="shared" si="86"/>
        <v/>
      </c>
      <c r="EM21" s="822" t="str">
        <f t="shared" si="87"/>
        <v/>
      </c>
      <c r="EN21" s="822" t="str">
        <f t="shared" si="88"/>
        <v/>
      </c>
      <c r="EO21" s="856" t="e">
        <f t="shared" si="89"/>
        <v>#N/A</v>
      </c>
      <c r="EP21" s="856" t="e">
        <f t="shared" si="90"/>
        <v>#N/A</v>
      </c>
      <c r="EQ21" s="1293" t="str">
        <f t="shared" si="91"/>
        <v/>
      </c>
      <c r="ER21" s="822" t="str">
        <f t="shared" si="91"/>
        <v/>
      </c>
      <c r="ES21" s="822" t="str">
        <f t="shared" si="92"/>
        <v/>
      </c>
      <c r="ET21" s="822" t="str">
        <f t="shared" si="93"/>
        <v/>
      </c>
      <c r="EU21" s="829" t="str">
        <f t="shared" si="94"/>
        <v/>
      </c>
      <c r="EV21" s="824" t="str">
        <f t="shared" si="95"/>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96"/>
        <v/>
      </c>
      <c r="FA21" s="829" t="str">
        <f>IF(AND(DE21="G", ISBLANK(BW21), ISBLANK(BX21)),VLOOKUP(MIN(BT21:BU21),TblJoistSize!$M$3:$N$10,2),IF(OR(DE21="B", DE21="G"),MIN(BW21:BX21),""))</f>
        <v/>
      </c>
      <c r="FB21" s="829" t="str">
        <f>IF(AND(DE21="G", ISBLANK(BW21), ISBLANK(BX21)),VLOOKUP(MAX(BT21:BU21),TblJoistSize!$M$3:$N$10,2),IF(OR(DE21="B", DE21="G"),MAX(BW21:BX21),""))</f>
        <v/>
      </c>
      <c r="FC21" s="829" t="str">
        <f t="shared" si="97"/>
        <v/>
      </c>
      <c r="FD21" s="821">
        <f t="shared" si="124"/>
        <v>0</v>
      </c>
      <c r="FE21" s="821">
        <f t="shared" si="98"/>
        <v>0</v>
      </c>
      <c r="FF21" s="821">
        <f t="shared" si="99"/>
        <v>0</v>
      </c>
      <c r="FG21" s="821" t="str">
        <f t="shared" si="100"/>
        <v/>
      </c>
      <c r="FH21" s="822" t="str">
        <f t="shared" si="101"/>
        <v/>
      </c>
      <c r="FI21" s="821">
        <f t="shared" si="125"/>
        <v>0</v>
      </c>
      <c r="FJ21" s="821">
        <f t="shared" si="102"/>
        <v>0</v>
      </c>
      <c r="FK21" s="821">
        <f t="shared" si="103"/>
        <v>0</v>
      </c>
      <c r="FL21" s="821" t="str">
        <f t="shared" si="104"/>
        <v/>
      </c>
      <c r="FM21" s="822" t="str">
        <f t="shared" si="105"/>
        <v/>
      </c>
      <c r="FN21" s="822" t="e">
        <f t="shared" si="106"/>
        <v>#VALUE!</v>
      </c>
      <c r="FO21" s="940" t="e">
        <f t="shared" si="107"/>
        <v>#VALUE!</v>
      </c>
      <c r="FP21" s="940" t="e">
        <f t="shared" si="108"/>
        <v>#VALUE!</v>
      </c>
      <c r="FQ21" s="830" t="e">
        <f t="shared" si="109"/>
        <v>#VALUE!</v>
      </c>
      <c r="FR21" s="831" t="e">
        <f t="shared" si="110"/>
        <v>#VALUE!</v>
      </c>
      <c r="FS21" s="832" t="str">
        <f t="shared" si="111"/>
        <v/>
      </c>
      <c r="FT21" s="833" t="str">
        <f t="shared" si="112"/>
        <v/>
      </c>
      <c r="FU21" s="870">
        <f t="shared" si="113"/>
        <v>0</v>
      </c>
      <c r="FV21" s="871">
        <f t="shared" si="114"/>
        <v>0</v>
      </c>
      <c r="GA21" s="1791" t="str">
        <f t="shared" si="115"/>
        <v/>
      </c>
      <c r="GB21" s="1792" t="str">
        <f t="shared" si="116"/>
        <v/>
      </c>
      <c r="GC21" s="1793" t="str">
        <f t="shared" si="117"/>
        <v/>
      </c>
      <c r="GD21" s="1794" t="str">
        <f t="shared" si="118"/>
        <v/>
      </c>
      <c r="GE21" s="1795" t="str">
        <f t="shared" si="119"/>
        <v/>
      </c>
      <c r="GF21" s="600" t="str">
        <f t="shared" si="120"/>
        <v/>
      </c>
      <c r="GG21" s="1130"/>
      <c r="GH21" s="1131"/>
      <c r="GI21" s="1130"/>
      <c r="GJ21" s="1131"/>
      <c r="GK21" s="1638">
        <f t="shared" si="121"/>
        <v>0</v>
      </c>
      <c r="GL21" s="1636" t="e">
        <f t="shared" si="122"/>
        <v>#VALUE!</v>
      </c>
      <c r="GM21" s="1637" t="e">
        <f>IF(ABS(GK21-GL21)&gt;='Job Info.'!$L$22,ABS(GK21-GL21),0)</f>
        <v>#VALUE!</v>
      </c>
      <c r="HA21" s="1269"/>
      <c r="HB21" s="1270"/>
      <c r="HC21" s="1270"/>
      <c r="HD21" s="1271"/>
      <c r="HE21" s="1272"/>
      <c r="HF21" s="1270"/>
      <c r="HG21" s="1270"/>
      <c r="HH21" s="1270"/>
      <c r="HI21" s="1273"/>
      <c r="HJ21" s="1270"/>
      <c r="HK21" s="1270"/>
      <c r="HL21" s="1270"/>
      <c r="HM21" s="1270"/>
      <c r="HN21" s="1270"/>
      <c r="HO21" s="1270"/>
      <c r="HP21" s="1270"/>
      <c r="HQ21" s="1273"/>
      <c r="HR21" s="1270"/>
      <c r="HS21" s="1270"/>
      <c r="HT21" s="1270"/>
      <c r="HU21" s="1270"/>
      <c r="HV21" s="1270"/>
      <c r="HW21" s="1272"/>
      <c r="HX21" s="1272"/>
      <c r="HY21" s="1272"/>
      <c r="HZ21" s="1272"/>
      <c r="IA21" s="1272"/>
      <c r="IB21" s="1272"/>
      <c r="IC21" s="1272"/>
      <c r="ID21" s="1272"/>
      <c r="IE21" s="1272"/>
      <c r="IF21" s="1274"/>
    </row>
    <row r="22" spans="1:240" ht="12.6" customHeight="1" x14ac:dyDescent="0.25">
      <c r="A22" s="1448" t="str">
        <f t="shared" si="1"/>
        <v/>
      </c>
      <c r="B22" s="1681" t="str">
        <f t="shared" si="2"/>
        <v/>
      </c>
      <c r="C22" s="1449" t="str">
        <f t="shared" si="3"/>
        <v/>
      </c>
      <c r="D22" s="1705" t="str">
        <f t="shared" si="4"/>
        <v/>
      </c>
      <c r="E22" s="1706" t="str">
        <f t="shared" si="5"/>
        <v/>
      </c>
      <c r="F22" s="1714" t="str">
        <f t="shared" si="6"/>
        <v/>
      </c>
      <c r="G22" s="1709" t="str">
        <f t="shared" si="7"/>
        <v/>
      </c>
      <c r="H22" s="1779" t="str">
        <f t="shared" si="8"/>
        <v/>
      </c>
      <c r="I22" s="1705" t="str">
        <f t="shared" si="9"/>
        <v/>
      </c>
      <c r="J22" s="1709" t="str">
        <f t="shared" si="10"/>
        <v/>
      </c>
      <c r="K22" s="1796" t="str">
        <f t="shared" si="11"/>
        <v/>
      </c>
      <c r="L22" s="1712" t="str">
        <f t="shared" si="12"/>
        <v/>
      </c>
      <c r="M22" s="1713" t="str">
        <f t="shared" si="13"/>
        <v/>
      </c>
      <c r="N22" s="1708" t="str">
        <f t="shared" si="14"/>
        <v/>
      </c>
      <c r="O22" s="1709" t="str">
        <f t="shared" si="15"/>
        <v/>
      </c>
      <c r="P22" s="1710" t="str">
        <f t="shared" si="16"/>
        <v/>
      </c>
      <c r="Q22" s="1705" t="str">
        <f t="shared" si="17"/>
        <v/>
      </c>
      <c r="R22" s="1709" t="str">
        <f t="shared" si="18"/>
        <v/>
      </c>
      <c r="S22" s="1711" t="str">
        <f t="shared" si="19"/>
        <v/>
      </c>
      <c r="T22" s="1714" t="str">
        <f t="shared" si="20"/>
        <v/>
      </c>
      <c r="U22" s="1709" t="str">
        <f t="shared" si="21"/>
        <v/>
      </c>
      <c r="V22" s="1705" t="str">
        <f t="shared" si="22"/>
        <v/>
      </c>
      <c r="W22" s="1709" t="str">
        <f t="shared" si="23"/>
        <v/>
      </c>
      <c r="X22" s="1713">
        <f t="shared" si="24"/>
        <v>0</v>
      </c>
      <c r="Y22" s="1781" t="str">
        <f t="shared" si="25"/>
        <v/>
      </c>
      <c r="Z22" s="1782" t="str">
        <f t="shared" si="26"/>
        <v/>
      </c>
      <c r="AA22" s="1783" t="str">
        <f t="shared" si="27"/>
        <v/>
      </c>
      <c r="AB22" s="1413"/>
      <c r="AC22" s="964" t="b">
        <v>0</v>
      </c>
      <c r="AD22" s="441">
        <f t="shared" si="28"/>
        <v>0</v>
      </c>
      <c r="AE22" s="442">
        <f t="shared" si="29"/>
        <v>0</v>
      </c>
      <c r="AF22" s="442">
        <f t="shared" si="30"/>
        <v>0</v>
      </c>
      <c r="AG22" s="442">
        <f t="shared" si="31"/>
        <v>0</v>
      </c>
      <c r="AH22" s="443">
        <f t="shared" si="32"/>
        <v>0</v>
      </c>
      <c r="AI22" s="444" t="b">
        <v>0</v>
      </c>
      <c r="AJ22" s="238">
        <f t="shared" si="33"/>
        <v>0</v>
      </c>
      <c r="AK22" s="830" t="str">
        <f t="shared" si="34"/>
        <v/>
      </c>
      <c r="AL22" s="945" t="str">
        <f t="shared" si="35"/>
        <v/>
      </c>
      <c r="AM22" s="830" t="str">
        <f t="shared" si="36"/>
        <v/>
      </c>
      <c r="AN22" s="830" t="str">
        <f t="shared" si="37"/>
        <v/>
      </c>
      <c r="AO22" s="830" t="str">
        <f t="shared" si="38"/>
        <v/>
      </c>
      <c r="AP22" s="830" t="b">
        <f>IF(ISERROR(AJ22),FALSE,IF(OR(AJ22=0,ISERROR(AL22),ISERROR(AM22),ISERROR(AN22),ISERROR(AO22)),FALSE,IF(AL22&lt;&gt;"",IF(ISERROR(VLOOKUP(SUBSTITUTE(SUBSTITUTE(C22,"R",""),"A",""),TblJoistSize!$A:$A,1,FALSE)),FALSE,TRUE),TRUE)))</f>
        <v>0</v>
      </c>
      <c r="AQ22" s="1038" t="e">
        <f t="shared" si="39"/>
        <v>#N/A</v>
      </c>
      <c r="AR22" s="945" t="b">
        <f t="shared" si="40"/>
        <v>0</v>
      </c>
      <c r="AS22" s="1038" t="e">
        <f t="shared" si="41"/>
        <v>#N/A</v>
      </c>
      <c r="AT22" s="945" t="b">
        <f t="shared" si="42"/>
        <v>0</v>
      </c>
      <c r="AU22" s="946" t="str">
        <f t="shared" si="43"/>
        <v/>
      </c>
      <c r="AV22" s="830" t="str">
        <f t="shared" si="44"/>
        <v/>
      </c>
      <c r="AW22" s="830" t="str">
        <f t="shared" si="45"/>
        <v/>
      </c>
      <c r="AX22" s="830" t="str">
        <f t="shared" si="123"/>
        <v/>
      </c>
      <c r="AY22" s="1039" t="b">
        <f t="shared" si="46"/>
        <v>0</v>
      </c>
      <c r="AZ22" s="856" t="str">
        <f t="shared" si="47"/>
        <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48"/>
        <v/>
      </c>
      <c r="BR22" s="910"/>
      <c r="BS22" s="672"/>
      <c r="BT22" s="713"/>
      <c r="BU22" s="714"/>
      <c r="BV22" s="1625"/>
      <c r="BW22" s="713"/>
      <c r="BX22" s="714"/>
      <c r="BY22" s="715"/>
      <c r="BZ22" s="716"/>
      <c r="CA22" s="680" t="str">
        <f>IF(ISERROR(DE22),"",IF(DE22="","",IF(VLOOKUP(BS22,SectInfo!$B:$N,10,FALSE)="","","X")))</f>
        <v/>
      </c>
      <c r="CB22" s="738"/>
      <c r="CC22" s="1551" t="str">
        <f t="shared" si="49"/>
        <v/>
      </c>
      <c r="CD22" s="910"/>
      <c r="CE22" s="717"/>
      <c r="CF22" s="736"/>
      <c r="CG22" s="737"/>
      <c r="CH22" s="591" t="str">
        <f t="shared" si="50"/>
        <v/>
      </c>
      <c r="CI22" s="592" t="str">
        <f t="shared" si="51"/>
        <v/>
      </c>
      <c r="CJ22" s="593" t="str">
        <f t="shared" si="52"/>
        <v/>
      </c>
      <c r="CK22" s="594" t="str">
        <f t="shared" si="53"/>
        <v/>
      </c>
      <c r="CL22" s="595" t="str">
        <f t="shared" si="54"/>
        <v/>
      </c>
      <c r="CM22" s="596" t="str">
        <f t="shared" si="55"/>
        <v/>
      </c>
      <c r="CN22" s="597" t="str">
        <f t="shared" si="56"/>
        <v/>
      </c>
      <c r="CO22" s="598" t="str">
        <f t="shared" si="57"/>
        <v/>
      </c>
      <c r="CP22" s="615" t="str">
        <f t="shared" si="58"/>
        <v/>
      </c>
      <c r="CQ22" s="616" t="str">
        <f t="shared" si="59"/>
        <v/>
      </c>
      <c r="CR22" s="750" t="str">
        <f t="shared" si="60"/>
        <v/>
      </c>
      <c r="CS22" s="751" t="str">
        <f t="shared" si="61"/>
        <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62"/>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63"/>
        <v>0</v>
      </c>
      <c r="DO22" s="818">
        <f t="shared" si="64"/>
        <v>0</v>
      </c>
      <c r="DP22" s="822" t="str">
        <f t="shared" si="65"/>
        <v/>
      </c>
      <c r="DQ22" s="822" t="str">
        <f t="shared" si="66"/>
        <v/>
      </c>
      <c r="DR22" s="822" t="str">
        <f t="shared" si="67"/>
        <v/>
      </c>
      <c r="DS22" s="821">
        <f t="shared" si="68"/>
        <v>0</v>
      </c>
      <c r="DT22" s="821">
        <f t="shared" si="69"/>
        <v>0</v>
      </c>
      <c r="DU22" s="821" t="str">
        <f t="shared" si="70"/>
        <v/>
      </c>
      <c r="DV22" s="822" t="str">
        <f t="shared" si="71"/>
        <v/>
      </c>
      <c r="DW22" s="856" t="str">
        <f t="shared" si="72"/>
        <v/>
      </c>
      <c r="DX22" s="1006">
        <f t="shared" si="73"/>
        <v>0</v>
      </c>
      <c r="DY22" s="822">
        <f t="shared" si="74"/>
        <v>0</v>
      </c>
      <c r="DZ22" s="821">
        <f t="shared" si="75"/>
        <v>0</v>
      </c>
      <c r="EA22" s="821" t="str">
        <f t="shared" si="76"/>
        <v/>
      </c>
      <c r="EB22" s="822" t="str">
        <f t="shared" si="77"/>
        <v/>
      </c>
      <c r="EC22" s="856" t="str">
        <f t="shared" si="78"/>
        <v/>
      </c>
      <c r="ED22" s="1006">
        <f t="shared" si="79"/>
        <v>0</v>
      </c>
      <c r="EE22" s="1293" t="str">
        <f t="shared" si="80"/>
        <v/>
      </c>
      <c r="EF22" s="1293" t="str">
        <f t="shared" si="81"/>
        <v/>
      </c>
      <c r="EG22" s="1293" t="str">
        <f t="shared" si="82"/>
        <v/>
      </c>
      <c r="EH22" s="856" t="e">
        <f t="shared" si="83"/>
        <v>#N/A</v>
      </c>
      <c r="EI22" s="856" t="e">
        <f t="shared" si="84"/>
        <v>#N/A</v>
      </c>
      <c r="EJ22" s="822" t="str">
        <f t="shared" si="85"/>
        <v/>
      </c>
      <c r="EK22" s="822" t="str">
        <f t="shared" si="85"/>
        <v/>
      </c>
      <c r="EL22" s="1293" t="str">
        <f t="shared" si="86"/>
        <v/>
      </c>
      <c r="EM22" s="822" t="str">
        <f t="shared" si="87"/>
        <v/>
      </c>
      <c r="EN22" s="822" t="str">
        <f t="shared" si="88"/>
        <v/>
      </c>
      <c r="EO22" s="856" t="e">
        <f t="shared" si="89"/>
        <v>#N/A</v>
      </c>
      <c r="EP22" s="856" t="e">
        <f t="shared" si="90"/>
        <v>#N/A</v>
      </c>
      <c r="EQ22" s="1293" t="str">
        <f t="shared" si="91"/>
        <v/>
      </c>
      <c r="ER22" s="822" t="str">
        <f t="shared" si="91"/>
        <v/>
      </c>
      <c r="ES22" s="822" t="str">
        <f t="shared" si="92"/>
        <v/>
      </c>
      <c r="ET22" s="822" t="str">
        <f t="shared" si="93"/>
        <v/>
      </c>
      <c r="EU22" s="829" t="str">
        <f t="shared" si="94"/>
        <v/>
      </c>
      <c r="EV22" s="824" t="str">
        <f t="shared" si="95"/>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96"/>
        <v/>
      </c>
      <c r="FA22" s="829" t="str">
        <f>IF(AND(DE22="G", ISBLANK(BW22), ISBLANK(BX22)),VLOOKUP(MIN(BT22:BU22),TblJoistSize!$M$3:$N$10,2),IF(OR(DE22="B", DE22="G"),MIN(BW22:BX22),""))</f>
        <v/>
      </c>
      <c r="FB22" s="829" t="str">
        <f>IF(AND(DE22="G", ISBLANK(BW22), ISBLANK(BX22)),VLOOKUP(MAX(BT22:BU22),TblJoistSize!$M$3:$N$10,2),IF(OR(DE22="B", DE22="G"),MAX(BW22:BX22),""))</f>
        <v/>
      </c>
      <c r="FC22" s="829" t="str">
        <f t="shared" si="97"/>
        <v/>
      </c>
      <c r="FD22" s="821">
        <f t="shared" si="124"/>
        <v>0</v>
      </c>
      <c r="FE22" s="821">
        <f t="shared" si="98"/>
        <v>0</v>
      </c>
      <c r="FF22" s="821">
        <f t="shared" si="99"/>
        <v>0</v>
      </c>
      <c r="FG22" s="821" t="str">
        <f t="shared" si="100"/>
        <v/>
      </c>
      <c r="FH22" s="822" t="str">
        <f t="shared" si="101"/>
        <v/>
      </c>
      <c r="FI22" s="821">
        <f t="shared" si="125"/>
        <v>0</v>
      </c>
      <c r="FJ22" s="821">
        <f t="shared" si="102"/>
        <v>0</v>
      </c>
      <c r="FK22" s="821">
        <f t="shared" si="103"/>
        <v>0</v>
      </c>
      <c r="FL22" s="821" t="str">
        <f t="shared" si="104"/>
        <v/>
      </c>
      <c r="FM22" s="822" t="str">
        <f t="shared" si="105"/>
        <v/>
      </c>
      <c r="FN22" s="822" t="e">
        <f t="shared" si="106"/>
        <v>#VALUE!</v>
      </c>
      <c r="FO22" s="940" t="e">
        <f t="shared" si="107"/>
        <v>#VALUE!</v>
      </c>
      <c r="FP22" s="940" t="e">
        <f t="shared" si="108"/>
        <v>#VALUE!</v>
      </c>
      <c r="FQ22" s="830" t="e">
        <f t="shared" si="109"/>
        <v>#VALUE!</v>
      </c>
      <c r="FR22" s="831" t="e">
        <f t="shared" si="110"/>
        <v>#VALUE!</v>
      </c>
      <c r="FS22" s="832" t="str">
        <f t="shared" si="111"/>
        <v/>
      </c>
      <c r="FT22" s="833" t="str">
        <f t="shared" si="112"/>
        <v/>
      </c>
      <c r="FU22" s="870">
        <f t="shared" si="113"/>
        <v>0</v>
      </c>
      <c r="FV22" s="871">
        <f t="shared" si="114"/>
        <v>0</v>
      </c>
      <c r="GA22" s="1791" t="str">
        <f t="shared" si="115"/>
        <v/>
      </c>
      <c r="GB22" s="1792" t="str">
        <f t="shared" si="116"/>
        <v/>
      </c>
      <c r="GC22" s="1793" t="str">
        <f t="shared" si="117"/>
        <v/>
      </c>
      <c r="GD22" s="1794" t="str">
        <f t="shared" si="118"/>
        <v/>
      </c>
      <c r="GE22" s="1795" t="str">
        <f t="shared" si="119"/>
        <v/>
      </c>
      <c r="GF22" s="600" t="str">
        <f t="shared" si="120"/>
        <v/>
      </c>
      <c r="GG22" s="1130"/>
      <c r="GH22" s="1131"/>
      <c r="GI22" s="1130"/>
      <c r="GJ22" s="1131"/>
      <c r="GK22" s="1638">
        <f t="shared" si="121"/>
        <v>0</v>
      </c>
      <c r="GL22" s="1636" t="e">
        <f t="shared" si="122"/>
        <v>#VALUE!</v>
      </c>
      <c r="GM22" s="1637" t="e">
        <f>IF(ABS(GK22-GL22)&gt;='Job Info.'!$L$22,ABS(GK22-GL22),0)</f>
        <v>#VALUE!</v>
      </c>
      <c r="HA22" s="1269"/>
      <c r="HB22" s="1270"/>
      <c r="HC22" s="1270"/>
      <c r="HD22" s="1271"/>
      <c r="HE22" s="1272"/>
      <c r="HF22" s="1270"/>
      <c r="HG22" s="1270"/>
      <c r="HH22" s="1270"/>
      <c r="HI22" s="1273"/>
      <c r="HJ22" s="1270"/>
      <c r="HK22" s="1270"/>
      <c r="HL22" s="1270"/>
      <c r="HM22" s="1270"/>
      <c r="HN22" s="1270"/>
      <c r="HO22" s="1270"/>
      <c r="HP22" s="1270"/>
      <c r="HQ22" s="1273"/>
      <c r="HR22" s="1270"/>
      <c r="HS22" s="1270"/>
      <c r="HT22" s="1270"/>
      <c r="HU22" s="1270"/>
      <c r="HV22" s="1270"/>
      <c r="HW22" s="1272"/>
      <c r="HX22" s="1272"/>
      <c r="HY22" s="1272"/>
      <c r="HZ22" s="1272"/>
      <c r="IA22" s="1272"/>
      <c r="IB22" s="1272"/>
      <c r="IC22" s="1272"/>
      <c r="ID22" s="1272"/>
      <c r="IE22" s="1272"/>
      <c r="IF22" s="1274"/>
    </row>
    <row r="23" spans="1:240" ht="12.6" customHeight="1" x14ac:dyDescent="0.25">
      <c r="A23" s="1448" t="str">
        <f t="shared" si="1"/>
        <v/>
      </c>
      <c r="B23" s="1681" t="str">
        <f t="shared" si="2"/>
        <v/>
      </c>
      <c r="C23" s="1449" t="str">
        <f t="shared" si="3"/>
        <v/>
      </c>
      <c r="D23" s="1705" t="str">
        <f t="shared" si="4"/>
        <v/>
      </c>
      <c r="E23" s="1706" t="str">
        <f t="shared" si="5"/>
        <v/>
      </c>
      <c r="F23" s="1714" t="str">
        <f t="shared" si="6"/>
        <v/>
      </c>
      <c r="G23" s="1709" t="str">
        <f t="shared" si="7"/>
        <v/>
      </c>
      <c r="H23" s="1779" t="str">
        <f t="shared" si="8"/>
        <v/>
      </c>
      <c r="I23" s="1705" t="str">
        <f t="shared" si="9"/>
        <v/>
      </c>
      <c r="J23" s="1709" t="str">
        <f t="shared" si="10"/>
        <v/>
      </c>
      <c r="K23" s="1796" t="str">
        <f t="shared" si="11"/>
        <v/>
      </c>
      <c r="L23" s="1712" t="str">
        <f t="shared" si="12"/>
        <v/>
      </c>
      <c r="M23" s="1713" t="str">
        <f t="shared" si="13"/>
        <v/>
      </c>
      <c r="N23" s="1708" t="str">
        <f t="shared" si="14"/>
        <v/>
      </c>
      <c r="O23" s="1709" t="str">
        <f t="shared" si="15"/>
        <v/>
      </c>
      <c r="P23" s="1710" t="str">
        <f t="shared" si="16"/>
        <v/>
      </c>
      <c r="Q23" s="1705" t="str">
        <f t="shared" si="17"/>
        <v/>
      </c>
      <c r="R23" s="1709" t="str">
        <f t="shared" si="18"/>
        <v/>
      </c>
      <c r="S23" s="1711" t="str">
        <f t="shared" si="19"/>
        <v/>
      </c>
      <c r="T23" s="1714" t="str">
        <f t="shared" si="20"/>
        <v/>
      </c>
      <c r="U23" s="1709" t="str">
        <f t="shared" si="21"/>
        <v/>
      </c>
      <c r="V23" s="1705" t="str">
        <f t="shared" si="22"/>
        <v/>
      </c>
      <c r="W23" s="1709" t="str">
        <f t="shared" si="23"/>
        <v/>
      </c>
      <c r="X23" s="1713">
        <f t="shared" si="24"/>
        <v>0</v>
      </c>
      <c r="Y23" s="1781" t="str">
        <f t="shared" si="25"/>
        <v/>
      </c>
      <c r="Z23" s="1782" t="str">
        <f t="shared" si="26"/>
        <v/>
      </c>
      <c r="AA23" s="1783" t="str">
        <f t="shared" si="27"/>
        <v/>
      </c>
      <c r="AB23" s="1413"/>
      <c r="AC23" s="964" t="b">
        <v>0</v>
      </c>
      <c r="AD23" s="441">
        <f t="shared" si="28"/>
        <v>0</v>
      </c>
      <c r="AE23" s="442">
        <f t="shared" si="29"/>
        <v>0</v>
      </c>
      <c r="AF23" s="442">
        <f t="shared" si="30"/>
        <v>0</v>
      </c>
      <c r="AG23" s="442">
        <f t="shared" si="31"/>
        <v>0</v>
      </c>
      <c r="AH23" s="443">
        <f t="shared" si="32"/>
        <v>0</v>
      </c>
      <c r="AI23" s="444" t="b">
        <v>0</v>
      </c>
      <c r="AJ23" s="238">
        <f t="shared" si="33"/>
        <v>0</v>
      </c>
      <c r="AK23" s="830" t="str">
        <f t="shared" si="34"/>
        <v/>
      </c>
      <c r="AL23" s="945" t="str">
        <f t="shared" si="35"/>
        <v/>
      </c>
      <c r="AM23" s="830" t="str">
        <f t="shared" si="36"/>
        <v/>
      </c>
      <c r="AN23" s="830" t="str">
        <f t="shared" si="37"/>
        <v/>
      </c>
      <c r="AO23" s="830" t="str">
        <f t="shared" si="38"/>
        <v/>
      </c>
      <c r="AP23" s="830" t="b">
        <f>IF(ISERROR(AJ23),FALSE,IF(OR(AJ23=0,ISERROR(AL23),ISERROR(AM23),ISERROR(AN23),ISERROR(AO23)),FALSE,IF(AL23&lt;&gt;"",IF(ISERROR(VLOOKUP(SUBSTITUTE(SUBSTITUTE(C23,"R",""),"A",""),TblJoistSize!$A:$A,1,FALSE)),FALSE,TRUE),TRUE)))</f>
        <v>0</v>
      </c>
      <c r="AQ23" s="1038" t="e">
        <f t="shared" si="39"/>
        <v>#N/A</v>
      </c>
      <c r="AR23" s="945" t="b">
        <f t="shared" si="40"/>
        <v>0</v>
      </c>
      <c r="AS23" s="1038" t="e">
        <f t="shared" si="41"/>
        <v>#N/A</v>
      </c>
      <c r="AT23" s="945" t="b">
        <f t="shared" si="42"/>
        <v>0</v>
      </c>
      <c r="AU23" s="946" t="str">
        <f t="shared" si="43"/>
        <v/>
      </c>
      <c r="AV23" s="830" t="str">
        <f t="shared" si="44"/>
        <v/>
      </c>
      <c r="AW23" s="830" t="str">
        <f t="shared" si="45"/>
        <v/>
      </c>
      <c r="AX23" s="830" t="str">
        <f t="shared" si="123"/>
        <v/>
      </c>
      <c r="AY23" s="1039" t="b">
        <f t="shared" si="46"/>
        <v>0</v>
      </c>
      <c r="AZ23" s="856" t="str">
        <f t="shared" si="47"/>
        <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48"/>
        <v/>
      </c>
      <c r="BR23" s="910"/>
      <c r="BS23" s="672"/>
      <c r="BT23" s="713"/>
      <c r="BU23" s="714"/>
      <c r="BV23" s="1625"/>
      <c r="BW23" s="713"/>
      <c r="BX23" s="714"/>
      <c r="BY23" s="715"/>
      <c r="BZ23" s="716"/>
      <c r="CA23" s="680" t="str">
        <f>IF(ISERROR(DE23),"",IF(DE23="","",IF(VLOOKUP(BS23,SectInfo!$B:$N,10,FALSE)="","","X")))</f>
        <v/>
      </c>
      <c r="CB23" s="738"/>
      <c r="CC23" s="1551" t="str">
        <f t="shared" si="49"/>
        <v/>
      </c>
      <c r="CD23" s="910"/>
      <c r="CE23" s="717"/>
      <c r="CF23" s="736"/>
      <c r="CG23" s="737"/>
      <c r="CH23" s="591" t="str">
        <f t="shared" si="50"/>
        <v/>
      </c>
      <c r="CI23" s="592" t="str">
        <f t="shared" si="51"/>
        <v/>
      </c>
      <c r="CJ23" s="593" t="str">
        <f t="shared" si="52"/>
        <v/>
      </c>
      <c r="CK23" s="594" t="str">
        <f t="shared" si="53"/>
        <v/>
      </c>
      <c r="CL23" s="595" t="str">
        <f t="shared" si="54"/>
        <v/>
      </c>
      <c r="CM23" s="596" t="str">
        <f t="shared" si="55"/>
        <v/>
      </c>
      <c r="CN23" s="597" t="str">
        <f t="shared" si="56"/>
        <v/>
      </c>
      <c r="CO23" s="598" t="str">
        <f t="shared" si="57"/>
        <v/>
      </c>
      <c r="CP23" s="615" t="str">
        <f t="shared" si="58"/>
        <v/>
      </c>
      <c r="CQ23" s="616" t="str">
        <f t="shared" si="59"/>
        <v/>
      </c>
      <c r="CR23" s="750" t="str">
        <f t="shared" si="60"/>
        <v/>
      </c>
      <c r="CS23" s="751" t="str">
        <f t="shared" si="61"/>
        <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62"/>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63"/>
        <v>0</v>
      </c>
      <c r="DO23" s="818">
        <f t="shared" si="64"/>
        <v>0</v>
      </c>
      <c r="DP23" s="822" t="str">
        <f t="shared" si="65"/>
        <v/>
      </c>
      <c r="DQ23" s="822" t="str">
        <f t="shared" si="66"/>
        <v/>
      </c>
      <c r="DR23" s="822" t="str">
        <f t="shared" si="67"/>
        <v/>
      </c>
      <c r="DS23" s="821">
        <f t="shared" si="68"/>
        <v>0</v>
      </c>
      <c r="DT23" s="821">
        <f t="shared" si="69"/>
        <v>0</v>
      </c>
      <c r="DU23" s="821" t="str">
        <f t="shared" si="70"/>
        <v/>
      </c>
      <c r="DV23" s="822" t="str">
        <f t="shared" si="71"/>
        <v/>
      </c>
      <c r="DW23" s="856" t="str">
        <f t="shared" si="72"/>
        <v/>
      </c>
      <c r="DX23" s="1006">
        <f t="shared" si="73"/>
        <v>0</v>
      </c>
      <c r="DY23" s="822">
        <f t="shared" si="74"/>
        <v>0</v>
      </c>
      <c r="DZ23" s="821">
        <f t="shared" si="75"/>
        <v>0</v>
      </c>
      <c r="EA23" s="821" t="str">
        <f t="shared" si="76"/>
        <v/>
      </c>
      <c r="EB23" s="822" t="str">
        <f t="shared" si="77"/>
        <v/>
      </c>
      <c r="EC23" s="856" t="str">
        <f t="shared" si="78"/>
        <v/>
      </c>
      <c r="ED23" s="1006">
        <f t="shared" si="79"/>
        <v>0</v>
      </c>
      <c r="EE23" s="1293" t="str">
        <f t="shared" si="80"/>
        <v/>
      </c>
      <c r="EF23" s="1293" t="str">
        <f t="shared" si="81"/>
        <v/>
      </c>
      <c r="EG23" s="1293" t="str">
        <f t="shared" si="82"/>
        <v/>
      </c>
      <c r="EH23" s="856" t="e">
        <f t="shared" si="83"/>
        <v>#N/A</v>
      </c>
      <c r="EI23" s="856" t="e">
        <f t="shared" si="84"/>
        <v>#N/A</v>
      </c>
      <c r="EJ23" s="822" t="str">
        <f t="shared" si="85"/>
        <v/>
      </c>
      <c r="EK23" s="822" t="str">
        <f t="shared" si="85"/>
        <v/>
      </c>
      <c r="EL23" s="1293" t="str">
        <f t="shared" si="86"/>
        <v/>
      </c>
      <c r="EM23" s="822" t="str">
        <f t="shared" si="87"/>
        <v/>
      </c>
      <c r="EN23" s="822" t="str">
        <f t="shared" si="88"/>
        <v/>
      </c>
      <c r="EO23" s="856" t="e">
        <f t="shared" si="89"/>
        <v>#N/A</v>
      </c>
      <c r="EP23" s="856" t="e">
        <f t="shared" si="90"/>
        <v>#N/A</v>
      </c>
      <c r="EQ23" s="1293" t="str">
        <f t="shared" si="91"/>
        <v/>
      </c>
      <c r="ER23" s="822" t="str">
        <f t="shared" si="91"/>
        <v/>
      </c>
      <c r="ES23" s="822" t="str">
        <f t="shared" si="92"/>
        <v/>
      </c>
      <c r="ET23" s="822" t="str">
        <f t="shared" si="93"/>
        <v/>
      </c>
      <c r="EU23" s="829" t="str">
        <f t="shared" si="94"/>
        <v/>
      </c>
      <c r="EV23" s="824" t="str">
        <f t="shared" si="95"/>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96"/>
        <v/>
      </c>
      <c r="FA23" s="829" t="str">
        <f>IF(AND(DE23="G", ISBLANK(BW23), ISBLANK(BX23)),VLOOKUP(MIN(BT23:BU23),TblJoistSize!$M$3:$N$10,2),IF(OR(DE23="B", DE23="G"),MIN(BW23:BX23),""))</f>
        <v/>
      </c>
      <c r="FB23" s="829" t="str">
        <f>IF(AND(DE23="G", ISBLANK(BW23), ISBLANK(BX23)),VLOOKUP(MAX(BT23:BU23),TblJoistSize!$M$3:$N$10,2),IF(OR(DE23="B", DE23="G"),MAX(BW23:BX23),""))</f>
        <v/>
      </c>
      <c r="FC23" s="829" t="str">
        <f t="shared" si="97"/>
        <v/>
      </c>
      <c r="FD23" s="821">
        <f t="shared" si="124"/>
        <v>0</v>
      </c>
      <c r="FE23" s="821">
        <f t="shared" si="98"/>
        <v>0</v>
      </c>
      <c r="FF23" s="821">
        <f t="shared" si="99"/>
        <v>0</v>
      </c>
      <c r="FG23" s="821" t="str">
        <f t="shared" si="100"/>
        <v/>
      </c>
      <c r="FH23" s="822" t="str">
        <f t="shared" si="101"/>
        <v/>
      </c>
      <c r="FI23" s="821">
        <f t="shared" si="125"/>
        <v>0</v>
      </c>
      <c r="FJ23" s="821">
        <f t="shared" si="102"/>
        <v>0</v>
      </c>
      <c r="FK23" s="821">
        <f t="shared" si="103"/>
        <v>0</v>
      </c>
      <c r="FL23" s="821" t="str">
        <f t="shared" si="104"/>
        <v/>
      </c>
      <c r="FM23" s="822" t="str">
        <f t="shared" si="105"/>
        <v/>
      </c>
      <c r="FN23" s="822" t="e">
        <f t="shared" si="106"/>
        <v>#VALUE!</v>
      </c>
      <c r="FO23" s="940" t="e">
        <f t="shared" si="107"/>
        <v>#VALUE!</v>
      </c>
      <c r="FP23" s="940" t="e">
        <f t="shared" si="108"/>
        <v>#VALUE!</v>
      </c>
      <c r="FQ23" s="830" t="e">
        <f t="shared" si="109"/>
        <v>#VALUE!</v>
      </c>
      <c r="FR23" s="831" t="e">
        <f t="shared" si="110"/>
        <v>#VALUE!</v>
      </c>
      <c r="FS23" s="832" t="str">
        <f t="shared" si="111"/>
        <v/>
      </c>
      <c r="FT23" s="833" t="str">
        <f t="shared" si="112"/>
        <v/>
      </c>
      <c r="FU23" s="870">
        <f t="shared" si="113"/>
        <v>0</v>
      </c>
      <c r="FV23" s="871">
        <f t="shared" si="114"/>
        <v>0</v>
      </c>
      <c r="GA23" s="1791" t="str">
        <f t="shared" si="115"/>
        <v/>
      </c>
      <c r="GB23" s="1792" t="str">
        <f t="shared" si="116"/>
        <v/>
      </c>
      <c r="GC23" s="1793" t="str">
        <f t="shared" si="117"/>
        <v/>
      </c>
      <c r="GD23" s="1794" t="str">
        <f t="shared" si="118"/>
        <v/>
      </c>
      <c r="GE23" s="1795" t="str">
        <f t="shared" si="119"/>
        <v/>
      </c>
      <c r="GF23" s="600" t="str">
        <f t="shared" si="120"/>
        <v/>
      </c>
      <c r="GG23" s="1130"/>
      <c r="GH23" s="1131"/>
      <c r="GI23" s="1130"/>
      <c r="GJ23" s="1131"/>
      <c r="GK23" s="1638">
        <f t="shared" si="121"/>
        <v>0</v>
      </c>
      <c r="GL23" s="1636" t="e">
        <f t="shared" si="122"/>
        <v>#VALUE!</v>
      </c>
      <c r="GM23" s="1637" t="e">
        <f>IF(ABS(GK23-GL23)&gt;='Job Info.'!$L$22,ABS(GK23-GL23),0)</f>
        <v>#VALUE!</v>
      </c>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1448" t="str">
        <f t="shared" si="1"/>
        <v/>
      </c>
      <c r="B24" s="1681" t="str">
        <f t="shared" si="2"/>
        <v/>
      </c>
      <c r="C24" s="1449" t="str">
        <f t="shared" si="3"/>
        <v/>
      </c>
      <c r="D24" s="1705" t="str">
        <f t="shared" si="4"/>
        <v/>
      </c>
      <c r="E24" s="1706" t="str">
        <f t="shared" si="5"/>
        <v/>
      </c>
      <c r="F24" s="1714" t="str">
        <f t="shared" si="6"/>
        <v/>
      </c>
      <c r="G24" s="1709" t="str">
        <f t="shared" si="7"/>
        <v/>
      </c>
      <c r="H24" s="1779" t="str">
        <f t="shared" si="8"/>
        <v/>
      </c>
      <c r="I24" s="1705" t="str">
        <f t="shared" si="9"/>
        <v/>
      </c>
      <c r="J24" s="1709" t="str">
        <f t="shared" si="10"/>
        <v/>
      </c>
      <c r="K24" s="1796" t="str">
        <f t="shared" si="11"/>
        <v/>
      </c>
      <c r="L24" s="1712" t="str">
        <f t="shared" si="12"/>
        <v/>
      </c>
      <c r="M24" s="1713" t="str">
        <f t="shared" si="13"/>
        <v/>
      </c>
      <c r="N24" s="1708" t="str">
        <f t="shared" si="14"/>
        <v/>
      </c>
      <c r="O24" s="1709" t="str">
        <f t="shared" si="15"/>
        <v/>
      </c>
      <c r="P24" s="1710" t="str">
        <f t="shared" si="16"/>
        <v/>
      </c>
      <c r="Q24" s="1705" t="str">
        <f t="shared" si="17"/>
        <v/>
      </c>
      <c r="R24" s="1709" t="str">
        <f t="shared" si="18"/>
        <v/>
      </c>
      <c r="S24" s="1711" t="str">
        <f t="shared" si="19"/>
        <v/>
      </c>
      <c r="T24" s="1714" t="str">
        <f t="shared" si="20"/>
        <v/>
      </c>
      <c r="U24" s="1709" t="str">
        <f t="shared" si="21"/>
        <v/>
      </c>
      <c r="V24" s="1705" t="str">
        <f t="shared" si="22"/>
        <v/>
      </c>
      <c r="W24" s="1709" t="str">
        <f t="shared" si="23"/>
        <v/>
      </c>
      <c r="X24" s="1713">
        <f t="shared" si="24"/>
        <v>0</v>
      </c>
      <c r="Y24" s="1781" t="str">
        <f t="shared" si="25"/>
        <v/>
      </c>
      <c r="Z24" s="1782" t="str">
        <f t="shared" si="26"/>
        <v/>
      </c>
      <c r="AA24" s="1783" t="str">
        <f t="shared" si="27"/>
        <v/>
      </c>
      <c r="AB24" s="1413"/>
      <c r="AC24" s="964" t="b">
        <v>0</v>
      </c>
      <c r="AD24" s="441">
        <f t="shared" si="28"/>
        <v>0</v>
      </c>
      <c r="AE24" s="442">
        <f t="shared" si="29"/>
        <v>0</v>
      </c>
      <c r="AF24" s="442">
        <f t="shared" si="30"/>
        <v>0</v>
      </c>
      <c r="AG24" s="442">
        <f t="shared" si="31"/>
        <v>0</v>
      </c>
      <c r="AH24" s="443">
        <f t="shared" si="32"/>
        <v>0</v>
      </c>
      <c r="AI24" s="444" t="b">
        <v>0</v>
      </c>
      <c r="AJ24" s="238">
        <f t="shared" si="33"/>
        <v>0</v>
      </c>
      <c r="AK24" s="830" t="str">
        <f t="shared" si="34"/>
        <v/>
      </c>
      <c r="AL24" s="945" t="str">
        <f t="shared" si="35"/>
        <v/>
      </c>
      <c r="AM24" s="830" t="str">
        <f t="shared" si="36"/>
        <v/>
      </c>
      <c r="AN24" s="830" t="str">
        <f t="shared" si="37"/>
        <v/>
      </c>
      <c r="AO24" s="830" t="str">
        <f t="shared" si="38"/>
        <v/>
      </c>
      <c r="AP24" s="830" t="b">
        <f>IF(ISERROR(AJ24),FALSE,IF(OR(AJ24=0,ISERROR(AL24),ISERROR(AM24),ISERROR(AN24),ISERROR(AO24)),FALSE,IF(AL24&lt;&gt;"",IF(ISERROR(VLOOKUP(SUBSTITUTE(SUBSTITUTE(C24,"R",""),"A",""),TblJoistSize!$A:$A,1,FALSE)),FALSE,TRUE),TRUE)))</f>
        <v>0</v>
      </c>
      <c r="AQ24" s="1038" t="e">
        <f t="shared" si="39"/>
        <v>#N/A</v>
      </c>
      <c r="AR24" s="945" t="b">
        <f t="shared" si="40"/>
        <v>0</v>
      </c>
      <c r="AS24" s="1038" t="e">
        <f t="shared" si="41"/>
        <v>#N/A</v>
      </c>
      <c r="AT24" s="945" t="b">
        <f t="shared" si="42"/>
        <v>0</v>
      </c>
      <c r="AU24" s="946" t="str">
        <f t="shared" si="43"/>
        <v/>
      </c>
      <c r="AV24" s="830" t="str">
        <f t="shared" si="44"/>
        <v/>
      </c>
      <c r="AW24" s="830" t="str">
        <f t="shared" si="45"/>
        <v/>
      </c>
      <c r="AX24" s="830" t="str">
        <f t="shared" si="123"/>
        <v/>
      </c>
      <c r="AY24" s="1039" t="b">
        <f t="shared" si="46"/>
        <v>0</v>
      </c>
      <c r="AZ24" s="856" t="str">
        <f t="shared" si="47"/>
        <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48"/>
        <v/>
      </c>
      <c r="BR24" s="910"/>
      <c r="BS24" s="672"/>
      <c r="BT24" s="713"/>
      <c r="BU24" s="714"/>
      <c r="BV24" s="1625"/>
      <c r="BW24" s="713"/>
      <c r="BX24" s="714"/>
      <c r="BY24" s="715"/>
      <c r="BZ24" s="716"/>
      <c r="CA24" s="680" t="str">
        <f>IF(ISERROR(DE24),"",IF(DE24="","",IF(VLOOKUP(BS24,SectInfo!$B:$N,10,FALSE)="","","X")))</f>
        <v/>
      </c>
      <c r="CB24" s="738"/>
      <c r="CC24" s="1551" t="str">
        <f t="shared" si="49"/>
        <v/>
      </c>
      <c r="CD24" s="910"/>
      <c r="CE24" s="717"/>
      <c r="CF24" s="736"/>
      <c r="CG24" s="737"/>
      <c r="CH24" s="591" t="str">
        <f t="shared" si="50"/>
        <v/>
      </c>
      <c r="CI24" s="592" t="str">
        <f t="shared" si="51"/>
        <v/>
      </c>
      <c r="CJ24" s="593" t="str">
        <f t="shared" si="52"/>
        <v/>
      </c>
      <c r="CK24" s="594" t="str">
        <f t="shared" si="53"/>
        <v/>
      </c>
      <c r="CL24" s="595" t="str">
        <f t="shared" si="54"/>
        <v/>
      </c>
      <c r="CM24" s="596" t="str">
        <f t="shared" si="55"/>
        <v/>
      </c>
      <c r="CN24" s="597" t="str">
        <f t="shared" si="56"/>
        <v/>
      </c>
      <c r="CO24" s="598" t="str">
        <f t="shared" si="57"/>
        <v/>
      </c>
      <c r="CP24" s="615" t="str">
        <f t="shared" si="58"/>
        <v/>
      </c>
      <c r="CQ24" s="616" t="str">
        <f t="shared" si="59"/>
        <v/>
      </c>
      <c r="CR24" s="750" t="str">
        <f t="shared" si="60"/>
        <v/>
      </c>
      <c r="CS24" s="751" t="str">
        <f t="shared" si="61"/>
        <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62"/>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63"/>
        <v>0</v>
      </c>
      <c r="DO24" s="818">
        <f t="shared" si="64"/>
        <v>0</v>
      </c>
      <c r="DP24" s="822" t="str">
        <f t="shared" si="65"/>
        <v/>
      </c>
      <c r="DQ24" s="822" t="str">
        <f t="shared" si="66"/>
        <v/>
      </c>
      <c r="DR24" s="822" t="str">
        <f t="shared" si="67"/>
        <v/>
      </c>
      <c r="DS24" s="821">
        <f t="shared" si="68"/>
        <v>0</v>
      </c>
      <c r="DT24" s="821">
        <f t="shared" si="69"/>
        <v>0</v>
      </c>
      <c r="DU24" s="821" t="str">
        <f t="shared" si="70"/>
        <v/>
      </c>
      <c r="DV24" s="822" t="str">
        <f t="shared" si="71"/>
        <v/>
      </c>
      <c r="DW24" s="856" t="str">
        <f t="shared" si="72"/>
        <v/>
      </c>
      <c r="DX24" s="1006">
        <f t="shared" si="73"/>
        <v>0</v>
      </c>
      <c r="DY24" s="822">
        <f t="shared" si="74"/>
        <v>0</v>
      </c>
      <c r="DZ24" s="821">
        <f t="shared" si="75"/>
        <v>0</v>
      </c>
      <c r="EA24" s="821" t="str">
        <f t="shared" si="76"/>
        <v/>
      </c>
      <c r="EB24" s="822" t="str">
        <f t="shared" si="77"/>
        <v/>
      </c>
      <c r="EC24" s="856" t="str">
        <f t="shared" si="78"/>
        <v/>
      </c>
      <c r="ED24" s="1006">
        <f t="shared" si="79"/>
        <v>0</v>
      </c>
      <c r="EE24" s="1293" t="str">
        <f t="shared" si="80"/>
        <v/>
      </c>
      <c r="EF24" s="1293" t="str">
        <f t="shared" si="81"/>
        <v/>
      </c>
      <c r="EG24" s="1293" t="str">
        <f t="shared" si="82"/>
        <v/>
      </c>
      <c r="EH24" s="856" t="e">
        <f t="shared" si="83"/>
        <v>#N/A</v>
      </c>
      <c r="EI24" s="856" t="e">
        <f t="shared" si="84"/>
        <v>#N/A</v>
      </c>
      <c r="EJ24" s="822" t="str">
        <f t="shared" si="85"/>
        <v/>
      </c>
      <c r="EK24" s="822" t="str">
        <f t="shared" si="85"/>
        <v/>
      </c>
      <c r="EL24" s="1293" t="str">
        <f t="shared" si="86"/>
        <v/>
      </c>
      <c r="EM24" s="822" t="str">
        <f t="shared" si="87"/>
        <v/>
      </c>
      <c r="EN24" s="822" t="str">
        <f t="shared" si="88"/>
        <v/>
      </c>
      <c r="EO24" s="856" t="e">
        <f t="shared" si="89"/>
        <v>#N/A</v>
      </c>
      <c r="EP24" s="856" t="e">
        <f t="shared" si="90"/>
        <v>#N/A</v>
      </c>
      <c r="EQ24" s="1293" t="str">
        <f t="shared" si="91"/>
        <v/>
      </c>
      <c r="ER24" s="822" t="str">
        <f t="shared" si="91"/>
        <v/>
      </c>
      <c r="ES24" s="822" t="str">
        <f t="shared" si="92"/>
        <v/>
      </c>
      <c r="ET24" s="822" t="str">
        <f t="shared" si="93"/>
        <v/>
      </c>
      <c r="EU24" s="829" t="str">
        <f t="shared" si="94"/>
        <v/>
      </c>
      <c r="EV24" s="824" t="str">
        <f t="shared" si="95"/>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96"/>
        <v/>
      </c>
      <c r="FA24" s="829" t="str">
        <f>IF(AND(DE24="G", ISBLANK(BW24), ISBLANK(BX24)),VLOOKUP(MIN(BT24:BU24),TblJoistSize!$M$3:$N$10,2),IF(OR(DE24="B", DE24="G"),MIN(BW24:BX24),""))</f>
        <v/>
      </c>
      <c r="FB24" s="829" t="str">
        <f>IF(AND(DE24="G", ISBLANK(BW24), ISBLANK(BX24)),VLOOKUP(MAX(BT24:BU24),TblJoistSize!$M$3:$N$10,2),IF(OR(DE24="B", DE24="G"),MAX(BW24:BX24),""))</f>
        <v/>
      </c>
      <c r="FC24" s="829" t="str">
        <f t="shared" si="97"/>
        <v/>
      </c>
      <c r="FD24" s="821">
        <f t="shared" si="124"/>
        <v>0</v>
      </c>
      <c r="FE24" s="821">
        <f t="shared" si="98"/>
        <v>0</v>
      </c>
      <c r="FF24" s="821">
        <f t="shared" si="99"/>
        <v>0</v>
      </c>
      <c r="FG24" s="821" t="str">
        <f t="shared" si="100"/>
        <v/>
      </c>
      <c r="FH24" s="822" t="str">
        <f t="shared" si="101"/>
        <v/>
      </c>
      <c r="FI24" s="821">
        <f t="shared" si="125"/>
        <v>0</v>
      </c>
      <c r="FJ24" s="821">
        <f t="shared" si="102"/>
        <v>0</v>
      </c>
      <c r="FK24" s="821">
        <f t="shared" si="103"/>
        <v>0</v>
      </c>
      <c r="FL24" s="821" t="str">
        <f t="shared" si="104"/>
        <v/>
      </c>
      <c r="FM24" s="822" t="str">
        <f t="shared" si="105"/>
        <v/>
      </c>
      <c r="FN24" s="822" t="e">
        <f t="shared" si="106"/>
        <v>#VALUE!</v>
      </c>
      <c r="FO24" s="940" t="e">
        <f t="shared" si="107"/>
        <v>#VALUE!</v>
      </c>
      <c r="FP24" s="940" t="e">
        <f t="shared" si="108"/>
        <v>#VALUE!</v>
      </c>
      <c r="FQ24" s="830" t="e">
        <f t="shared" si="109"/>
        <v>#VALUE!</v>
      </c>
      <c r="FR24" s="831" t="e">
        <f t="shared" si="110"/>
        <v>#VALUE!</v>
      </c>
      <c r="FS24" s="832" t="str">
        <f t="shared" si="111"/>
        <v/>
      </c>
      <c r="FT24" s="833" t="str">
        <f t="shared" si="112"/>
        <v/>
      </c>
      <c r="FU24" s="870">
        <f t="shared" si="113"/>
        <v>0</v>
      </c>
      <c r="FV24" s="871">
        <f t="shared" si="114"/>
        <v>0</v>
      </c>
      <c r="GA24" s="1791" t="str">
        <f t="shared" si="115"/>
        <v/>
      </c>
      <c r="GB24" s="1792" t="str">
        <f t="shared" si="116"/>
        <v/>
      </c>
      <c r="GC24" s="1793" t="str">
        <f t="shared" si="117"/>
        <v/>
      </c>
      <c r="GD24" s="1794" t="str">
        <f t="shared" si="118"/>
        <v/>
      </c>
      <c r="GE24" s="1795" t="str">
        <f t="shared" si="119"/>
        <v/>
      </c>
      <c r="GF24" s="600" t="str">
        <f t="shared" si="120"/>
        <v/>
      </c>
      <c r="GG24" s="1130"/>
      <c r="GH24" s="1131"/>
      <c r="GI24" s="1130"/>
      <c r="GJ24" s="1131"/>
      <c r="GK24" s="1638">
        <f t="shared" si="121"/>
        <v>0</v>
      </c>
      <c r="GL24" s="1636" t="e">
        <f t="shared" si="122"/>
        <v>#VALUE!</v>
      </c>
      <c r="GM24" s="1637" t="e">
        <f>IF(ABS(GK24-GL24)&gt;='Job Info.'!$L$22,ABS(GK24-GL24),0)</f>
        <v>#VALUE!</v>
      </c>
      <c r="HA24" s="1269"/>
      <c r="HB24" s="1270"/>
      <c r="HC24" s="1270"/>
      <c r="HD24" s="1271"/>
      <c r="HE24" s="1272"/>
      <c r="HF24" s="1270"/>
      <c r="HG24" s="1270"/>
      <c r="HH24" s="1270"/>
      <c r="HI24" s="1273"/>
      <c r="HJ24" s="1270"/>
      <c r="HK24" s="1270"/>
      <c r="HL24" s="1270"/>
      <c r="HM24" s="1270"/>
      <c r="HN24" s="1270"/>
      <c r="HO24" s="1270"/>
      <c r="HP24" s="1270"/>
      <c r="HQ24" s="1273"/>
      <c r="HR24" s="1270"/>
      <c r="HS24" s="1270"/>
      <c r="HT24" s="1270"/>
      <c r="HU24" s="1270"/>
      <c r="HV24" s="1270"/>
      <c r="HW24" s="1272"/>
      <c r="HX24" s="1272"/>
      <c r="HY24" s="1272"/>
      <c r="HZ24" s="1272"/>
      <c r="IA24" s="1272"/>
      <c r="IB24" s="1272"/>
      <c r="IC24" s="1272"/>
      <c r="ID24" s="1272"/>
      <c r="IE24" s="1272"/>
      <c r="IF24" s="1274"/>
    </row>
    <row r="25" spans="1:240" ht="12.6" customHeight="1" x14ac:dyDescent="0.25">
      <c r="A25" s="1448" t="str">
        <f t="shared" si="1"/>
        <v/>
      </c>
      <c r="B25" s="1681" t="str">
        <f t="shared" si="2"/>
        <v/>
      </c>
      <c r="C25" s="1449" t="str">
        <f t="shared" si="3"/>
        <v/>
      </c>
      <c r="D25" s="1705" t="str">
        <f t="shared" si="4"/>
        <v/>
      </c>
      <c r="E25" s="1706" t="str">
        <f t="shared" si="5"/>
        <v/>
      </c>
      <c r="F25" s="1714" t="str">
        <f t="shared" si="6"/>
        <v/>
      </c>
      <c r="G25" s="1709" t="str">
        <f t="shared" si="7"/>
        <v/>
      </c>
      <c r="H25" s="1779" t="str">
        <f t="shared" si="8"/>
        <v/>
      </c>
      <c r="I25" s="1705" t="str">
        <f t="shared" si="9"/>
        <v/>
      </c>
      <c r="J25" s="1709" t="str">
        <f t="shared" si="10"/>
        <v/>
      </c>
      <c r="K25" s="1796" t="str">
        <f t="shared" si="11"/>
        <v/>
      </c>
      <c r="L25" s="1712" t="str">
        <f t="shared" si="12"/>
        <v/>
      </c>
      <c r="M25" s="1713" t="str">
        <f t="shared" si="13"/>
        <v/>
      </c>
      <c r="N25" s="1708" t="str">
        <f t="shared" si="14"/>
        <v/>
      </c>
      <c r="O25" s="1709" t="str">
        <f t="shared" si="15"/>
        <v/>
      </c>
      <c r="P25" s="1710" t="str">
        <f t="shared" si="16"/>
        <v/>
      </c>
      <c r="Q25" s="1705" t="str">
        <f t="shared" si="17"/>
        <v/>
      </c>
      <c r="R25" s="1709" t="str">
        <f t="shared" si="18"/>
        <v/>
      </c>
      <c r="S25" s="1711" t="str">
        <f t="shared" si="19"/>
        <v/>
      </c>
      <c r="T25" s="1714" t="str">
        <f t="shared" si="20"/>
        <v/>
      </c>
      <c r="U25" s="1709" t="str">
        <f t="shared" si="21"/>
        <v/>
      </c>
      <c r="V25" s="1705" t="str">
        <f t="shared" si="22"/>
        <v/>
      </c>
      <c r="W25" s="1709" t="str">
        <f t="shared" si="23"/>
        <v/>
      </c>
      <c r="X25" s="1713">
        <f t="shared" si="24"/>
        <v>0</v>
      </c>
      <c r="Y25" s="1781" t="str">
        <f t="shared" si="25"/>
        <v/>
      </c>
      <c r="Z25" s="1782" t="str">
        <f t="shared" si="26"/>
        <v/>
      </c>
      <c r="AA25" s="1783" t="str">
        <f t="shared" si="27"/>
        <v/>
      </c>
      <c r="AB25" s="1413"/>
      <c r="AC25" s="964" t="b">
        <v>0</v>
      </c>
      <c r="AD25" s="441">
        <f t="shared" si="28"/>
        <v>0</v>
      </c>
      <c r="AE25" s="442">
        <f t="shared" si="29"/>
        <v>0</v>
      </c>
      <c r="AF25" s="442">
        <f t="shared" si="30"/>
        <v>0</v>
      </c>
      <c r="AG25" s="442">
        <f t="shared" si="31"/>
        <v>0</v>
      </c>
      <c r="AH25" s="443">
        <f t="shared" si="32"/>
        <v>0</v>
      </c>
      <c r="AI25" s="444" t="b">
        <v>0</v>
      </c>
      <c r="AJ25" s="238">
        <f t="shared" si="33"/>
        <v>0</v>
      </c>
      <c r="AK25" s="830" t="str">
        <f t="shared" si="34"/>
        <v/>
      </c>
      <c r="AL25" s="945" t="str">
        <f t="shared" si="35"/>
        <v/>
      </c>
      <c r="AM25" s="830" t="str">
        <f t="shared" si="36"/>
        <v/>
      </c>
      <c r="AN25" s="830" t="str">
        <f t="shared" si="37"/>
        <v/>
      </c>
      <c r="AO25" s="830" t="str">
        <f t="shared" si="38"/>
        <v/>
      </c>
      <c r="AP25" s="830" t="b">
        <f>IF(ISERROR(AJ25),FALSE,IF(OR(AJ25=0,ISERROR(AL25),ISERROR(AM25),ISERROR(AN25),ISERROR(AO25)),FALSE,IF(AL25&lt;&gt;"",IF(ISERROR(VLOOKUP(SUBSTITUTE(SUBSTITUTE(C25,"R",""),"A",""),TblJoistSize!$A:$A,1,FALSE)),FALSE,TRUE),TRUE)))</f>
        <v>0</v>
      </c>
      <c r="AQ25" s="1038" t="e">
        <f t="shared" si="39"/>
        <v>#N/A</v>
      </c>
      <c r="AR25" s="945" t="b">
        <f t="shared" si="40"/>
        <v>0</v>
      </c>
      <c r="AS25" s="1038" t="e">
        <f t="shared" si="41"/>
        <v>#N/A</v>
      </c>
      <c r="AT25" s="945" t="b">
        <f t="shared" si="42"/>
        <v>0</v>
      </c>
      <c r="AU25" s="946" t="str">
        <f t="shared" si="43"/>
        <v/>
      </c>
      <c r="AV25" s="830" t="str">
        <f t="shared" si="44"/>
        <v/>
      </c>
      <c r="AW25" s="830" t="str">
        <f t="shared" si="45"/>
        <v/>
      </c>
      <c r="AX25" s="830" t="str">
        <f t="shared" si="123"/>
        <v/>
      </c>
      <c r="AY25" s="1039" t="b">
        <f t="shared" si="46"/>
        <v>0</v>
      </c>
      <c r="AZ25" s="856" t="str">
        <f t="shared" si="47"/>
        <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48"/>
        <v/>
      </c>
      <c r="BR25" s="910"/>
      <c r="BS25" s="672"/>
      <c r="BT25" s="713"/>
      <c r="BU25" s="714"/>
      <c r="BV25" s="1625"/>
      <c r="BW25" s="713"/>
      <c r="BX25" s="714"/>
      <c r="BY25" s="715"/>
      <c r="BZ25" s="716"/>
      <c r="CA25" s="680" t="str">
        <f>IF(ISERROR(DE25),"",IF(DE25="","",IF(VLOOKUP(BS25,SectInfo!$B:$N,10,FALSE)="","","X")))</f>
        <v/>
      </c>
      <c r="CB25" s="738"/>
      <c r="CC25" s="1551" t="str">
        <f t="shared" si="49"/>
        <v/>
      </c>
      <c r="CD25" s="910"/>
      <c r="CE25" s="717"/>
      <c r="CF25" s="736"/>
      <c r="CG25" s="737"/>
      <c r="CH25" s="591" t="str">
        <f t="shared" si="50"/>
        <v/>
      </c>
      <c r="CI25" s="592" t="str">
        <f t="shared" si="51"/>
        <v/>
      </c>
      <c r="CJ25" s="593" t="str">
        <f t="shared" si="52"/>
        <v/>
      </c>
      <c r="CK25" s="594" t="str">
        <f t="shared" si="53"/>
        <v/>
      </c>
      <c r="CL25" s="595" t="str">
        <f t="shared" si="54"/>
        <v/>
      </c>
      <c r="CM25" s="596" t="str">
        <f t="shared" si="55"/>
        <v/>
      </c>
      <c r="CN25" s="597" t="str">
        <f t="shared" si="56"/>
        <v/>
      </c>
      <c r="CO25" s="598" t="str">
        <f t="shared" si="57"/>
        <v/>
      </c>
      <c r="CP25" s="615" t="str">
        <f t="shared" si="58"/>
        <v/>
      </c>
      <c r="CQ25" s="616" t="str">
        <f t="shared" si="59"/>
        <v/>
      </c>
      <c r="CR25" s="750" t="str">
        <f t="shared" si="60"/>
        <v/>
      </c>
      <c r="CS25" s="751" t="str">
        <f t="shared" si="61"/>
        <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62"/>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63"/>
        <v>0</v>
      </c>
      <c r="DO25" s="818">
        <f t="shared" si="64"/>
        <v>0</v>
      </c>
      <c r="DP25" s="822" t="str">
        <f t="shared" si="65"/>
        <v/>
      </c>
      <c r="DQ25" s="822" t="str">
        <f t="shared" si="66"/>
        <v/>
      </c>
      <c r="DR25" s="822" t="str">
        <f t="shared" si="67"/>
        <v/>
      </c>
      <c r="DS25" s="821">
        <f t="shared" si="68"/>
        <v>0</v>
      </c>
      <c r="DT25" s="821">
        <f t="shared" si="69"/>
        <v>0</v>
      </c>
      <c r="DU25" s="821" t="str">
        <f t="shared" si="70"/>
        <v/>
      </c>
      <c r="DV25" s="822" t="str">
        <f t="shared" si="71"/>
        <v/>
      </c>
      <c r="DW25" s="856" t="str">
        <f t="shared" si="72"/>
        <v/>
      </c>
      <c r="DX25" s="1006">
        <f t="shared" si="73"/>
        <v>0</v>
      </c>
      <c r="DY25" s="822">
        <f t="shared" si="74"/>
        <v>0</v>
      </c>
      <c r="DZ25" s="821">
        <f t="shared" si="75"/>
        <v>0</v>
      </c>
      <c r="EA25" s="821" t="str">
        <f t="shared" si="76"/>
        <v/>
      </c>
      <c r="EB25" s="822" t="str">
        <f t="shared" si="77"/>
        <v/>
      </c>
      <c r="EC25" s="856" t="str">
        <f t="shared" si="78"/>
        <v/>
      </c>
      <c r="ED25" s="1006">
        <f t="shared" si="79"/>
        <v>0</v>
      </c>
      <c r="EE25" s="1293" t="str">
        <f t="shared" si="80"/>
        <v/>
      </c>
      <c r="EF25" s="1293" t="str">
        <f t="shared" si="81"/>
        <v/>
      </c>
      <c r="EG25" s="1293" t="str">
        <f t="shared" si="82"/>
        <v/>
      </c>
      <c r="EH25" s="856" t="e">
        <f t="shared" si="83"/>
        <v>#N/A</v>
      </c>
      <c r="EI25" s="856" t="e">
        <f t="shared" si="84"/>
        <v>#N/A</v>
      </c>
      <c r="EJ25" s="822" t="str">
        <f t="shared" si="85"/>
        <v/>
      </c>
      <c r="EK25" s="822" t="str">
        <f t="shared" si="85"/>
        <v/>
      </c>
      <c r="EL25" s="1293" t="str">
        <f t="shared" si="86"/>
        <v/>
      </c>
      <c r="EM25" s="822" t="str">
        <f t="shared" si="87"/>
        <v/>
      </c>
      <c r="EN25" s="822" t="str">
        <f t="shared" si="88"/>
        <v/>
      </c>
      <c r="EO25" s="856" t="e">
        <f t="shared" si="89"/>
        <v>#N/A</v>
      </c>
      <c r="EP25" s="856" t="e">
        <f t="shared" si="90"/>
        <v>#N/A</v>
      </c>
      <c r="EQ25" s="1293" t="str">
        <f t="shared" si="91"/>
        <v/>
      </c>
      <c r="ER25" s="822" t="str">
        <f t="shared" si="91"/>
        <v/>
      </c>
      <c r="ES25" s="822" t="str">
        <f t="shared" si="92"/>
        <v/>
      </c>
      <c r="ET25" s="822" t="str">
        <f t="shared" si="93"/>
        <v/>
      </c>
      <c r="EU25" s="829" t="str">
        <f t="shared" si="94"/>
        <v/>
      </c>
      <c r="EV25" s="824" t="str">
        <f t="shared" si="95"/>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96"/>
        <v/>
      </c>
      <c r="FA25" s="829" t="str">
        <f>IF(AND(DE25="G", ISBLANK(BW25), ISBLANK(BX25)),VLOOKUP(MIN(BT25:BU25),TblJoistSize!$M$3:$N$10,2),IF(OR(DE25="B", DE25="G"),MIN(BW25:BX25),""))</f>
        <v/>
      </c>
      <c r="FB25" s="829" t="str">
        <f>IF(AND(DE25="G", ISBLANK(BW25), ISBLANK(BX25)),VLOOKUP(MAX(BT25:BU25),TblJoistSize!$M$3:$N$10,2),IF(OR(DE25="B", DE25="G"),MAX(BW25:BX25),""))</f>
        <v/>
      </c>
      <c r="FC25" s="829" t="str">
        <f t="shared" si="97"/>
        <v/>
      </c>
      <c r="FD25" s="821">
        <f t="shared" si="124"/>
        <v>0</v>
      </c>
      <c r="FE25" s="821">
        <f t="shared" si="98"/>
        <v>0</v>
      </c>
      <c r="FF25" s="821">
        <f t="shared" si="99"/>
        <v>0</v>
      </c>
      <c r="FG25" s="821" t="str">
        <f t="shared" si="100"/>
        <v/>
      </c>
      <c r="FH25" s="822" t="str">
        <f t="shared" si="101"/>
        <v/>
      </c>
      <c r="FI25" s="821">
        <f t="shared" si="125"/>
        <v>0</v>
      </c>
      <c r="FJ25" s="821">
        <f t="shared" si="102"/>
        <v>0</v>
      </c>
      <c r="FK25" s="821">
        <f t="shared" si="103"/>
        <v>0</v>
      </c>
      <c r="FL25" s="821" t="str">
        <f t="shared" si="104"/>
        <v/>
      </c>
      <c r="FM25" s="822" t="str">
        <f t="shared" si="105"/>
        <v/>
      </c>
      <c r="FN25" s="822" t="e">
        <f t="shared" si="106"/>
        <v>#VALUE!</v>
      </c>
      <c r="FO25" s="940" t="e">
        <f t="shared" si="107"/>
        <v>#VALUE!</v>
      </c>
      <c r="FP25" s="940" t="e">
        <f t="shared" si="108"/>
        <v>#VALUE!</v>
      </c>
      <c r="FQ25" s="830" t="e">
        <f t="shared" si="109"/>
        <v>#VALUE!</v>
      </c>
      <c r="FR25" s="831" t="e">
        <f t="shared" si="110"/>
        <v>#VALUE!</v>
      </c>
      <c r="FS25" s="832" t="str">
        <f t="shared" si="111"/>
        <v/>
      </c>
      <c r="FT25" s="833" t="str">
        <f t="shared" si="112"/>
        <v/>
      </c>
      <c r="FU25" s="870">
        <f t="shared" si="113"/>
        <v>0</v>
      </c>
      <c r="FV25" s="871">
        <f t="shared" si="114"/>
        <v>0</v>
      </c>
      <c r="GA25" s="1791" t="str">
        <f t="shared" si="115"/>
        <v/>
      </c>
      <c r="GB25" s="1792" t="str">
        <f t="shared" si="116"/>
        <v/>
      </c>
      <c r="GC25" s="1793" t="str">
        <f t="shared" si="117"/>
        <v/>
      </c>
      <c r="GD25" s="1794" t="str">
        <f t="shared" si="118"/>
        <v/>
      </c>
      <c r="GE25" s="1795" t="str">
        <f t="shared" si="119"/>
        <v/>
      </c>
      <c r="GF25" s="600" t="str">
        <f t="shared" si="120"/>
        <v/>
      </c>
      <c r="GG25" s="1130"/>
      <c r="GH25" s="1131"/>
      <c r="GI25" s="1130"/>
      <c r="GJ25" s="1131"/>
      <c r="GK25" s="1638">
        <f t="shared" si="121"/>
        <v>0</v>
      </c>
      <c r="GL25" s="1636" t="e">
        <f t="shared" si="122"/>
        <v>#VALUE!</v>
      </c>
      <c r="GM25" s="1637" t="e">
        <f>IF(ABS(GK25-GL25)&gt;='Job Info.'!$L$22,ABS(GK25-GL25),0)</f>
        <v>#VALUE!</v>
      </c>
      <c r="HA25" s="1269"/>
      <c r="HB25" s="1270"/>
      <c r="HC25" s="1270"/>
      <c r="HD25" s="1271"/>
      <c r="HE25" s="1272"/>
      <c r="HF25" s="1270"/>
      <c r="HG25" s="1270"/>
      <c r="HH25" s="1270"/>
      <c r="HI25" s="1273"/>
      <c r="HJ25" s="1270"/>
      <c r="HK25" s="1270"/>
      <c r="HL25" s="1270"/>
      <c r="HM25" s="1270"/>
      <c r="HN25" s="1270"/>
      <c r="HO25" s="1270"/>
      <c r="HP25" s="1270"/>
      <c r="HQ25" s="1273"/>
      <c r="HR25" s="1270"/>
      <c r="HS25" s="1270"/>
      <c r="HT25" s="1270"/>
      <c r="HU25" s="1270"/>
      <c r="HV25" s="1270"/>
      <c r="HW25" s="1272"/>
      <c r="HX25" s="1272"/>
      <c r="HY25" s="1272"/>
      <c r="HZ25" s="1272"/>
      <c r="IA25" s="1272"/>
      <c r="IB25" s="1272"/>
      <c r="IC25" s="1272"/>
      <c r="ID25" s="1272"/>
      <c r="IE25" s="1272"/>
      <c r="IF25" s="1274"/>
    </row>
    <row r="26" spans="1:240" ht="12.6" customHeight="1" x14ac:dyDescent="0.25">
      <c r="A26" s="1448" t="str">
        <f t="shared" si="1"/>
        <v/>
      </c>
      <c r="B26" s="1681" t="str">
        <f t="shared" si="2"/>
        <v/>
      </c>
      <c r="C26" s="1449" t="str">
        <f t="shared" si="3"/>
        <v/>
      </c>
      <c r="D26" s="1705" t="str">
        <f t="shared" si="4"/>
        <v/>
      </c>
      <c r="E26" s="1706" t="str">
        <f t="shared" si="5"/>
        <v/>
      </c>
      <c r="F26" s="1714" t="str">
        <f t="shared" si="6"/>
        <v/>
      </c>
      <c r="G26" s="1709" t="str">
        <f t="shared" si="7"/>
        <v/>
      </c>
      <c r="H26" s="1779" t="str">
        <f t="shared" si="8"/>
        <v/>
      </c>
      <c r="I26" s="1705" t="str">
        <f t="shared" si="9"/>
        <v/>
      </c>
      <c r="J26" s="1709" t="str">
        <f t="shared" si="10"/>
        <v/>
      </c>
      <c r="K26" s="1796" t="str">
        <f t="shared" si="11"/>
        <v/>
      </c>
      <c r="L26" s="1712" t="str">
        <f t="shared" si="12"/>
        <v/>
      </c>
      <c r="M26" s="1713" t="str">
        <f t="shared" si="13"/>
        <v/>
      </c>
      <c r="N26" s="1708" t="str">
        <f t="shared" si="14"/>
        <v/>
      </c>
      <c r="O26" s="1709" t="str">
        <f t="shared" si="15"/>
        <v/>
      </c>
      <c r="P26" s="1710" t="str">
        <f t="shared" si="16"/>
        <v/>
      </c>
      <c r="Q26" s="1705" t="str">
        <f t="shared" si="17"/>
        <v/>
      </c>
      <c r="R26" s="1709" t="str">
        <f t="shared" si="18"/>
        <v/>
      </c>
      <c r="S26" s="1711" t="str">
        <f t="shared" si="19"/>
        <v/>
      </c>
      <c r="T26" s="1714" t="str">
        <f t="shared" si="20"/>
        <v/>
      </c>
      <c r="U26" s="1709" t="str">
        <f t="shared" si="21"/>
        <v/>
      </c>
      <c r="V26" s="1705" t="str">
        <f t="shared" si="22"/>
        <v/>
      </c>
      <c r="W26" s="1709" t="str">
        <f t="shared" si="23"/>
        <v/>
      </c>
      <c r="X26" s="1713">
        <f t="shared" si="24"/>
        <v>0</v>
      </c>
      <c r="Y26" s="1781" t="str">
        <f t="shared" si="25"/>
        <v/>
      </c>
      <c r="Z26" s="1782" t="str">
        <f t="shared" si="26"/>
        <v/>
      </c>
      <c r="AA26" s="1783" t="str">
        <f t="shared" si="27"/>
        <v/>
      </c>
      <c r="AB26" s="1413"/>
      <c r="AC26" s="964" t="b">
        <v>0</v>
      </c>
      <c r="AD26" s="441">
        <f t="shared" si="28"/>
        <v>0</v>
      </c>
      <c r="AE26" s="442">
        <f t="shared" si="29"/>
        <v>0</v>
      </c>
      <c r="AF26" s="442">
        <f t="shared" si="30"/>
        <v>0</v>
      </c>
      <c r="AG26" s="442">
        <f t="shared" si="31"/>
        <v>0</v>
      </c>
      <c r="AH26" s="443">
        <f t="shared" si="32"/>
        <v>0</v>
      </c>
      <c r="AI26" s="444" t="b">
        <v>0</v>
      </c>
      <c r="AJ26" s="238">
        <f t="shared" si="33"/>
        <v>0</v>
      </c>
      <c r="AK26" s="830" t="str">
        <f t="shared" si="34"/>
        <v/>
      </c>
      <c r="AL26" s="945" t="str">
        <f t="shared" si="35"/>
        <v/>
      </c>
      <c r="AM26" s="830" t="str">
        <f t="shared" si="36"/>
        <v/>
      </c>
      <c r="AN26" s="830" t="str">
        <f t="shared" si="37"/>
        <v/>
      </c>
      <c r="AO26" s="830" t="str">
        <f t="shared" si="38"/>
        <v/>
      </c>
      <c r="AP26" s="830" t="b">
        <f>IF(ISERROR(AJ26),FALSE,IF(OR(AJ26=0,ISERROR(AL26),ISERROR(AM26),ISERROR(AN26),ISERROR(AO26)),FALSE,IF(AL26&lt;&gt;"",IF(ISERROR(VLOOKUP(SUBSTITUTE(SUBSTITUTE(C26,"R",""),"A",""),TblJoistSize!$A:$A,1,FALSE)),FALSE,TRUE),TRUE)))</f>
        <v>0</v>
      </c>
      <c r="AQ26" s="1038" t="e">
        <f t="shared" si="39"/>
        <v>#N/A</v>
      </c>
      <c r="AR26" s="945" t="b">
        <f t="shared" si="40"/>
        <v>0</v>
      </c>
      <c r="AS26" s="1038" t="e">
        <f t="shared" si="41"/>
        <v>#N/A</v>
      </c>
      <c r="AT26" s="945" t="b">
        <f t="shared" si="42"/>
        <v>0</v>
      </c>
      <c r="AU26" s="946" t="str">
        <f t="shared" si="43"/>
        <v/>
      </c>
      <c r="AV26" s="830" t="str">
        <f t="shared" si="44"/>
        <v/>
      </c>
      <c r="AW26" s="830" t="str">
        <f t="shared" si="45"/>
        <v/>
      </c>
      <c r="AX26" s="830" t="str">
        <f t="shared" si="123"/>
        <v/>
      </c>
      <c r="AY26" s="1039" t="b">
        <f t="shared" si="46"/>
        <v>0</v>
      </c>
      <c r="AZ26" s="856" t="str">
        <f t="shared" si="47"/>
        <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48"/>
        <v/>
      </c>
      <c r="BR26" s="910"/>
      <c r="BS26" s="672"/>
      <c r="BT26" s="713"/>
      <c r="BU26" s="714"/>
      <c r="BV26" s="1625"/>
      <c r="BW26" s="713"/>
      <c r="BX26" s="714"/>
      <c r="BY26" s="715"/>
      <c r="BZ26" s="716"/>
      <c r="CA26" s="680" t="str">
        <f>IF(ISERROR(DE26),"",IF(DE26="","",IF(VLOOKUP(BS26,SectInfo!$B:$N,10,FALSE)="","","X")))</f>
        <v/>
      </c>
      <c r="CB26" s="738"/>
      <c r="CC26" s="1551" t="str">
        <f t="shared" si="49"/>
        <v/>
      </c>
      <c r="CD26" s="910"/>
      <c r="CE26" s="717"/>
      <c r="CF26" s="736"/>
      <c r="CG26" s="737"/>
      <c r="CH26" s="591" t="str">
        <f t="shared" si="50"/>
        <v/>
      </c>
      <c r="CI26" s="592" t="str">
        <f t="shared" si="51"/>
        <v/>
      </c>
      <c r="CJ26" s="593" t="str">
        <f t="shared" si="52"/>
        <v/>
      </c>
      <c r="CK26" s="594" t="str">
        <f t="shared" si="53"/>
        <v/>
      </c>
      <c r="CL26" s="595" t="str">
        <f t="shared" si="54"/>
        <v/>
      </c>
      <c r="CM26" s="596" t="str">
        <f t="shared" si="55"/>
        <v/>
      </c>
      <c r="CN26" s="597" t="str">
        <f t="shared" si="56"/>
        <v/>
      </c>
      <c r="CO26" s="598" t="str">
        <f t="shared" si="57"/>
        <v/>
      </c>
      <c r="CP26" s="615" t="str">
        <f t="shared" si="58"/>
        <v/>
      </c>
      <c r="CQ26" s="616" t="str">
        <f t="shared" si="59"/>
        <v/>
      </c>
      <c r="CR26" s="750" t="str">
        <f t="shared" si="60"/>
        <v/>
      </c>
      <c r="CS26" s="751" t="str">
        <f t="shared" si="61"/>
        <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62"/>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63"/>
        <v>0</v>
      </c>
      <c r="DO26" s="818">
        <f t="shared" si="64"/>
        <v>0</v>
      </c>
      <c r="DP26" s="822" t="str">
        <f t="shared" si="65"/>
        <v/>
      </c>
      <c r="DQ26" s="822" t="str">
        <f t="shared" si="66"/>
        <v/>
      </c>
      <c r="DR26" s="822" t="str">
        <f t="shared" si="67"/>
        <v/>
      </c>
      <c r="DS26" s="821">
        <f t="shared" si="68"/>
        <v>0</v>
      </c>
      <c r="DT26" s="821">
        <f t="shared" si="69"/>
        <v>0</v>
      </c>
      <c r="DU26" s="821" t="str">
        <f t="shared" si="70"/>
        <v/>
      </c>
      <c r="DV26" s="822" t="str">
        <f t="shared" si="71"/>
        <v/>
      </c>
      <c r="DW26" s="856" t="str">
        <f t="shared" si="72"/>
        <v/>
      </c>
      <c r="DX26" s="1006">
        <f t="shared" si="73"/>
        <v>0</v>
      </c>
      <c r="DY26" s="822">
        <f t="shared" si="74"/>
        <v>0</v>
      </c>
      <c r="DZ26" s="821">
        <f t="shared" si="75"/>
        <v>0</v>
      </c>
      <c r="EA26" s="821" t="str">
        <f t="shared" si="76"/>
        <v/>
      </c>
      <c r="EB26" s="822" t="str">
        <f t="shared" si="77"/>
        <v/>
      </c>
      <c r="EC26" s="856" t="str">
        <f t="shared" si="78"/>
        <v/>
      </c>
      <c r="ED26" s="1006">
        <f t="shared" si="79"/>
        <v>0</v>
      </c>
      <c r="EE26" s="1293" t="str">
        <f t="shared" si="80"/>
        <v/>
      </c>
      <c r="EF26" s="1293" t="str">
        <f t="shared" si="81"/>
        <v/>
      </c>
      <c r="EG26" s="1293" t="str">
        <f t="shared" si="82"/>
        <v/>
      </c>
      <c r="EH26" s="856" t="e">
        <f t="shared" si="83"/>
        <v>#N/A</v>
      </c>
      <c r="EI26" s="856" t="e">
        <f t="shared" si="84"/>
        <v>#N/A</v>
      </c>
      <c r="EJ26" s="822" t="str">
        <f t="shared" si="85"/>
        <v/>
      </c>
      <c r="EK26" s="822" t="str">
        <f t="shared" si="85"/>
        <v/>
      </c>
      <c r="EL26" s="1293" t="str">
        <f t="shared" si="86"/>
        <v/>
      </c>
      <c r="EM26" s="822" t="str">
        <f t="shared" si="87"/>
        <v/>
      </c>
      <c r="EN26" s="822" t="str">
        <f t="shared" si="88"/>
        <v/>
      </c>
      <c r="EO26" s="856" t="e">
        <f t="shared" si="89"/>
        <v>#N/A</v>
      </c>
      <c r="EP26" s="856" t="e">
        <f t="shared" si="90"/>
        <v>#N/A</v>
      </c>
      <c r="EQ26" s="1293" t="str">
        <f t="shared" si="91"/>
        <v/>
      </c>
      <c r="ER26" s="822" t="str">
        <f t="shared" si="91"/>
        <v/>
      </c>
      <c r="ES26" s="822" t="str">
        <f t="shared" si="92"/>
        <v/>
      </c>
      <c r="ET26" s="822" t="str">
        <f t="shared" si="93"/>
        <v/>
      </c>
      <c r="EU26" s="829" t="str">
        <f t="shared" si="94"/>
        <v/>
      </c>
      <c r="EV26" s="824" t="str">
        <f t="shared" si="95"/>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96"/>
        <v/>
      </c>
      <c r="FA26" s="829" t="str">
        <f>IF(AND(DE26="G", ISBLANK(BW26), ISBLANK(BX26)),VLOOKUP(MIN(BT26:BU26),TblJoistSize!$M$3:$N$10,2),IF(OR(DE26="B", DE26="G"),MIN(BW26:BX26),""))</f>
        <v/>
      </c>
      <c r="FB26" s="829" t="str">
        <f>IF(AND(DE26="G", ISBLANK(BW26), ISBLANK(BX26)),VLOOKUP(MAX(BT26:BU26),TblJoistSize!$M$3:$N$10,2),IF(OR(DE26="B", DE26="G"),MAX(BW26:BX26),""))</f>
        <v/>
      </c>
      <c r="FC26" s="829" t="str">
        <f t="shared" si="97"/>
        <v/>
      </c>
      <c r="FD26" s="821">
        <f t="shared" si="124"/>
        <v>0</v>
      </c>
      <c r="FE26" s="821">
        <f t="shared" si="98"/>
        <v>0</v>
      </c>
      <c r="FF26" s="821">
        <f t="shared" si="99"/>
        <v>0</v>
      </c>
      <c r="FG26" s="821" t="str">
        <f t="shared" si="100"/>
        <v/>
      </c>
      <c r="FH26" s="822" t="str">
        <f t="shared" si="101"/>
        <v/>
      </c>
      <c r="FI26" s="821">
        <f t="shared" si="125"/>
        <v>0</v>
      </c>
      <c r="FJ26" s="821">
        <f t="shared" si="102"/>
        <v>0</v>
      </c>
      <c r="FK26" s="821">
        <f t="shared" si="103"/>
        <v>0</v>
      </c>
      <c r="FL26" s="821" t="str">
        <f t="shared" si="104"/>
        <v/>
      </c>
      <c r="FM26" s="822" t="str">
        <f t="shared" si="105"/>
        <v/>
      </c>
      <c r="FN26" s="822" t="e">
        <f t="shared" si="106"/>
        <v>#VALUE!</v>
      </c>
      <c r="FO26" s="940" t="e">
        <f t="shared" si="107"/>
        <v>#VALUE!</v>
      </c>
      <c r="FP26" s="940" t="e">
        <f t="shared" si="108"/>
        <v>#VALUE!</v>
      </c>
      <c r="FQ26" s="830" t="e">
        <f t="shared" si="109"/>
        <v>#VALUE!</v>
      </c>
      <c r="FR26" s="831" t="e">
        <f t="shared" si="110"/>
        <v>#VALUE!</v>
      </c>
      <c r="FS26" s="832" t="str">
        <f t="shared" si="111"/>
        <v/>
      </c>
      <c r="FT26" s="833" t="str">
        <f t="shared" si="112"/>
        <v/>
      </c>
      <c r="FU26" s="870">
        <f t="shared" si="113"/>
        <v>0</v>
      </c>
      <c r="FV26" s="871">
        <f t="shared" si="114"/>
        <v>0</v>
      </c>
      <c r="GA26" s="1791" t="str">
        <f t="shared" si="115"/>
        <v/>
      </c>
      <c r="GB26" s="1792" t="str">
        <f t="shared" si="116"/>
        <v/>
      </c>
      <c r="GC26" s="1793" t="str">
        <f t="shared" si="117"/>
        <v/>
      </c>
      <c r="GD26" s="1794" t="str">
        <f t="shared" si="118"/>
        <v/>
      </c>
      <c r="GE26" s="1795" t="str">
        <f t="shared" si="119"/>
        <v/>
      </c>
      <c r="GF26" s="600" t="str">
        <f t="shared" si="120"/>
        <v/>
      </c>
      <c r="GG26" s="1130"/>
      <c r="GH26" s="1131"/>
      <c r="GI26" s="1130"/>
      <c r="GJ26" s="1131"/>
      <c r="GK26" s="1638">
        <f t="shared" si="121"/>
        <v>0</v>
      </c>
      <c r="GL26" s="1636" t="e">
        <f t="shared" si="122"/>
        <v>#VALUE!</v>
      </c>
      <c r="GM26" s="1637" t="e">
        <f>IF(ABS(GK26-GL26)&gt;='Job Info.'!$L$22,ABS(GK26-GL26),0)</f>
        <v>#VALUE!</v>
      </c>
      <c r="HA26" s="1269"/>
      <c r="HB26" s="1270"/>
      <c r="HC26" s="1270"/>
      <c r="HD26" s="1271"/>
      <c r="HE26" s="1272"/>
      <c r="HF26" s="1270"/>
      <c r="HG26" s="1270"/>
      <c r="HH26" s="1270"/>
      <c r="HI26" s="1273"/>
      <c r="HJ26" s="1270"/>
      <c r="HK26" s="1270"/>
      <c r="HL26" s="1270"/>
      <c r="HM26" s="1270"/>
      <c r="HN26" s="1270"/>
      <c r="HO26" s="1270"/>
      <c r="HP26" s="1270"/>
      <c r="HQ26" s="1273"/>
      <c r="HR26" s="1270"/>
      <c r="HS26" s="1270"/>
      <c r="HT26" s="1270"/>
      <c r="HU26" s="1270"/>
      <c r="HV26" s="1270"/>
      <c r="HW26" s="1272"/>
      <c r="HX26" s="1272"/>
      <c r="HY26" s="1272"/>
      <c r="HZ26" s="1272"/>
      <c r="IA26" s="1272"/>
      <c r="IB26" s="1272"/>
      <c r="IC26" s="1272"/>
      <c r="ID26" s="1272"/>
      <c r="IE26" s="1272"/>
      <c r="IF26" s="1274"/>
    </row>
    <row r="27" spans="1:240" ht="12.6" customHeight="1" x14ac:dyDescent="0.25">
      <c r="A27" s="1448" t="str">
        <f t="shared" si="1"/>
        <v/>
      </c>
      <c r="B27" s="1681" t="str">
        <f t="shared" si="2"/>
        <v/>
      </c>
      <c r="C27" s="1449" t="str">
        <f t="shared" si="3"/>
        <v/>
      </c>
      <c r="D27" s="1705" t="str">
        <f t="shared" si="4"/>
        <v/>
      </c>
      <c r="E27" s="1706" t="str">
        <f t="shared" si="5"/>
        <v/>
      </c>
      <c r="F27" s="1714" t="str">
        <f t="shared" si="6"/>
        <v/>
      </c>
      <c r="G27" s="1709" t="str">
        <f t="shared" si="7"/>
        <v/>
      </c>
      <c r="H27" s="1779" t="str">
        <f t="shared" si="8"/>
        <v/>
      </c>
      <c r="I27" s="1705" t="str">
        <f t="shared" si="9"/>
        <v/>
      </c>
      <c r="J27" s="1709" t="str">
        <f t="shared" si="10"/>
        <v/>
      </c>
      <c r="K27" s="1796" t="str">
        <f t="shared" si="11"/>
        <v/>
      </c>
      <c r="L27" s="1712" t="str">
        <f t="shared" si="12"/>
        <v/>
      </c>
      <c r="M27" s="1713" t="str">
        <f t="shared" si="13"/>
        <v/>
      </c>
      <c r="N27" s="1708" t="str">
        <f t="shared" si="14"/>
        <v/>
      </c>
      <c r="O27" s="1709" t="str">
        <f t="shared" si="15"/>
        <v/>
      </c>
      <c r="P27" s="1710" t="str">
        <f t="shared" si="16"/>
        <v/>
      </c>
      <c r="Q27" s="1705" t="str">
        <f t="shared" si="17"/>
        <v/>
      </c>
      <c r="R27" s="1709" t="str">
        <f t="shared" si="18"/>
        <v/>
      </c>
      <c r="S27" s="1711" t="str">
        <f t="shared" si="19"/>
        <v/>
      </c>
      <c r="T27" s="1714" t="str">
        <f t="shared" si="20"/>
        <v/>
      </c>
      <c r="U27" s="1709" t="str">
        <f t="shared" si="21"/>
        <v/>
      </c>
      <c r="V27" s="1705" t="str">
        <f t="shared" si="22"/>
        <v/>
      </c>
      <c r="W27" s="1709" t="str">
        <f t="shared" si="23"/>
        <v/>
      </c>
      <c r="X27" s="1713">
        <f t="shared" si="24"/>
        <v>0</v>
      </c>
      <c r="Y27" s="1781" t="str">
        <f t="shared" si="25"/>
        <v/>
      </c>
      <c r="Z27" s="1782" t="str">
        <f t="shared" si="26"/>
        <v/>
      </c>
      <c r="AA27" s="1783" t="str">
        <f t="shared" si="27"/>
        <v/>
      </c>
      <c r="AB27" s="1413"/>
      <c r="AC27" s="964" t="b">
        <v>0</v>
      </c>
      <c r="AD27" s="441">
        <f t="shared" si="28"/>
        <v>0</v>
      </c>
      <c r="AE27" s="442">
        <f t="shared" si="29"/>
        <v>0</v>
      </c>
      <c r="AF27" s="442">
        <f t="shared" si="30"/>
        <v>0</v>
      </c>
      <c r="AG27" s="442">
        <f t="shared" si="31"/>
        <v>0</v>
      </c>
      <c r="AH27" s="443">
        <f t="shared" si="32"/>
        <v>0</v>
      </c>
      <c r="AI27" s="444" t="b">
        <v>0</v>
      </c>
      <c r="AJ27" s="238">
        <f t="shared" si="33"/>
        <v>0</v>
      </c>
      <c r="AK27" s="830" t="str">
        <f t="shared" si="34"/>
        <v/>
      </c>
      <c r="AL27" s="945" t="str">
        <f t="shared" si="35"/>
        <v/>
      </c>
      <c r="AM27" s="830" t="str">
        <f t="shared" si="36"/>
        <v/>
      </c>
      <c r="AN27" s="830" t="str">
        <f t="shared" si="37"/>
        <v/>
      </c>
      <c r="AO27" s="830" t="str">
        <f t="shared" si="38"/>
        <v/>
      </c>
      <c r="AP27" s="830" t="b">
        <f>IF(ISERROR(AJ27),FALSE,IF(OR(AJ27=0,ISERROR(AL27),ISERROR(AM27),ISERROR(AN27),ISERROR(AO27)),FALSE,IF(AL27&lt;&gt;"",IF(ISERROR(VLOOKUP(SUBSTITUTE(SUBSTITUTE(C27,"R",""),"A",""),TblJoistSize!$A:$A,1,FALSE)),FALSE,TRUE),TRUE)))</f>
        <v>0</v>
      </c>
      <c r="AQ27" s="1038" t="e">
        <f t="shared" si="39"/>
        <v>#N/A</v>
      </c>
      <c r="AR27" s="945" t="b">
        <f t="shared" si="40"/>
        <v>0</v>
      </c>
      <c r="AS27" s="1038" t="e">
        <f t="shared" si="41"/>
        <v>#N/A</v>
      </c>
      <c r="AT27" s="945" t="b">
        <f t="shared" si="42"/>
        <v>0</v>
      </c>
      <c r="AU27" s="946" t="str">
        <f t="shared" si="43"/>
        <v/>
      </c>
      <c r="AV27" s="830" t="str">
        <f t="shared" si="44"/>
        <v/>
      </c>
      <c r="AW27" s="830" t="str">
        <f t="shared" si="45"/>
        <v/>
      </c>
      <c r="AX27" s="830" t="str">
        <f t="shared" si="123"/>
        <v/>
      </c>
      <c r="AY27" s="1039" t="b">
        <f t="shared" si="46"/>
        <v>0</v>
      </c>
      <c r="AZ27" s="856" t="str">
        <f t="shared" si="47"/>
        <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48"/>
        <v/>
      </c>
      <c r="BR27" s="910"/>
      <c r="BS27" s="672"/>
      <c r="BT27" s="713"/>
      <c r="BU27" s="714"/>
      <c r="BV27" s="1625"/>
      <c r="BW27" s="713"/>
      <c r="BX27" s="714"/>
      <c r="BY27" s="715"/>
      <c r="BZ27" s="716"/>
      <c r="CA27" s="680" t="str">
        <f>IF(ISERROR(DE27),"",IF(DE27="","",IF(VLOOKUP(BS27,SectInfo!$B:$N,10,FALSE)="","","X")))</f>
        <v/>
      </c>
      <c r="CB27" s="738"/>
      <c r="CC27" s="1551" t="str">
        <f t="shared" si="49"/>
        <v/>
      </c>
      <c r="CD27" s="910"/>
      <c r="CE27" s="717"/>
      <c r="CF27" s="736"/>
      <c r="CG27" s="737"/>
      <c r="CH27" s="591" t="str">
        <f t="shared" si="50"/>
        <v/>
      </c>
      <c r="CI27" s="592" t="str">
        <f t="shared" si="51"/>
        <v/>
      </c>
      <c r="CJ27" s="593" t="str">
        <f t="shared" si="52"/>
        <v/>
      </c>
      <c r="CK27" s="594" t="str">
        <f t="shared" si="53"/>
        <v/>
      </c>
      <c r="CL27" s="595" t="str">
        <f t="shared" si="54"/>
        <v/>
      </c>
      <c r="CM27" s="596" t="str">
        <f t="shared" si="55"/>
        <v/>
      </c>
      <c r="CN27" s="597" t="str">
        <f t="shared" si="56"/>
        <v/>
      </c>
      <c r="CO27" s="598" t="str">
        <f t="shared" si="57"/>
        <v/>
      </c>
      <c r="CP27" s="615" t="str">
        <f t="shared" si="58"/>
        <v/>
      </c>
      <c r="CQ27" s="616" t="str">
        <f t="shared" si="59"/>
        <v/>
      </c>
      <c r="CR27" s="750" t="str">
        <f t="shared" si="60"/>
        <v/>
      </c>
      <c r="CS27" s="751" t="str">
        <f t="shared" si="61"/>
        <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62"/>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63"/>
        <v>0</v>
      </c>
      <c r="DO27" s="818">
        <f t="shared" si="64"/>
        <v>0</v>
      </c>
      <c r="DP27" s="822" t="str">
        <f t="shared" si="65"/>
        <v/>
      </c>
      <c r="DQ27" s="822" t="str">
        <f t="shared" si="66"/>
        <v/>
      </c>
      <c r="DR27" s="822" t="str">
        <f t="shared" si="67"/>
        <v/>
      </c>
      <c r="DS27" s="821">
        <f t="shared" si="68"/>
        <v>0</v>
      </c>
      <c r="DT27" s="821">
        <f t="shared" si="69"/>
        <v>0</v>
      </c>
      <c r="DU27" s="821" t="str">
        <f t="shared" si="70"/>
        <v/>
      </c>
      <c r="DV27" s="822" t="str">
        <f t="shared" si="71"/>
        <v/>
      </c>
      <c r="DW27" s="856" t="str">
        <f t="shared" si="72"/>
        <v/>
      </c>
      <c r="DX27" s="1006">
        <f t="shared" si="73"/>
        <v>0</v>
      </c>
      <c r="DY27" s="822">
        <f t="shared" si="74"/>
        <v>0</v>
      </c>
      <c r="DZ27" s="821">
        <f t="shared" si="75"/>
        <v>0</v>
      </c>
      <c r="EA27" s="821" t="str">
        <f t="shared" si="76"/>
        <v/>
      </c>
      <c r="EB27" s="822" t="str">
        <f t="shared" si="77"/>
        <v/>
      </c>
      <c r="EC27" s="856" t="str">
        <f t="shared" si="78"/>
        <v/>
      </c>
      <c r="ED27" s="1006">
        <f t="shared" si="79"/>
        <v>0</v>
      </c>
      <c r="EE27" s="1293" t="str">
        <f t="shared" si="80"/>
        <v/>
      </c>
      <c r="EF27" s="1293" t="str">
        <f t="shared" si="81"/>
        <v/>
      </c>
      <c r="EG27" s="1293" t="str">
        <f t="shared" si="82"/>
        <v/>
      </c>
      <c r="EH27" s="856" t="e">
        <f t="shared" si="83"/>
        <v>#N/A</v>
      </c>
      <c r="EI27" s="856" t="e">
        <f t="shared" si="84"/>
        <v>#N/A</v>
      </c>
      <c r="EJ27" s="822" t="str">
        <f t="shared" si="85"/>
        <v/>
      </c>
      <c r="EK27" s="822" t="str">
        <f t="shared" si="85"/>
        <v/>
      </c>
      <c r="EL27" s="1293" t="str">
        <f t="shared" si="86"/>
        <v/>
      </c>
      <c r="EM27" s="822" t="str">
        <f t="shared" si="87"/>
        <v/>
      </c>
      <c r="EN27" s="822" t="str">
        <f t="shared" si="88"/>
        <v/>
      </c>
      <c r="EO27" s="856" t="e">
        <f t="shared" si="89"/>
        <v>#N/A</v>
      </c>
      <c r="EP27" s="856" t="e">
        <f t="shared" si="90"/>
        <v>#N/A</v>
      </c>
      <c r="EQ27" s="1293" t="str">
        <f t="shared" si="91"/>
        <v/>
      </c>
      <c r="ER27" s="822" t="str">
        <f t="shared" si="91"/>
        <v/>
      </c>
      <c r="ES27" s="822" t="str">
        <f t="shared" si="92"/>
        <v/>
      </c>
      <c r="ET27" s="822" t="str">
        <f t="shared" si="93"/>
        <v/>
      </c>
      <c r="EU27" s="829" t="str">
        <f t="shared" si="94"/>
        <v/>
      </c>
      <c r="EV27" s="824" t="str">
        <f t="shared" si="95"/>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96"/>
        <v/>
      </c>
      <c r="FA27" s="829" t="str">
        <f>IF(AND(DE27="G", ISBLANK(BW27), ISBLANK(BX27)),VLOOKUP(MIN(BT27:BU27),TblJoistSize!$M$3:$N$10,2),IF(OR(DE27="B", DE27="G"),MIN(BW27:BX27),""))</f>
        <v/>
      </c>
      <c r="FB27" s="829" t="str">
        <f>IF(AND(DE27="G", ISBLANK(BW27), ISBLANK(BX27)),VLOOKUP(MAX(BT27:BU27),TblJoistSize!$M$3:$N$10,2),IF(OR(DE27="B", DE27="G"),MAX(BW27:BX27),""))</f>
        <v/>
      </c>
      <c r="FC27" s="829" t="str">
        <f t="shared" si="97"/>
        <v/>
      </c>
      <c r="FD27" s="821">
        <f t="shared" si="124"/>
        <v>0</v>
      </c>
      <c r="FE27" s="821">
        <f t="shared" si="98"/>
        <v>0</v>
      </c>
      <c r="FF27" s="821">
        <f t="shared" si="99"/>
        <v>0</v>
      </c>
      <c r="FG27" s="821" t="str">
        <f t="shared" si="100"/>
        <v/>
      </c>
      <c r="FH27" s="822" t="str">
        <f t="shared" si="101"/>
        <v/>
      </c>
      <c r="FI27" s="821">
        <f t="shared" si="125"/>
        <v>0</v>
      </c>
      <c r="FJ27" s="821">
        <f t="shared" si="102"/>
        <v>0</v>
      </c>
      <c r="FK27" s="821">
        <f t="shared" si="103"/>
        <v>0</v>
      </c>
      <c r="FL27" s="821" t="str">
        <f t="shared" si="104"/>
        <v/>
      </c>
      <c r="FM27" s="822" t="str">
        <f t="shared" si="105"/>
        <v/>
      </c>
      <c r="FN27" s="822" t="e">
        <f t="shared" si="106"/>
        <v>#VALUE!</v>
      </c>
      <c r="FO27" s="940" t="e">
        <f t="shared" si="107"/>
        <v>#VALUE!</v>
      </c>
      <c r="FP27" s="940" t="e">
        <f t="shared" si="108"/>
        <v>#VALUE!</v>
      </c>
      <c r="FQ27" s="830" t="e">
        <f t="shared" si="109"/>
        <v>#VALUE!</v>
      </c>
      <c r="FR27" s="831" t="e">
        <f t="shared" si="110"/>
        <v>#VALUE!</v>
      </c>
      <c r="FS27" s="832" t="str">
        <f t="shared" si="111"/>
        <v/>
      </c>
      <c r="FT27" s="833" t="str">
        <f t="shared" si="112"/>
        <v/>
      </c>
      <c r="FU27" s="870">
        <f t="shared" si="113"/>
        <v>0</v>
      </c>
      <c r="FV27" s="871">
        <f t="shared" si="114"/>
        <v>0</v>
      </c>
      <c r="GA27" s="1791" t="str">
        <f t="shared" si="115"/>
        <v/>
      </c>
      <c r="GB27" s="1792" t="str">
        <f t="shared" si="116"/>
        <v/>
      </c>
      <c r="GC27" s="1793" t="str">
        <f t="shared" si="117"/>
        <v/>
      </c>
      <c r="GD27" s="1794" t="str">
        <f t="shared" si="118"/>
        <v/>
      </c>
      <c r="GE27" s="1795" t="str">
        <f t="shared" si="119"/>
        <v/>
      </c>
      <c r="GF27" s="600" t="str">
        <f t="shared" si="120"/>
        <v/>
      </c>
      <c r="GG27" s="1130"/>
      <c r="GH27" s="1131"/>
      <c r="GI27" s="1130"/>
      <c r="GJ27" s="1131"/>
      <c r="GK27" s="1638">
        <f t="shared" si="121"/>
        <v>0</v>
      </c>
      <c r="GL27" s="1636" t="e">
        <f t="shared" si="122"/>
        <v>#VALUE!</v>
      </c>
      <c r="GM27" s="1637" t="e">
        <f>IF(ABS(GK27-GL27)&gt;='Job Info.'!$L$22,ABS(GK27-GL27),0)</f>
        <v>#VALUE!</v>
      </c>
      <c r="HA27" s="1269"/>
      <c r="HB27" s="1270"/>
      <c r="HC27" s="1270"/>
      <c r="HD27" s="1271"/>
      <c r="HE27" s="1272"/>
      <c r="HF27" s="1270"/>
      <c r="HG27" s="1270"/>
      <c r="HH27" s="1270"/>
      <c r="HI27" s="1273"/>
      <c r="HJ27" s="1270"/>
      <c r="HK27" s="1270"/>
      <c r="HL27" s="1270"/>
      <c r="HM27" s="1270"/>
      <c r="HN27" s="1270"/>
      <c r="HO27" s="1270"/>
      <c r="HP27" s="1270"/>
      <c r="HQ27" s="1273"/>
      <c r="HR27" s="1270"/>
      <c r="HS27" s="1270"/>
      <c r="HT27" s="1270"/>
      <c r="HU27" s="1270"/>
      <c r="HV27" s="1270"/>
      <c r="HW27" s="1272"/>
      <c r="HX27" s="1272"/>
      <c r="HY27" s="1272"/>
      <c r="HZ27" s="1272"/>
      <c r="IA27" s="1272"/>
      <c r="IB27" s="1272"/>
      <c r="IC27" s="1272"/>
      <c r="ID27" s="1272"/>
      <c r="IE27" s="1272"/>
      <c r="IF27" s="1274"/>
    </row>
    <row r="28" spans="1:240" ht="12.6" customHeight="1" x14ac:dyDescent="0.25">
      <c r="A28" s="1448" t="str">
        <f t="shared" si="1"/>
        <v/>
      </c>
      <c r="B28" s="1681" t="str">
        <f t="shared" si="2"/>
        <v/>
      </c>
      <c r="C28" s="1449" t="str">
        <f t="shared" si="3"/>
        <v/>
      </c>
      <c r="D28" s="1705" t="str">
        <f t="shared" si="4"/>
        <v/>
      </c>
      <c r="E28" s="1706" t="str">
        <f t="shared" si="5"/>
        <v/>
      </c>
      <c r="F28" s="1714" t="str">
        <f t="shared" si="6"/>
        <v/>
      </c>
      <c r="G28" s="1709" t="str">
        <f t="shared" si="7"/>
        <v/>
      </c>
      <c r="H28" s="1779" t="str">
        <f t="shared" si="8"/>
        <v/>
      </c>
      <c r="I28" s="1705" t="str">
        <f t="shared" si="9"/>
        <v/>
      </c>
      <c r="J28" s="1709" t="str">
        <f t="shared" si="10"/>
        <v/>
      </c>
      <c r="K28" s="1796" t="str">
        <f t="shared" si="11"/>
        <v/>
      </c>
      <c r="L28" s="1712" t="str">
        <f t="shared" si="12"/>
        <v/>
      </c>
      <c r="M28" s="1713" t="str">
        <f t="shared" si="13"/>
        <v/>
      </c>
      <c r="N28" s="1708" t="str">
        <f t="shared" si="14"/>
        <v/>
      </c>
      <c r="O28" s="1709" t="str">
        <f t="shared" si="15"/>
        <v/>
      </c>
      <c r="P28" s="1710" t="str">
        <f t="shared" si="16"/>
        <v/>
      </c>
      <c r="Q28" s="1705" t="str">
        <f t="shared" si="17"/>
        <v/>
      </c>
      <c r="R28" s="1709" t="str">
        <f t="shared" si="18"/>
        <v/>
      </c>
      <c r="S28" s="1711" t="str">
        <f t="shared" si="19"/>
        <v/>
      </c>
      <c r="T28" s="1714" t="str">
        <f t="shared" si="20"/>
        <v/>
      </c>
      <c r="U28" s="1709" t="str">
        <f t="shared" si="21"/>
        <v/>
      </c>
      <c r="V28" s="1705" t="str">
        <f t="shared" si="22"/>
        <v/>
      </c>
      <c r="W28" s="1709" t="str">
        <f t="shared" si="23"/>
        <v/>
      </c>
      <c r="X28" s="1713">
        <f t="shared" si="24"/>
        <v>0</v>
      </c>
      <c r="Y28" s="1781" t="str">
        <f t="shared" si="25"/>
        <v/>
      </c>
      <c r="Z28" s="1782" t="str">
        <f t="shared" si="26"/>
        <v/>
      </c>
      <c r="AA28" s="1783" t="str">
        <f t="shared" si="27"/>
        <v/>
      </c>
      <c r="AB28" s="1413"/>
      <c r="AC28" s="964" t="b">
        <v>0</v>
      </c>
      <c r="AD28" s="441">
        <f t="shared" si="28"/>
        <v>0</v>
      </c>
      <c r="AE28" s="442">
        <f t="shared" si="29"/>
        <v>0</v>
      </c>
      <c r="AF28" s="442">
        <f t="shared" si="30"/>
        <v>0</v>
      </c>
      <c r="AG28" s="442">
        <f t="shared" si="31"/>
        <v>0</v>
      </c>
      <c r="AH28" s="443">
        <f t="shared" si="32"/>
        <v>0</v>
      </c>
      <c r="AI28" s="444" t="b">
        <v>0</v>
      </c>
      <c r="AJ28" s="238">
        <f t="shared" si="33"/>
        <v>0</v>
      </c>
      <c r="AK28" s="830" t="str">
        <f t="shared" si="34"/>
        <v/>
      </c>
      <c r="AL28" s="945" t="str">
        <f t="shared" si="35"/>
        <v/>
      </c>
      <c r="AM28" s="830" t="str">
        <f t="shared" si="36"/>
        <v/>
      </c>
      <c r="AN28" s="830" t="str">
        <f t="shared" si="37"/>
        <v/>
      </c>
      <c r="AO28" s="830" t="str">
        <f t="shared" si="38"/>
        <v/>
      </c>
      <c r="AP28" s="830" t="b">
        <f>IF(ISERROR(AJ28),FALSE,IF(OR(AJ28=0,ISERROR(AL28),ISERROR(AM28),ISERROR(AN28),ISERROR(AO28)),FALSE,IF(AL28&lt;&gt;"",IF(ISERROR(VLOOKUP(SUBSTITUTE(SUBSTITUTE(C28,"R",""),"A",""),TblJoistSize!$A:$A,1,FALSE)),FALSE,TRUE),TRUE)))</f>
        <v>0</v>
      </c>
      <c r="AQ28" s="1038" t="e">
        <f t="shared" si="39"/>
        <v>#N/A</v>
      </c>
      <c r="AR28" s="945" t="b">
        <f t="shared" si="40"/>
        <v>0</v>
      </c>
      <c r="AS28" s="1038" t="e">
        <f t="shared" si="41"/>
        <v>#N/A</v>
      </c>
      <c r="AT28" s="945" t="b">
        <f t="shared" si="42"/>
        <v>0</v>
      </c>
      <c r="AU28" s="946" t="str">
        <f t="shared" si="43"/>
        <v/>
      </c>
      <c r="AV28" s="830" t="str">
        <f t="shared" si="44"/>
        <v/>
      </c>
      <c r="AW28" s="830" t="str">
        <f t="shared" si="45"/>
        <v/>
      </c>
      <c r="AX28" s="830" t="str">
        <f t="shared" si="123"/>
        <v/>
      </c>
      <c r="AY28" s="1039" t="b">
        <f t="shared" si="46"/>
        <v>0</v>
      </c>
      <c r="AZ28" s="856" t="str">
        <f t="shared" si="47"/>
        <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48"/>
        <v/>
      </c>
      <c r="BR28" s="910"/>
      <c r="BS28" s="672"/>
      <c r="BT28" s="713"/>
      <c r="BU28" s="714"/>
      <c r="BV28" s="1625"/>
      <c r="BW28" s="713"/>
      <c r="BX28" s="714"/>
      <c r="BY28" s="715"/>
      <c r="BZ28" s="716"/>
      <c r="CA28" s="680" t="str">
        <f>IF(ISERROR(DE28),"",IF(DE28="","",IF(VLOOKUP(BS28,SectInfo!$B:$N,10,FALSE)="","","X")))</f>
        <v/>
      </c>
      <c r="CB28" s="738"/>
      <c r="CC28" s="1551" t="str">
        <f t="shared" si="49"/>
        <v/>
      </c>
      <c r="CD28" s="910"/>
      <c r="CE28" s="717"/>
      <c r="CF28" s="736"/>
      <c r="CG28" s="737"/>
      <c r="CH28" s="591" t="str">
        <f t="shared" si="50"/>
        <v/>
      </c>
      <c r="CI28" s="592" t="str">
        <f t="shared" si="51"/>
        <v/>
      </c>
      <c r="CJ28" s="593" t="str">
        <f t="shared" si="52"/>
        <v/>
      </c>
      <c r="CK28" s="594" t="str">
        <f t="shared" si="53"/>
        <v/>
      </c>
      <c r="CL28" s="595" t="str">
        <f t="shared" si="54"/>
        <v/>
      </c>
      <c r="CM28" s="596" t="str">
        <f t="shared" si="55"/>
        <v/>
      </c>
      <c r="CN28" s="597" t="str">
        <f t="shared" si="56"/>
        <v/>
      </c>
      <c r="CO28" s="598" t="str">
        <f t="shared" si="57"/>
        <v/>
      </c>
      <c r="CP28" s="615" t="str">
        <f t="shared" si="58"/>
        <v/>
      </c>
      <c r="CQ28" s="616" t="str">
        <f t="shared" si="59"/>
        <v/>
      </c>
      <c r="CR28" s="750" t="str">
        <f t="shared" si="60"/>
        <v/>
      </c>
      <c r="CS28" s="751" t="str">
        <f t="shared" si="61"/>
        <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62"/>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63"/>
        <v>0</v>
      </c>
      <c r="DO28" s="818">
        <f t="shared" si="64"/>
        <v>0</v>
      </c>
      <c r="DP28" s="822" t="str">
        <f t="shared" si="65"/>
        <v/>
      </c>
      <c r="DQ28" s="822" t="str">
        <f t="shared" si="66"/>
        <v/>
      </c>
      <c r="DR28" s="822" t="str">
        <f t="shared" si="67"/>
        <v/>
      </c>
      <c r="DS28" s="821">
        <f t="shared" si="68"/>
        <v>0</v>
      </c>
      <c r="DT28" s="821">
        <f t="shared" si="69"/>
        <v>0</v>
      </c>
      <c r="DU28" s="821" t="str">
        <f t="shared" si="70"/>
        <v/>
      </c>
      <c r="DV28" s="822" t="str">
        <f t="shared" si="71"/>
        <v/>
      </c>
      <c r="DW28" s="856" t="str">
        <f t="shared" si="72"/>
        <v/>
      </c>
      <c r="DX28" s="1006">
        <f t="shared" si="73"/>
        <v>0</v>
      </c>
      <c r="DY28" s="822">
        <f t="shared" si="74"/>
        <v>0</v>
      </c>
      <c r="DZ28" s="821">
        <f t="shared" si="75"/>
        <v>0</v>
      </c>
      <c r="EA28" s="821" t="str">
        <f t="shared" si="76"/>
        <v/>
      </c>
      <c r="EB28" s="822" t="str">
        <f t="shared" si="77"/>
        <v/>
      </c>
      <c r="EC28" s="856" t="str">
        <f t="shared" si="78"/>
        <v/>
      </c>
      <c r="ED28" s="1006">
        <f t="shared" si="79"/>
        <v>0</v>
      </c>
      <c r="EE28" s="1293" t="str">
        <f t="shared" si="80"/>
        <v/>
      </c>
      <c r="EF28" s="1293" t="str">
        <f t="shared" si="81"/>
        <v/>
      </c>
      <c r="EG28" s="1293" t="str">
        <f t="shared" si="82"/>
        <v/>
      </c>
      <c r="EH28" s="856" t="e">
        <f t="shared" si="83"/>
        <v>#N/A</v>
      </c>
      <c r="EI28" s="856" t="e">
        <f t="shared" si="84"/>
        <v>#N/A</v>
      </c>
      <c r="EJ28" s="822" t="str">
        <f t="shared" si="85"/>
        <v/>
      </c>
      <c r="EK28" s="822" t="str">
        <f t="shared" si="85"/>
        <v/>
      </c>
      <c r="EL28" s="1293" t="str">
        <f t="shared" si="86"/>
        <v/>
      </c>
      <c r="EM28" s="822" t="str">
        <f t="shared" si="87"/>
        <v/>
      </c>
      <c r="EN28" s="822" t="str">
        <f t="shared" si="88"/>
        <v/>
      </c>
      <c r="EO28" s="856" t="e">
        <f t="shared" si="89"/>
        <v>#N/A</v>
      </c>
      <c r="EP28" s="856" t="e">
        <f t="shared" si="90"/>
        <v>#N/A</v>
      </c>
      <c r="EQ28" s="1293" t="str">
        <f t="shared" si="91"/>
        <v/>
      </c>
      <c r="ER28" s="822" t="str">
        <f t="shared" si="91"/>
        <v/>
      </c>
      <c r="ES28" s="822" t="str">
        <f t="shared" si="92"/>
        <v/>
      </c>
      <c r="ET28" s="822" t="str">
        <f t="shared" si="93"/>
        <v/>
      </c>
      <c r="EU28" s="829" t="str">
        <f t="shared" si="94"/>
        <v/>
      </c>
      <c r="EV28" s="824" t="str">
        <f t="shared" si="95"/>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96"/>
        <v/>
      </c>
      <c r="FA28" s="829" t="str">
        <f>IF(AND(DE28="G", ISBLANK(BW28), ISBLANK(BX28)),VLOOKUP(MIN(BT28:BU28),TblJoistSize!$M$3:$N$10,2),IF(OR(DE28="B", DE28="G"),MIN(BW28:BX28),""))</f>
        <v/>
      </c>
      <c r="FB28" s="829" t="str">
        <f>IF(AND(DE28="G", ISBLANK(BW28), ISBLANK(BX28)),VLOOKUP(MAX(BT28:BU28),TblJoistSize!$M$3:$N$10,2),IF(OR(DE28="B", DE28="G"),MAX(BW28:BX28),""))</f>
        <v/>
      </c>
      <c r="FC28" s="829" t="str">
        <f t="shared" si="97"/>
        <v/>
      </c>
      <c r="FD28" s="821">
        <f t="shared" si="124"/>
        <v>0</v>
      </c>
      <c r="FE28" s="821">
        <f t="shared" si="98"/>
        <v>0</v>
      </c>
      <c r="FF28" s="821">
        <f t="shared" si="99"/>
        <v>0</v>
      </c>
      <c r="FG28" s="821" t="str">
        <f t="shared" si="100"/>
        <v/>
      </c>
      <c r="FH28" s="822" t="str">
        <f t="shared" si="101"/>
        <v/>
      </c>
      <c r="FI28" s="821">
        <f t="shared" si="125"/>
        <v>0</v>
      </c>
      <c r="FJ28" s="821">
        <f t="shared" si="102"/>
        <v>0</v>
      </c>
      <c r="FK28" s="821">
        <f t="shared" si="103"/>
        <v>0</v>
      </c>
      <c r="FL28" s="821" t="str">
        <f t="shared" si="104"/>
        <v/>
      </c>
      <c r="FM28" s="822" t="str">
        <f t="shared" si="105"/>
        <v/>
      </c>
      <c r="FN28" s="822" t="e">
        <f t="shared" si="106"/>
        <v>#VALUE!</v>
      </c>
      <c r="FO28" s="940" t="e">
        <f t="shared" si="107"/>
        <v>#VALUE!</v>
      </c>
      <c r="FP28" s="940" t="e">
        <f t="shared" si="108"/>
        <v>#VALUE!</v>
      </c>
      <c r="FQ28" s="830" t="e">
        <f t="shared" si="109"/>
        <v>#VALUE!</v>
      </c>
      <c r="FR28" s="831" t="e">
        <f t="shared" si="110"/>
        <v>#VALUE!</v>
      </c>
      <c r="FS28" s="832" t="str">
        <f t="shared" si="111"/>
        <v/>
      </c>
      <c r="FT28" s="833" t="str">
        <f t="shared" si="112"/>
        <v/>
      </c>
      <c r="FU28" s="870">
        <f t="shared" si="113"/>
        <v>0</v>
      </c>
      <c r="FV28" s="871">
        <f t="shared" si="114"/>
        <v>0</v>
      </c>
      <c r="GA28" s="1791" t="str">
        <f t="shared" si="115"/>
        <v/>
      </c>
      <c r="GB28" s="1792" t="str">
        <f t="shared" si="116"/>
        <v/>
      </c>
      <c r="GC28" s="1793" t="str">
        <f t="shared" si="117"/>
        <v/>
      </c>
      <c r="GD28" s="1794" t="str">
        <f t="shared" si="118"/>
        <v/>
      </c>
      <c r="GE28" s="1795" t="str">
        <f t="shared" si="119"/>
        <v/>
      </c>
      <c r="GF28" s="600" t="str">
        <f t="shared" si="120"/>
        <v/>
      </c>
      <c r="GG28" s="1130"/>
      <c r="GH28" s="1131"/>
      <c r="GI28" s="1130"/>
      <c r="GJ28" s="1131"/>
      <c r="GK28" s="1638">
        <f t="shared" si="121"/>
        <v>0</v>
      </c>
      <c r="GL28" s="1636" t="e">
        <f t="shared" si="122"/>
        <v>#VALUE!</v>
      </c>
      <c r="GM28" s="1637" t="e">
        <f>IF(ABS(GK28-GL28)&gt;='Job Info.'!$L$22,ABS(GK28-GL28),0)</f>
        <v>#VALUE!</v>
      </c>
      <c r="HA28" s="1269"/>
      <c r="HB28" s="1270"/>
      <c r="HC28" s="1270"/>
      <c r="HD28" s="1271"/>
      <c r="HE28" s="1272"/>
      <c r="HF28" s="1270"/>
      <c r="HG28" s="1270"/>
      <c r="HH28" s="1270"/>
      <c r="HI28" s="1273"/>
      <c r="HJ28" s="1270"/>
      <c r="HK28" s="1270"/>
      <c r="HL28" s="1270"/>
      <c r="HM28" s="1270"/>
      <c r="HN28" s="1270"/>
      <c r="HO28" s="1270"/>
      <c r="HP28" s="1270"/>
      <c r="HQ28" s="1273"/>
      <c r="HR28" s="1270"/>
      <c r="HS28" s="1270"/>
      <c r="HT28" s="1270"/>
      <c r="HU28" s="1270"/>
      <c r="HV28" s="1270"/>
      <c r="HW28" s="1272"/>
      <c r="HX28" s="1272"/>
      <c r="HY28" s="1272"/>
      <c r="HZ28" s="1272"/>
      <c r="IA28" s="1272"/>
      <c r="IB28" s="1272"/>
      <c r="IC28" s="1272"/>
      <c r="ID28" s="1272"/>
      <c r="IE28" s="1272"/>
      <c r="IF28" s="1274"/>
    </row>
    <row r="29" spans="1:240" ht="12.6" customHeight="1" x14ac:dyDescent="0.25">
      <c r="A29" s="1448" t="str">
        <f t="shared" si="1"/>
        <v/>
      </c>
      <c r="B29" s="1681" t="str">
        <f t="shared" si="2"/>
        <v/>
      </c>
      <c r="C29" s="1449" t="str">
        <f t="shared" si="3"/>
        <v/>
      </c>
      <c r="D29" s="1705" t="str">
        <f t="shared" si="4"/>
        <v/>
      </c>
      <c r="E29" s="1706" t="str">
        <f t="shared" si="5"/>
        <v/>
      </c>
      <c r="F29" s="1714" t="str">
        <f t="shared" si="6"/>
        <v/>
      </c>
      <c r="G29" s="1709" t="str">
        <f t="shared" si="7"/>
        <v/>
      </c>
      <c r="H29" s="1779" t="str">
        <f t="shared" si="8"/>
        <v/>
      </c>
      <c r="I29" s="1705" t="str">
        <f t="shared" si="9"/>
        <v/>
      </c>
      <c r="J29" s="1709" t="str">
        <f t="shared" si="10"/>
        <v/>
      </c>
      <c r="K29" s="1796" t="str">
        <f t="shared" si="11"/>
        <v/>
      </c>
      <c r="L29" s="1712" t="str">
        <f t="shared" si="12"/>
        <v/>
      </c>
      <c r="M29" s="1713" t="str">
        <f t="shared" si="13"/>
        <v/>
      </c>
      <c r="N29" s="1708" t="str">
        <f t="shared" si="14"/>
        <v/>
      </c>
      <c r="O29" s="1709" t="str">
        <f t="shared" si="15"/>
        <v/>
      </c>
      <c r="P29" s="1710" t="str">
        <f t="shared" si="16"/>
        <v/>
      </c>
      <c r="Q29" s="1705" t="str">
        <f t="shared" si="17"/>
        <v/>
      </c>
      <c r="R29" s="1709" t="str">
        <f t="shared" si="18"/>
        <v/>
      </c>
      <c r="S29" s="1711" t="str">
        <f t="shared" si="19"/>
        <v/>
      </c>
      <c r="T29" s="1714" t="str">
        <f t="shared" si="20"/>
        <v/>
      </c>
      <c r="U29" s="1709" t="str">
        <f t="shared" si="21"/>
        <v/>
      </c>
      <c r="V29" s="1705" t="str">
        <f t="shared" si="22"/>
        <v/>
      </c>
      <c r="W29" s="1709" t="str">
        <f t="shared" si="23"/>
        <v/>
      </c>
      <c r="X29" s="1713">
        <f t="shared" si="24"/>
        <v>0</v>
      </c>
      <c r="Y29" s="1781" t="str">
        <f t="shared" si="25"/>
        <v/>
      </c>
      <c r="Z29" s="1782" t="str">
        <f t="shared" si="26"/>
        <v/>
      </c>
      <c r="AA29" s="1783" t="str">
        <f t="shared" si="27"/>
        <v/>
      </c>
      <c r="AB29" s="1413"/>
      <c r="AC29" s="964" t="b">
        <v>0</v>
      </c>
      <c r="AD29" s="441">
        <f t="shared" si="28"/>
        <v>0</v>
      </c>
      <c r="AE29" s="442">
        <f t="shared" si="29"/>
        <v>0</v>
      </c>
      <c r="AF29" s="442">
        <f t="shared" si="30"/>
        <v>0</v>
      </c>
      <c r="AG29" s="442">
        <f t="shared" si="31"/>
        <v>0</v>
      </c>
      <c r="AH29" s="443">
        <f t="shared" si="32"/>
        <v>0</v>
      </c>
      <c r="AI29" s="444" t="b">
        <v>0</v>
      </c>
      <c r="AJ29" s="238">
        <f t="shared" si="33"/>
        <v>0</v>
      </c>
      <c r="AK29" s="830" t="str">
        <f t="shared" si="34"/>
        <v/>
      </c>
      <c r="AL29" s="945" t="str">
        <f t="shared" si="35"/>
        <v/>
      </c>
      <c r="AM29" s="830" t="str">
        <f t="shared" si="36"/>
        <v/>
      </c>
      <c r="AN29" s="830" t="str">
        <f t="shared" si="37"/>
        <v/>
      </c>
      <c r="AO29" s="830" t="str">
        <f t="shared" si="38"/>
        <v/>
      </c>
      <c r="AP29" s="830" t="b">
        <f>IF(ISERROR(AJ29),FALSE,IF(OR(AJ29=0,ISERROR(AL29),ISERROR(AM29),ISERROR(AN29),ISERROR(AO29)),FALSE,IF(AL29&lt;&gt;"",IF(ISERROR(VLOOKUP(SUBSTITUTE(SUBSTITUTE(C29,"R",""),"A",""),TblJoistSize!$A:$A,1,FALSE)),FALSE,TRUE),TRUE)))</f>
        <v>0</v>
      </c>
      <c r="AQ29" s="1038" t="e">
        <f t="shared" si="39"/>
        <v>#N/A</v>
      </c>
      <c r="AR29" s="945" t="b">
        <f t="shared" si="40"/>
        <v>0</v>
      </c>
      <c r="AS29" s="1038" t="e">
        <f t="shared" si="41"/>
        <v>#N/A</v>
      </c>
      <c r="AT29" s="945" t="b">
        <f t="shared" si="42"/>
        <v>0</v>
      </c>
      <c r="AU29" s="946" t="str">
        <f t="shared" si="43"/>
        <v/>
      </c>
      <c r="AV29" s="830" t="str">
        <f t="shared" si="44"/>
        <v/>
      </c>
      <c r="AW29" s="830" t="str">
        <f t="shared" si="45"/>
        <v/>
      </c>
      <c r="AX29" s="830" t="str">
        <f t="shared" si="123"/>
        <v/>
      </c>
      <c r="AY29" s="1039" t="b">
        <f t="shared" si="46"/>
        <v>0</v>
      </c>
      <c r="AZ29" s="856" t="str">
        <f t="shared" si="47"/>
        <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48"/>
        <v/>
      </c>
      <c r="BR29" s="910"/>
      <c r="BS29" s="672"/>
      <c r="BT29" s="713"/>
      <c r="BU29" s="714"/>
      <c r="BV29" s="1625"/>
      <c r="BW29" s="713"/>
      <c r="BX29" s="714"/>
      <c r="BY29" s="715"/>
      <c r="BZ29" s="716"/>
      <c r="CA29" s="680" t="str">
        <f>IF(ISERROR(DE29),"",IF(DE29="","",IF(VLOOKUP(BS29,SectInfo!$B:$N,10,FALSE)="","","X")))</f>
        <v/>
      </c>
      <c r="CB29" s="738"/>
      <c r="CC29" s="1551" t="str">
        <f t="shared" si="49"/>
        <v/>
      </c>
      <c r="CD29" s="910"/>
      <c r="CE29" s="717"/>
      <c r="CF29" s="736"/>
      <c r="CG29" s="737"/>
      <c r="CH29" s="591" t="str">
        <f t="shared" si="50"/>
        <v/>
      </c>
      <c r="CI29" s="592" t="str">
        <f t="shared" si="51"/>
        <v/>
      </c>
      <c r="CJ29" s="593" t="str">
        <f t="shared" si="52"/>
        <v/>
      </c>
      <c r="CK29" s="594" t="str">
        <f t="shared" si="53"/>
        <v/>
      </c>
      <c r="CL29" s="595" t="str">
        <f t="shared" si="54"/>
        <v/>
      </c>
      <c r="CM29" s="596" t="str">
        <f t="shared" si="55"/>
        <v/>
      </c>
      <c r="CN29" s="597" t="str">
        <f t="shared" si="56"/>
        <v/>
      </c>
      <c r="CO29" s="598" t="str">
        <f t="shared" si="57"/>
        <v/>
      </c>
      <c r="CP29" s="615" t="str">
        <f t="shared" si="58"/>
        <v/>
      </c>
      <c r="CQ29" s="616" t="str">
        <f t="shared" si="59"/>
        <v/>
      </c>
      <c r="CR29" s="750" t="str">
        <f t="shared" si="60"/>
        <v/>
      </c>
      <c r="CS29" s="751" t="str">
        <f t="shared" si="61"/>
        <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62"/>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63"/>
        <v>0</v>
      </c>
      <c r="DO29" s="818">
        <f t="shared" si="64"/>
        <v>0</v>
      </c>
      <c r="DP29" s="822" t="str">
        <f t="shared" si="65"/>
        <v/>
      </c>
      <c r="DQ29" s="822" t="str">
        <f t="shared" si="66"/>
        <v/>
      </c>
      <c r="DR29" s="822" t="str">
        <f t="shared" si="67"/>
        <v/>
      </c>
      <c r="DS29" s="821">
        <f t="shared" si="68"/>
        <v>0</v>
      </c>
      <c r="DT29" s="821">
        <f t="shared" si="69"/>
        <v>0</v>
      </c>
      <c r="DU29" s="821" t="str">
        <f t="shared" si="70"/>
        <v/>
      </c>
      <c r="DV29" s="822" t="str">
        <f t="shared" si="71"/>
        <v/>
      </c>
      <c r="DW29" s="856" t="str">
        <f t="shared" si="72"/>
        <v/>
      </c>
      <c r="DX29" s="1006">
        <f t="shared" si="73"/>
        <v>0</v>
      </c>
      <c r="DY29" s="822">
        <f t="shared" si="74"/>
        <v>0</v>
      </c>
      <c r="DZ29" s="821">
        <f t="shared" si="75"/>
        <v>0</v>
      </c>
      <c r="EA29" s="821" t="str">
        <f t="shared" si="76"/>
        <v/>
      </c>
      <c r="EB29" s="822" t="str">
        <f t="shared" si="77"/>
        <v/>
      </c>
      <c r="EC29" s="856" t="str">
        <f t="shared" si="78"/>
        <v/>
      </c>
      <c r="ED29" s="1006">
        <f t="shared" si="79"/>
        <v>0</v>
      </c>
      <c r="EE29" s="1293" t="str">
        <f t="shared" si="80"/>
        <v/>
      </c>
      <c r="EF29" s="1293" t="str">
        <f t="shared" si="81"/>
        <v/>
      </c>
      <c r="EG29" s="1293" t="str">
        <f t="shared" si="82"/>
        <v/>
      </c>
      <c r="EH29" s="856" t="e">
        <f t="shared" si="83"/>
        <v>#N/A</v>
      </c>
      <c r="EI29" s="856" t="e">
        <f t="shared" si="84"/>
        <v>#N/A</v>
      </c>
      <c r="EJ29" s="822" t="str">
        <f t="shared" si="85"/>
        <v/>
      </c>
      <c r="EK29" s="822" t="str">
        <f t="shared" si="85"/>
        <v/>
      </c>
      <c r="EL29" s="1293" t="str">
        <f t="shared" si="86"/>
        <v/>
      </c>
      <c r="EM29" s="822" t="str">
        <f t="shared" si="87"/>
        <v/>
      </c>
      <c r="EN29" s="822" t="str">
        <f t="shared" si="88"/>
        <v/>
      </c>
      <c r="EO29" s="856" t="e">
        <f t="shared" si="89"/>
        <v>#N/A</v>
      </c>
      <c r="EP29" s="856" t="e">
        <f t="shared" si="90"/>
        <v>#N/A</v>
      </c>
      <c r="EQ29" s="1293" t="str">
        <f t="shared" si="91"/>
        <v/>
      </c>
      <c r="ER29" s="822" t="str">
        <f t="shared" si="91"/>
        <v/>
      </c>
      <c r="ES29" s="822" t="str">
        <f t="shared" si="92"/>
        <v/>
      </c>
      <c r="ET29" s="822" t="str">
        <f t="shared" si="93"/>
        <v/>
      </c>
      <c r="EU29" s="829" t="str">
        <f t="shared" si="94"/>
        <v/>
      </c>
      <c r="EV29" s="824" t="str">
        <f t="shared" si="95"/>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96"/>
        <v/>
      </c>
      <c r="FA29" s="829" t="str">
        <f>IF(AND(DE29="G", ISBLANK(BW29), ISBLANK(BX29)),VLOOKUP(MIN(BT29:BU29),TblJoistSize!$M$3:$N$10,2),IF(OR(DE29="B", DE29="G"),MIN(BW29:BX29),""))</f>
        <v/>
      </c>
      <c r="FB29" s="829" t="str">
        <f>IF(AND(DE29="G", ISBLANK(BW29), ISBLANK(BX29)),VLOOKUP(MAX(BT29:BU29),TblJoistSize!$M$3:$N$10,2),IF(OR(DE29="B", DE29="G"),MAX(BW29:BX29),""))</f>
        <v/>
      </c>
      <c r="FC29" s="829" t="str">
        <f t="shared" si="97"/>
        <v/>
      </c>
      <c r="FD29" s="821">
        <f t="shared" si="124"/>
        <v>0</v>
      </c>
      <c r="FE29" s="821">
        <f t="shared" si="98"/>
        <v>0</v>
      </c>
      <c r="FF29" s="821">
        <f t="shared" si="99"/>
        <v>0</v>
      </c>
      <c r="FG29" s="821" t="str">
        <f t="shared" si="100"/>
        <v/>
      </c>
      <c r="FH29" s="822" t="str">
        <f t="shared" si="101"/>
        <v/>
      </c>
      <c r="FI29" s="821">
        <f t="shared" si="125"/>
        <v>0</v>
      </c>
      <c r="FJ29" s="821">
        <f t="shared" si="102"/>
        <v>0</v>
      </c>
      <c r="FK29" s="821">
        <f t="shared" si="103"/>
        <v>0</v>
      </c>
      <c r="FL29" s="821" t="str">
        <f t="shared" si="104"/>
        <v/>
      </c>
      <c r="FM29" s="822" t="str">
        <f t="shared" si="105"/>
        <v/>
      </c>
      <c r="FN29" s="822" t="e">
        <f t="shared" si="106"/>
        <v>#VALUE!</v>
      </c>
      <c r="FO29" s="940" t="e">
        <f t="shared" si="107"/>
        <v>#VALUE!</v>
      </c>
      <c r="FP29" s="940" t="e">
        <f t="shared" si="108"/>
        <v>#VALUE!</v>
      </c>
      <c r="FQ29" s="830" t="e">
        <f t="shared" si="109"/>
        <v>#VALUE!</v>
      </c>
      <c r="FR29" s="831" t="e">
        <f t="shared" si="110"/>
        <v>#VALUE!</v>
      </c>
      <c r="FS29" s="832" t="str">
        <f t="shared" si="111"/>
        <v/>
      </c>
      <c r="FT29" s="833" t="str">
        <f t="shared" si="112"/>
        <v/>
      </c>
      <c r="FU29" s="870">
        <f t="shared" si="113"/>
        <v>0</v>
      </c>
      <c r="FV29" s="871">
        <f t="shared" si="114"/>
        <v>0</v>
      </c>
      <c r="GA29" s="1791" t="str">
        <f t="shared" si="115"/>
        <v/>
      </c>
      <c r="GB29" s="1792" t="str">
        <f t="shared" si="116"/>
        <v/>
      </c>
      <c r="GC29" s="1793" t="str">
        <f t="shared" si="117"/>
        <v/>
      </c>
      <c r="GD29" s="1794" t="str">
        <f t="shared" si="118"/>
        <v/>
      </c>
      <c r="GE29" s="1795" t="str">
        <f t="shared" si="119"/>
        <v/>
      </c>
      <c r="GF29" s="600" t="str">
        <f t="shared" si="120"/>
        <v/>
      </c>
      <c r="GG29" s="1130"/>
      <c r="GH29" s="1131"/>
      <c r="GI29" s="1130"/>
      <c r="GJ29" s="1131"/>
      <c r="GK29" s="1638">
        <f t="shared" si="121"/>
        <v>0</v>
      </c>
      <c r="GL29" s="1636" t="e">
        <f t="shared" si="122"/>
        <v>#VALUE!</v>
      </c>
      <c r="GM29" s="1637" t="e">
        <f>IF(ABS(GK29-GL29)&gt;='Job Info.'!$L$22,ABS(GK29-GL29),0)</f>
        <v>#VALUE!</v>
      </c>
      <c r="HA29" s="1269"/>
      <c r="HB29" s="1270"/>
      <c r="HC29" s="1270"/>
      <c r="HD29" s="1271"/>
      <c r="HE29" s="1272"/>
      <c r="HF29" s="1270"/>
      <c r="HG29" s="1270"/>
      <c r="HH29" s="1270"/>
      <c r="HI29" s="1273"/>
      <c r="HJ29" s="1270"/>
      <c r="HK29" s="1270"/>
      <c r="HL29" s="1270"/>
      <c r="HM29" s="1270"/>
      <c r="HN29" s="1270"/>
      <c r="HO29" s="1270"/>
      <c r="HP29" s="1270"/>
      <c r="HQ29" s="1273"/>
      <c r="HR29" s="1270"/>
      <c r="HS29" s="1270"/>
      <c r="HT29" s="1270"/>
      <c r="HU29" s="1270"/>
      <c r="HV29" s="1270"/>
      <c r="HW29" s="1272"/>
      <c r="HX29" s="1272"/>
      <c r="HY29" s="1272"/>
      <c r="HZ29" s="1272"/>
      <c r="IA29" s="1272"/>
      <c r="IB29" s="1272"/>
      <c r="IC29" s="1272"/>
      <c r="ID29" s="1272"/>
      <c r="IE29" s="1272"/>
      <c r="IF29" s="1274"/>
    </row>
    <row r="30" spans="1:240" ht="12.6" customHeight="1" x14ac:dyDescent="0.25">
      <c r="A30" s="1448" t="str">
        <f t="shared" si="1"/>
        <v/>
      </c>
      <c r="B30" s="1681" t="str">
        <f t="shared" si="2"/>
        <v/>
      </c>
      <c r="C30" s="1449" t="str">
        <f t="shared" si="3"/>
        <v/>
      </c>
      <c r="D30" s="1705" t="str">
        <f t="shared" si="4"/>
        <v/>
      </c>
      <c r="E30" s="1706" t="str">
        <f t="shared" si="5"/>
        <v/>
      </c>
      <c r="F30" s="1714" t="str">
        <f t="shared" si="6"/>
        <v/>
      </c>
      <c r="G30" s="1709" t="str">
        <f t="shared" si="7"/>
        <v/>
      </c>
      <c r="H30" s="1779" t="str">
        <f t="shared" si="8"/>
        <v/>
      </c>
      <c r="I30" s="1705" t="str">
        <f t="shared" si="9"/>
        <v/>
      </c>
      <c r="J30" s="1709" t="str">
        <f t="shared" si="10"/>
        <v/>
      </c>
      <c r="K30" s="1796" t="str">
        <f t="shared" si="11"/>
        <v/>
      </c>
      <c r="L30" s="1712" t="str">
        <f t="shared" si="12"/>
        <v/>
      </c>
      <c r="M30" s="1713" t="str">
        <f t="shared" si="13"/>
        <v/>
      </c>
      <c r="N30" s="1708" t="str">
        <f t="shared" si="14"/>
        <v/>
      </c>
      <c r="O30" s="1709" t="str">
        <f t="shared" si="15"/>
        <v/>
      </c>
      <c r="P30" s="1710" t="str">
        <f t="shared" si="16"/>
        <v/>
      </c>
      <c r="Q30" s="1705" t="str">
        <f t="shared" si="17"/>
        <v/>
      </c>
      <c r="R30" s="1709" t="str">
        <f t="shared" si="18"/>
        <v/>
      </c>
      <c r="S30" s="1711" t="str">
        <f t="shared" si="19"/>
        <v/>
      </c>
      <c r="T30" s="1714" t="str">
        <f t="shared" si="20"/>
        <v/>
      </c>
      <c r="U30" s="1709" t="str">
        <f t="shared" si="21"/>
        <v/>
      </c>
      <c r="V30" s="1705" t="str">
        <f t="shared" si="22"/>
        <v/>
      </c>
      <c r="W30" s="1709" t="str">
        <f t="shared" si="23"/>
        <v/>
      </c>
      <c r="X30" s="1713">
        <f t="shared" si="24"/>
        <v>0</v>
      </c>
      <c r="Y30" s="1781" t="str">
        <f t="shared" si="25"/>
        <v/>
      </c>
      <c r="Z30" s="1782" t="str">
        <f t="shared" si="26"/>
        <v/>
      </c>
      <c r="AA30" s="1783" t="str">
        <f t="shared" si="27"/>
        <v/>
      </c>
      <c r="AB30" s="1413"/>
      <c r="AC30" s="964" t="b">
        <v>0</v>
      </c>
      <c r="AD30" s="441">
        <f t="shared" si="28"/>
        <v>0</v>
      </c>
      <c r="AE30" s="442">
        <f t="shared" si="29"/>
        <v>0</v>
      </c>
      <c r="AF30" s="442">
        <f t="shared" si="30"/>
        <v>0</v>
      </c>
      <c r="AG30" s="442">
        <f t="shared" si="31"/>
        <v>0</v>
      </c>
      <c r="AH30" s="443">
        <f t="shared" si="32"/>
        <v>0</v>
      </c>
      <c r="AI30" s="444" t="b">
        <v>0</v>
      </c>
      <c r="AJ30" s="238">
        <f t="shared" si="33"/>
        <v>0</v>
      </c>
      <c r="AK30" s="830" t="str">
        <f t="shared" si="34"/>
        <v/>
      </c>
      <c r="AL30" s="945" t="str">
        <f t="shared" si="35"/>
        <v/>
      </c>
      <c r="AM30" s="830" t="str">
        <f t="shared" si="36"/>
        <v/>
      </c>
      <c r="AN30" s="830" t="str">
        <f t="shared" si="37"/>
        <v/>
      </c>
      <c r="AO30" s="830" t="str">
        <f t="shared" si="38"/>
        <v/>
      </c>
      <c r="AP30" s="830" t="b">
        <f>IF(ISERROR(AJ30),FALSE,IF(OR(AJ30=0,ISERROR(AL30),ISERROR(AM30),ISERROR(AN30),ISERROR(AO30)),FALSE,IF(AL30&lt;&gt;"",IF(ISERROR(VLOOKUP(SUBSTITUTE(SUBSTITUTE(C30,"R",""),"A",""),TblJoistSize!$A:$A,1,FALSE)),FALSE,TRUE),TRUE)))</f>
        <v>0</v>
      </c>
      <c r="AQ30" s="1038" t="e">
        <f t="shared" si="39"/>
        <v>#N/A</v>
      </c>
      <c r="AR30" s="945" t="b">
        <f t="shared" si="40"/>
        <v>0</v>
      </c>
      <c r="AS30" s="1038" t="e">
        <f t="shared" si="41"/>
        <v>#N/A</v>
      </c>
      <c r="AT30" s="945" t="b">
        <f t="shared" si="42"/>
        <v>0</v>
      </c>
      <c r="AU30" s="946" t="str">
        <f t="shared" si="43"/>
        <v/>
      </c>
      <c r="AV30" s="830" t="str">
        <f t="shared" si="44"/>
        <v/>
      </c>
      <c r="AW30" s="830" t="str">
        <f t="shared" si="45"/>
        <v/>
      </c>
      <c r="AX30" s="830" t="str">
        <f t="shared" si="123"/>
        <v/>
      </c>
      <c r="AY30" s="1039" t="b">
        <f t="shared" si="46"/>
        <v>0</v>
      </c>
      <c r="AZ30" s="856" t="str">
        <f t="shared" si="47"/>
        <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48"/>
        <v/>
      </c>
      <c r="BR30" s="910"/>
      <c r="BS30" s="672"/>
      <c r="BT30" s="713"/>
      <c r="BU30" s="714"/>
      <c r="BV30" s="1625"/>
      <c r="BW30" s="713"/>
      <c r="BX30" s="714"/>
      <c r="BY30" s="715"/>
      <c r="BZ30" s="716"/>
      <c r="CA30" s="680" t="str">
        <f>IF(ISERROR(DE30),"",IF(DE30="","",IF(VLOOKUP(BS30,SectInfo!$B:$N,10,FALSE)="","","X")))</f>
        <v/>
      </c>
      <c r="CB30" s="738"/>
      <c r="CC30" s="1551" t="str">
        <f t="shared" si="49"/>
        <v/>
      </c>
      <c r="CD30" s="910"/>
      <c r="CE30" s="717"/>
      <c r="CF30" s="736"/>
      <c r="CG30" s="737"/>
      <c r="CH30" s="591" t="str">
        <f t="shared" si="50"/>
        <v/>
      </c>
      <c r="CI30" s="592" t="str">
        <f t="shared" si="51"/>
        <v/>
      </c>
      <c r="CJ30" s="593" t="str">
        <f t="shared" si="52"/>
        <v/>
      </c>
      <c r="CK30" s="594" t="str">
        <f t="shared" si="53"/>
        <v/>
      </c>
      <c r="CL30" s="595" t="str">
        <f t="shared" si="54"/>
        <v/>
      </c>
      <c r="CM30" s="596" t="str">
        <f t="shared" si="55"/>
        <v/>
      </c>
      <c r="CN30" s="597" t="str">
        <f t="shared" si="56"/>
        <v/>
      </c>
      <c r="CO30" s="598" t="str">
        <f t="shared" si="57"/>
        <v/>
      </c>
      <c r="CP30" s="615" t="str">
        <f t="shared" si="58"/>
        <v/>
      </c>
      <c r="CQ30" s="616" t="str">
        <f t="shared" si="59"/>
        <v/>
      </c>
      <c r="CR30" s="750" t="str">
        <f t="shared" si="60"/>
        <v/>
      </c>
      <c r="CS30" s="751" t="str">
        <f t="shared" si="61"/>
        <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62"/>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63"/>
        <v>0</v>
      </c>
      <c r="DO30" s="818">
        <f t="shared" si="64"/>
        <v>0</v>
      </c>
      <c r="DP30" s="822" t="str">
        <f t="shared" si="65"/>
        <v/>
      </c>
      <c r="DQ30" s="822" t="str">
        <f t="shared" si="66"/>
        <v/>
      </c>
      <c r="DR30" s="822" t="str">
        <f t="shared" si="67"/>
        <v/>
      </c>
      <c r="DS30" s="821">
        <f t="shared" si="68"/>
        <v>0</v>
      </c>
      <c r="DT30" s="821">
        <f t="shared" si="69"/>
        <v>0</v>
      </c>
      <c r="DU30" s="821" t="str">
        <f t="shared" si="70"/>
        <v/>
      </c>
      <c r="DV30" s="822" t="str">
        <f t="shared" si="71"/>
        <v/>
      </c>
      <c r="DW30" s="856" t="str">
        <f t="shared" si="72"/>
        <v/>
      </c>
      <c r="DX30" s="1006">
        <f t="shared" si="73"/>
        <v>0</v>
      </c>
      <c r="DY30" s="822">
        <f t="shared" si="74"/>
        <v>0</v>
      </c>
      <c r="DZ30" s="821">
        <f t="shared" si="75"/>
        <v>0</v>
      </c>
      <c r="EA30" s="821" t="str">
        <f t="shared" si="76"/>
        <v/>
      </c>
      <c r="EB30" s="822" t="str">
        <f t="shared" si="77"/>
        <v/>
      </c>
      <c r="EC30" s="856" t="str">
        <f t="shared" si="78"/>
        <v/>
      </c>
      <c r="ED30" s="1006">
        <f t="shared" si="79"/>
        <v>0</v>
      </c>
      <c r="EE30" s="1293" t="str">
        <f t="shared" si="80"/>
        <v/>
      </c>
      <c r="EF30" s="1293" t="str">
        <f t="shared" si="81"/>
        <v/>
      </c>
      <c r="EG30" s="1293" t="str">
        <f t="shared" si="82"/>
        <v/>
      </c>
      <c r="EH30" s="856" t="e">
        <f t="shared" si="83"/>
        <v>#N/A</v>
      </c>
      <c r="EI30" s="856" t="e">
        <f t="shared" si="84"/>
        <v>#N/A</v>
      </c>
      <c r="EJ30" s="822" t="str">
        <f t="shared" si="85"/>
        <v/>
      </c>
      <c r="EK30" s="822" t="str">
        <f t="shared" si="85"/>
        <v/>
      </c>
      <c r="EL30" s="1293" t="str">
        <f t="shared" si="86"/>
        <v/>
      </c>
      <c r="EM30" s="822" t="str">
        <f t="shared" si="87"/>
        <v/>
      </c>
      <c r="EN30" s="822" t="str">
        <f t="shared" si="88"/>
        <v/>
      </c>
      <c r="EO30" s="856" t="e">
        <f t="shared" si="89"/>
        <v>#N/A</v>
      </c>
      <c r="EP30" s="856" t="e">
        <f t="shared" si="90"/>
        <v>#N/A</v>
      </c>
      <c r="EQ30" s="1293" t="str">
        <f t="shared" si="91"/>
        <v/>
      </c>
      <c r="ER30" s="822" t="str">
        <f t="shared" si="91"/>
        <v/>
      </c>
      <c r="ES30" s="822" t="str">
        <f t="shared" si="92"/>
        <v/>
      </c>
      <c r="ET30" s="822" t="str">
        <f t="shared" si="93"/>
        <v/>
      </c>
      <c r="EU30" s="829" t="str">
        <f t="shared" si="94"/>
        <v/>
      </c>
      <c r="EV30" s="824" t="str">
        <f t="shared" si="95"/>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96"/>
        <v/>
      </c>
      <c r="FA30" s="829" t="str">
        <f>IF(AND(DE30="G", ISBLANK(BW30), ISBLANK(BX30)),VLOOKUP(MIN(BT30:BU30),TblJoistSize!$M$3:$N$10,2),IF(OR(DE30="B", DE30="G"),MIN(BW30:BX30),""))</f>
        <v/>
      </c>
      <c r="FB30" s="829" t="str">
        <f>IF(AND(DE30="G", ISBLANK(BW30), ISBLANK(BX30)),VLOOKUP(MAX(BT30:BU30),TblJoistSize!$M$3:$N$10,2),IF(OR(DE30="B", DE30="G"),MAX(BW30:BX30),""))</f>
        <v/>
      </c>
      <c r="FC30" s="829" t="str">
        <f t="shared" si="97"/>
        <v/>
      </c>
      <c r="FD30" s="821">
        <f t="shared" si="124"/>
        <v>0</v>
      </c>
      <c r="FE30" s="821">
        <f t="shared" si="98"/>
        <v>0</v>
      </c>
      <c r="FF30" s="821">
        <f t="shared" si="99"/>
        <v>0</v>
      </c>
      <c r="FG30" s="821" t="str">
        <f t="shared" si="100"/>
        <v/>
      </c>
      <c r="FH30" s="822" t="str">
        <f t="shared" si="101"/>
        <v/>
      </c>
      <c r="FI30" s="821">
        <f t="shared" si="125"/>
        <v>0</v>
      </c>
      <c r="FJ30" s="821">
        <f t="shared" si="102"/>
        <v>0</v>
      </c>
      <c r="FK30" s="821">
        <f t="shared" si="103"/>
        <v>0</v>
      </c>
      <c r="FL30" s="821" t="str">
        <f t="shared" si="104"/>
        <v/>
      </c>
      <c r="FM30" s="822" t="str">
        <f t="shared" si="105"/>
        <v/>
      </c>
      <c r="FN30" s="822" t="e">
        <f t="shared" si="106"/>
        <v>#VALUE!</v>
      </c>
      <c r="FO30" s="940" t="e">
        <f t="shared" si="107"/>
        <v>#VALUE!</v>
      </c>
      <c r="FP30" s="940" t="e">
        <f t="shared" si="108"/>
        <v>#VALUE!</v>
      </c>
      <c r="FQ30" s="830" t="e">
        <f t="shared" si="109"/>
        <v>#VALUE!</v>
      </c>
      <c r="FR30" s="831" t="e">
        <f t="shared" si="110"/>
        <v>#VALUE!</v>
      </c>
      <c r="FS30" s="832" t="str">
        <f t="shared" si="111"/>
        <v/>
      </c>
      <c r="FT30" s="833" t="str">
        <f t="shared" si="112"/>
        <v/>
      </c>
      <c r="FU30" s="870">
        <f t="shared" si="113"/>
        <v>0</v>
      </c>
      <c r="FV30" s="871">
        <f t="shared" si="114"/>
        <v>0</v>
      </c>
      <c r="GA30" s="1791" t="str">
        <f t="shared" si="115"/>
        <v/>
      </c>
      <c r="GB30" s="1792" t="str">
        <f t="shared" si="116"/>
        <v/>
      </c>
      <c r="GC30" s="1793" t="str">
        <f t="shared" si="117"/>
        <v/>
      </c>
      <c r="GD30" s="1794" t="str">
        <f t="shared" si="118"/>
        <v/>
      </c>
      <c r="GE30" s="1795" t="str">
        <f t="shared" si="119"/>
        <v/>
      </c>
      <c r="GF30" s="600" t="str">
        <f t="shared" si="120"/>
        <v/>
      </c>
      <c r="GG30" s="1130"/>
      <c r="GH30" s="1131"/>
      <c r="GI30" s="1130"/>
      <c r="GJ30" s="1131"/>
      <c r="GK30" s="1638">
        <f t="shared" si="121"/>
        <v>0</v>
      </c>
      <c r="GL30" s="1636" t="e">
        <f t="shared" si="122"/>
        <v>#VALUE!</v>
      </c>
      <c r="GM30" s="1637" t="e">
        <f>IF(ABS(GK30-GL30)&gt;='Job Info.'!$L$22,ABS(GK30-GL30),0)</f>
        <v>#VALUE!</v>
      </c>
      <c r="HA30" s="1269"/>
      <c r="HB30" s="1270"/>
      <c r="HC30" s="1270"/>
      <c r="HD30" s="1271"/>
      <c r="HE30" s="1272"/>
      <c r="HF30" s="1270"/>
      <c r="HG30" s="1270"/>
      <c r="HH30" s="1270"/>
      <c r="HI30" s="1273"/>
      <c r="HJ30" s="1270"/>
      <c r="HK30" s="1270"/>
      <c r="HL30" s="1270"/>
      <c r="HM30" s="1270"/>
      <c r="HN30" s="1270"/>
      <c r="HO30" s="1270"/>
      <c r="HP30" s="1270"/>
      <c r="HQ30" s="1273"/>
      <c r="HR30" s="1270"/>
      <c r="HS30" s="1270"/>
      <c r="HT30" s="1270"/>
      <c r="HU30" s="1270"/>
      <c r="HV30" s="1270"/>
      <c r="HW30" s="1272"/>
      <c r="HX30" s="1272"/>
      <c r="HY30" s="1272"/>
      <c r="HZ30" s="1272"/>
      <c r="IA30" s="1272"/>
      <c r="IB30" s="1272"/>
      <c r="IC30" s="1272"/>
      <c r="ID30" s="1272"/>
      <c r="IE30" s="1272"/>
      <c r="IF30" s="1274"/>
    </row>
    <row r="31" spans="1:240" ht="12.6" customHeight="1" x14ac:dyDescent="0.25">
      <c r="A31" s="1448" t="str">
        <f t="shared" si="1"/>
        <v/>
      </c>
      <c r="B31" s="1681" t="str">
        <f t="shared" si="2"/>
        <v/>
      </c>
      <c r="C31" s="1449" t="str">
        <f t="shared" si="3"/>
        <v/>
      </c>
      <c r="D31" s="1705" t="str">
        <f t="shared" si="4"/>
        <v/>
      </c>
      <c r="E31" s="1706" t="str">
        <f t="shared" si="5"/>
        <v/>
      </c>
      <c r="F31" s="1714" t="str">
        <f t="shared" si="6"/>
        <v/>
      </c>
      <c r="G31" s="1709" t="str">
        <f t="shared" si="7"/>
        <v/>
      </c>
      <c r="H31" s="1779" t="str">
        <f t="shared" si="8"/>
        <v/>
      </c>
      <c r="I31" s="1705" t="str">
        <f t="shared" si="9"/>
        <v/>
      </c>
      <c r="J31" s="1709" t="str">
        <f t="shared" si="10"/>
        <v/>
      </c>
      <c r="K31" s="1796" t="str">
        <f t="shared" si="11"/>
        <v/>
      </c>
      <c r="L31" s="1712" t="str">
        <f t="shared" si="12"/>
        <v/>
      </c>
      <c r="M31" s="1713" t="str">
        <f t="shared" si="13"/>
        <v/>
      </c>
      <c r="N31" s="1708" t="str">
        <f t="shared" si="14"/>
        <v/>
      </c>
      <c r="O31" s="1709" t="str">
        <f t="shared" si="15"/>
        <v/>
      </c>
      <c r="P31" s="1710" t="str">
        <f t="shared" si="16"/>
        <v/>
      </c>
      <c r="Q31" s="1705" t="str">
        <f t="shared" si="17"/>
        <v/>
      </c>
      <c r="R31" s="1709" t="str">
        <f t="shared" si="18"/>
        <v/>
      </c>
      <c r="S31" s="1711" t="str">
        <f t="shared" si="19"/>
        <v/>
      </c>
      <c r="T31" s="1714" t="str">
        <f t="shared" si="20"/>
        <v/>
      </c>
      <c r="U31" s="1709" t="str">
        <f t="shared" si="21"/>
        <v/>
      </c>
      <c r="V31" s="1705" t="str">
        <f t="shared" si="22"/>
        <v/>
      </c>
      <c r="W31" s="1709" t="str">
        <f t="shared" si="23"/>
        <v/>
      </c>
      <c r="X31" s="1713">
        <f t="shared" si="24"/>
        <v>0</v>
      </c>
      <c r="Y31" s="1781" t="str">
        <f t="shared" si="25"/>
        <v/>
      </c>
      <c r="Z31" s="1782" t="str">
        <f t="shared" si="26"/>
        <v/>
      </c>
      <c r="AA31" s="1783" t="str">
        <f t="shared" si="27"/>
        <v/>
      </c>
      <c r="AB31" s="1413"/>
      <c r="AC31" s="964" t="b">
        <v>0</v>
      </c>
      <c r="AD31" s="441">
        <f t="shared" si="28"/>
        <v>0</v>
      </c>
      <c r="AE31" s="442">
        <f t="shared" si="29"/>
        <v>0</v>
      </c>
      <c r="AF31" s="442">
        <f t="shared" si="30"/>
        <v>0</v>
      </c>
      <c r="AG31" s="442">
        <f t="shared" si="31"/>
        <v>0</v>
      </c>
      <c r="AH31" s="443">
        <f t="shared" si="32"/>
        <v>0</v>
      </c>
      <c r="AI31" s="444" t="b">
        <v>0</v>
      </c>
      <c r="AJ31" s="238">
        <f t="shared" si="33"/>
        <v>0</v>
      </c>
      <c r="AK31" s="830" t="str">
        <f t="shared" si="34"/>
        <v/>
      </c>
      <c r="AL31" s="945" t="str">
        <f t="shared" si="35"/>
        <v/>
      </c>
      <c r="AM31" s="830" t="str">
        <f t="shared" si="36"/>
        <v/>
      </c>
      <c r="AN31" s="830" t="str">
        <f t="shared" si="37"/>
        <v/>
      </c>
      <c r="AO31" s="830" t="str">
        <f t="shared" si="38"/>
        <v/>
      </c>
      <c r="AP31" s="830" t="b">
        <f>IF(ISERROR(AJ31),FALSE,IF(OR(AJ31=0,ISERROR(AL31),ISERROR(AM31),ISERROR(AN31),ISERROR(AO31)),FALSE,IF(AL31&lt;&gt;"",IF(ISERROR(VLOOKUP(SUBSTITUTE(SUBSTITUTE(C31,"R",""),"A",""),TblJoistSize!$A:$A,1,FALSE)),FALSE,TRUE),TRUE)))</f>
        <v>0</v>
      </c>
      <c r="AQ31" s="1038" t="e">
        <f t="shared" si="39"/>
        <v>#N/A</v>
      </c>
      <c r="AR31" s="945" t="b">
        <f t="shared" si="40"/>
        <v>0</v>
      </c>
      <c r="AS31" s="1038" t="e">
        <f t="shared" si="41"/>
        <v>#N/A</v>
      </c>
      <c r="AT31" s="945" t="b">
        <f t="shared" si="42"/>
        <v>0</v>
      </c>
      <c r="AU31" s="946" t="str">
        <f t="shared" si="43"/>
        <v/>
      </c>
      <c r="AV31" s="830" t="str">
        <f t="shared" si="44"/>
        <v/>
      </c>
      <c r="AW31" s="830" t="str">
        <f t="shared" si="45"/>
        <v/>
      </c>
      <c r="AX31" s="830" t="str">
        <f t="shared" si="123"/>
        <v/>
      </c>
      <c r="AY31" s="1039" t="b">
        <f t="shared" si="46"/>
        <v>0</v>
      </c>
      <c r="AZ31" s="856" t="str">
        <f t="shared" si="47"/>
        <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48"/>
        <v/>
      </c>
      <c r="BR31" s="910"/>
      <c r="BS31" s="672"/>
      <c r="BT31" s="713"/>
      <c r="BU31" s="714"/>
      <c r="BV31" s="1625"/>
      <c r="BW31" s="713"/>
      <c r="BX31" s="714"/>
      <c r="BY31" s="715"/>
      <c r="BZ31" s="716"/>
      <c r="CA31" s="680" t="str">
        <f>IF(ISERROR(DE31),"",IF(DE31="","",IF(VLOOKUP(BS31,SectInfo!$B:$N,10,FALSE)="","","X")))</f>
        <v/>
      </c>
      <c r="CB31" s="738"/>
      <c r="CC31" s="1551" t="str">
        <f t="shared" si="49"/>
        <v/>
      </c>
      <c r="CD31" s="910"/>
      <c r="CE31" s="717"/>
      <c r="CF31" s="736"/>
      <c r="CG31" s="737"/>
      <c r="CH31" s="591" t="str">
        <f t="shared" si="50"/>
        <v/>
      </c>
      <c r="CI31" s="592" t="str">
        <f t="shared" si="51"/>
        <v/>
      </c>
      <c r="CJ31" s="593" t="str">
        <f t="shared" si="52"/>
        <v/>
      </c>
      <c r="CK31" s="594" t="str">
        <f t="shared" si="53"/>
        <v/>
      </c>
      <c r="CL31" s="595" t="str">
        <f t="shared" si="54"/>
        <v/>
      </c>
      <c r="CM31" s="596" t="str">
        <f t="shared" si="55"/>
        <v/>
      </c>
      <c r="CN31" s="597" t="str">
        <f t="shared" si="56"/>
        <v/>
      </c>
      <c r="CO31" s="598" t="str">
        <f t="shared" si="57"/>
        <v/>
      </c>
      <c r="CP31" s="615" t="str">
        <f t="shared" si="58"/>
        <v/>
      </c>
      <c r="CQ31" s="616" t="str">
        <f t="shared" si="59"/>
        <v/>
      </c>
      <c r="CR31" s="750" t="str">
        <f t="shared" si="60"/>
        <v/>
      </c>
      <c r="CS31" s="751" t="str">
        <f t="shared" si="61"/>
        <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62"/>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63"/>
        <v>0</v>
      </c>
      <c r="DO31" s="818">
        <f t="shared" si="64"/>
        <v>0</v>
      </c>
      <c r="DP31" s="822" t="str">
        <f t="shared" si="65"/>
        <v/>
      </c>
      <c r="DQ31" s="822" t="str">
        <f t="shared" si="66"/>
        <v/>
      </c>
      <c r="DR31" s="822" t="str">
        <f t="shared" si="67"/>
        <v/>
      </c>
      <c r="DS31" s="821">
        <f t="shared" si="68"/>
        <v>0</v>
      </c>
      <c r="DT31" s="821">
        <f t="shared" si="69"/>
        <v>0</v>
      </c>
      <c r="DU31" s="821" t="str">
        <f t="shared" si="70"/>
        <v/>
      </c>
      <c r="DV31" s="822" t="str">
        <f t="shared" si="71"/>
        <v/>
      </c>
      <c r="DW31" s="856" t="str">
        <f t="shared" si="72"/>
        <v/>
      </c>
      <c r="DX31" s="1006">
        <f t="shared" si="73"/>
        <v>0</v>
      </c>
      <c r="DY31" s="822">
        <f t="shared" si="74"/>
        <v>0</v>
      </c>
      <c r="DZ31" s="821">
        <f t="shared" si="75"/>
        <v>0</v>
      </c>
      <c r="EA31" s="821" t="str">
        <f t="shared" si="76"/>
        <v/>
      </c>
      <c r="EB31" s="822" t="str">
        <f t="shared" si="77"/>
        <v/>
      </c>
      <c r="EC31" s="856" t="str">
        <f t="shared" si="78"/>
        <v/>
      </c>
      <c r="ED31" s="1006">
        <f t="shared" si="79"/>
        <v>0</v>
      </c>
      <c r="EE31" s="1293" t="str">
        <f t="shared" si="80"/>
        <v/>
      </c>
      <c r="EF31" s="1293" t="str">
        <f t="shared" si="81"/>
        <v/>
      </c>
      <c r="EG31" s="1293" t="str">
        <f t="shared" si="82"/>
        <v/>
      </c>
      <c r="EH31" s="856" t="e">
        <f t="shared" si="83"/>
        <v>#N/A</v>
      </c>
      <c r="EI31" s="856" t="e">
        <f t="shared" si="84"/>
        <v>#N/A</v>
      </c>
      <c r="EJ31" s="822" t="str">
        <f t="shared" si="85"/>
        <v/>
      </c>
      <c r="EK31" s="822" t="str">
        <f t="shared" si="85"/>
        <v/>
      </c>
      <c r="EL31" s="1293" t="str">
        <f t="shared" si="86"/>
        <v/>
      </c>
      <c r="EM31" s="822" t="str">
        <f t="shared" si="87"/>
        <v/>
      </c>
      <c r="EN31" s="822" t="str">
        <f t="shared" si="88"/>
        <v/>
      </c>
      <c r="EO31" s="856" t="e">
        <f t="shared" si="89"/>
        <v>#N/A</v>
      </c>
      <c r="EP31" s="856" t="e">
        <f t="shared" si="90"/>
        <v>#N/A</v>
      </c>
      <c r="EQ31" s="1293" t="str">
        <f t="shared" si="91"/>
        <v/>
      </c>
      <c r="ER31" s="822" t="str">
        <f t="shared" si="91"/>
        <v/>
      </c>
      <c r="ES31" s="822" t="str">
        <f t="shared" si="92"/>
        <v/>
      </c>
      <c r="ET31" s="822" t="str">
        <f t="shared" si="93"/>
        <v/>
      </c>
      <c r="EU31" s="829" t="str">
        <f t="shared" si="94"/>
        <v/>
      </c>
      <c r="EV31" s="824" t="str">
        <f t="shared" si="95"/>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96"/>
        <v/>
      </c>
      <c r="FA31" s="829" t="str">
        <f>IF(AND(DE31="G", ISBLANK(BW31), ISBLANK(BX31)),VLOOKUP(MIN(BT31:BU31),TblJoistSize!$M$3:$N$10,2),IF(OR(DE31="B", DE31="G"),MIN(BW31:BX31),""))</f>
        <v/>
      </c>
      <c r="FB31" s="829" t="str">
        <f>IF(AND(DE31="G", ISBLANK(BW31), ISBLANK(BX31)),VLOOKUP(MAX(BT31:BU31),TblJoistSize!$M$3:$N$10,2),IF(OR(DE31="B", DE31="G"),MAX(BW31:BX31),""))</f>
        <v/>
      </c>
      <c r="FC31" s="829" t="str">
        <f t="shared" si="97"/>
        <v/>
      </c>
      <c r="FD31" s="821">
        <f t="shared" si="124"/>
        <v>0</v>
      </c>
      <c r="FE31" s="821">
        <f t="shared" si="98"/>
        <v>0</v>
      </c>
      <c r="FF31" s="821">
        <f t="shared" si="99"/>
        <v>0</v>
      </c>
      <c r="FG31" s="821" t="str">
        <f t="shared" si="100"/>
        <v/>
      </c>
      <c r="FH31" s="822" t="str">
        <f t="shared" si="101"/>
        <v/>
      </c>
      <c r="FI31" s="821">
        <f t="shared" si="125"/>
        <v>0</v>
      </c>
      <c r="FJ31" s="821">
        <f t="shared" si="102"/>
        <v>0</v>
      </c>
      <c r="FK31" s="821">
        <f t="shared" si="103"/>
        <v>0</v>
      </c>
      <c r="FL31" s="821" t="str">
        <f t="shared" si="104"/>
        <v/>
      </c>
      <c r="FM31" s="822" t="str">
        <f t="shared" si="105"/>
        <v/>
      </c>
      <c r="FN31" s="822" t="e">
        <f t="shared" si="106"/>
        <v>#VALUE!</v>
      </c>
      <c r="FO31" s="940" t="e">
        <f t="shared" si="107"/>
        <v>#VALUE!</v>
      </c>
      <c r="FP31" s="940" t="e">
        <f t="shared" si="108"/>
        <v>#VALUE!</v>
      </c>
      <c r="FQ31" s="830" t="e">
        <f t="shared" si="109"/>
        <v>#VALUE!</v>
      </c>
      <c r="FR31" s="831" t="e">
        <f t="shared" si="110"/>
        <v>#VALUE!</v>
      </c>
      <c r="FS31" s="832" t="str">
        <f t="shared" si="111"/>
        <v/>
      </c>
      <c r="FT31" s="833" t="str">
        <f t="shared" si="112"/>
        <v/>
      </c>
      <c r="FU31" s="870">
        <f t="shared" si="113"/>
        <v>0</v>
      </c>
      <c r="FV31" s="871">
        <f t="shared" si="114"/>
        <v>0</v>
      </c>
      <c r="GA31" s="1791" t="str">
        <f t="shared" si="115"/>
        <v/>
      </c>
      <c r="GB31" s="1792" t="str">
        <f t="shared" si="116"/>
        <v/>
      </c>
      <c r="GC31" s="1793" t="str">
        <f t="shared" si="117"/>
        <v/>
      </c>
      <c r="GD31" s="1794" t="str">
        <f t="shared" si="118"/>
        <v/>
      </c>
      <c r="GE31" s="1795" t="str">
        <f t="shared" si="119"/>
        <v/>
      </c>
      <c r="GF31" s="600" t="str">
        <f t="shared" si="120"/>
        <v/>
      </c>
      <c r="GG31" s="1130"/>
      <c r="GH31" s="1131"/>
      <c r="GI31" s="1130"/>
      <c r="GJ31" s="1131"/>
      <c r="GK31" s="1638">
        <f t="shared" si="121"/>
        <v>0</v>
      </c>
      <c r="GL31" s="1636" t="e">
        <f t="shared" si="122"/>
        <v>#VALUE!</v>
      </c>
      <c r="GM31" s="1637" t="e">
        <f>IF(ABS(GK31-GL31)&gt;='Job Info.'!$L$22,ABS(GK31-GL31),0)</f>
        <v>#VALUE!</v>
      </c>
      <c r="HA31" s="1269"/>
      <c r="HB31" s="1270"/>
      <c r="HC31" s="1270"/>
      <c r="HD31" s="1271"/>
      <c r="HE31" s="1272"/>
      <c r="HF31" s="1270"/>
      <c r="HG31" s="1270"/>
      <c r="HH31" s="1270"/>
      <c r="HI31" s="1273"/>
      <c r="HJ31" s="1270"/>
      <c r="HK31" s="1270"/>
      <c r="HL31" s="1270"/>
      <c r="HM31" s="1270"/>
      <c r="HN31" s="1270"/>
      <c r="HO31" s="1270"/>
      <c r="HP31" s="1270"/>
      <c r="HQ31" s="1273"/>
      <c r="HR31" s="1270"/>
      <c r="HS31" s="1270"/>
      <c r="HT31" s="1270"/>
      <c r="HU31" s="1270"/>
      <c r="HV31" s="1270"/>
      <c r="HW31" s="1272"/>
      <c r="HX31" s="1272"/>
      <c r="HY31" s="1272"/>
      <c r="HZ31" s="1272"/>
      <c r="IA31" s="1272"/>
      <c r="IB31" s="1272"/>
      <c r="IC31" s="1272"/>
      <c r="ID31" s="1272"/>
      <c r="IE31" s="1272"/>
      <c r="IF31" s="1274"/>
    </row>
    <row r="32" spans="1:240" ht="12.6" customHeight="1" x14ac:dyDescent="0.25">
      <c r="A32" s="1448" t="str">
        <f t="shared" si="1"/>
        <v/>
      </c>
      <c r="B32" s="1681" t="str">
        <f t="shared" si="2"/>
        <v/>
      </c>
      <c r="C32" s="1449" t="str">
        <f t="shared" si="3"/>
        <v/>
      </c>
      <c r="D32" s="1705" t="str">
        <f t="shared" si="4"/>
        <v/>
      </c>
      <c r="E32" s="1706" t="str">
        <f t="shared" si="5"/>
        <v/>
      </c>
      <c r="F32" s="1714" t="str">
        <f t="shared" si="6"/>
        <v/>
      </c>
      <c r="G32" s="1709" t="str">
        <f t="shared" si="7"/>
        <v/>
      </c>
      <c r="H32" s="1779" t="str">
        <f t="shared" si="8"/>
        <v/>
      </c>
      <c r="I32" s="1705" t="str">
        <f t="shared" si="9"/>
        <v/>
      </c>
      <c r="J32" s="1709" t="str">
        <f t="shared" si="10"/>
        <v/>
      </c>
      <c r="K32" s="1796" t="str">
        <f t="shared" si="11"/>
        <v/>
      </c>
      <c r="L32" s="1712" t="str">
        <f t="shared" si="12"/>
        <v/>
      </c>
      <c r="M32" s="1713" t="str">
        <f t="shared" si="13"/>
        <v/>
      </c>
      <c r="N32" s="1708" t="str">
        <f t="shared" si="14"/>
        <v/>
      </c>
      <c r="O32" s="1709" t="str">
        <f t="shared" si="15"/>
        <v/>
      </c>
      <c r="P32" s="1710" t="str">
        <f t="shared" si="16"/>
        <v/>
      </c>
      <c r="Q32" s="1705" t="str">
        <f t="shared" si="17"/>
        <v/>
      </c>
      <c r="R32" s="1709" t="str">
        <f t="shared" si="18"/>
        <v/>
      </c>
      <c r="S32" s="1711" t="str">
        <f t="shared" si="19"/>
        <v/>
      </c>
      <c r="T32" s="1714" t="str">
        <f t="shared" si="20"/>
        <v/>
      </c>
      <c r="U32" s="1709" t="str">
        <f t="shared" si="21"/>
        <v/>
      </c>
      <c r="V32" s="1705" t="str">
        <f t="shared" si="22"/>
        <v/>
      </c>
      <c r="W32" s="1709" t="str">
        <f t="shared" si="23"/>
        <v/>
      </c>
      <c r="X32" s="1713">
        <f t="shared" si="24"/>
        <v>0</v>
      </c>
      <c r="Y32" s="1781" t="str">
        <f t="shared" si="25"/>
        <v/>
      </c>
      <c r="Z32" s="1782" t="str">
        <f t="shared" si="26"/>
        <v/>
      </c>
      <c r="AA32" s="1783" t="str">
        <f t="shared" si="27"/>
        <v/>
      </c>
      <c r="AB32" s="1413"/>
      <c r="AC32" s="964" t="b">
        <v>0</v>
      </c>
      <c r="AD32" s="441">
        <f t="shared" si="28"/>
        <v>0</v>
      </c>
      <c r="AE32" s="442">
        <f t="shared" si="29"/>
        <v>0</v>
      </c>
      <c r="AF32" s="442">
        <f t="shared" si="30"/>
        <v>0</v>
      </c>
      <c r="AG32" s="442">
        <f t="shared" si="31"/>
        <v>0</v>
      </c>
      <c r="AH32" s="443">
        <f t="shared" si="32"/>
        <v>0</v>
      </c>
      <c r="AI32" s="444" t="b">
        <v>0</v>
      </c>
      <c r="AJ32" s="238">
        <f t="shared" si="33"/>
        <v>0</v>
      </c>
      <c r="AK32" s="830" t="str">
        <f t="shared" si="34"/>
        <v/>
      </c>
      <c r="AL32" s="945" t="str">
        <f t="shared" si="35"/>
        <v/>
      </c>
      <c r="AM32" s="830" t="str">
        <f t="shared" si="36"/>
        <v/>
      </c>
      <c r="AN32" s="830" t="str">
        <f t="shared" si="37"/>
        <v/>
      </c>
      <c r="AO32" s="830" t="str">
        <f t="shared" si="38"/>
        <v/>
      </c>
      <c r="AP32" s="830" t="b">
        <f>IF(ISERROR(AJ32),FALSE,IF(OR(AJ32=0,ISERROR(AL32),ISERROR(AM32),ISERROR(AN32),ISERROR(AO32)),FALSE,IF(AL32&lt;&gt;"",IF(ISERROR(VLOOKUP(SUBSTITUTE(SUBSTITUTE(C32,"R",""),"A",""),TblJoistSize!$A:$A,1,FALSE)),FALSE,TRUE),TRUE)))</f>
        <v>0</v>
      </c>
      <c r="AQ32" s="1038" t="e">
        <f t="shared" si="39"/>
        <v>#N/A</v>
      </c>
      <c r="AR32" s="945" t="b">
        <f t="shared" si="40"/>
        <v>0</v>
      </c>
      <c r="AS32" s="1038" t="e">
        <f t="shared" si="41"/>
        <v>#N/A</v>
      </c>
      <c r="AT32" s="945" t="b">
        <f t="shared" si="42"/>
        <v>0</v>
      </c>
      <c r="AU32" s="946" t="str">
        <f t="shared" si="43"/>
        <v/>
      </c>
      <c r="AV32" s="830" t="str">
        <f t="shared" si="44"/>
        <v/>
      </c>
      <c r="AW32" s="830" t="str">
        <f t="shared" si="45"/>
        <v/>
      </c>
      <c r="AX32" s="830" t="str">
        <f t="shared" si="123"/>
        <v/>
      </c>
      <c r="AY32" s="1039" t="b">
        <f t="shared" si="46"/>
        <v>0</v>
      </c>
      <c r="AZ32" s="856" t="str">
        <f t="shared" si="47"/>
        <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48"/>
        <v/>
      </c>
      <c r="BR32" s="910"/>
      <c r="BS32" s="672"/>
      <c r="BT32" s="713"/>
      <c r="BU32" s="714"/>
      <c r="BV32" s="1625"/>
      <c r="BW32" s="713"/>
      <c r="BX32" s="714"/>
      <c r="BY32" s="715"/>
      <c r="BZ32" s="716"/>
      <c r="CA32" s="680" t="str">
        <f>IF(ISERROR(DE32),"",IF(DE32="","",IF(VLOOKUP(BS32,SectInfo!$B:$N,10,FALSE)="","","X")))</f>
        <v/>
      </c>
      <c r="CB32" s="738"/>
      <c r="CC32" s="1551" t="str">
        <f t="shared" si="49"/>
        <v/>
      </c>
      <c r="CD32" s="910"/>
      <c r="CE32" s="717"/>
      <c r="CF32" s="736"/>
      <c r="CG32" s="737"/>
      <c r="CH32" s="591" t="str">
        <f t="shared" si="50"/>
        <v/>
      </c>
      <c r="CI32" s="592" t="str">
        <f t="shared" si="51"/>
        <v/>
      </c>
      <c r="CJ32" s="593" t="str">
        <f t="shared" si="52"/>
        <v/>
      </c>
      <c r="CK32" s="594" t="str">
        <f t="shared" si="53"/>
        <v/>
      </c>
      <c r="CL32" s="595" t="str">
        <f t="shared" si="54"/>
        <v/>
      </c>
      <c r="CM32" s="596" t="str">
        <f t="shared" si="55"/>
        <v/>
      </c>
      <c r="CN32" s="597" t="str">
        <f t="shared" si="56"/>
        <v/>
      </c>
      <c r="CO32" s="598" t="str">
        <f t="shared" si="57"/>
        <v/>
      </c>
      <c r="CP32" s="615" t="str">
        <f t="shared" si="58"/>
        <v/>
      </c>
      <c r="CQ32" s="616" t="str">
        <f t="shared" si="59"/>
        <v/>
      </c>
      <c r="CR32" s="750" t="str">
        <f t="shared" si="60"/>
        <v/>
      </c>
      <c r="CS32" s="751" t="str">
        <f t="shared" si="61"/>
        <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62"/>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63"/>
        <v>0</v>
      </c>
      <c r="DO32" s="818">
        <f t="shared" si="64"/>
        <v>0</v>
      </c>
      <c r="DP32" s="822" t="str">
        <f t="shared" si="65"/>
        <v/>
      </c>
      <c r="DQ32" s="822" t="str">
        <f t="shared" si="66"/>
        <v/>
      </c>
      <c r="DR32" s="822" t="str">
        <f t="shared" si="67"/>
        <v/>
      </c>
      <c r="DS32" s="821">
        <f t="shared" si="68"/>
        <v>0</v>
      </c>
      <c r="DT32" s="821">
        <f t="shared" si="69"/>
        <v>0</v>
      </c>
      <c r="DU32" s="821" t="str">
        <f t="shared" si="70"/>
        <v/>
      </c>
      <c r="DV32" s="822" t="str">
        <f t="shared" si="71"/>
        <v/>
      </c>
      <c r="DW32" s="856" t="str">
        <f t="shared" si="72"/>
        <v/>
      </c>
      <c r="DX32" s="1006">
        <f t="shared" si="73"/>
        <v>0</v>
      </c>
      <c r="DY32" s="822">
        <f t="shared" si="74"/>
        <v>0</v>
      </c>
      <c r="DZ32" s="821">
        <f t="shared" si="75"/>
        <v>0</v>
      </c>
      <c r="EA32" s="821" t="str">
        <f t="shared" si="76"/>
        <v/>
      </c>
      <c r="EB32" s="822" t="str">
        <f t="shared" si="77"/>
        <v/>
      </c>
      <c r="EC32" s="856" t="str">
        <f t="shared" si="78"/>
        <v/>
      </c>
      <c r="ED32" s="1006">
        <f t="shared" si="79"/>
        <v>0</v>
      </c>
      <c r="EE32" s="1293" t="str">
        <f t="shared" si="80"/>
        <v/>
      </c>
      <c r="EF32" s="1293" t="str">
        <f t="shared" si="81"/>
        <v/>
      </c>
      <c r="EG32" s="1293" t="str">
        <f t="shared" si="82"/>
        <v/>
      </c>
      <c r="EH32" s="856" t="e">
        <f t="shared" si="83"/>
        <v>#N/A</v>
      </c>
      <c r="EI32" s="856" t="e">
        <f t="shared" si="84"/>
        <v>#N/A</v>
      </c>
      <c r="EJ32" s="822" t="str">
        <f t="shared" si="85"/>
        <v/>
      </c>
      <c r="EK32" s="822" t="str">
        <f t="shared" si="85"/>
        <v/>
      </c>
      <c r="EL32" s="1293" t="str">
        <f t="shared" si="86"/>
        <v/>
      </c>
      <c r="EM32" s="822" t="str">
        <f t="shared" si="87"/>
        <v/>
      </c>
      <c r="EN32" s="822" t="str">
        <f t="shared" si="88"/>
        <v/>
      </c>
      <c r="EO32" s="856" t="e">
        <f t="shared" si="89"/>
        <v>#N/A</v>
      </c>
      <c r="EP32" s="856" t="e">
        <f t="shared" si="90"/>
        <v>#N/A</v>
      </c>
      <c r="EQ32" s="1293" t="str">
        <f t="shared" si="91"/>
        <v/>
      </c>
      <c r="ER32" s="822" t="str">
        <f t="shared" si="91"/>
        <v/>
      </c>
      <c r="ES32" s="822" t="str">
        <f t="shared" si="92"/>
        <v/>
      </c>
      <c r="ET32" s="822" t="str">
        <f t="shared" si="93"/>
        <v/>
      </c>
      <c r="EU32" s="829" t="str">
        <f t="shared" si="94"/>
        <v/>
      </c>
      <c r="EV32" s="824" t="str">
        <f t="shared" si="95"/>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96"/>
        <v/>
      </c>
      <c r="FA32" s="829" t="str">
        <f>IF(AND(DE32="G", ISBLANK(BW32), ISBLANK(BX32)),VLOOKUP(MIN(BT32:BU32),TblJoistSize!$M$3:$N$10,2),IF(OR(DE32="B", DE32="G"),MIN(BW32:BX32),""))</f>
        <v/>
      </c>
      <c r="FB32" s="829" t="str">
        <f>IF(AND(DE32="G", ISBLANK(BW32), ISBLANK(BX32)),VLOOKUP(MAX(BT32:BU32),TblJoistSize!$M$3:$N$10,2),IF(OR(DE32="B", DE32="G"),MAX(BW32:BX32),""))</f>
        <v/>
      </c>
      <c r="FC32" s="829" t="str">
        <f t="shared" si="97"/>
        <v/>
      </c>
      <c r="FD32" s="821">
        <f t="shared" si="124"/>
        <v>0</v>
      </c>
      <c r="FE32" s="821">
        <f t="shared" si="98"/>
        <v>0</v>
      </c>
      <c r="FF32" s="821">
        <f t="shared" si="99"/>
        <v>0</v>
      </c>
      <c r="FG32" s="821" t="str">
        <f t="shared" si="100"/>
        <v/>
      </c>
      <c r="FH32" s="822" t="str">
        <f t="shared" si="101"/>
        <v/>
      </c>
      <c r="FI32" s="821">
        <f t="shared" si="125"/>
        <v>0</v>
      </c>
      <c r="FJ32" s="821">
        <f t="shared" si="102"/>
        <v>0</v>
      </c>
      <c r="FK32" s="821">
        <f t="shared" si="103"/>
        <v>0</v>
      </c>
      <c r="FL32" s="821" t="str">
        <f t="shared" si="104"/>
        <v/>
      </c>
      <c r="FM32" s="822" t="str">
        <f t="shared" si="105"/>
        <v/>
      </c>
      <c r="FN32" s="822" t="e">
        <f t="shared" si="106"/>
        <v>#VALUE!</v>
      </c>
      <c r="FO32" s="940" t="e">
        <f t="shared" si="107"/>
        <v>#VALUE!</v>
      </c>
      <c r="FP32" s="940" t="e">
        <f t="shared" si="108"/>
        <v>#VALUE!</v>
      </c>
      <c r="FQ32" s="830" t="e">
        <f t="shared" si="109"/>
        <v>#VALUE!</v>
      </c>
      <c r="FR32" s="831" t="e">
        <f t="shared" si="110"/>
        <v>#VALUE!</v>
      </c>
      <c r="FS32" s="832" t="str">
        <f t="shared" si="111"/>
        <v/>
      </c>
      <c r="FT32" s="833" t="str">
        <f t="shared" si="112"/>
        <v/>
      </c>
      <c r="FU32" s="870">
        <f t="shared" si="113"/>
        <v>0</v>
      </c>
      <c r="FV32" s="871">
        <f t="shared" si="114"/>
        <v>0</v>
      </c>
      <c r="GA32" s="1791" t="str">
        <f t="shared" si="115"/>
        <v/>
      </c>
      <c r="GB32" s="1792" t="str">
        <f t="shared" si="116"/>
        <v/>
      </c>
      <c r="GC32" s="1793" t="str">
        <f t="shared" si="117"/>
        <v/>
      </c>
      <c r="GD32" s="1794" t="str">
        <f t="shared" si="118"/>
        <v/>
      </c>
      <c r="GE32" s="1795" t="str">
        <f t="shared" si="119"/>
        <v/>
      </c>
      <c r="GF32" s="600" t="str">
        <f t="shared" si="120"/>
        <v/>
      </c>
      <c r="GG32" s="1130"/>
      <c r="GH32" s="1131"/>
      <c r="GI32" s="1130"/>
      <c r="GJ32" s="1131"/>
      <c r="GK32" s="1638">
        <f t="shared" si="121"/>
        <v>0</v>
      </c>
      <c r="GL32" s="1636" t="e">
        <f t="shared" si="122"/>
        <v>#VALUE!</v>
      </c>
      <c r="GM32" s="1637" t="e">
        <f>IF(ABS(GK32-GL32)&gt;='Job Info.'!$L$22,ABS(GK32-GL32),0)</f>
        <v>#VALUE!</v>
      </c>
      <c r="HA32" s="1269"/>
      <c r="HB32" s="1270"/>
      <c r="HC32" s="1270"/>
      <c r="HD32" s="1271"/>
      <c r="HE32" s="1272"/>
      <c r="HF32" s="1270"/>
      <c r="HG32" s="1270"/>
      <c r="HH32" s="1270"/>
      <c r="HI32" s="1273"/>
      <c r="HJ32" s="1270"/>
      <c r="HK32" s="1270"/>
      <c r="HL32" s="1270"/>
      <c r="HM32" s="1270"/>
      <c r="HN32" s="1270"/>
      <c r="HO32" s="1270"/>
      <c r="HP32" s="1270"/>
      <c r="HQ32" s="1273"/>
      <c r="HR32" s="1270"/>
      <c r="HS32" s="1270"/>
      <c r="HT32" s="1270"/>
      <c r="HU32" s="1270"/>
      <c r="HV32" s="1270"/>
      <c r="HW32" s="1272"/>
      <c r="HX32" s="1272"/>
      <c r="HY32" s="1272"/>
      <c r="HZ32" s="1272"/>
      <c r="IA32" s="1272"/>
      <c r="IB32" s="1272"/>
      <c r="IC32" s="1272"/>
      <c r="ID32" s="1272"/>
      <c r="IE32" s="1272"/>
      <c r="IF32" s="1274"/>
    </row>
    <row r="33" spans="1:240" ht="12.6" customHeight="1" x14ac:dyDescent="0.25">
      <c r="A33" s="1448" t="str">
        <f t="shared" si="1"/>
        <v/>
      </c>
      <c r="B33" s="1681" t="str">
        <f t="shared" si="2"/>
        <v/>
      </c>
      <c r="C33" s="1449" t="str">
        <f t="shared" si="3"/>
        <v/>
      </c>
      <c r="D33" s="1705" t="str">
        <f t="shared" si="4"/>
        <v/>
      </c>
      <c r="E33" s="1706" t="str">
        <f t="shared" si="5"/>
        <v/>
      </c>
      <c r="F33" s="1714" t="str">
        <f t="shared" si="6"/>
        <v/>
      </c>
      <c r="G33" s="1709" t="str">
        <f t="shared" si="7"/>
        <v/>
      </c>
      <c r="H33" s="1779" t="str">
        <f t="shared" si="8"/>
        <v/>
      </c>
      <c r="I33" s="1705" t="str">
        <f t="shared" si="9"/>
        <v/>
      </c>
      <c r="J33" s="1709" t="str">
        <f t="shared" si="10"/>
        <v/>
      </c>
      <c r="K33" s="1796" t="str">
        <f t="shared" si="11"/>
        <v/>
      </c>
      <c r="L33" s="1712" t="str">
        <f t="shared" si="12"/>
        <v/>
      </c>
      <c r="M33" s="1713" t="str">
        <f t="shared" si="13"/>
        <v/>
      </c>
      <c r="N33" s="1708" t="str">
        <f t="shared" si="14"/>
        <v/>
      </c>
      <c r="O33" s="1709" t="str">
        <f t="shared" si="15"/>
        <v/>
      </c>
      <c r="P33" s="1710" t="str">
        <f t="shared" si="16"/>
        <v/>
      </c>
      <c r="Q33" s="1705" t="str">
        <f t="shared" si="17"/>
        <v/>
      </c>
      <c r="R33" s="1709" t="str">
        <f t="shared" si="18"/>
        <v/>
      </c>
      <c r="S33" s="1711" t="str">
        <f t="shared" si="19"/>
        <v/>
      </c>
      <c r="T33" s="1714" t="str">
        <f t="shared" si="20"/>
        <v/>
      </c>
      <c r="U33" s="1709" t="str">
        <f t="shared" si="21"/>
        <v/>
      </c>
      <c r="V33" s="1705" t="str">
        <f t="shared" si="22"/>
        <v/>
      </c>
      <c r="W33" s="1709" t="str">
        <f t="shared" si="23"/>
        <v/>
      </c>
      <c r="X33" s="1713">
        <f t="shared" si="24"/>
        <v>0</v>
      </c>
      <c r="Y33" s="1781" t="str">
        <f t="shared" si="25"/>
        <v/>
      </c>
      <c r="Z33" s="1782" t="str">
        <f t="shared" si="26"/>
        <v/>
      </c>
      <c r="AA33" s="1783" t="str">
        <f t="shared" si="27"/>
        <v/>
      </c>
      <c r="AB33" s="1413"/>
      <c r="AC33" s="964" t="b">
        <v>0</v>
      </c>
      <c r="AD33" s="441">
        <f t="shared" si="28"/>
        <v>0</v>
      </c>
      <c r="AE33" s="442">
        <f t="shared" si="29"/>
        <v>0</v>
      </c>
      <c r="AF33" s="442">
        <f t="shared" si="30"/>
        <v>0</v>
      </c>
      <c r="AG33" s="442">
        <f t="shared" si="31"/>
        <v>0</v>
      </c>
      <c r="AH33" s="443">
        <f t="shared" si="32"/>
        <v>0</v>
      </c>
      <c r="AI33" s="444" t="b">
        <v>0</v>
      </c>
      <c r="AJ33" s="238">
        <f t="shared" si="33"/>
        <v>0</v>
      </c>
      <c r="AK33" s="830" t="str">
        <f t="shared" si="34"/>
        <v/>
      </c>
      <c r="AL33" s="945" t="str">
        <f t="shared" si="35"/>
        <v/>
      </c>
      <c r="AM33" s="830" t="str">
        <f t="shared" si="36"/>
        <v/>
      </c>
      <c r="AN33" s="830" t="str">
        <f t="shared" si="37"/>
        <v/>
      </c>
      <c r="AO33" s="830" t="str">
        <f t="shared" si="38"/>
        <v/>
      </c>
      <c r="AP33" s="830" t="b">
        <f>IF(ISERROR(AJ33),FALSE,IF(OR(AJ33=0,ISERROR(AL33),ISERROR(AM33),ISERROR(AN33),ISERROR(AO33)),FALSE,IF(AL33&lt;&gt;"",IF(ISERROR(VLOOKUP(SUBSTITUTE(SUBSTITUTE(C33,"R",""),"A",""),TblJoistSize!$A:$A,1,FALSE)),FALSE,TRUE),TRUE)))</f>
        <v>0</v>
      </c>
      <c r="AQ33" s="1038" t="e">
        <f t="shared" si="39"/>
        <v>#N/A</v>
      </c>
      <c r="AR33" s="945" t="b">
        <f t="shared" si="40"/>
        <v>0</v>
      </c>
      <c r="AS33" s="1038" t="e">
        <f t="shared" si="41"/>
        <v>#N/A</v>
      </c>
      <c r="AT33" s="945" t="b">
        <f t="shared" si="42"/>
        <v>0</v>
      </c>
      <c r="AU33" s="946" t="str">
        <f t="shared" si="43"/>
        <v/>
      </c>
      <c r="AV33" s="830" t="str">
        <f t="shared" si="44"/>
        <v/>
      </c>
      <c r="AW33" s="830" t="str">
        <f t="shared" si="45"/>
        <v/>
      </c>
      <c r="AX33" s="830" t="str">
        <f t="shared" si="123"/>
        <v/>
      </c>
      <c r="AY33" s="1039" t="b">
        <f t="shared" si="46"/>
        <v>0</v>
      </c>
      <c r="AZ33" s="856" t="str">
        <f t="shared" si="47"/>
        <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48"/>
        <v/>
      </c>
      <c r="BR33" s="910"/>
      <c r="BS33" s="672"/>
      <c r="BT33" s="713"/>
      <c r="BU33" s="714"/>
      <c r="BV33" s="1625"/>
      <c r="BW33" s="713"/>
      <c r="BX33" s="714"/>
      <c r="BY33" s="715"/>
      <c r="BZ33" s="716"/>
      <c r="CA33" s="680" t="str">
        <f>IF(ISERROR(DE33),"",IF(DE33="","",IF(VLOOKUP(BS33,SectInfo!$B:$N,10,FALSE)="","","X")))</f>
        <v/>
      </c>
      <c r="CB33" s="738"/>
      <c r="CC33" s="1551" t="str">
        <f t="shared" si="49"/>
        <v/>
      </c>
      <c r="CD33" s="910"/>
      <c r="CE33" s="717"/>
      <c r="CF33" s="736"/>
      <c r="CG33" s="737"/>
      <c r="CH33" s="591" t="str">
        <f t="shared" si="50"/>
        <v/>
      </c>
      <c r="CI33" s="592" t="str">
        <f t="shared" si="51"/>
        <v/>
      </c>
      <c r="CJ33" s="593" t="str">
        <f t="shared" si="52"/>
        <v/>
      </c>
      <c r="CK33" s="594" t="str">
        <f t="shared" si="53"/>
        <v/>
      </c>
      <c r="CL33" s="595" t="str">
        <f t="shared" si="54"/>
        <v/>
      </c>
      <c r="CM33" s="596" t="str">
        <f t="shared" si="55"/>
        <v/>
      </c>
      <c r="CN33" s="597" t="str">
        <f t="shared" si="56"/>
        <v/>
      </c>
      <c r="CO33" s="598" t="str">
        <f t="shared" si="57"/>
        <v/>
      </c>
      <c r="CP33" s="615" t="str">
        <f t="shared" si="58"/>
        <v/>
      </c>
      <c r="CQ33" s="616" t="str">
        <f t="shared" si="59"/>
        <v/>
      </c>
      <c r="CR33" s="750" t="str">
        <f t="shared" si="60"/>
        <v/>
      </c>
      <c r="CS33" s="751" t="str">
        <f t="shared" si="61"/>
        <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62"/>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63"/>
        <v>0</v>
      </c>
      <c r="DO33" s="818">
        <f t="shared" si="64"/>
        <v>0</v>
      </c>
      <c r="DP33" s="822" t="str">
        <f t="shared" si="65"/>
        <v/>
      </c>
      <c r="DQ33" s="822" t="str">
        <f t="shared" si="66"/>
        <v/>
      </c>
      <c r="DR33" s="822" t="str">
        <f t="shared" si="67"/>
        <v/>
      </c>
      <c r="DS33" s="821">
        <f t="shared" si="68"/>
        <v>0</v>
      </c>
      <c r="DT33" s="821">
        <f t="shared" si="69"/>
        <v>0</v>
      </c>
      <c r="DU33" s="821" t="str">
        <f t="shared" si="70"/>
        <v/>
      </c>
      <c r="DV33" s="822" t="str">
        <f t="shared" si="71"/>
        <v/>
      </c>
      <c r="DW33" s="856" t="str">
        <f t="shared" si="72"/>
        <v/>
      </c>
      <c r="DX33" s="1006">
        <f t="shared" si="73"/>
        <v>0</v>
      </c>
      <c r="DY33" s="822">
        <f t="shared" si="74"/>
        <v>0</v>
      </c>
      <c r="DZ33" s="821">
        <f t="shared" si="75"/>
        <v>0</v>
      </c>
      <c r="EA33" s="821" t="str">
        <f t="shared" si="76"/>
        <v/>
      </c>
      <c r="EB33" s="822" t="str">
        <f t="shared" si="77"/>
        <v/>
      </c>
      <c r="EC33" s="856" t="str">
        <f t="shared" si="78"/>
        <v/>
      </c>
      <c r="ED33" s="1006">
        <f t="shared" si="79"/>
        <v>0</v>
      </c>
      <c r="EE33" s="1293" t="str">
        <f t="shared" si="80"/>
        <v/>
      </c>
      <c r="EF33" s="1293" t="str">
        <f t="shared" si="81"/>
        <v/>
      </c>
      <c r="EG33" s="1293" t="str">
        <f t="shared" si="82"/>
        <v/>
      </c>
      <c r="EH33" s="856" t="e">
        <f t="shared" si="83"/>
        <v>#N/A</v>
      </c>
      <c r="EI33" s="856" t="e">
        <f t="shared" si="84"/>
        <v>#N/A</v>
      </c>
      <c r="EJ33" s="822" t="str">
        <f t="shared" si="85"/>
        <v/>
      </c>
      <c r="EK33" s="822" t="str">
        <f t="shared" si="85"/>
        <v/>
      </c>
      <c r="EL33" s="1293" t="str">
        <f t="shared" si="86"/>
        <v/>
      </c>
      <c r="EM33" s="822" t="str">
        <f t="shared" si="87"/>
        <v/>
      </c>
      <c r="EN33" s="822" t="str">
        <f t="shared" si="88"/>
        <v/>
      </c>
      <c r="EO33" s="856" t="e">
        <f t="shared" si="89"/>
        <v>#N/A</v>
      </c>
      <c r="EP33" s="856" t="e">
        <f t="shared" si="90"/>
        <v>#N/A</v>
      </c>
      <c r="EQ33" s="1293" t="str">
        <f t="shared" si="91"/>
        <v/>
      </c>
      <c r="ER33" s="822" t="str">
        <f t="shared" si="91"/>
        <v/>
      </c>
      <c r="ES33" s="822" t="str">
        <f t="shared" si="92"/>
        <v/>
      </c>
      <c r="ET33" s="822" t="str">
        <f t="shared" si="93"/>
        <v/>
      </c>
      <c r="EU33" s="829" t="str">
        <f t="shared" si="94"/>
        <v/>
      </c>
      <c r="EV33" s="824" t="str">
        <f t="shared" si="95"/>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96"/>
        <v/>
      </c>
      <c r="FA33" s="829" t="str">
        <f>IF(AND(DE33="G", ISBLANK(BW33), ISBLANK(BX33)),VLOOKUP(MIN(BT33:BU33),TblJoistSize!$M$3:$N$10,2),IF(OR(DE33="B", DE33="G"),MIN(BW33:BX33),""))</f>
        <v/>
      </c>
      <c r="FB33" s="829" t="str">
        <f>IF(AND(DE33="G", ISBLANK(BW33), ISBLANK(BX33)),VLOOKUP(MAX(BT33:BU33),TblJoistSize!$M$3:$N$10,2),IF(OR(DE33="B", DE33="G"),MAX(BW33:BX33),""))</f>
        <v/>
      </c>
      <c r="FC33" s="829" t="str">
        <f t="shared" si="97"/>
        <v/>
      </c>
      <c r="FD33" s="821">
        <f t="shared" si="124"/>
        <v>0</v>
      </c>
      <c r="FE33" s="821">
        <f t="shared" si="98"/>
        <v>0</v>
      </c>
      <c r="FF33" s="821">
        <f t="shared" si="99"/>
        <v>0</v>
      </c>
      <c r="FG33" s="821" t="str">
        <f t="shared" si="100"/>
        <v/>
      </c>
      <c r="FH33" s="822" t="str">
        <f t="shared" si="101"/>
        <v/>
      </c>
      <c r="FI33" s="821">
        <f t="shared" si="125"/>
        <v>0</v>
      </c>
      <c r="FJ33" s="821">
        <f t="shared" si="102"/>
        <v>0</v>
      </c>
      <c r="FK33" s="821">
        <f t="shared" si="103"/>
        <v>0</v>
      </c>
      <c r="FL33" s="821" t="str">
        <f t="shared" si="104"/>
        <v/>
      </c>
      <c r="FM33" s="822" t="str">
        <f t="shared" si="105"/>
        <v/>
      </c>
      <c r="FN33" s="822" t="e">
        <f t="shared" si="106"/>
        <v>#VALUE!</v>
      </c>
      <c r="FO33" s="940" t="e">
        <f t="shared" si="107"/>
        <v>#VALUE!</v>
      </c>
      <c r="FP33" s="940" t="e">
        <f t="shared" si="108"/>
        <v>#VALUE!</v>
      </c>
      <c r="FQ33" s="830" t="e">
        <f t="shared" si="109"/>
        <v>#VALUE!</v>
      </c>
      <c r="FR33" s="831" t="e">
        <f t="shared" si="110"/>
        <v>#VALUE!</v>
      </c>
      <c r="FS33" s="832" t="str">
        <f t="shared" si="111"/>
        <v/>
      </c>
      <c r="FT33" s="833" t="str">
        <f t="shared" si="112"/>
        <v/>
      </c>
      <c r="FU33" s="870">
        <f t="shared" si="113"/>
        <v>0</v>
      </c>
      <c r="FV33" s="871">
        <f t="shared" si="114"/>
        <v>0</v>
      </c>
      <c r="GA33" s="1791" t="str">
        <f t="shared" si="115"/>
        <v/>
      </c>
      <c r="GB33" s="1792" t="str">
        <f t="shared" si="116"/>
        <v/>
      </c>
      <c r="GC33" s="1793" t="str">
        <f t="shared" si="117"/>
        <v/>
      </c>
      <c r="GD33" s="1794" t="str">
        <f t="shared" si="118"/>
        <v/>
      </c>
      <c r="GE33" s="1795" t="str">
        <f t="shared" si="119"/>
        <v/>
      </c>
      <c r="GF33" s="600" t="str">
        <f t="shared" si="120"/>
        <v/>
      </c>
      <c r="GG33" s="1130"/>
      <c r="GH33" s="1131"/>
      <c r="GI33" s="1130"/>
      <c r="GJ33" s="1131"/>
      <c r="GK33" s="1638">
        <f t="shared" si="121"/>
        <v>0</v>
      </c>
      <c r="GL33" s="1636" t="e">
        <f t="shared" si="122"/>
        <v>#VALUE!</v>
      </c>
      <c r="GM33" s="1637" t="e">
        <f>IF(ABS(GK33-GL33)&gt;='Job Info.'!$L$22,ABS(GK33-GL33),0)</f>
        <v>#VALUE!</v>
      </c>
      <c r="HA33" s="1269"/>
      <c r="HB33" s="1270"/>
      <c r="HC33" s="1270"/>
      <c r="HD33" s="1271"/>
      <c r="HE33" s="1272"/>
      <c r="HF33" s="1270"/>
      <c r="HG33" s="1270"/>
      <c r="HH33" s="1270"/>
      <c r="HI33" s="1273"/>
      <c r="HJ33" s="1270"/>
      <c r="HK33" s="1270"/>
      <c r="HL33" s="1270"/>
      <c r="HM33" s="1270"/>
      <c r="HN33" s="1270"/>
      <c r="HO33" s="1270"/>
      <c r="HP33" s="1270"/>
      <c r="HQ33" s="1273"/>
      <c r="HR33" s="1270"/>
      <c r="HS33" s="1270"/>
      <c r="HT33" s="1270"/>
      <c r="HU33" s="1270"/>
      <c r="HV33" s="1270"/>
      <c r="HW33" s="1272"/>
      <c r="HX33" s="1272"/>
      <c r="HY33" s="1272"/>
      <c r="HZ33" s="1272"/>
      <c r="IA33" s="1272"/>
      <c r="IB33" s="1272"/>
      <c r="IC33" s="1272"/>
      <c r="ID33" s="1272"/>
      <c r="IE33" s="1272"/>
      <c r="IF33" s="1274"/>
    </row>
    <row r="34" spans="1:240" ht="12.6" customHeight="1" x14ac:dyDescent="0.25">
      <c r="A34" s="1448" t="str">
        <f t="shared" si="1"/>
        <v/>
      </c>
      <c r="B34" s="1681" t="str">
        <f t="shared" si="2"/>
        <v/>
      </c>
      <c r="C34" s="1449" t="str">
        <f t="shared" si="3"/>
        <v/>
      </c>
      <c r="D34" s="1705" t="str">
        <f t="shared" si="4"/>
        <v/>
      </c>
      <c r="E34" s="1706" t="str">
        <f t="shared" si="5"/>
        <v/>
      </c>
      <c r="F34" s="1714" t="str">
        <f t="shared" si="6"/>
        <v/>
      </c>
      <c r="G34" s="1709" t="str">
        <f t="shared" si="7"/>
        <v/>
      </c>
      <c r="H34" s="1779" t="str">
        <f t="shared" si="8"/>
        <v/>
      </c>
      <c r="I34" s="1705" t="str">
        <f t="shared" si="9"/>
        <v/>
      </c>
      <c r="J34" s="1709" t="str">
        <f t="shared" si="10"/>
        <v/>
      </c>
      <c r="K34" s="1796" t="str">
        <f t="shared" si="11"/>
        <v/>
      </c>
      <c r="L34" s="1712" t="str">
        <f t="shared" si="12"/>
        <v/>
      </c>
      <c r="M34" s="1713" t="str">
        <f t="shared" si="13"/>
        <v/>
      </c>
      <c r="N34" s="1708" t="str">
        <f t="shared" si="14"/>
        <v/>
      </c>
      <c r="O34" s="1709" t="str">
        <f t="shared" si="15"/>
        <v/>
      </c>
      <c r="P34" s="1710" t="str">
        <f t="shared" si="16"/>
        <v/>
      </c>
      <c r="Q34" s="1705" t="str">
        <f t="shared" si="17"/>
        <v/>
      </c>
      <c r="R34" s="1709" t="str">
        <f t="shared" si="18"/>
        <v/>
      </c>
      <c r="S34" s="1711" t="str">
        <f t="shared" si="19"/>
        <v/>
      </c>
      <c r="T34" s="1714" t="str">
        <f t="shared" si="20"/>
        <v/>
      </c>
      <c r="U34" s="1709" t="str">
        <f t="shared" si="21"/>
        <v/>
      </c>
      <c r="V34" s="1705" t="str">
        <f t="shared" si="22"/>
        <v/>
      </c>
      <c r="W34" s="1709" t="str">
        <f t="shared" si="23"/>
        <v/>
      </c>
      <c r="X34" s="1713">
        <f t="shared" si="24"/>
        <v>0</v>
      </c>
      <c r="Y34" s="1781" t="str">
        <f t="shared" si="25"/>
        <v/>
      </c>
      <c r="Z34" s="1782" t="str">
        <f t="shared" si="26"/>
        <v/>
      </c>
      <c r="AA34" s="1783" t="str">
        <f t="shared" si="27"/>
        <v/>
      </c>
      <c r="AB34" s="1413"/>
      <c r="AC34" s="964" t="b">
        <v>0</v>
      </c>
      <c r="AD34" s="441">
        <f t="shared" si="28"/>
        <v>0</v>
      </c>
      <c r="AE34" s="442">
        <f t="shared" si="29"/>
        <v>0</v>
      </c>
      <c r="AF34" s="442">
        <f t="shared" si="30"/>
        <v>0</v>
      </c>
      <c r="AG34" s="442">
        <f t="shared" si="31"/>
        <v>0</v>
      </c>
      <c r="AH34" s="443">
        <f t="shared" si="32"/>
        <v>0</v>
      </c>
      <c r="AI34" s="444" t="b">
        <v>0</v>
      </c>
      <c r="AJ34" s="238">
        <f t="shared" si="33"/>
        <v>0</v>
      </c>
      <c r="AK34" s="830" t="str">
        <f t="shared" si="34"/>
        <v/>
      </c>
      <c r="AL34" s="945" t="str">
        <f t="shared" si="35"/>
        <v/>
      </c>
      <c r="AM34" s="830" t="str">
        <f t="shared" si="36"/>
        <v/>
      </c>
      <c r="AN34" s="830" t="str">
        <f t="shared" si="37"/>
        <v/>
      </c>
      <c r="AO34" s="830" t="str">
        <f t="shared" si="38"/>
        <v/>
      </c>
      <c r="AP34" s="830" t="b">
        <f>IF(ISERROR(AJ34),FALSE,IF(OR(AJ34=0,ISERROR(AL34),ISERROR(AM34),ISERROR(AN34),ISERROR(AO34)),FALSE,IF(AL34&lt;&gt;"",IF(ISERROR(VLOOKUP(SUBSTITUTE(SUBSTITUTE(C34,"R",""),"A",""),TblJoistSize!$A:$A,1,FALSE)),FALSE,TRUE),TRUE)))</f>
        <v>0</v>
      </c>
      <c r="AQ34" s="1038" t="e">
        <f t="shared" si="39"/>
        <v>#N/A</v>
      </c>
      <c r="AR34" s="945" t="b">
        <f t="shared" si="40"/>
        <v>0</v>
      </c>
      <c r="AS34" s="1038" t="e">
        <f t="shared" si="41"/>
        <v>#N/A</v>
      </c>
      <c r="AT34" s="945" t="b">
        <f t="shared" si="42"/>
        <v>0</v>
      </c>
      <c r="AU34" s="946" t="str">
        <f t="shared" si="43"/>
        <v/>
      </c>
      <c r="AV34" s="830" t="str">
        <f t="shared" si="44"/>
        <v/>
      </c>
      <c r="AW34" s="830" t="str">
        <f t="shared" si="45"/>
        <v/>
      </c>
      <c r="AX34" s="830" t="str">
        <f t="shared" si="123"/>
        <v/>
      </c>
      <c r="AY34" s="1039" t="b">
        <f t="shared" si="46"/>
        <v>0</v>
      </c>
      <c r="AZ34" s="856" t="str">
        <f t="shared" si="47"/>
        <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48"/>
        <v/>
      </c>
      <c r="BR34" s="910"/>
      <c r="BS34" s="672"/>
      <c r="BT34" s="713"/>
      <c r="BU34" s="714"/>
      <c r="BV34" s="1625"/>
      <c r="BW34" s="713"/>
      <c r="BX34" s="714"/>
      <c r="BY34" s="715"/>
      <c r="BZ34" s="716"/>
      <c r="CA34" s="680" t="str">
        <f>IF(ISERROR(DE34),"",IF(DE34="","",IF(VLOOKUP(BS34,SectInfo!$B:$N,10,FALSE)="","","X")))</f>
        <v/>
      </c>
      <c r="CB34" s="738"/>
      <c r="CC34" s="1551" t="str">
        <f t="shared" si="49"/>
        <v/>
      </c>
      <c r="CD34" s="910"/>
      <c r="CE34" s="717"/>
      <c r="CF34" s="736"/>
      <c r="CG34" s="737"/>
      <c r="CH34" s="591" t="str">
        <f t="shared" si="50"/>
        <v/>
      </c>
      <c r="CI34" s="592" t="str">
        <f t="shared" si="51"/>
        <v/>
      </c>
      <c r="CJ34" s="593" t="str">
        <f t="shared" si="52"/>
        <v/>
      </c>
      <c r="CK34" s="594" t="str">
        <f t="shared" si="53"/>
        <v/>
      </c>
      <c r="CL34" s="595" t="str">
        <f t="shared" si="54"/>
        <v/>
      </c>
      <c r="CM34" s="596" t="str">
        <f t="shared" si="55"/>
        <v/>
      </c>
      <c r="CN34" s="597" t="str">
        <f t="shared" si="56"/>
        <v/>
      </c>
      <c r="CO34" s="598" t="str">
        <f t="shared" si="57"/>
        <v/>
      </c>
      <c r="CP34" s="615" t="str">
        <f t="shared" si="58"/>
        <v/>
      </c>
      <c r="CQ34" s="616" t="str">
        <f t="shared" si="59"/>
        <v/>
      </c>
      <c r="CR34" s="750" t="str">
        <f t="shared" si="60"/>
        <v/>
      </c>
      <c r="CS34" s="751" t="str">
        <f t="shared" si="61"/>
        <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62"/>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63"/>
        <v>0</v>
      </c>
      <c r="DO34" s="818">
        <f t="shared" si="64"/>
        <v>0</v>
      </c>
      <c r="DP34" s="822" t="str">
        <f t="shared" si="65"/>
        <v/>
      </c>
      <c r="DQ34" s="822" t="str">
        <f t="shared" si="66"/>
        <v/>
      </c>
      <c r="DR34" s="822" t="str">
        <f t="shared" si="67"/>
        <v/>
      </c>
      <c r="DS34" s="821">
        <f t="shared" si="68"/>
        <v>0</v>
      </c>
      <c r="DT34" s="821">
        <f t="shared" si="69"/>
        <v>0</v>
      </c>
      <c r="DU34" s="821" t="str">
        <f t="shared" si="70"/>
        <v/>
      </c>
      <c r="DV34" s="822" t="str">
        <f t="shared" si="71"/>
        <v/>
      </c>
      <c r="DW34" s="856" t="str">
        <f t="shared" si="72"/>
        <v/>
      </c>
      <c r="DX34" s="1006">
        <f t="shared" si="73"/>
        <v>0</v>
      </c>
      <c r="DY34" s="822">
        <f t="shared" si="74"/>
        <v>0</v>
      </c>
      <c r="DZ34" s="821">
        <f t="shared" si="75"/>
        <v>0</v>
      </c>
      <c r="EA34" s="821" t="str">
        <f t="shared" si="76"/>
        <v/>
      </c>
      <c r="EB34" s="822" t="str">
        <f t="shared" si="77"/>
        <v/>
      </c>
      <c r="EC34" s="856" t="str">
        <f t="shared" si="78"/>
        <v/>
      </c>
      <c r="ED34" s="1006">
        <f t="shared" si="79"/>
        <v>0</v>
      </c>
      <c r="EE34" s="1293" t="str">
        <f t="shared" si="80"/>
        <v/>
      </c>
      <c r="EF34" s="1293" t="str">
        <f t="shared" si="81"/>
        <v/>
      </c>
      <c r="EG34" s="1293" t="str">
        <f t="shared" si="82"/>
        <v/>
      </c>
      <c r="EH34" s="856" t="e">
        <f t="shared" si="83"/>
        <v>#N/A</v>
      </c>
      <c r="EI34" s="856" t="e">
        <f t="shared" si="84"/>
        <v>#N/A</v>
      </c>
      <c r="EJ34" s="822" t="str">
        <f t="shared" si="85"/>
        <v/>
      </c>
      <c r="EK34" s="822" t="str">
        <f t="shared" si="85"/>
        <v/>
      </c>
      <c r="EL34" s="1293" t="str">
        <f t="shared" si="86"/>
        <v/>
      </c>
      <c r="EM34" s="822" t="str">
        <f t="shared" si="87"/>
        <v/>
      </c>
      <c r="EN34" s="822" t="str">
        <f t="shared" si="88"/>
        <v/>
      </c>
      <c r="EO34" s="856" t="e">
        <f t="shared" si="89"/>
        <v>#N/A</v>
      </c>
      <c r="EP34" s="856" t="e">
        <f t="shared" si="90"/>
        <v>#N/A</v>
      </c>
      <c r="EQ34" s="1293" t="str">
        <f t="shared" si="91"/>
        <v/>
      </c>
      <c r="ER34" s="822" t="str">
        <f t="shared" si="91"/>
        <v/>
      </c>
      <c r="ES34" s="822" t="str">
        <f t="shared" si="92"/>
        <v/>
      </c>
      <c r="ET34" s="822" t="str">
        <f t="shared" si="93"/>
        <v/>
      </c>
      <c r="EU34" s="829" t="str">
        <f t="shared" si="94"/>
        <v/>
      </c>
      <c r="EV34" s="824" t="str">
        <f t="shared" si="95"/>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96"/>
        <v/>
      </c>
      <c r="FA34" s="829" t="str">
        <f>IF(AND(DE34="G", ISBLANK(BW34), ISBLANK(BX34)),VLOOKUP(MIN(BT34:BU34),TblJoistSize!$M$3:$N$10,2),IF(OR(DE34="B", DE34="G"),MIN(BW34:BX34),""))</f>
        <v/>
      </c>
      <c r="FB34" s="829" t="str">
        <f>IF(AND(DE34="G", ISBLANK(BW34), ISBLANK(BX34)),VLOOKUP(MAX(BT34:BU34),TblJoistSize!$M$3:$N$10,2),IF(OR(DE34="B", DE34="G"),MAX(BW34:BX34),""))</f>
        <v/>
      </c>
      <c r="FC34" s="829" t="str">
        <f t="shared" si="97"/>
        <v/>
      </c>
      <c r="FD34" s="821">
        <f t="shared" si="124"/>
        <v>0</v>
      </c>
      <c r="FE34" s="821">
        <f t="shared" si="98"/>
        <v>0</v>
      </c>
      <c r="FF34" s="821">
        <f t="shared" si="99"/>
        <v>0</v>
      </c>
      <c r="FG34" s="821" t="str">
        <f t="shared" si="100"/>
        <v/>
      </c>
      <c r="FH34" s="822" t="str">
        <f t="shared" si="101"/>
        <v/>
      </c>
      <c r="FI34" s="821">
        <f t="shared" si="125"/>
        <v>0</v>
      </c>
      <c r="FJ34" s="821">
        <f t="shared" si="102"/>
        <v>0</v>
      </c>
      <c r="FK34" s="821">
        <f t="shared" si="103"/>
        <v>0</v>
      </c>
      <c r="FL34" s="821" t="str">
        <f t="shared" si="104"/>
        <v/>
      </c>
      <c r="FM34" s="822" t="str">
        <f t="shared" si="105"/>
        <v/>
      </c>
      <c r="FN34" s="822" t="e">
        <f t="shared" si="106"/>
        <v>#VALUE!</v>
      </c>
      <c r="FO34" s="940" t="e">
        <f t="shared" si="107"/>
        <v>#VALUE!</v>
      </c>
      <c r="FP34" s="940" t="e">
        <f t="shared" si="108"/>
        <v>#VALUE!</v>
      </c>
      <c r="FQ34" s="830" t="e">
        <f t="shared" si="109"/>
        <v>#VALUE!</v>
      </c>
      <c r="FR34" s="831" t="e">
        <f t="shared" si="110"/>
        <v>#VALUE!</v>
      </c>
      <c r="FS34" s="832" t="str">
        <f t="shared" si="111"/>
        <v/>
      </c>
      <c r="FT34" s="833" t="str">
        <f t="shared" si="112"/>
        <v/>
      </c>
      <c r="FU34" s="870">
        <f t="shared" si="113"/>
        <v>0</v>
      </c>
      <c r="FV34" s="871">
        <f t="shared" si="114"/>
        <v>0</v>
      </c>
      <c r="GA34" s="1791" t="str">
        <f t="shared" si="115"/>
        <v/>
      </c>
      <c r="GB34" s="1792" t="str">
        <f t="shared" si="116"/>
        <v/>
      </c>
      <c r="GC34" s="1793" t="str">
        <f t="shared" si="117"/>
        <v/>
      </c>
      <c r="GD34" s="1794" t="str">
        <f t="shared" si="118"/>
        <v/>
      </c>
      <c r="GE34" s="1795" t="str">
        <f t="shared" si="119"/>
        <v/>
      </c>
      <c r="GF34" s="600" t="str">
        <f t="shared" si="120"/>
        <v/>
      </c>
      <c r="GG34" s="1130"/>
      <c r="GH34" s="1131"/>
      <c r="GI34" s="1130"/>
      <c r="GJ34" s="1131"/>
      <c r="GK34" s="1638">
        <f t="shared" si="121"/>
        <v>0</v>
      </c>
      <c r="GL34" s="1636" t="e">
        <f t="shared" si="122"/>
        <v>#VALUE!</v>
      </c>
      <c r="GM34" s="1637" t="e">
        <f>IF(ABS(GK34-GL34)&gt;='Job Info.'!$L$22,ABS(GK34-GL34),0)</f>
        <v>#VALUE!</v>
      </c>
      <c r="HA34" s="1269"/>
      <c r="HB34" s="1270"/>
      <c r="HC34" s="1270"/>
      <c r="HD34" s="1271"/>
      <c r="HE34" s="1272"/>
      <c r="HF34" s="1270"/>
      <c r="HG34" s="1270"/>
      <c r="HH34" s="1270"/>
      <c r="HI34" s="1273"/>
      <c r="HJ34" s="1270"/>
      <c r="HK34" s="1270"/>
      <c r="HL34" s="1270"/>
      <c r="HM34" s="1270"/>
      <c r="HN34" s="1270"/>
      <c r="HO34" s="1270"/>
      <c r="HP34" s="1270"/>
      <c r="HQ34" s="1273"/>
      <c r="HR34" s="1270"/>
      <c r="HS34" s="1270"/>
      <c r="HT34" s="1270"/>
      <c r="HU34" s="1270"/>
      <c r="HV34" s="1270"/>
      <c r="HW34" s="1272"/>
      <c r="HX34" s="1272"/>
      <c r="HY34" s="1272"/>
      <c r="HZ34" s="1272"/>
      <c r="IA34" s="1272"/>
      <c r="IB34" s="1272"/>
      <c r="IC34" s="1272"/>
      <c r="ID34" s="1272"/>
      <c r="IE34" s="1272"/>
      <c r="IF34" s="1274"/>
    </row>
    <row r="35" spans="1:240" ht="12.6" customHeight="1" x14ac:dyDescent="0.25">
      <c r="A35" s="1448" t="str">
        <f t="shared" si="1"/>
        <v/>
      </c>
      <c r="B35" s="1681" t="str">
        <f t="shared" si="2"/>
        <v/>
      </c>
      <c r="C35" s="1449" t="str">
        <f t="shared" si="3"/>
        <v/>
      </c>
      <c r="D35" s="1705" t="str">
        <f t="shared" si="4"/>
        <v/>
      </c>
      <c r="E35" s="1706" t="str">
        <f t="shared" si="5"/>
        <v/>
      </c>
      <c r="F35" s="1714" t="str">
        <f t="shared" si="6"/>
        <v/>
      </c>
      <c r="G35" s="1709" t="str">
        <f t="shared" si="7"/>
        <v/>
      </c>
      <c r="H35" s="1779" t="str">
        <f t="shared" si="8"/>
        <v/>
      </c>
      <c r="I35" s="1705" t="str">
        <f t="shared" si="9"/>
        <v/>
      </c>
      <c r="J35" s="1709" t="str">
        <f t="shared" si="10"/>
        <v/>
      </c>
      <c r="K35" s="1796" t="str">
        <f t="shared" si="11"/>
        <v/>
      </c>
      <c r="L35" s="1712" t="str">
        <f t="shared" si="12"/>
        <v/>
      </c>
      <c r="M35" s="1713" t="str">
        <f t="shared" si="13"/>
        <v/>
      </c>
      <c r="N35" s="1708" t="str">
        <f t="shared" si="14"/>
        <v/>
      </c>
      <c r="O35" s="1709" t="str">
        <f t="shared" si="15"/>
        <v/>
      </c>
      <c r="P35" s="1710" t="str">
        <f t="shared" si="16"/>
        <v/>
      </c>
      <c r="Q35" s="1705" t="str">
        <f t="shared" si="17"/>
        <v/>
      </c>
      <c r="R35" s="1709" t="str">
        <f t="shared" si="18"/>
        <v/>
      </c>
      <c r="S35" s="1711" t="str">
        <f t="shared" si="19"/>
        <v/>
      </c>
      <c r="T35" s="1714" t="str">
        <f t="shared" si="20"/>
        <v/>
      </c>
      <c r="U35" s="1709" t="str">
        <f t="shared" si="21"/>
        <v/>
      </c>
      <c r="V35" s="1705" t="str">
        <f t="shared" si="22"/>
        <v/>
      </c>
      <c r="W35" s="1709" t="str">
        <f t="shared" si="23"/>
        <v/>
      </c>
      <c r="X35" s="1713">
        <f t="shared" si="24"/>
        <v>0</v>
      </c>
      <c r="Y35" s="1781" t="str">
        <f t="shared" si="25"/>
        <v/>
      </c>
      <c r="Z35" s="1782" t="str">
        <f t="shared" si="26"/>
        <v/>
      </c>
      <c r="AA35" s="1783" t="str">
        <f t="shared" si="27"/>
        <v/>
      </c>
      <c r="AB35" s="1413"/>
      <c r="AC35" s="964" t="b">
        <v>0</v>
      </c>
      <c r="AD35" s="441">
        <f t="shared" si="28"/>
        <v>0</v>
      </c>
      <c r="AE35" s="442">
        <f t="shared" si="29"/>
        <v>0</v>
      </c>
      <c r="AF35" s="442">
        <f t="shared" si="30"/>
        <v>0</v>
      </c>
      <c r="AG35" s="442">
        <f t="shared" si="31"/>
        <v>0</v>
      </c>
      <c r="AH35" s="443">
        <f t="shared" si="32"/>
        <v>0</v>
      </c>
      <c r="AI35" s="444" t="b">
        <v>0</v>
      </c>
      <c r="AJ35" s="238">
        <f t="shared" si="33"/>
        <v>0</v>
      </c>
      <c r="AK35" s="830" t="str">
        <f t="shared" si="34"/>
        <v/>
      </c>
      <c r="AL35" s="945" t="str">
        <f t="shared" si="35"/>
        <v/>
      </c>
      <c r="AM35" s="830" t="str">
        <f t="shared" si="36"/>
        <v/>
      </c>
      <c r="AN35" s="830" t="str">
        <f t="shared" si="37"/>
        <v/>
      </c>
      <c r="AO35" s="830" t="str">
        <f t="shared" si="38"/>
        <v/>
      </c>
      <c r="AP35" s="830" t="b">
        <f>IF(ISERROR(AJ35),FALSE,IF(OR(AJ35=0,ISERROR(AL35),ISERROR(AM35),ISERROR(AN35),ISERROR(AO35)),FALSE,IF(AL35&lt;&gt;"",IF(ISERROR(VLOOKUP(SUBSTITUTE(SUBSTITUTE(C35,"R",""),"A",""),TblJoistSize!$A:$A,1,FALSE)),FALSE,TRUE),TRUE)))</f>
        <v>0</v>
      </c>
      <c r="AQ35" s="1038" t="e">
        <f t="shared" si="39"/>
        <v>#N/A</v>
      </c>
      <c r="AR35" s="945" t="b">
        <f t="shared" si="40"/>
        <v>0</v>
      </c>
      <c r="AS35" s="1038" t="e">
        <f t="shared" si="41"/>
        <v>#N/A</v>
      </c>
      <c r="AT35" s="945" t="b">
        <f t="shared" si="42"/>
        <v>0</v>
      </c>
      <c r="AU35" s="946" t="str">
        <f t="shared" si="43"/>
        <v/>
      </c>
      <c r="AV35" s="830" t="str">
        <f t="shared" si="44"/>
        <v/>
      </c>
      <c r="AW35" s="830" t="str">
        <f t="shared" si="45"/>
        <v/>
      </c>
      <c r="AX35" s="830" t="str">
        <f t="shared" si="123"/>
        <v/>
      </c>
      <c r="AY35" s="1039" t="b">
        <f t="shared" si="46"/>
        <v>0</v>
      </c>
      <c r="AZ35" s="856" t="str">
        <f t="shared" si="47"/>
        <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48"/>
        <v/>
      </c>
      <c r="BR35" s="910"/>
      <c r="BS35" s="672"/>
      <c r="BT35" s="713"/>
      <c r="BU35" s="714"/>
      <c r="BV35" s="1625"/>
      <c r="BW35" s="713"/>
      <c r="BX35" s="714"/>
      <c r="BY35" s="715"/>
      <c r="BZ35" s="716"/>
      <c r="CA35" s="680" t="str">
        <f>IF(ISERROR(DE35),"",IF(DE35="","",IF(VLOOKUP(BS35,SectInfo!$B:$N,10,FALSE)="","","X")))</f>
        <v/>
      </c>
      <c r="CB35" s="738"/>
      <c r="CC35" s="1551" t="str">
        <f t="shared" si="49"/>
        <v/>
      </c>
      <c r="CD35" s="910"/>
      <c r="CE35" s="717"/>
      <c r="CF35" s="736"/>
      <c r="CG35" s="737"/>
      <c r="CH35" s="591" t="str">
        <f t="shared" si="50"/>
        <v/>
      </c>
      <c r="CI35" s="592" t="str">
        <f t="shared" si="51"/>
        <v/>
      </c>
      <c r="CJ35" s="593" t="str">
        <f t="shared" si="52"/>
        <v/>
      </c>
      <c r="CK35" s="594" t="str">
        <f t="shared" si="53"/>
        <v/>
      </c>
      <c r="CL35" s="595" t="str">
        <f t="shared" si="54"/>
        <v/>
      </c>
      <c r="CM35" s="596" t="str">
        <f t="shared" si="55"/>
        <v/>
      </c>
      <c r="CN35" s="597" t="str">
        <f t="shared" si="56"/>
        <v/>
      </c>
      <c r="CO35" s="598" t="str">
        <f t="shared" si="57"/>
        <v/>
      </c>
      <c r="CP35" s="615" t="str">
        <f t="shared" si="58"/>
        <v/>
      </c>
      <c r="CQ35" s="616" t="str">
        <f t="shared" si="59"/>
        <v/>
      </c>
      <c r="CR35" s="750" t="str">
        <f t="shared" si="60"/>
        <v/>
      </c>
      <c r="CS35" s="751" t="str">
        <f t="shared" si="61"/>
        <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62"/>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63"/>
        <v>0</v>
      </c>
      <c r="DO35" s="818">
        <f t="shared" si="64"/>
        <v>0</v>
      </c>
      <c r="DP35" s="822" t="str">
        <f t="shared" si="65"/>
        <v/>
      </c>
      <c r="DQ35" s="822" t="str">
        <f t="shared" si="66"/>
        <v/>
      </c>
      <c r="DR35" s="822" t="str">
        <f t="shared" si="67"/>
        <v/>
      </c>
      <c r="DS35" s="821">
        <f t="shared" si="68"/>
        <v>0</v>
      </c>
      <c r="DT35" s="821">
        <f t="shared" si="69"/>
        <v>0</v>
      </c>
      <c r="DU35" s="821" t="str">
        <f t="shared" si="70"/>
        <v/>
      </c>
      <c r="DV35" s="822" t="str">
        <f t="shared" si="71"/>
        <v/>
      </c>
      <c r="DW35" s="856" t="str">
        <f t="shared" si="72"/>
        <v/>
      </c>
      <c r="DX35" s="1006">
        <f t="shared" si="73"/>
        <v>0</v>
      </c>
      <c r="DY35" s="822">
        <f t="shared" si="74"/>
        <v>0</v>
      </c>
      <c r="DZ35" s="821">
        <f t="shared" si="75"/>
        <v>0</v>
      </c>
      <c r="EA35" s="821" t="str">
        <f t="shared" si="76"/>
        <v/>
      </c>
      <c r="EB35" s="822" t="str">
        <f t="shared" si="77"/>
        <v/>
      </c>
      <c r="EC35" s="856" t="str">
        <f t="shared" si="78"/>
        <v/>
      </c>
      <c r="ED35" s="1006">
        <f t="shared" si="79"/>
        <v>0</v>
      </c>
      <c r="EE35" s="1293" t="str">
        <f t="shared" si="80"/>
        <v/>
      </c>
      <c r="EF35" s="1293" t="str">
        <f t="shared" si="81"/>
        <v/>
      </c>
      <c r="EG35" s="1293" t="str">
        <f t="shared" si="82"/>
        <v/>
      </c>
      <c r="EH35" s="856" t="e">
        <f t="shared" si="83"/>
        <v>#N/A</v>
      </c>
      <c r="EI35" s="856" t="e">
        <f t="shared" si="84"/>
        <v>#N/A</v>
      </c>
      <c r="EJ35" s="822" t="str">
        <f t="shared" si="85"/>
        <v/>
      </c>
      <c r="EK35" s="822" t="str">
        <f t="shared" si="85"/>
        <v/>
      </c>
      <c r="EL35" s="1293" t="str">
        <f t="shared" si="86"/>
        <v/>
      </c>
      <c r="EM35" s="822" t="str">
        <f t="shared" si="87"/>
        <v/>
      </c>
      <c r="EN35" s="822" t="str">
        <f t="shared" si="88"/>
        <v/>
      </c>
      <c r="EO35" s="856" t="e">
        <f t="shared" si="89"/>
        <v>#N/A</v>
      </c>
      <c r="EP35" s="856" t="e">
        <f t="shared" si="90"/>
        <v>#N/A</v>
      </c>
      <c r="EQ35" s="1293" t="str">
        <f t="shared" si="91"/>
        <v/>
      </c>
      <c r="ER35" s="822" t="str">
        <f t="shared" si="91"/>
        <v/>
      </c>
      <c r="ES35" s="822" t="str">
        <f t="shared" si="92"/>
        <v/>
      </c>
      <c r="ET35" s="822" t="str">
        <f t="shared" si="93"/>
        <v/>
      </c>
      <c r="EU35" s="829" t="str">
        <f t="shared" si="94"/>
        <v/>
      </c>
      <c r="EV35" s="824" t="str">
        <f t="shared" si="95"/>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96"/>
        <v/>
      </c>
      <c r="FA35" s="829" t="str">
        <f>IF(AND(DE35="G", ISBLANK(BW35), ISBLANK(BX35)),VLOOKUP(MIN(BT35:BU35),TblJoistSize!$M$3:$N$10,2),IF(OR(DE35="B", DE35="G"),MIN(BW35:BX35),""))</f>
        <v/>
      </c>
      <c r="FB35" s="829" t="str">
        <f>IF(AND(DE35="G", ISBLANK(BW35), ISBLANK(BX35)),VLOOKUP(MAX(BT35:BU35),TblJoistSize!$M$3:$N$10,2),IF(OR(DE35="B", DE35="G"),MAX(BW35:BX35),""))</f>
        <v/>
      </c>
      <c r="FC35" s="829" t="str">
        <f t="shared" si="97"/>
        <v/>
      </c>
      <c r="FD35" s="821">
        <f t="shared" si="124"/>
        <v>0</v>
      </c>
      <c r="FE35" s="821">
        <f t="shared" si="98"/>
        <v>0</v>
      </c>
      <c r="FF35" s="821">
        <f t="shared" si="99"/>
        <v>0</v>
      </c>
      <c r="FG35" s="821" t="str">
        <f t="shared" si="100"/>
        <v/>
      </c>
      <c r="FH35" s="822" t="str">
        <f t="shared" si="101"/>
        <v/>
      </c>
      <c r="FI35" s="821">
        <f t="shared" si="125"/>
        <v>0</v>
      </c>
      <c r="FJ35" s="821">
        <f t="shared" si="102"/>
        <v>0</v>
      </c>
      <c r="FK35" s="821">
        <f t="shared" si="103"/>
        <v>0</v>
      </c>
      <c r="FL35" s="821" t="str">
        <f t="shared" si="104"/>
        <v/>
      </c>
      <c r="FM35" s="822" t="str">
        <f t="shared" si="105"/>
        <v/>
      </c>
      <c r="FN35" s="822" t="e">
        <f t="shared" si="106"/>
        <v>#VALUE!</v>
      </c>
      <c r="FO35" s="940" t="e">
        <f t="shared" si="107"/>
        <v>#VALUE!</v>
      </c>
      <c r="FP35" s="940" t="e">
        <f t="shared" si="108"/>
        <v>#VALUE!</v>
      </c>
      <c r="FQ35" s="830" t="e">
        <f t="shared" si="109"/>
        <v>#VALUE!</v>
      </c>
      <c r="FR35" s="831" t="e">
        <f t="shared" si="110"/>
        <v>#VALUE!</v>
      </c>
      <c r="FS35" s="832" t="str">
        <f t="shared" si="111"/>
        <v/>
      </c>
      <c r="FT35" s="833" t="str">
        <f t="shared" si="112"/>
        <v/>
      </c>
      <c r="FU35" s="870">
        <f t="shared" si="113"/>
        <v>0</v>
      </c>
      <c r="FV35" s="871">
        <f t="shared" si="114"/>
        <v>0</v>
      </c>
      <c r="GA35" s="1791" t="str">
        <f t="shared" si="115"/>
        <v/>
      </c>
      <c r="GB35" s="1792" t="str">
        <f t="shared" si="116"/>
        <v/>
      </c>
      <c r="GC35" s="1793" t="str">
        <f t="shared" si="117"/>
        <v/>
      </c>
      <c r="GD35" s="1794" t="str">
        <f t="shared" si="118"/>
        <v/>
      </c>
      <c r="GE35" s="1795" t="str">
        <f t="shared" si="119"/>
        <v/>
      </c>
      <c r="GF35" s="600" t="str">
        <f t="shared" si="120"/>
        <v/>
      </c>
      <c r="GG35" s="1130"/>
      <c r="GH35" s="1131"/>
      <c r="GI35" s="1130"/>
      <c r="GJ35" s="1131"/>
      <c r="GK35" s="1638">
        <f t="shared" si="121"/>
        <v>0</v>
      </c>
      <c r="GL35" s="1636" t="e">
        <f t="shared" si="122"/>
        <v>#VALUE!</v>
      </c>
      <c r="GM35" s="1637" t="e">
        <f>IF(ABS(GK35-GL35)&gt;='Job Info.'!$L$22,ABS(GK35-GL35),0)</f>
        <v>#VALUE!</v>
      </c>
      <c r="HA35" s="1269"/>
      <c r="HB35" s="1270"/>
      <c r="HC35" s="1270"/>
      <c r="HD35" s="1271"/>
      <c r="HE35" s="1272"/>
      <c r="HF35" s="1270"/>
      <c r="HG35" s="1270"/>
      <c r="HH35" s="1270"/>
      <c r="HI35" s="1273"/>
      <c r="HJ35" s="1270"/>
      <c r="HK35" s="1270"/>
      <c r="HL35" s="1270"/>
      <c r="HM35" s="1270"/>
      <c r="HN35" s="1270"/>
      <c r="HO35" s="1270"/>
      <c r="HP35" s="1270"/>
      <c r="HQ35" s="1273"/>
      <c r="HR35" s="1270"/>
      <c r="HS35" s="1270"/>
      <c r="HT35" s="1270"/>
      <c r="HU35" s="1270"/>
      <c r="HV35" s="1270"/>
      <c r="HW35" s="1272"/>
      <c r="HX35" s="1272"/>
      <c r="HY35" s="1272"/>
      <c r="HZ35" s="1272"/>
      <c r="IA35" s="1272"/>
      <c r="IB35" s="1272"/>
      <c r="IC35" s="1272"/>
      <c r="ID35" s="1272"/>
      <c r="IE35" s="1272"/>
      <c r="IF35" s="1274"/>
    </row>
    <row r="36" spans="1:240" ht="12.6" customHeight="1" x14ac:dyDescent="0.25">
      <c r="A36" s="1448" t="str">
        <f t="shared" si="1"/>
        <v/>
      </c>
      <c r="B36" s="1681" t="str">
        <f t="shared" si="2"/>
        <v/>
      </c>
      <c r="C36" s="1449" t="str">
        <f t="shared" si="3"/>
        <v/>
      </c>
      <c r="D36" s="1705" t="str">
        <f t="shared" si="4"/>
        <v/>
      </c>
      <c r="E36" s="1706" t="str">
        <f t="shared" si="5"/>
        <v/>
      </c>
      <c r="F36" s="1714" t="str">
        <f t="shared" si="6"/>
        <v/>
      </c>
      <c r="G36" s="1709" t="str">
        <f t="shared" si="7"/>
        <v/>
      </c>
      <c r="H36" s="1779" t="str">
        <f t="shared" si="8"/>
        <v/>
      </c>
      <c r="I36" s="1705" t="str">
        <f t="shared" si="9"/>
        <v/>
      </c>
      <c r="J36" s="1709" t="str">
        <f t="shared" si="10"/>
        <v/>
      </c>
      <c r="K36" s="1796" t="str">
        <f t="shared" si="11"/>
        <v/>
      </c>
      <c r="L36" s="1712" t="str">
        <f t="shared" si="12"/>
        <v/>
      </c>
      <c r="M36" s="1713" t="str">
        <f t="shared" si="13"/>
        <v/>
      </c>
      <c r="N36" s="1708" t="str">
        <f t="shared" si="14"/>
        <v/>
      </c>
      <c r="O36" s="1709" t="str">
        <f t="shared" si="15"/>
        <v/>
      </c>
      <c r="P36" s="1710" t="str">
        <f t="shared" si="16"/>
        <v/>
      </c>
      <c r="Q36" s="1705" t="str">
        <f t="shared" si="17"/>
        <v/>
      </c>
      <c r="R36" s="1709" t="str">
        <f t="shared" si="18"/>
        <v/>
      </c>
      <c r="S36" s="1711" t="str">
        <f t="shared" si="19"/>
        <v/>
      </c>
      <c r="T36" s="1714" t="str">
        <f t="shared" si="20"/>
        <v/>
      </c>
      <c r="U36" s="1709" t="str">
        <f t="shared" si="21"/>
        <v/>
      </c>
      <c r="V36" s="1705" t="str">
        <f t="shared" si="22"/>
        <v/>
      </c>
      <c r="W36" s="1709" t="str">
        <f t="shared" si="23"/>
        <v/>
      </c>
      <c r="X36" s="1713">
        <f t="shared" si="24"/>
        <v>0</v>
      </c>
      <c r="Y36" s="1781" t="str">
        <f t="shared" si="25"/>
        <v/>
      </c>
      <c r="Z36" s="1782" t="str">
        <f t="shared" si="26"/>
        <v/>
      </c>
      <c r="AA36" s="1783" t="str">
        <f t="shared" si="27"/>
        <v/>
      </c>
      <c r="AB36" s="1413"/>
      <c r="AC36" s="964" t="b">
        <v>0</v>
      </c>
      <c r="AD36" s="441">
        <f t="shared" si="28"/>
        <v>0</v>
      </c>
      <c r="AE36" s="442">
        <f t="shared" si="29"/>
        <v>0</v>
      </c>
      <c r="AF36" s="442">
        <f t="shared" si="30"/>
        <v>0</v>
      </c>
      <c r="AG36" s="442">
        <f t="shared" si="31"/>
        <v>0</v>
      </c>
      <c r="AH36" s="443">
        <f t="shared" si="32"/>
        <v>0</v>
      </c>
      <c r="AI36" s="444" t="b">
        <v>0</v>
      </c>
      <c r="AJ36" s="238">
        <f t="shared" si="33"/>
        <v>0</v>
      </c>
      <c r="AK36" s="830" t="str">
        <f t="shared" si="34"/>
        <v/>
      </c>
      <c r="AL36" s="945" t="str">
        <f t="shared" si="35"/>
        <v/>
      </c>
      <c r="AM36" s="830" t="str">
        <f t="shared" si="36"/>
        <v/>
      </c>
      <c r="AN36" s="830" t="str">
        <f t="shared" si="37"/>
        <v/>
      </c>
      <c r="AO36" s="830" t="str">
        <f t="shared" si="38"/>
        <v/>
      </c>
      <c r="AP36" s="830" t="b">
        <f>IF(ISERROR(AJ36),FALSE,IF(OR(AJ36=0,ISERROR(AL36),ISERROR(AM36),ISERROR(AN36),ISERROR(AO36)),FALSE,IF(AL36&lt;&gt;"",IF(ISERROR(VLOOKUP(SUBSTITUTE(SUBSTITUTE(C36,"R",""),"A",""),TblJoistSize!$A:$A,1,FALSE)),FALSE,TRUE),TRUE)))</f>
        <v>0</v>
      </c>
      <c r="AQ36" s="1038" t="e">
        <f t="shared" si="39"/>
        <v>#N/A</v>
      </c>
      <c r="AR36" s="945" t="b">
        <f t="shared" si="40"/>
        <v>0</v>
      </c>
      <c r="AS36" s="1038" t="e">
        <f t="shared" si="41"/>
        <v>#N/A</v>
      </c>
      <c r="AT36" s="945" t="b">
        <f t="shared" si="42"/>
        <v>0</v>
      </c>
      <c r="AU36" s="946" t="str">
        <f t="shared" si="43"/>
        <v/>
      </c>
      <c r="AV36" s="830" t="str">
        <f t="shared" si="44"/>
        <v/>
      </c>
      <c r="AW36" s="830" t="str">
        <f t="shared" si="45"/>
        <v/>
      </c>
      <c r="AX36" s="830" t="str">
        <f t="shared" si="123"/>
        <v/>
      </c>
      <c r="AY36" s="1039" t="b">
        <f t="shared" si="46"/>
        <v>0</v>
      </c>
      <c r="AZ36" s="856" t="str">
        <f t="shared" si="47"/>
        <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48"/>
        <v/>
      </c>
      <c r="BR36" s="910"/>
      <c r="BS36" s="672"/>
      <c r="BT36" s="713"/>
      <c r="BU36" s="714"/>
      <c r="BV36" s="1625"/>
      <c r="BW36" s="713"/>
      <c r="BX36" s="714"/>
      <c r="BY36" s="715"/>
      <c r="BZ36" s="716"/>
      <c r="CA36" s="680" t="str">
        <f>IF(ISERROR(DE36),"",IF(DE36="","",IF(VLOOKUP(BS36,SectInfo!$B:$N,10,FALSE)="","","X")))</f>
        <v/>
      </c>
      <c r="CB36" s="738"/>
      <c r="CC36" s="1551" t="str">
        <f t="shared" si="49"/>
        <v/>
      </c>
      <c r="CD36" s="910"/>
      <c r="CE36" s="717"/>
      <c r="CF36" s="736"/>
      <c r="CG36" s="737"/>
      <c r="CH36" s="591" t="str">
        <f t="shared" si="50"/>
        <v/>
      </c>
      <c r="CI36" s="592" t="str">
        <f t="shared" si="51"/>
        <v/>
      </c>
      <c r="CJ36" s="593" t="str">
        <f t="shared" si="52"/>
        <v/>
      </c>
      <c r="CK36" s="594" t="str">
        <f t="shared" si="53"/>
        <v/>
      </c>
      <c r="CL36" s="595" t="str">
        <f t="shared" si="54"/>
        <v/>
      </c>
      <c r="CM36" s="596" t="str">
        <f t="shared" si="55"/>
        <v/>
      </c>
      <c r="CN36" s="597" t="str">
        <f t="shared" si="56"/>
        <v/>
      </c>
      <c r="CO36" s="598" t="str">
        <f t="shared" si="57"/>
        <v/>
      </c>
      <c r="CP36" s="615" t="str">
        <f t="shared" si="58"/>
        <v/>
      </c>
      <c r="CQ36" s="616" t="str">
        <f t="shared" si="59"/>
        <v/>
      </c>
      <c r="CR36" s="750" t="str">
        <f t="shared" si="60"/>
        <v/>
      </c>
      <c r="CS36" s="751" t="str">
        <f t="shared" si="61"/>
        <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62"/>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63"/>
        <v>0</v>
      </c>
      <c r="DO36" s="818">
        <f t="shared" si="64"/>
        <v>0</v>
      </c>
      <c r="DP36" s="822" t="str">
        <f t="shared" si="65"/>
        <v/>
      </c>
      <c r="DQ36" s="822" t="str">
        <f t="shared" si="66"/>
        <v/>
      </c>
      <c r="DR36" s="822" t="str">
        <f t="shared" si="67"/>
        <v/>
      </c>
      <c r="DS36" s="821">
        <f t="shared" si="68"/>
        <v>0</v>
      </c>
      <c r="DT36" s="821">
        <f t="shared" si="69"/>
        <v>0</v>
      </c>
      <c r="DU36" s="821" t="str">
        <f t="shared" si="70"/>
        <v/>
      </c>
      <c r="DV36" s="822" t="str">
        <f t="shared" si="71"/>
        <v/>
      </c>
      <c r="DW36" s="856" t="str">
        <f t="shared" si="72"/>
        <v/>
      </c>
      <c r="DX36" s="1006">
        <f t="shared" si="73"/>
        <v>0</v>
      </c>
      <c r="DY36" s="822">
        <f t="shared" si="74"/>
        <v>0</v>
      </c>
      <c r="DZ36" s="821">
        <f t="shared" si="75"/>
        <v>0</v>
      </c>
      <c r="EA36" s="821" t="str">
        <f t="shared" si="76"/>
        <v/>
      </c>
      <c r="EB36" s="822" t="str">
        <f t="shared" si="77"/>
        <v/>
      </c>
      <c r="EC36" s="856" t="str">
        <f t="shared" si="78"/>
        <v/>
      </c>
      <c r="ED36" s="1006">
        <f t="shared" si="79"/>
        <v>0</v>
      </c>
      <c r="EE36" s="1293" t="str">
        <f t="shared" si="80"/>
        <v/>
      </c>
      <c r="EF36" s="1293" t="str">
        <f t="shared" si="81"/>
        <v/>
      </c>
      <c r="EG36" s="1293" t="str">
        <f t="shared" si="82"/>
        <v/>
      </c>
      <c r="EH36" s="856" t="e">
        <f t="shared" si="83"/>
        <v>#N/A</v>
      </c>
      <c r="EI36" s="856" t="e">
        <f t="shared" si="84"/>
        <v>#N/A</v>
      </c>
      <c r="EJ36" s="822" t="str">
        <f t="shared" si="85"/>
        <v/>
      </c>
      <c r="EK36" s="822" t="str">
        <f t="shared" si="85"/>
        <v/>
      </c>
      <c r="EL36" s="1293" t="str">
        <f t="shared" si="86"/>
        <v/>
      </c>
      <c r="EM36" s="822" t="str">
        <f t="shared" si="87"/>
        <v/>
      </c>
      <c r="EN36" s="822" t="str">
        <f t="shared" si="88"/>
        <v/>
      </c>
      <c r="EO36" s="856" t="e">
        <f t="shared" si="89"/>
        <v>#N/A</v>
      </c>
      <c r="EP36" s="856" t="e">
        <f t="shared" si="90"/>
        <v>#N/A</v>
      </c>
      <c r="EQ36" s="1293" t="str">
        <f t="shared" si="91"/>
        <v/>
      </c>
      <c r="ER36" s="822" t="str">
        <f t="shared" si="91"/>
        <v/>
      </c>
      <c r="ES36" s="822" t="str">
        <f t="shared" si="92"/>
        <v/>
      </c>
      <c r="ET36" s="822" t="str">
        <f t="shared" si="93"/>
        <v/>
      </c>
      <c r="EU36" s="829" t="str">
        <f t="shared" si="94"/>
        <v/>
      </c>
      <c r="EV36" s="824" t="str">
        <f t="shared" si="95"/>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96"/>
        <v/>
      </c>
      <c r="FA36" s="829" t="str">
        <f>IF(AND(DE36="G", ISBLANK(BW36), ISBLANK(BX36)),VLOOKUP(MIN(BT36:BU36),TblJoistSize!$M$3:$N$10,2),IF(OR(DE36="B", DE36="G"),MIN(BW36:BX36),""))</f>
        <v/>
      </c>
      <c r="FB36" s="829" t="str">
        <f>IF(AND(DE36="G", ISBLANK(BW36), ISBLANK(BX36)),VLOOKUP(MAX(BT36:BU36),TblJoistSize!$M$3:$N$10,2),IF(OR(DE36="B", DE36="G"),MAX(BW36:BX36),""))</f>
        <v/>
      </c>
      <c r="FC36" s="829" t="str">
        <f t="shared" si="97"/>
        <v/>
      </c>
      <c r="FD36" s="821">
        <f t="shared" si="124"/>
        <v>0</v>
      </c>
      <c r="FE36" s="821">
        <f t="shared" si="98"/>
        <v>0</v>
      </c>
      <c r="FF36" s="821">
        <f t="shared" si="99"/>
        <v>0</v>
      </c>
      <c r="FG36" s="821" t="str">
        <f t="shared" si="100"/>
        <v/>
      </c>
      <c r="FH36" s="822" t="str">
        <f t="shared" si="101"/>
        <v/>
      </c>
      <c r="FI36" s="821">
        <f t="shared" si="125"/>
        <v>0</v>
      </c>
      <c r="FJ36" s="821">
        <f t="shared" si="102"/>
        <v>0</v>
      </c>
      <c r="FK36" s="821">
        <f t="shared" si="103"/>
        <v>0</v>
      </c>
      <c r="FL36" s="821" t="str">
        <f t="shared" si="104"/>
        <v/>
      </c>
      <c r="FM36" s="822" t="str">
        <f t="shared" si="105"/>
        <v/>
      </c>
      <c r="FN36" s="822" t="e">
        <f t="shared" si="106"/>
        <v>#VALUE!</v>
      </c>
      <c r="FO36" s="940" t="e">
        <f t="shared" si="107"/>
        <v>#VALUE!</v>
      </c>
      <c r="FP36" s="940" t="e">
        <f t="shared" si="108"/>
        <v>#VALUE!</v>
      </c>
      <c r="FQ36" s="830" t="e">
        <f t="shared" si="109"/>
        <v>#VALUE!</v>
      </c>
      <c r="FR36" s="831" t="e">
        <f t="shared" si="110"/>
        <v>#VALUE!</v>
      </c>
      <c r="FS36" s="832" t="str">
        <f t="shared" si="111"/>
        <v/>
      </c>
      <c r="FT36" s="833" t="str">
        <f t="shared" si="112"/>
        <v/>
      </c>
      <c r="FU36" s="870">
        <f t="shared" si="113"/>
        <v>0</v>
      </c>
      <c r="FV36" s="871">
        <f t="shared" si="114"/>
        <v>0</v>
      </c>
      <c r="GA36" s="1791" t="str">
        <f t="shared" si="115"/>
        <v/>
      </c>
      <c r="GB36" s="1792" t="str">
        <f t="shared" si="116"/>
        <v/>
      </c>
      <c r="GC36" s="1793" t="str">
        <f t="shared" si="117"/>
        <v/>
      </c>
      <c r="GD36" s="1794" t="str">
        <f t="shared" si="118"/>
        <v/>
      </c>
      <c r="GE36" s="1795" t="str">
        <f t="shared" si="119"/>
        <v/>
      </c>
      <c r="GF36" s="600" t="str">
        <f t="shared" si="120"/>
        <v/>
      </c>
      <c r="GG36" s="1130"/>
      <c r="GH36" s="1131"/>
      <c r="GI36" s="1130"/>
      <c r="GJ36" s="1131"/>
      <c r="GK36" s="1638">
        <f t="shared" si="121"/>
        <v>0</v>
      </c>
      <c r="GL36" s="1636" t="e">
        <f t="shared" si="122"/>
        <v>#VALUE!</v>
      </c>
      <c r="GM36" s="1637" t="e">
        <f>IF(ABS(GK36-GL36)&gt;='Job Info.'!$L$22,ABS(GK36-GL36),0)</f>
        <v>#VALUE!</v>
      </c>
      <c r="HA36" s="1269"/>
      <c r="HB36" s="1270"/>
      <c r="HC36" s="1270"/>
      <c r="HD36" s="1271"/>
      <c r="HE36" s="1272"/>
      <c r="HF36" s="1270"/>
      <c r="HG36" s="1270"/>
      <c r="HH36" s="1270"/>
      <c r="HI36" s="1273"/>
      <c r="HJ36" s="1270"/>
      <c r="HK36" s="1270"/>
      <c r="HL36" s="1270"/>
      <c r="HM36" s="1270"/>
      <c r="HN36" s="1270"/>
      <c r="HO36" s="1270"/>
      <c r="HP36" s="1270"/>
      <c r="HQ36" s="1273"/>
      <c r="HR36" s="1270"/>
      <c r="HS36" s="1270"/>
      <c r="HT36" s="1270"/>
      <c r="HU36" s="1270"/>
      <c r="HV36" s="1270"/>
      <c r="HW36" s="1272"/>
      <c r="HX36" s="1272"/>
      <c r="HY36" s="1272"/>
      <c r="HZ36" s="1272"/>
      <c r="IA36" s="1272"/>
      <c r="IB36" s="1272"/>
      <c r="IC36" s="1272"/>
      <c r="ID36" s="1272"/>
      <c r="IE36" s="1272"/>
      <c r="IF36" s="1274"/>
    </row>
    <row r="37" spans="1:240" ht="12.6" customHeight="1" x14ac:dyDescent="0.25">
      <c r="A37" s="1448" t="str">
        <f t="shared" si="1"/>
        <v/>
      </c>
      <c r="B37" s="1681" t="str">
        <f t="shared" si="2"/>
        <v/>
      </c>
      <c r="C37" s="1449" t="str">
        <f t="shared" si="3"/>
        <v/>
      </c>
      <c r="D37" s="1705" t="str">
        <f t="shared" si="4"/>
        <v/>
      </c>
      <c r="E37" s="1706" t="str">
        <f t="shared" si="5"/>
        <v/>
      </c>
      <c r="F37" s="1714" t="str">
        <f t="shared" si="6"/>
        <v/>
      </c>
      <c r="G37" s="1709" t="str">
        <f t="shared" si="7"/>
        <v/>
      </c>
      <c r="H37" s="1779" t="str">
        <f t="shared" si="8"/>
        <v/>
      </c>
      <c r="I37" s="1705" t="str">
        <f t="shared" si="9"/>
        <v/>
      </c>
      <c r="J37" s="1709" t="str">
        <f t="shared" si="10"/>
        <v/>
      </c>
      <c r="K37" s="1796" t="str">
        <f t="shared" si="11"/>
        <v/>
      </c>
      <c r="L37" s="1712" t="str">
        <f t="shared" si="12"/>
        <v/>
      </c>
      <c r="M37" s="1713" t="str">
        <f t="shared" si="13"/>
        <v/>
      </c>
      <c r="N37" s="1708" t="str">
        <f t="shared" si="14"/>
        <v/>
      </c>
      <c r="O37" s="1709" t="str">
        <f t="shared" si="15"/>
        <v/>
      </c>
      <c r="P37" s="1710" t="str">
        <f t="shared" si="16"/>
        <v/>
      </c>
      <c r="Q37" s="1705" t="str">
        <f t="shared" si="17"/>
        <v/>
      </c>
      <c r="R37" s="1709" t="str">
        <f t="shared" si="18"/>
        <v/>
      </c>
      <c r="S37" s="1711" t="str">
        <f t="shared" si="19"/>
        <v/>
      </c>
      <c r="T37" s="1714" t="str">
        <f t="shared" si="20"/>
        <v/>
      </c>
      <c r="U37" s="1709" t="str">
        <f t="shared" si="21"/>
        <v/>
      </c>
      <c r="V37" s="1705" t="str">
        <f t="shared" si="22"/>
        <v/>
      </c>
      <c r="W37" s="1709" t="str">
        <f t="shared" si="23"/>
        <v/>
      </c>
      <c r="X37" s="1713">
        <f t="shared" si="24"/>
        <v>0</v>
      </c>
      <c r="Y37" s="1781" t="str">
        <f t="shared" si="25"/>
        <v/>
      </c>
      <c r="Z37" s="1782" t="str">
        <f t="shared" si="26"/>
        <v/>
      </c>
      <c r="AA37" s="1783" t="str">
        <f t="shared" si="27"/>
        <v/>
      </c>
      <c r="AB37" s="1413"/>
      <c r="AC37" s="964" t="b">
        <v>0</v>
      </c>
      <c r="AD37" s="441">
        <f t="shared" si="28"/>
        <v>0</v>
      </c>
      <c r="AE37" s="442">
        <f t="shared" si="29"/>
        <v>0</v>
      </c>
      <c r="AF37" s="442">
        <f t="shared" si="30"/>
        <v>0</v>
      </c>
      <c r="AG37" s="442">
        <f t="shared" si="31"/>
        <v>0</v>
      </c>
      <c r="AH37" s="443">
        <f t="shared" si="32"/>
        <v>0</v>
      </c>
      <c r="AI37" s="444" t="b">
        <v>0</v>
      </c>
      <c r="AJ37" s="238">
        <f t="shared" si="33"/>
        <v>0</v>
      </c>
      <c r="AK37" s="830" t="str">
        <f t="shared" si="34"/>
        <v/>
      </c>
      <c r="AL37" s="945" t="str">
        <f t="shared" si="35"/>
        <v/>
      </c>
      <c r="AM37" s="830" t="str">
        <f t="shared" si="36"/>
        <v/>
      </c>
      <c r="AN37" s="830" t="str">
        <f t="shared" si="37"/>
        <v/>
      </c>
      <c r="AO37" s="830" t="str">
        <f t="shared" si="38"/>
        <v/>
      </c>
      <c r="AP37" s="830" t="b">
        <f>IF(ISERROR(AJ37),FALSE,IF(OR(AJ37=0,ISERROR(AL37),ISERROR(AM37),ISERROR(AN37),ISERROR(AO37)),FALSE,IF(AL37&lt;&gt;"",IF(ISERROR(VLOOKUP(SUBSTITUTE(SUBSTITUTE(C37,"R",""),"A",""),TblJoistSize!$A:$A,1,FALSE)),FALSE,TRUE),TRUE)))</f>
        <v>0</v>
      </c>
      <c r="AQ37" s="1038" t="e">
        <f t="shared" si="39"/>
        <v>#N/A</v>
      </c>
      <c r="AR37" s="945" t="b">
        <f t="shared" si="40"/>
        <v>0</v>
      </c>
      <c r="AS37" s="1038" t="e">
        <f t="shared" si="41"/>
        <v>#N/A</v>
      </c>
      <c r="AT37" s="945" t="b">
        <f t="shared" si="42"/>
        <v>0</v>
      </c>
      <c r="AU37" s="946" t="str">
        <f t="shared" si="43"/>
        <v/>
      </c>
      <c r="AV37" s="830" t="str">
        <f t="shared" si="44"/>
        <v/>
      </c>
      <c r="AW37" s="830" t="str">
        <f t="shared" si="45"/>
        <v/>
      </c>
      <c r="AX37" s="830" t="str">
        <f t="shared" si="123"/>
        <v/>
      </c>
      <c r="AY37" s="1039" t="b">
        <f t="shared" si="46"/>
        <v>0</v>
      </c>
      <c r="AZ37" s="856" t="str">
        <f t="shared" si="47"/>
        <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48"/>
        <v/>
      </c>
      <c r="BR37" s="910"/>
      <c r="BS37" s="672"/>
      <c r="BT37" s="713"/>
      <c r="BU37" s="714"/>
      <c r="BV37" s="1625"/>
      <c r="BW37" s="713"/>
      <c r="BX37" s="714"/>
      <c r="BY37" s="715"/>
      <c r="BZ37" s="716"/>
      <c r="CA37" s="680" t="str">
        <f>IF(ISERROR(DE37),"",IF(DE37="","",IF(VLOOKUP(BS37,SectInfo!$B:$N,10,FALSE)="","","X")))</f>
        <v/>
      </c>
      <c r="CB37" s="738"/>
      <c r="CC37" s="1551" t="str">
        <f t="shared" si="49"/>
        <v/>
      </c>
      <c r="CD37" s="910"/>
      <c r="CE37" s="717"/>
      <c r="CF37" s="736"/>
      <c r="CG37" s="737"/>
      <c r="CH37" s="591" t="str">
        <f t="shared" si="50"/>
        <v/>
      </c>
      <c r="CI37" s="592" t="str">
        <f t="shared" si="51"/>
        <v/>
      </c>
      <c r="CJ37" s="593" t="str">
        <f t="shared" si="52"/>
        <v/>
      </c>
      <c r="CK37" s="594" t="str">
        <f t="shared" si="53"/>
        <v/>
      </c>
      <c r="CL37" s="595" t="str">
        <f t="shared" si="54"/>
        <v/>
      </c>
      <c r="CM37" s="596" t="str">
        <f t="shared" si="55"/>
        <v/>
      </c>
      <c r="CN37" s="597" t="str">
        <f t="shared" si="56"/>
        <v/>
      </c>
      <c r="CO37" s="598" t="str">
        <f t="shared" si="57"/>
        <v/>
      </c>
      <c r="CP37" s="615" t="str">
        <f t="shared" si="58"/>
        <v/>
      </c>
      <c r="CQ37" s="616" t="str">
        <f t="shared" si="59"/>
        <v/>
      </c>
      <c r="CR37" s="750" t="str">
        <f t="shared" si="60"/>
        <v/>
      </c>
      <c r="CS37" s="751" t="str">
        <f t="shared" si="61"/>
        <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62"/>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63"/>
        <v>0</v>
      </c>
      <c r="DO37" s="818">
        <f t="shared" si="64"/>
        <v>0</v>
      </c>
      <c r="DP37" s="822" t="str">
        <f t="shared" si="65"/>
        <v/>
      </c>
      <c r="DQ37" s="822" t="str">
        <f t="shared" si="66"/>
        <v/>
      </c>
      <c r="DR37" s="822" t="str">
        <f t="shared" si="67"/>
        <v/>
      </c>
      <c r="DS37" s="821">
        <f t="shared" si="68"/>
        <v>0</v>
      </c>
      <c r="DT37" s="821">
        <f t="shared" si="69"/>
        <v>0</v>
      </c>
      <c r="DU37" s="821" t="str">
        <f t="shared" si="70"/>
        <v/>
      </c>
      <c r="DV37" s="822" t="str">
        <f t="shared" si="71"/>
        <v/>
      </c>
      <c r="DW37" s="856" t="str">
        <f t="shared" si="72"/>
        <v/>
      </c>
      <c r="DX37" s="1006">
        <f t="shared" si="73"/>
        <v>0</v>
      </c>
      <c r="DY37" s="822">
        <f t="shared" si="74"/>
        <v>0</v>
      </c>
      <c r="DZ37" s="821">
        <f t="shared" si="75"/>
        <v>0</v>
      </c>
      <c r="EA37" s="821" t="str">
        <f t="shared" si="76"/>
        <v/>
      </c>
      <c r="EB37" s="822" t="str">
        <f t="shared" si="77"/>
        <v/>
      </c>
      <c r="EC37" s="856" t="str">
        <f t="shared" si="78"/>
        <v/>
      </c>
      <c r="ED37" s="1006">
        <f t="shared" si="79"/>
        <v>0</v>
      </c>
      <c r="EE37" s="1293" t="str">
        <f t="shared" si="80"/>
        <v/>
      </c>
      <c r="EF37" s="1293" t="str">
        <f t="shared" si="81"/>
        <v/>
      </c>
      <c r="EG37" s="1293" t="str">
        <f t="shared" si="82"/>
        <v/>
      </c>
      <c r="EH37" s="856" t="e">
        <f t="shared" si="83"/>
        <v>#N/A</v>
      </c>
      <c r="EI37" s="856" t="e">
        <f t="shared" si="84"/>
        <v>#N/A</v>
      </c>
      <c r="EJ37" s="822" t="str">
        <f t="shared" si="85"/>
        <v/>
      </c>
      <c r="EK37" s="822" t="str">
        <f t="shared" si="85"/>
        <v/>
      </c>
      <c r="EL37" s="1293" t="str">
        <f t="shared" si="86"/>
        <v/>
      </c>
      <c r="EM37" s="822" t="str">
        <f t="shared" si="87"/>
        <v/>
      </c>
      <c r="EN37" s="822" t="str">
        <f t="shared" si="88"/>
        <v/>
      </c>
      <c r="EO37" s="856" t="e">
        <f t="shared" si="89"/>
        <v>#N/A</v>
      </c>
      <c r="EP37" s="856" t="e">
        <f t="shared" si="90"/>
        <v>#N/A</v>
      </c>
      <c r="EQ37" s="1293" t="str">
        <f t="shared" si="91"/>
        <v/>
      </c>
      <c r="ER37" s="822" t="str">
        <f t="shared" si="91"/>
        <v/>
      </c>
      <c r="ES37" s="822" t="str">
        <f t="shared" si="92"/>
        <v/>
      </c>
      <c r="ET37" s="822" t="str">
        <f t="shared" si="93"/>
        <v/>
      </c>
      <c r="EU37" s="829" t="str">
        <f t="shared" si="94"/>
        <v/>
      </c>
      <c r="EV37" s="824" t="str">
        <f t="shared" si="95"/>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96"/>
        <v/>
      </c>
      <c r="FA37" s="829" t="str">
        <f>IF(AND(DE37="G", ISBLANK(BW37), ISBLANK(BX37)),VLOOKUP(MIN(BT37:BU37),TblJoistSize!$M$3:$N$10,2),IF(OR(DE37="B", DE37="G"),MIN(BW37:BX37),""))</f>
        <v/>
      </c>
      <c r="FB37" s="829" t="str">
        <f>IF(AND(DE37="G", ISBLANK(BW37), ISBLANK(BX37)),VLOOKUP(MAX(BT37:BU37),TblJoistSize!$M$3:$N$10,2),IF(OR(DE37="B", DE37="G"),MAX(BW37:BX37),""))</f>
        <v/>
      </c>
      <c r="FC37" s="829" t="str">
        <f t="shared" si="97"/>
        <v/>
      </c>
      <c r="FD37" s="821">
        <f t="shared" si="124"/>
        <v>0</v>
      </c>
      <c r="FE37" s="821">
        <f t="shared" si="98"/>
        <v>0</v>
      </c>
      <c r="FF37" s="821">
        <f t="shared" si="99"/>
        <v>0</v>
      </c>
      <c r="FG37" s="821" t="str">
        <f t="shared" si="100"/>
        <v/>
      </c>
      <c r="FH37" s="822" t="str">
        <f t="shared" si="101"/>
        <v/>
      </c>
      <c r="FI37" s="821">
        <f t="shared" si="125"/>
        <v>0</v>
      </c>
      <c r="FJ37" s="821">
        <f t="shared" si="102"/>
        <v>0</v>
      </c>
      <c r="FK37" s="821">
        <f t="shared" si="103"/>
        <v>0</v>
      </c>
      <c r="FL37" s="821" t="str">
        <f t="shared" si="104"/>
        <v/>
      </c>
      <c r="FM37" s="822" t="str">
        <f t="shared" si="105"/>
        <v/>
      </c>
      <c r="FN37" s="822" t="e">
        <f t="shared" si="106"/>
        <v>#VALUE!</v>
      </c>
      <c r="FO37" s="940" t="e">
        <f t="shared" si="107"/>
        <v>#VALUE!</v>
      </c>
      <c r="FP37" s="940" t="e">
        <f t="shared" si="108"/>
        <v>#VALUE!</v>
      </c>
      <c r="FQ37" s="830" t="e">
        <f t="shared" si="109"/>
        <v>#VALUE!</v>
      </c>
      <c r="FR37" s="831" t="e">
        <f t="shared" si="110"/>
        <v>#VALUE!</v>
      </c>
      <c r="FS37" s="832" t="str">
        <f t="shared" si="111"/>
        <v/>
      </c>
      <c r="FT37" s="833" t="str">
        <f t="shared" si="112"/>
        <v/>
      </c>
      <c r="FU37" s="870">
        <f t="shared" si="113"/>
        <v>0</v>
      </c>
      <c r="FV37" s="871">
        <f t="shared" si="114"/>
        <v>0</v>
      </c>
      <c r="GA37" s="1791" t="str">
        <f t="shared" si="115"/>
        <v/>
      </c>
      <c r="GB37" s="1792" t="str">
        <f t="shared" si="116"/>
        <v/>
      </c>
      <c r="GC37" s="1793" t="str">
        <f t="shared" si="117"/>
        <v/>
      </c>
      <c r="GD37" s="1794" t="str">
        <f t="shared" si="118"/>
        <v/>
      </c>
      <c r="GE37" s="1795" t="str">
        <f t="shared" si="119"/>
        <v/>
      </c>
      <c r="GF37" s="600" t="str">
        <f t="shared" si="120"/>
        <v/>
      </c>
      <c r="GG37" s="1130"/>
      <c r="GH37" s="1131"/>
      <c r="GI37" s="1130"/>
      <c r="GJ37" s="1131"/>
      <c r="GK37" s="1638">
        <f t="shared" si="121"/>
        <v>0</v>
      </c>
      <c r="GL37" s="1636" t="e">
        <f t="shared" si="122"/>
        <v>#VALUE!</v>
      </c>
      <c r="GM37" s="1637" t="e">
        <f>IF(ABS(GK37-GL37)&gt;='Job Info.'!$L$22,ABS(GK37-GL37),0)</f>
        <v>#VALUE!</v>
      </c>
      <c r="HA37" s="1269"/>
      <c r="HB37" s="1270"/>
      <c r="HC37" s="1270"/>
      <c r="HD37" s="1271"/>
      <c r="HE37" s="1272"/>
      <c r="HF37" s="1270"/>
      <c r="HG37" s="1270"/>
      <c r="HH37" s="1270"/>
      <c r="HI37" s="1273"/>
      <c r="HJ37" s="1270"/>
      <c r="HK37" s="1270"/>
      <c r="HL37" s="1270"/>
      <c r="HM37" s="1270"/>
      <c r="HN37" s="1270"/>
      <c r="HO37" s="1270"/>
      <c r="HP37" s="1270"/>
      <c r="HQ37" s="1273"/>
      <c r="HR37" s="1270"/>
      <c r="HS37" s="1270"/>
      <c r="HT37" s="1270"/>
      <c r="HU37" s="1270"/>
      <c r="HV37" s="1270"/>
      <c r="HW37" s="1272"/>
      <c r="HX37" s="1272"/>
      <c r="HY37" s="1272"/>
      <c r="HZ37" s="1272"/>
      <c r="IA37" s="1272"/>
      <c r="IB37" s="1272"/>
      <c r="IC37" s="1272"/>
      <c r="ID37" s="1272"/>
      <c r="IE37" s="1272"/>
      <c r="IF37" s="1274"/>
    </row>
    <row r="38" spans="1:240" ht="12.6" customHeight="1" x14ac:dyDescent="0.25">
      <c r="A38" s="1448" t="str">
        <f t="shared" si="1"/>
        <v/>
      </c>
      <c r="B38" s="1681" t="str">
        <f t="shared" si="2"/>
        <v/>
      </c>
      <c r="C38" s="1449" t="str">
        <f t="shared" si="3"/>
        <v/>
      </c>
      <c r="D38" s="1705" t="str">
        <f t="shared" si="4"/>
        <v/>
      </c>
      <c r="E38" s="1706" t="str">
        <f t="shared" si="5"/>
        <v/>
      </c>
      <c r="F38" s="1714" t="str">
        <f t="shared" si="6"/>
        <v/>
      </c>
      <c r="G38" s="1709" t="str">
        <f t="shared" si="7"/>
        <v/>
      </c>
      <c r="H38" s="1779" t="str">
        <f t="shared" si="8"/>
        <v/>
      </c>
      <c r="I38" s="1705" t="str">
        <f t="shared" si="9"/>
        <v/>
      </c>
      <c r="J38" s="1709" t="str">
        <f t="shared" si="10"/>
        <v/>
      </c>
      <c r="K38" s="1796" t="str">
        <f t="shared" si="11"/>
        <v/>
      </c>
      <c r="L38" s="1712" t="str">
        <f t="shared" si="12"/>
        <v/>
      </c>
      <c r="M38" s="1713" t="str">
        <f t="shared" si="13"/>
        <v/>
      </c>
      <c r="N38" s="1708" t="str">
        <f t="shared" si="14"/>
        <v/>
      </c>
      <c r="O38" s="1709" t="str">
        <f t="shared" si="15"/>
        <v/>
      </c>
      <c r="P38" s="1710" t="str">
        <f t="shared" si="16"/>
        <v/>
      </c>
      <c r="Q38" s="1705" t="str">
        <f t="shared" si="17"/>
        <v/>
      </c>
      <c r="R38" s="1709" t="str">
        <f t="shared" si="18"/>
        <v/>
      </c>
      <c r="S38" s="1711" t="str">
        <f t="shared" si="19"/>
        <v/>
      </c>
      <c r="T38" s="1714" t="str">
        <f t="shared" si="20"/>
        <v/>
      </c>
      <c r="U38" s="1709" t="str">
        <f t="shared" si="21"/>
        <v/>
      </c>
      <c r="V38" s="1705" t="str">
        <f t="shared" si="22"/>
        <v/>
      </c>
      <c r="W38" s="1709" t="str">
        <f t="shared" si="23"/>
        <v/>
      </c>
      <c r="X38" s="1713">
        <f t="shared" si="24"/>
        <v>0</v>
      </c>
      <c r="Y38" s="1781" t="str">
        <f t="shared" si="25"/>
        <v/>
      </c>
      <c r="Z38" s="1782" t="str">
        <f t="shared" si="26"/>
        <v/>
      </c>
      <c r="AA38" s="1783" t="str">
        <f t="shared" si="27"/>
        <v/>
      </c>
      <c r="AB38" s="1413"/>
      <c r="AC38" s="964" t="b">
        <v>0</v>
      </c>
      <c r="AD38" s="441">
        <f t="shared" si="28"/>
        <v>0</v>
      </c>
      <c r="AE38" s="442">
        <f t="shared" si="29"/>
        <v>0</v>
      </c>
      <c r="AF38" s="442">
        <f t="shared" si="30"/>
        <v>0</v>
      </c>
      <c r="AG38" s="442">
        <f t="shared" si="31"/>
        <v>0</v>
      </c>
      <c r="AH38" s="443">
        <f t="shared" si="32"/>
        <v>0</v>
      </c>
      <c r="AI38" s="444" t="b">
        <v>0</v>
      </c>
      <c r="AJ38" s="238">
        <f t="shared" si="33"/>
        <v>0</v>
      </c>
      <c r="AK38" s="830" t="str">
        <f t="shared" si="34"/>
        <v/>
      </c>
      <c r="AL38" s="945" t="str">
        <f t="shared" si="35"/>
        <v/>
      </c>
      <c r="AM38" s="830" t="str">
        <f t="shared" si="36"/>
        <v/>
      </c>
      <c r="AN38" s="830" t="str">
        <f t="shared" si="37"/>
        <v/>
      </c>
      <c r="AO38" s="830" t="str">
        <f t="shared" si="38"/>
        <v/>
      </c>
      <c r="AP38" s="830" t="b">
        <f>IF(ISERROR(AJ38),FALSE,IF(OR(AJ38=0,ISERROR(AL38),ISERROR(AM38),ISERROR(AN38),ISERROR(AO38)),FALSE,IF(AL38&lt;&gt;"",IF(ISERROR(VLOOKUP(SUBSTITUTE(SUBSTITUTE(C38,"R",""),"A",""),TblJoistSize!$A:$A,1,FALSE)),FALSE,TRUE),TRUE)))</f>
        <v>0</v>
      </c>
      <c r="AQ38" s="1038" t="e">
        <f t="shared" si="39"/>
        <v>#N/A</v>
      </c>
      <c r="AR38" s="945" t="b">
        <f t="shared" si="40"/>
        <v>0</v>
      </c>
      <c r="AS38" s="1038" t="e">
        <f t="shared" si="41"/>
        <v>#N/A</v>
      </c>
      <c r="AT38" s="945" t="b">
        <f t="shared" si="42"/>
        <v>0</v>
      </c>
      <c r="AU38" s="946" t="str">
        <f t="shared" si="43"/>
        <v/>
      </c>
      <c r="AV38" s="830" t="str">
        <f t="shared" si="44"/>
        <v/>
      </c>
      <c r="AW38" s="830" t="str">
        <f t="shared" si="45"/>
        <v/>
      </c>
      <c r="AX38" s="830" t="str">
        <f t="shared" si="123"/>
        <v/>
      </c>
      <c r="AY38" s="1039" t="b">
        <f t="shared" si="46"/>
        <v>0</v>
      </c>
      <c r="AZ38" s="856" t="str">
        <f t="shared" si="47"/>
        <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48"/>
        <v/>
      </c>
      <c r="BR38" s="910"/>
      <c r="BS38" s="672"/>
      <c r="BT38" s="713"/>
      <c r="BU38" s="714"/>
      <c r="BV38" s="1625"/>
      <c r="BW38" s="713"/>
      <c r="BX38" s="714"/>
      <c r="BY38" s="715"/>
      <c r="BZ38" s="716"/>
      <c r="CA38" s="680" t="str">
        <f>IF(ISERROR(DE38),"",IF(DE38="","",IF(VLOOKUP(BS38,SectInfo!$B:$N,10,FALSE)="","","X")))</f>
        <v/>
      </c>
      <c r="CB38" s="738"/>
      <c r="CC38" s="1551" t="str">
        <f t="shared" si="49"/>
        <v/>
      </c>
      <c r="CD38" s="910"/>
      <c r="CE38" s="717"/>
      <c r="CF38" s="736"/>
      <c r="CG38" s="737"/>
      <c r="CH38" s="591" t="str">
        <f t="shared" si="50"/>
        <v/>
      </c>
      <c r="CI38" s="592" t="str">
        <f t="shared" si="51"/>
        <v/>
      </c>
      <c r="CJ38" s="593" t="str">
        <f t="shared" si="52"/>
        <v/>
      </c>
      <c r="CK38" s="594" t="str">
        <f t="shared" si="53"/>
        <v/>
      </c>
      <c r="CL38" s="595" t="str">
        <f t="shared" si="54"/>
        <v/>
      </c>
      <c r="CM38" s="596" t="str">
        <f t="shared" si="55"/>
        <v/>
      </c>
      <c r="CN38" s="597" t="str">
        <f t="shared" si="56"/>
        <v/>
      </c>
      <c r="CO38" s="598" t="str">
        <f t="shared" si="57"/>
        <v/>
      </c>
      <c r="CP38" s="615" t="str">
        <f t="shared" si="58"/>
        <v/>
      </c>
      <c r="CQ38" s="616" t="str">
        <f t="shared" si="59"/>
        <v/>
      </c>
      <c r="CR38" s="750" t="str">
        <f t="shared" si="60"/>
        <v/>
      </c>
      <c r="CS38" s="751" t="str">
        <f t="shared" si="61"/>
        <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62"/>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63"/>
        <v>0</v>
      </c>
      <c r="DO38" s="818">
        <f t="shared" si="64"/>
        <v>0</v>
      </c>
      <c r="DP38" s="822" t="str">
        <f t="shared" si="65"/>
        <v/>
      </c>
      <c r="DQ38" s="822" t="str">
        <f t="shared" si="66"/>
        <v/>
      </c>
      <c r="DR38" s="822" t="str">
        <f t="shared" si="67"/>
        <v/>
      </c>
      <c r="DS38" s="821">
        <f t="shared" si="68"/>
        <v>0</v>
      </c>
      <c r="DT38" s="821">
        <f t="shared" si="69"/>
        <v>0</v>
      </c>
      <c r="DU38" s="821" t="str">
        <f t="shared" si="70"/>
        <v/>
      </c>
      <c r="DV38" s="822" t="str">
        <f t="shared" si="71"/>
        <v/>
      </c>
      <c r="DW38" s="856" t="str">
        <f t="shared" si="72"/>
        <v/>
      </c>
      <c r="DX38" s="1006">
        <f t="shared" si="73"/>
        <v>0</v>
      </c>
      <c r="DY38" s="822">
        <f t="shared" si="74"/>
        <v>0</v>
      </c>
      <c r="DZ38" s="821">
        <f t="shared" si="75"/>
        <v>0</v>
      </c>
      <c r="EA38" s="821" t="str">
        <f t="shared" si="76"/>
        <v/>
      </c>
      <c r="EB38" s="822" t="str">
        <f t="shared" si="77"/>
        <v/>
      </c>
      <c r="EC38" s="856" t="str">
        <f t="shared" si="78"/>
        <v/>
      </c>
      <c r="ED38" s="1006">
        <f t="shared" si="79"/>
        <v>0</v>
      </c>
      <c r="EE38" s="1293" t="str">
        <f t="shared" si="80"/>
        <v/>
      </c>
      <c r="EF38" s="1293" t="str">
        <f t="shared" si="81"/>
        <v/>
      </c>
      <c r="EG38" s="1293" t="str">
        <f t="shared" si="82"/>
        <v/>
      </c>
      <c r="EH38" s="856" t="e">
        <f t="shared" si="83"/>
        <v>#N/A</v>
      </c>
      <c r="EI38" s="856" t="e">
        <f t="shared" si="84"/>
        <v>#N/A</v>
      </c>
      <c r="EJ38" s="822" t="str">
        <f t="shared" si="85"/>
        <v/>
      </c>
      <c r="EK38" s="822" t="str">
        <f t="shared" si="85"/>
        <v/>
      </c>
      <c r="EL38" s="1293" t="str">
        <f t="shared" si="86"/>
        <v/>
      </c>
      <c r="EM38" s="822" t="str">
        <f t="shared" si="87"/>
        <v/>
      </c>
      <c r="EN38" s="822" t="str">
        <f t="shared" si="88"/>
        <v/>
      </c>
      <c r="EO38" s="856" t="e">
        <f t="shared" si="89"/>
        <v>#N/A</v>
      </c>
      <c r="EP38" s="856" t="e">
        <f t="shared" si="90"/>
        <v>#N/A</v>
      </c>
      <c r="EQ38" s="1293" t="str">
        <f t="shared" si="91"/>
        <v/>
      </c>
      <c r="ER38" s="822" t="str">
        <f t="shared" si="91"/>
        <v/>
      </c>
      <c r="ES38" s="822" t="str">
        <f t="shared" si="92"/>
        <v/>
      </c>
      <c r="ET38" s="822" t="str">
        <f t="shared" si="93"/>
        <v/>
      </c>
      <c r="EU38" s="829" t="str">
        <f t="shared" si="94"/>
        <v/>
      </c>
      <c r="EV38" s="824" t="str">
        <f t="shared" si="95"/>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96"/>
        <v/>
      </c>
      <c r="FA38" s="829" t="str">
        <f>IF(AND(DE38="G", ISBLANK(BW38), ISBLANK(BX38)),VLOOKUP(MIN(BT38:BU38),TblJoistSize!$M$3:$N$10,2),IF(OR(DE38="B", DE38="G"),MIN(BW38:BX38),""))</f>
        <v/>
      </c>
      <c r="FB38" s="829" t="str">
        <f>IF(AND(DE38="G", ISBLANK(BW38), ISBLANK(BX38)),VLOOKUP(MAX(BT38:BU38),TblJoistSize!$M$3:$N$10,2),IF(OR(DE38="B", DE38="G"),MAX(BW38:BX38),""))</f>
        <v/>
      </c>
      <c r="FC38" s="829" t="str">
        <f t="shared" si="97"/>
        <v/>
      </c>
      <c r="FD38" s="821">
        <f t="shared" si="124"/>
        <v>0</v>
      </c>
      <c r="FE38" s="821">
        <f t="shared" si="98"/>
        <v>0</v>
      </c>
      <c r="FF38" s="821">
        <f t="shared" si="99"/>
        <v>0</v>
      </c>
      <c r="FG38" s="821" t="str">
        <f t="shared" si="100"/>
        <v/>
      </c>
      <c r="FH38" s="822" t="str">
        <f t="shared" si="101"/>
        <v/>
      </c>
      <c r="FI38" s="821">
        <f t="shared" si="125"/>
        <v>0</v>
      </c>
      <c r="FJ38" s="821">
        <f t="shared" si="102"/>
        <v>0</v>
      </c>
      <c r="FK38" s="821">
        <f t="shared" si="103"/>
        <v>0</v>
      </c>
      <c r="FL38" s="821" t="str">
        <f t="shared" si="104"/>
        <v/>
      </c>
      <c r="FM38" s="822" t="str">
        <f t="shared" si="105"/>
        <v/>
      </c>
      <c r="FN38" s="822" t="e">
        <f t="shared" si="106"/>
        <v>#VALUE!</v>
      </c>
      <c r="FO38" s="940" t="e">
        <f t="shared" si="107"/>
        <v>#VALUE!</v>
      </c>
      <c r="FP38" s="940" t="e">
        <f t="shared" si="108"/>
        <v>#VALUE!</v>
      </c>
      <c r="FQ38" s="830" t="e">
        <f t="shared" si="109"/>
        <v>#VALUE!</v>
      </c>
      <c r="FR38" s="831" t="e">
        <f t="shared" si="110"/>
        <v>#VALUE!</v>
      </c>
      <c r="FS38" s="832" t="str">
        <f t="shared" si="111"/>
        <v/>
      </c>
      <c r="FT38" s="833" t="str">
        <f t="shared" si="112"/>
        <v/>
      </c>
      <c r="FU38" s="870">
        <f t="shared" si="113"/>
        <v>0</v>
      </c>
      <c r="FV38" s="871">
        <f t="shared" si="114"/>
        <v>0</v>
      </c>
      <c r="GA38" s="1791" t="str">
        <f t="shared" si="115"/>
        <v/>
      </c>
      <c r="GB38" s="1792" t="str">
        <f t="shared" si="116"/>
        <v/>
      </c>
      <c r="GC38" s="1793" t="str">
        <f t="shared" si="117"/>
        <v/>
      </c>
      <c r="GD38" s="1794" t="str">
        <f t="shared" si="118"/>
        <v/>
      </c>
      <c r="GE38" s="1795" t="str">
        <f t="shared" si="119"/>
        <v/>
      </c>
      <c r="GF38" s="600" t="str">
        <f t="shared" si="120"/>
        <v/>
      </c>
      <c r="GG38" s="1130"/>
      <c r="GH38" s="1131"/>
      <c r="GI38" s="1130"/>
      <c r="GJ38" s="1131"/>
      <c r="GK38" s="1638">
        <f t="shared" si="121"/>
        <v>0</v>
      </c>
      <c r="GL38" s="1636" t="e">
        <f t="shared" si="122"/>
        <v>#VALUE!</v>
      </c>
      <c r="GM38" s="1637" t="e">
        <f>IF(ABS(GK38-GL38)&gt;='Job Info.'!$L$22,ABS(GK38-GL38),0)</f>
        <v>#VALUE!</v>
      </c>
      <c r="HA38" s="1269"/>
      <c r="HB38" s="1270"/>
      <c r="HC38" s="1270"/>
      <c r="HD38" s="1271"/>
      <c r="HE38" s="1272"/>
      <c r="HF38" s="1270"/>
      <c r="HG38" s="1270"/>
      <c r="HH38" s="1270"/>
      <c r="HI38" s="1273"/>
      <c r="HJ38" s="1270"/>
      <c r="HK38" s="1270"/>
      <c r="HL38" s="1270"/>
      <c r="HM38" s="1270"/>
      <c r="HN38" s="1270"/>
      <c r="HO38" s="1270"/>
      <c r="HP38" s="1270"/>
      <c r="HQ38" s="1273"/>
      <c r="HR38" s="1270"/>
      <c r="HS38" s="1270"/>
      <c r="HT38" s="1270"/>
      <c r="HU38" s="1270"/>
      <c r="HV38" s="1270"/>
      <c r="HW38" s="1272"/>
      <c r="HX38" s="1272"/>
      <c r="HY38" s="1272"/>
      <c r="HZ38" s="1272"/>
      <c r="IA38" s="1272"/>
      <c r="IB38" s="1272"/>
      <c r="IC38" s="1272"/>
      <c r="ID38" s="1272"/>
      <c r="IE38" s="1272"/>
      <c r="IF38" s="1274"/>
    </row>
    <row r="39" spans="1:240" ht="12.6" customHeight="1" x14ac:dyDescent="0.25">
      <c r="A39" s="1448" t="str">
        <f t="shared" si="1"/>
        <v/>
      </c>
      <c r="B39" s="1681" t="str">
        <f t="shared" si="2"/>
        <v/>
      </c>
      <c r="C39" s="1449" t="str">
        <f t="shared" si="3"/>
        <v/>
      </c>
      <c r="D39" s="1705" t="str">
        <f t="shared" si="4"/>
        <v/>
      </c>
      <c r="E39" s="1706" t="str">
        <f t="shared" si="5"/>
        <v/>
      </c>
      <c r="F39" s="1714" t="str">
        <f t="shared" si="6"/>
        <v/>
      </c>
      <c r="G39" s="1709" t="str">
        <f t="shared" si="7"/>
        <v/>
      </c>
      <c r="H39" s="1779" t="str">
        <f t="shared" si="8"/>
        <v/>
      </c>
      <c r="I39" s="1705" t="str">
        <f t="shared" si="9"/>
        <v/>
      </c>
      <c r="J39" s="1709" t="str">
        <f t="shared" si="10"/>
        <v/>
      </c>
      <c r="K39" s="1796" t="str">
        <f t="shared" si="11"/>
        <v/>
      </c>
      <c r="L39" s="1712" t="str">
        <f t="shared" si="12"/>
        <v/>
      </c>
      <c r="M39" s="1713" t="str">
        <f t="shared" si="13"/>
        <v/>
      </c>
      <c r="N39" s="1708" t="str">
        <f t="shared" si="14"/>
        <v/>
      </c>
      <c r="O39" s="1709" t="str">
        <f t="shared" si="15"/>
        <v/>
      </c>
      <c r="P39" s="1710" t="str">
        <f t="shared" si="16"/>
        <v/>
      </c>
      <c r="Q39" s="1705" t="str">
        <f t="shared" si="17"/>
        <v/>
      </c>
      <c r="R39" s="1709" t="str">
        <f t="shared" si="18"/>
        <v/>
      </c>
      <c r="S39" s="1711" t="str">
        <f t="shared" si="19"/>
        <v/>
      </c>
      <c r="T39" s="1714" t="str">
        <f t="shared" si="20"/>
        <v/>
      </c>
      <c r="U39" s="1709" t="str">
        <f t="shared" si="21"/>
        <v/>
      </c>
      <c r="V39" s="1705" t="str">
        <f t="shared" si="22"/>
        <v/>
      </c>
      <c r="W39" s="1709" t="str">
        <f t="shared" si="23"/>
        <v/>
      </c>
      <c r="X39" s="1713">
        <f t="shared" si="24"/>
        <v>0</v>
      </c>
      <c r="Y39" s="1781" t="str">
        <f t="shared" si="25"/>
        <v/>
      </c>
      <c r="Z39" s="1782" t="str">
        <f t="shared" si="26"/>
        <v/>
      </c>
      <c r="AA39" s="1783" t="str">
        <f t="shared" si="27"/>
        <v/>
      </c>
      <c r="AB39" s="1413"/>
      <c r="AC39" s="964" t="b">
        <v>0</v>
      </c>
      <c r="AD39" s="441">
        <f t="shared" si="28"/>
        <v>0</v>
      </c>
      <c r="AE39" s="442">
        <f t="shared" si="29"/>
        <v>0</v>
      </c>
      <c r="AF39" s="442">
        <f t="shared" si="30"/>
        <v>0</v>
      </c>
      <c r="AG39" s="442">
        <f t="shared" si="31"/>
        <v>0</v>
      </c>
      <c r="AH39" s="443">
        <f t="shared" si="32"/>
        <v>0</v>
      </c>
      <c r="AI39" s="444" t="b">
        <v>0</v>
      </c>
      <c r="AJ39" s="238">
        <f t="shared" si="33"/>
        <v>0</v>
      </c>
      <c r="AK39" s="830" t="str">
        <f t="shared" si="34"/>
        <v/>
      </c>
      <c r="AL39" s="945" t="str">
        <f t="shared" si="35"/>
        <v/>
      </c>
      <c r="AM39" s="830" t="str">
        <f t="shared" si="36"/>
        <v/>
      </c>
      <c r="AN39" s="830" t="str">
        <f t="shared" si="37"/>
        <v/>
      </c>
      <c r="AO39" s="830" t="str">
        <f t="shared" si="38"/>
        <v/>
      </c>
      <c r="AP39" s="830" t="b">
        <f>IF(ISERROR(AJ39),FALSE,IF(OR(AJ39=0,ISERROR(AL39),ISERROR(AM39),ISERROR(AN39),ISERROR(AO39)),FALSE,IF(AL39&lt;&gt;"",IF(ISERROR(VLOOKUP(SUBSTITUTE(SUBSTITUTE(C39,"R",""),"A",""),TblJoistSize!$A:$A,1,FALSE)),FALSE,TRUE),TRUE)))</f>
        <v>0</v>
      </c>
      <c r="AQ39" s="1038" t="e">
        <f t="shared" si="39"/>
        <v>#N/A</v>
      </c>
      <c r="AR39" s="945" t="b">
        <f t="shared" si="40"/>
        <v>0</v>
      </c>
      <c r="AS39" s="1038" t="e">
        <f t="shared" si="41"/>
        <v>#N/A</v>
      </c>
      <c r="AT39" s="945" t="b">
        <f t="shared" si="42"/>
        <v>0</v>
      </c>
      <c r="AU39" s="946" t="str">
        <f t="shared" si="43"/>
        <v/>
      </c>
      <c r="AV39" s="830" t="str">
        <f t="shared" si="44"/>
        <v/>
      </c>
      <c r="AW39" s="830" t="str">
        <f t="shared" si="45"/>
        <v/>
      </c>
      <c r="AX39" s="830" t="str">
        <f t="shared" si="123"/>
        <v/>
      </c>
      <c r="AY39" s="1039" t="b">
        <f t="shared" si="46"/>
        <v>0</v>
      </c>
      <c r="AZ39" s="856" t="str">
        <f t="shared" si="47"/>
        <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48"/>
        <v/>
      </c>
      <c r="BR39" s="910"/>
      <c r="BS39" s="672"/>
      <c r="BT39" s="713"/>
      <c r="BU39" s="714"/>
      <c r="BV39" s="1625"/>
      <c r="BW39" s="713"/>
      <c r="BX39" s="714"/>
      <c r="BY39" s="715"/>
      <c r="BZ39" s="716"/>
      <c r="CA39" s="680" t="str">
        <f>IF(ISERROR(DE39),"",IF(DE39="","",IF(VLOOKUP(BS39,SectInfo!$B:$N,10,FALSE)="","","X")))</f>
        <v/>
      </c>
      <c r="CB39" s="738"/>
      <c r="CC39" s="1551" t="str">
        <f t="shared" si="49"/>
        <v/>
      </c>
      <c r="CD39" s="910"/>
      <c r="CE39" s="717"/>
      <c r="CF39" s="736"/>
      <c r="CG39" s="737"/>
      <c r="CH39" s="591" t="str">
        <f t="shared" si="50"/>
        <v/>
      </c>
      <c r="CI39" s="592" t="str">
        <f t="shared" si="51"/>
        <v/>
      </c>
      <c r="CJ39" s="593" t="str">
        <f t="shared" si="52"/>
        <v/>
      </c>
      <c r="CK39" s="594" t="str">
        <f t="shared" si="53"/>
        <v/>
      </c>
      <c r="CL39" s="595" t="str">
        <f t="shared" si="54"/>
        <v/>
      </c>
      <c r="CM39" s="596" t="str">
        <f t="shared" si="55"/>
        <v/>
      </c>
      <c r="CN39" s="597" t="str">
        <f t="shared" si="56"/>
        <v/>
      </c>
      <c r="CO39" s="598" t="str">
        <f t="shared" si="57"/>
        <v/>
      </c>
      <c r="CP39" s="615" t="str">
        <f t="shared" si="58"/>
        <v/>
      </c>
      <c r="CQ39" s="616" t="str">
        <f t="shared" si="59"/>
        <v/>
      </c>
      <c r="CR39" s="750" t="str">
        <f t="shared" si="60"/>
        <v/>
      </c>
      <c r="CS39" s="751" t="str">
        <f t="shared" si="61"/>
        <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62"/>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63"/>
        <v>0</v>
      </c>
      <c r="DO39" s="818">
        <f t="shared" si="64"/>
        <v>0</v>
      </c>
      <c r="DP39" s="822" t="str">
        <f t="shared" si="65"/>
        <v/>
      </c>
      <c r="DQ39" s="822" t="str">
        <f t="shared" si="66"/>
        <v/>
      </c>
      <c r="DR39" s="822" t="str">
        <f t="shared" si="67"/>
        <v/>
      </c>
      <c r="DS39" s="821">
        <f t="shared" si="68"/>
        <v>0</v>
      </c>
      <c r="DT39" s="821">
        <f t="shared" si="69"/>
        <v>0</v>
      </c>
      <c r="DU39" s="821" t="str">
        <f t="shared" si="70"/>
        <v/>
      </c>
      <c r="DV39" s="822" t="str">
        <f t="shared" si="71"/>
        <v/>
      </c>
      <c r="DW39" s="856" t="str">
        <f t="shared" si="72"/>
        <v/>
      </c>
      <c r="DX39" s="1006">
        <f t="shared" si="73"/>
        <v>0</v>
      </c>
      <c r="DY39" s="822">
        <f t="shared" si="74"/>
        <v>0</v>
      </c>
      <c r="DZ39" s="821">
        <f t="shared" si="75"/>
        <v>0</v>
      </c>
      <c r="EA39" s="821" t="str">
        <f t="shared" si="76"/>
        <v/>
      </c>
      <c r="EB39" s="822" t="str">
        <f t="shared" si="77"/>
        <v/>
      </c>
      <c r="EC39" s="856" t="str">
        <f t="shared" si="78"/>
        <v/>
      </c>
      <c r="ED39" s="1006">
        <f t="shared" si="79"/>
        <v>0</v>
      </c>
      <c r="EE39" s="1293" t="str">
        <f t="shared" si="80"/>
        <v/>
      </c>
      <c r="EF39" s="1293" t="str">
        <f t="shared" si="81"/>
        <v/>
      </c>
      <c r="EG39" s="1293" t="str">
        <f t="shared" si="82"/>
        <v/>
      </c>
      <c r="EH39" s="856" t="e">
        <f t="shared" si="83"/>
        <v>#N/A</v>
      </c>
      <c r="EI39" s="856" t="e">
        <f t="shared" si="84"/>
        <v>#N/A</v>
      </c>
      <c r="EJ39" s="822" t="str">
        <f t="shared" si="85"/>
        <v/>
      </c>
      <c r="EK39" s="822" t="str">
        <f t="shared" si="85"/>
        <v/>
      </c>
      <c r="EL39" s="1293" t="str">
        <f t="shared" si="86"/>
        <v/>
      </c>
      <c r="EM39" s="822" t="str">
        <f t="shared" si="87"/>
        <v/>
      </c>
      <c r="EN39" s="822" t="str">
        <f t="shared" si="88"/>
        <v/>
      </c>
      <c r="EO39" s="856" t="e">
        <f t="shared" si="89"/>
        <v>#N/A</v>
      </c>
      <c r="EP39" s="856" t="e">
        <f t="shared" si="90"/>
        <v>#N/A</v>
      </c>
      <c r="EQ39" s="1293" t="str">
        <f t="shared" si="91"/>
        <v/>
      </c>
      <c r="ER39" s="822" t="str">
        <f t="shared" si="91"/>
        <v/>
      </c>
      <c r="ES39" s="822" t="str">
        <f t="shared" si="92"/>
        <v/>
      </c>
      <c r="ET39" s="822" t="str">
        <f t="shared" si="93"/>
        <v/>
      </c>
      <c r="EU39" s="829" t="str">
        <f t="shared" si="94"/>
        <v/>
      </c>
      <c r="EV39" s="824" t="str">
        <f t="shared" si="95"/>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96"/>
        <v/>
      </c>
      <c r="FA39" s="829" t="str">
        <f>IF(AND(DE39="G", ISBLANK(BW39), ISBLANK(BX39)),VLOOKUP(MIN(BT39:BU39),TblJoistSize!$M$3:$N$10,2),IF(OR(DE39="B", DE39="G"),MIN(BW39:BX39),""))</f>
        <v/>
      </c>
      <c r="FB39" s="829" t="str">
        <f>IF(AND(DE39="G", ISBLANK(BW39), ISBLANK(BX39)),VLOOKUP(MAX(BT39:BU39),TblJoistSize!$M$3:$N$10,2),IF(OR(DE39="B", DE39="G"),MAX(BW39:BX39),""))</f>
        <v/>
      </c>
      <c r="FC39" s="829" t="str">
        <f t="shared" si="97"/>
        <v/>
      </c>
      <c r="FD39" s="821">
        <f t="shared" si="124"/>
        <v>0</v>
      </c>
      <c r="FE39" s="821">
        <f t="shared" si="98"/>
        <v>0</v>
      </c>
      <c r="FF39" s="821">
        <f t="shared" si="99"/>
        <v>0</v>
      </c>
      <c r="FG39" s="821" t="str">
        <f t="shared" si="100"/>
        <v/>
      </c>
      <c r="FH39" s="822" t="str">
        <f t="shared" si="101"/>
        <v/>
      </c>
      <c r="FI39" s="821">
        <f t="shared" si="125"/>
        <v>0</v>
      </c>
      <c r="FJ39" s="821">
        <f t="shared" si="102"/>
        <v>0</v>
      </c>
      <c r="FK39" s="821">
        <f t="shared" si="103"/>
        <v>0</v>
      </c>
      <c r="FL39" s="821" t="str">
        <f t="shared" si="104"/>
        <v/>
      </c>
      <c r="FM39" s="822" t="str">
        <f t="shared" si="105"/>
        <v/>
      </c>
      <c r="FN39" s="822" t="e">
        <f t="shared" si="106"/>
        <v>#VALUE!</v>
      </c>
      <c r="FO39" s="940" t="e">
        <f t="shared" si="107"/>
        <v>#VALUE!</v>
      </c>
      <c r="FP39" s="940" t="e">
        <f t="shared" si="108"/>
        <v>#VALUE!</v>
      </c>
      <c r="FQ39" s="830" t="e">
        <f t="shared" si="109"/>
        <v>#VALUE!</v>
      </c>
      <c r="FR39" s="831" t="e">
        <f t="shared" si="110"/>
        <v>#VALUE!</v>
      </c>
      <c r="FS39" s="832" t="str">
        <f t="shared" si="111"/>
        <v/>
      </c>
      <c r="FT39" s="833" t="str">
        <f t="shared" si="112"/>
        <v/>
      </c>
      <c r="FU39" s="870">
        <f t="shared" si="113"/>
        <v>0</v>
      </c>
      <c r="FV39" s="871">
        <f t="shared" si="114"/>
        <v>0</v>
      </c>
      <c r="GA39" s="1791" t="str">
        <f t="shared" si="115"/>
        <v/>
      </c>
      <c r="GB39" s="1792" t="str">
        <f t="shared" si="116"/>
        <v/>
      </c>
      <c r="GC39" s="1793" t="str">
        <f t="shared" si="117"/>
        <v/>
      </c>
      <c r="GD39" s="1794" t="str">
        <f t="shared" si="118"/>
        <v/>
      </c>
      <c r="GE39" s="1795" t="str">
        <f t="shared" si="119"/>
        <v/>
      </c>
      <c r="GF39" s="600" t="str">
        <f t="shared" si="120"/>
        <v/>
      </c>
      <c r="GG39" s="1130"/>
      <c r="GH39" s="1131"/>
      <c r="GI39" s="1130"/>
      <c r="GJ39" s="1131"/>
      <c r="GK39" s="1638">
        <f t="shared" si="121"/>
        <v>0</v>
      </c>
      <c r="GL39" s="1636" t="e">
        <f t="shared" si="122"/>
        <v>#VALUE!</v>
      </c>
      <c r="GM39" s="1637" t="e">
        <f>IF(ABS(GK39-GL39)&gt;='Job Info.'!$L$22,ABS(GK39-GL39),0)</f>
        <v>#VALUE!</v>
      </c>
      <c r="HA39" s="1269"/>
      <c r="HB39" s="1270"/>
      <c r="HC39" s="1270"/>
      <c r="HD39" s="1271"/>
      <c r="HE39" s="1272"/>
      <c r="HF39" s="1270"/>
      <c r="HG39" s="1270"/>
      <c r="HH39" s="1270"/>
      <c r="HI39" s="1273"/>
      <c r="HJ39" s="1270"/>
      <c r="HK39" s="1270"/>
      <c r="HL39" s="1270"/>
      <c r="HM39" s="1270"/>
      <c r="HN39" s="1270"/>
      <c r="HO39" s="1270"/>
      <c r="HP39" s="1270"/>
      <c r="HQ39" s="1273"/>
      <c r="HR39" s="1270"/>
      <c r="HS39" s="1270"/>
      <c r="HT39" s="1270"/>
      <c r="HU39" s="1270"/>
      <c r="HV39" s="1270"/>
      <c r="HW39" s="1272"/>
      <c r="HX39" s="1272"/>
      <c r="HY39" s="1272"/>
      <c r="HZ39" s="1272"/>
      <c r="IA39" s="1272"/>
      <c r="IB39" s="1272"/>
      <c r="IC39" s="1272"/>
      <c r="ID39" s="1272"/>
      <c r="IE39" s="1272"/>
      <c r="IF39" s="1274"/>
    </row>
    <row r="40" spans="1:240" ht="12.6" customHeight="1" x14ac:dyDescent="0.25">
      <c r="A40" s="1448" t="str">
        <f t="shared" si="1"/>
        <v/>
      </c>
      <c r="B40" s="1681" t="str">
        <f t="shared" si="2"/>
        <v/>
      </c>
      <c r="C40" s="1449" t="str">
        <f t="shared" si="3"/>
        <v/>
      </c>
      <c r="D40" s="1705" t="str">
        <f t="shared" si="4"/>
        <v/>
      </c>
      <c r="E40" s="1706" t="str">
        <f t="shared" si="5"/>
        <v/>
      </c>
      <c r="F40" s="1714" t="str">
        <f t="shared" si="6"/>
        <v/>
      </c>
      <c r="G40" s="1709" t="str">
        <f t="shared" si="7"/>
        <v/>
      </c>
      <c r="H40" s="1779" t="str">
        <f t="shared" si="8"/>
        <v/>
      </c>
      <c r="I40" s="1705" t="str">
        <f t="shared" si="9"/>
        <v/>
      </c>
      <c r="J40" s="1709" t="str">
        <f t="shared" si="10"/>
        <v/>
      </c>
      <c r="K40" s="1796" t="str">
        <f t="shared" si="11"/>
        <v/>
      </c>
      <c r="L40" s="1712" t="str">
        <f t="shared" si="12"/>
        <v/>
      </c>
      <c r="M40" s="1713" t="str">
        <f t="shared" si="13"/>
        <v/>
      </c>
      <c r="N40" s="1708" t="str">
        <f t="shared" si="14"/>
        <v/>
      </c>
      <c r="O40" s="1709" t="str">
        <f t="shared" si="15"/>
        <v/>
      </c>
      <c r="P40" s="1710" t="str">
        <f t="shared" si="16"/>
        <v/>
      </c>
      <c r="Q40" s="1705" t="str">
        <f t="shared" si="17"/>
        <v/>
      </c>
      <c r="R40" s="1709" t="str">
        <f t="shared" si="18"/>
        <v/>
      </c>
      <c r="S40" s="1711" t="str">
        <f t="shared" si="19"/>
        <v/>
      </c>
      <c r="T40" s="1714" t="str">
        <f t="shared" si="20"/>
        <v/>
      </c>
      <c r="U40" s="1709" t="str">
        <f t="shared" si="21"/>
        <v/>
      </c>
      <c r="V40" s="1705" t="str">
        <f t="shared" si="22"/>
        <v/>
      </c>
      <c r="W40" s="1709" t="str">
        <f t="shared" si="23"/>
        <v/>
      </c>
      <c r="X40" s="1713">
        <f t="shared" si="24"/>
        <v>0</v>
      </c>
      <c r="Y40" s="1781" t="str">
        <f t="shared" si="25"/>
        <v/>
      </c>
      <c r="Z40" s="1782" t="str">
        <f t="shared" si="26"/>
        <v/>
      </c>
      <c r="AA40" s="1783" t="str">
        <f t="shared" si="27"/>
        <v/>
      </c>
      <c r="AB40" s="1413"/>
      <c r="AC40" s="964" t="b">
        <v>0</v>
      </c>
      <c r="AD40" s="441">
        <f t="shared" si="28"/>
        <v>0</v>
      </c>
      <c r="AE40" s="442">
        <f t="shared" si="29"/>
        <v>0</v>
      </c>
      <c r="AF40" s="442">
        <f t="shared" si="30"/>
        <v>0</v>
      </c>
      <c r="AG40" s="442">
        <f t="shared" si="31"/>
        <v>0</v>
      </c>
      <c r="AH40" s="443">
        <f t="shared" si="32"/>
        <v>0</v>
      </c>
      <c r="AI40" s="444" t="b">
        <v>0</v>
      </c>
      <c r="AJ40" s="238">
        <f t="shared" si="33"/>
        <v>0</v>
      </c>
      <c r="AK40" s="830" t="str">
        <f t="shared" si="34"/>
        <v/>
      </c>
      <c r="AL40" s="945" t="str">
        <f t="shared" si="35"/>
        <v/>
      </c>
      <c r="AM40" s="830" t="str">
        <f t="shared" si="36"/>
        <v/>
      </c>
      <c r="AN40" s="830" t="str">
        <f t="shared" si="37"/>
        <v/>
      </c>
      <c r="AO40" s="830" t="str">
        <f t="shared" si="38"/>
        <v/>
      </c>
      <c r="AP40" s="830" t="b">
        <f>IF(ISERROR(AJ40),FALSE,IF(OR(AJ40=0,ISERROR(AL40),ISERROR(AM40),ISERROR(AN40),ISERROR(AO40)),FALSE,IF(AL40&lt;&gt;"",IF(ISERROR(VLOOKUP(SUBSTITUTE(SUBSTITUTE(C40,"R",""),"A",""),TblJoistSize!$A:$A,1,FALSE)),FALSE,TRUE),TRUE)))</f>
        <v>0</v>
      </c>
      <c r="AQ40" s="1038" t="e">
        <f t="shared" si="39"/>
        <v>#N/A</v>
      </c>
      <c r="AR40" s="945" t="b">
        <f t="shared" si="40"/>
        <v>0</v>
      </c>
      <c r="AS40" s="1038" t="e">
        <f t="shared" si="41"/>
        <v>#N/A</v>
      </c>
      <c r="AT40" s="945" t="b">
        <f t="shared" si="42"/>
        <v>0</v>
      </c>
      <c r="AU40" s="946" t="str">
        <f t="shared" si="43"/>
        <v/>
      </c>
      <c r="AV40" s="830" t="str">
        <f t="shared" si="44"/>
        <v/>
      </c>
      <c r="AW40" s="830" t="str">
        <f t="shared" si="45"/>
        <v/>
      </c>
      <c r="AX40" s="830" t="str">
        <f t="shared" si="123"/>
        <v/>
      </c>
      <c r="AY40" s="1039" t="b">
        <f t="shared" si="46"/>
        <v>0</v>
      </c>
      <c r="AZ40" s="856" t="str">
        <f t="shared" si="47"/>
        <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48"/>
        <v/>
      </c>
      <c r="BR40" s="910"/>
      <c r="BS40" s="672"/>
      <c r="BT40" s="713"/>
      <c r="BU40" s="714"/>
      <c r="BV40" s="1625"/>
      <c r="BW40" s="713"/>
      <c r="BX40" s="714"/>
      <c r="BY40" s="715"/>
      <c r="BZ40" s="716"/>
      <c r="CA40" s="680" t="str">
        <f>IF(ISERROR(DE40),"",IF(DE40="","",IF(VLOOKUP(BS40,SectInfo!$B:$N,10,FALSE)="","","X")))</f>
        <v/>
      </c>
      <c r="CB40" s="738"/>
      <c r="CC40" s="1551" t="str">
        <f t="shared" si="49"/>
        <v/>
      </c>
      <c r="CD40" s="910"/>
      <c r="CE40" s="717"/>
      <c r="CF40" s="736"/>
      <c r="CG40" s="737"/>
      <c r="CH40" s="591" t="str">
        <f t="shared" si="50"/>
        <v/>
      </c>
      <c r="CI40" s="592" t="str">
        <f t="shared" si="51"/>
        <v/>
      </c>
      <c r="CJ40" s="593" t="str">
        <f t="shared" si="52"/>
        <v/>
      </c>
      <c r="CK40" s="594" t="str">
        <f t="shared" si="53"/>
        <v/>
      </c>
      <c r="CL40" s="595" t="str">
        <f t="shared" si="54"/>
        <v/>
      </c>
      <c r="CM40" s="596" t="str">
        <f t="shared" si="55"/>
        <v/>
      </c>
      <c r="CN40" s="597" t="str">
        <f t="shared" si="56"/>
        <v/>
      </c>
      <c r="CO40" s="598" t="str">
        <f t="shared" si="57"/>
        <v/>
      </c>
      <c r="CP40" s="615" t="str">
        <f t="shared" si="58"/>
        <v/>
      </c>
      <c r="CQ40" s="616" t="str">
        <f t="shared" si="59"/>
        <v/>
      </c>
      <c r="CR40" s="750" t="str">
        <f t="shared" si="60"/>
        <v/>
      </c>
      <c r="CS40" s="751" t="str">
        <f t="shared" si="61"/>
        <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62"/>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63"/>
        <v>0</v>
      </c>
      <c r="DO40" s="818">
        <f t="shared" si="64"/>
        <v>0</v>
      </c>
      <c r="DP40" s="822" t="str">
        <f t="shared" si="65"/>
        <v/>
      </c>
      <c r="DQ40" s="822" t="str">
        <f t="shared" si="66"/>
        <v/>
      </c>
      <c r="DR40" s="822" t="str">
        <f t="shared" si="67"/>
        <v/>
      </c>
      <c r="DS40" s="821">
        <f t="shared" si="68"/>
        <v>0</v>
      </c>
      <c r="DT40" s="821">
        <f t="shared" si="69"/>
        <v>0</v>
      </c>
      <c r="DU40" s="821" t="str">
        <f t="shared" si="70"/>
        <v/>
      </c>
      <c r="DV40" s="822" t="str">
        <f t="shared" si="71"/>
        <v/>
      </c>
      <c r="DW40" s="856" t="str">
        <f t="shared" si="72"/>
        <v/>
      </c>
      <c r="DX40" s="1006">
        <f t="shared" si="73"/>
        <v>0</v>
      </c>
      <c r="DY40" s="822">
        <f t="shared" si="74"/>
        <v>0</v>
      </c>
      <c r="DZ40" s="821">
        <f t="shared" si="75"/>
        <v>0</v>
      </c>
      <c r="EA40" s="821" t="str">
        <f t="shared" si="76"/>
        <v/>
      </c>
      <c r="EB40" s="822" t="str">
        <f t="shared" si="77"/>
        <v/>
      </c>
      <c r="EC40" s="856" t="str">
        <f t="shared" si="78"/>
        <v/>
      </c>
      <c r="ED40" s="1006">
        <f t="shared" si="79"/>
        <v>0</v>
      </c>
      <c r="EE40" s="1293" t="str">
        <f t="shared" si="80"/>
        <v/>
      </c>
      <c r="EF40" s="1293" t="str">
        <f t="shared" si="81"/>
        <v/>
      </c>
      <c r="EG40" s="1293" t="str">
        <f t="shared" si="82"/>
        <v/>
      </c>
      <c r="EH40" s="856" t="e">
        <f t="shared" si="83"/>
        <v>#N/A</v>
      </c>
      <c r="EI40" s="856" t="e">
        <f t="shared" si="84"/>
        <v>#N/A</v>
      </c>
      <c r="EJ40" s="822" t="str">
        <f t="shared" si="85"/>
        <v/>
      </c>
      <c r="EK40" s="822" t="str">
        <f t="shared" si="85"/>
        <v/>
      </c>
      <c r="EL40" s="1293" t="str">
        <f t="shared" si="86"/>
        <v/>
      </c>
      <c r="EM40" s="822" t="str">
        <f t="shared" si="87"/>
        <v/>
      </c>
      <c r="EN40" s="822" t="str">
        <f t="shared" si="88"/>
        <v/>
      </c>
      <c r="EO40" s="856" t="e">
        <f t="shared" si="89"/>
        <v>#N/A</v>
      </c>
      <c r="EP40" s="856" t="e">
        <f t="shared" si="90"/>
        <v>#N/A</v>
      </c>
      <c r="EQ40" s="1293" t="str">
        <f t="shared" si="91"/>
        <v/>
      </c>
      <c r="ER40" s="822" t="str">
        <f t="shared" si="91"/>
        <v/>
      </c>
      <c r="ES40" s="822" t="str">
        <f t="shared" si="92"/>
        <v/>
      </c>
      <c r="ET40" s="822" t="str">
        <f t="shared" si="93"/>
        <v/>
      </c>
      <c r="EU40" s="829" t="str">
        <f t="shared" si="94"/>
        <v/>
      </c>
      <c r="EV40" s="824" t="str">
        <f t="shared" si="95"/>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96"/>
        <v/>
      </c>
      <c r="FA40" s="829" t="str">
        <f>IF(AND(DE40="G", ISBLANK(BW40), ISBLANK(BX40)),VLOOKUP(MIN(BT40:BU40),TblJoistSize!$M$3:$N$10,2),IF(OR(DE40="B", DE40="G"),MIN(BW40:BX40),""))</f>
        <v/>
      </c>
      <c r="FB40" s="829" t="str">
        <f>IF(AND(DE40="G", ISBLANK(BW40), ISBLANK(BX40)),VLOOKUP(MAX(BT40:BU40),TblJoistSize!$M$3:$N$10,2),IF(OR(DE40="B", DE40="G"),MAX(BW40:BX40),""))</f>
        <v/>
      </c>
      <c r="FC40" s="829" t="str">
        <f t="shared" si="97"/>
        <v/>
      </c>
      <c r="FD40" s="821">
        <f t="shared" si="124"/>
        <v>0</v>
      </c>
      <c r="FE40" s="821">
        <f t="shared" si="98"/>
        <v>0</v>
      </c>
      <c r="FF40" s="821">
        <f t="shared" si="99"/>
        <v>0</v>
      </c>
      <c r="FG40" s="821" t="str">
        <f t="shared" si="100"/>
        <v/>
      </c>
      <c r="FH40" s="822" t="str">
        <f t="shared" si="101"/>
        <v/>
      </c>
      <c r="FI40" s="821">
        <f t="shared" si="125"/>
        <v>0</v>
      </c>
      <c r="FJ40" s="821">
        <f t="shared" si="102"/>
        <v>0</v>
      </c>
      <c r="FK40" s="821">
        <f t="shared" si="103"/>
        <v>0</v>
      </c>
      <c r="FL40" s="821" t="str">
        <f t="shared" si="104"/>
        <v/>
      </c>
      <c r="FM40" s="822" t="str">
        <f t="shared" si="105"/>
        <v/>
      </c>
      <c r="FN40" s="822" t="e">
        <f t="shared" si="106"/>
        <v>#VALUE!</v>
      </c>
      <c r="FO40" s="940" t="e">
        <f t="shared" si="107"/>
        <v>#VALUE!</v>
      </c>
      <c r="FP40" s="940" t="e">
        <f t="shared" si="108"/>
        <v>#VALUE!</v>
      </c>
      <c r="FQ40" s="830" t="e">
        <f t="shared" si="109"/>
        <v>#VALUE!</v>
      </c>
      <c r="FR40" s="831" t="e">
        <f t="shared" si="110"/>
        <v>#VALUE!</v>
      </c>
      <c r="FS40" s="832" t="str">
        <f t="shared" si="111"/>
        <v/>
      </c>
      <c r="FT40" s="833" t="str">
        <f t="shared" si="112"/>
        <v/>
      </c>
      <c r="FU40" s="870">
        <f t="shared" si="113"/>
        <v>0</v>
      </c>
      <c r="FV40" s="871">
        <f t="shared" si="114"/>
        <v>0</v>
      </c>
      <c r="GA40" s="1791" t="str">
        <f t="shared" si="115"/>
        <v/>
      </c>
      <c r="GB40" s="1792" t="str">
        <f t="shared" si="116"/>
        <v/>
      </c>
      <c r="GC40" s="1793" t="str">
        <f t="shared" si="117"/>
        <v/>
      </c>
      <c r="GD40" s="1794" t="str">
        <f t="shared" si="118"/>
        <v/>
      </c>
      <c r="GE40" s="1795" t="str">
        <f t="shared" si="119"/>
        <v/>
      </c>
      <c r="GF40" s="600" t="str">
        <f t="shared" si="120"/>
        <v/>
      </c>
      <c r="GG40" s="1130"/>
      <c r="GH40" s="1131"/>
      <c r="GI40" s="1130"/>
      <c r="GJ40" s="1131"/>
      <c r="GK40" s="1638">
        <f t="shared" si="121"/>
        <v>0</v>
      </c>
      <c r="GL40" s="1636" t="e">
        <f t="shared" si="122"/>
        <v>#VALUE!</v>
      </c>
      <c r="GM40" s="1637" t="e">
        <f>IF(ABS(GK40-GL40)&gt;='Job Info.'!$L$22,ABS(GK40-GL40),0)</f>
        <v>#VALUE!</v>
      </c>
      <c r="HA40" s="1269"/>
      <c r="HB40" s="1270"/>
      <c r="HC40" s="1270"/>
      <c r="HD40" s="1271"/>
      <c r="HE40" s="1272"/>
      <c r="HF40" s="1270"/>
      <c r="HG40" s="1270"/>
      <c r="HH40" s="1270"/>
      <c r="HI40" s="1273"/>
      <c r="HJ40" s="1270"/>
      <c r="HK40" s="1270"/>
      <c r="HL40" s="1270"/>
      <c r="HM40" s="1270"/>
      <c r="HN40" s="1270"/>
      <c r="HO40" s="1270"/>
      <c r="HP40" s="1270"/>
      <c r="HQ40" s="1273"/>
      <c r="HR40" s="1270"/>
      <c r="HS40" s="1270"/>
      <c r="HT40" s="1270"/>
      <c r="HU40" s="1270"/>
      <c r="HV40" s="1270"/>
      <c r="HW40" s="1272"/>
      <c r="HX40" s="1272"/>
      <c r="HY40" s="1272"/>
      <c r="HZ40" s="1272"/>
      <c r="IA40" s="1272"/>
      <c r="IB40" s="1272"/>
      <c r="IC40" s="1272"/>
      <c r="ID40" s="1272"/>
      <c r="IE40" s="1272"/>
      <c r="IF40" s="1274"/>
    </row>
    <row r="41" spans="1:240" ht="12.6" customHeight="1" x14ac:dyDescent="0.25">
      <c r="A41" s="1448" t="str">
        <f t="shared" si="1"/>
        <v/>
      </c>
      <c r="B41" s="1681" t="str">
        <f t="shared" si="2"/>
        <v/>
      </c>
      <c r="C41" s="1449" t="str">
        <f t="shared" si="3"/>
        <v/>
      </c>
      <c r="D41" s="1705" t="str">
        <f t="shared" si="4"/>
        <v/>
      </c>
      <c r="E41" s="1706" t="str">
        <f t="shared" si="5"/>
        <v/>
      </c>
      <c r="F41" s="1714" t="str">
        <f t="shared" si="6"/>
        <v/>
      </c>
      <c r="G41" s="1709" t="str">
        <f t="shared" si="7"/>
        <v/>
      </c>
      <c r="H41" s="1779" t="str">
        <f t="shared" si="8"/>
        <v/>
      </c>
      <c r="I41" s="1705" t="str">
        <f t="shared" si="9"/>
        <v/>
      </c>
      <c r="J41" s="1709" t="str">
        <f t="shared" si="10"/>
        <v/>
      </c>
      <c r="K41" s="1796" t="str">
        <f t="shared" si="11"/>
        <v/>
      </c>
      <c r="L41" s="1712" t="str">
        <f t="shared" si="12"/>
        <v/>
      </c>
      <c r="M41" s="1713" t="str">
        <f t="shared" si="13"/>
        <v/>
      </c>
      <c r="N41" s="1708" t="str">
        <f t="shared" si="14"/>
        <v/>
      </c>
      <c r="O41" s="1709" t="str">
        <f t="shared" si="15"/>
        <v/>
      </c>
      <c r="P41" s="1710" t="str">
        <f t="shared" si="16"/>
        <v/>
      </c>
      <c r="Q41" s="1705" t="str">
        <f t="shared" si="17"/>
        <v/>
      </c>
      <c r="R41" s="1709" t="str">
        <f t="shared" si="18"/>
        <v/>
      </c>
      <c r="S41" s="1711" t="str">
        <f t="shared" si="19"/>
        <v/>
      </c>
      <c r="T41" s="1714" t="str">
        <f t="shared" si="20"/>
        <v/>
      </c>
      <c r="U41" s="1709" t="str">
        <f t="shared" si="21"/>
        <v/>
      </c>
      <c r="V41" s="1705" t="str">
        <f t="shared" si="22"/>
        <v/>
      </c>
      <c r="W41" s="1709" t="str">
        <f t="shared" si="23"/>
        <v/>
      </c>
      <c r="X41" s="1713">
        <f t="shared" si="24"/>
        <v>0</v>
      </c>
      <c r="Y41" s="1781" t="str">
        <f t="shared" si="25"/>
        <v/>
      </c>
      <c r="Z41" s="1782" t="str">
        <f t="shared" si="26"/>
        <v/>
      </c>
      <c r="AA41" s="1783" t="str">
        <f t="shared" si="27"/>
        <v/>
      </c>
      <c r="AB41" s="1413"/>
      <c r="AC41" s="964" t="b">
        <v>0</v>
      </c>
      <c r="AD41" s="441">
        <f t="shared" si="28"/>
        <v>0</v>
      </c>
      <c r="AE41" s="442">
        <f t="shared" si="29"/>
        <v>0</v>
      </c>
      <c r="AF41" s="442">
        <f t="shared" si="30"/>
        <v>0</v>
      </c>
      <c r="AG41" s="442">
        <f t="shared" si="31"/>
        <v>0</v>
      </c>
      <c r="AH41" s="443">
        <f t="shared" si="32"/>
        <v>0</v>
      </c>
      <c r="AI41" s="444" t="b">
        <v>0</v>
      </c>
      <c r="AJ41" s="238">
        <f t="shared" si="33"/>
        <v>0</v>
      </c>
      <c r="AK41" s="830" t="str">
        <f t="shared" si="34"/>
        <v/>
      </c>
      <c r="AL41" s="945" t="str">
        <f t="shared" si="35"/>
        <v/>
      </c>
      <c r="AM41" s="830" t="str">
        <f t="shared" si="36"/>
        <v/>
      </c>
      <c r="AN41" s="830" t="str">
        <f t="shared" si="37"/>
        <v/>
      </c>
      <c r="AO41" s="830" t="str">
        <f t="shared" si="38"/>
        <v/>
      </c>
      <c r="AP41" s="830" t="b">
        <f>IF(ISERROR(AJ41),FALSE,IF(OR(AJ41=0,ISERROR(AL41),ISERROR(AM41),ISERROR(AN41),ISERROR(AO41)),FALSE,IF(AL41&lt;&gt;"",IF(ISERROR(VLOOKUP(SUBSTITUTE(SUBSTITUTE(C41,"R",""),"A",""),TblJoistSize!$A:$A,1,FALSE)),FALSE,TRUE),TRUE)))</f>
        <v>0</v>
      </c>
      <c r="AQ41" s="1038" t="e">
        <f t="shared" si="39"/>
        <v>#N/A</v>
      </c>
      <c r="AR41" s="945" t="b">
        <f t="shared" si="40"/>
        <v>0</v>
      </c>
      <c r="AS41" s="1038" t="e">
        <f t="shared" si="41"/>
        <v>#N/A</v>
      </c>
      <c r="AT41" s="945" t="b">
        <f t="shared" si="42"/>
        <v>0</v>
      </c>
      <c r="AU41" s="946" t="str">
        <f t="shared" si="43"/>
        <v/>
      </c>
      <c r="AV41" s="830" t="str">
        <f t="shared" si="44"/>
        <v/>
      </c>
      <c r="AW41" s="830" t="str">
        <f t="shared" si="45"/>
        <v/>
      </c>
      <c r="AX41" s="830" t="str">
        <f t="shared" si="123"/>
        <v/>
      </c>
      <c r="AY41" s="1039" t="b">
        <f t="shared" si="46"/>
        <v>0</v>
      </c>
      <c r="AZ41" s="856" t="str">
        <f t="shared" si="47"/>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48"/>
        <v/>
      </c>
      <c r="BR41" s="910"/>
      <c r="BS41" s="672"/>
      <c r="BT41" s="713"/>
      <c r="BU41" s="714"/>
      <c r="BV41" s="1625"/>
      <c r="BW41" s="713"/>
      <c r="BX41" s="714"/>
      <c r="BY41" s="715"/>
      <c r="BZ41" s="716"/>
      <c r="CA41" s="680" t="str">
        <f>IF(ISERROR(DE41),"",IF(DE41="","",IF(VLOOKUP(BS41,SectInfo!$B:$N,10,FALSE)="","","X")))</f>
        <v/>
      </c>
      <c r="CB41" s="738"/>
      <c r="CC41" s="1551" t="str">
        <f t="shared" si="49"/>
        <v/>
      </c>
      <c r="CD41" s="910"/>
      <c r="CE41" s="717"/>
      <c r="CF41" s="736"/>
      <c r="CG41" s="737"/>
      <c r="CH41" s="591" t="str">
        <f t="shared" si="50"/>
        <v/>
      </c>
      <c r="CI41" s="592" t="str">
        <f t="shared" si="51"/>
        <v/>
      </c>
      <c r="CJ41" s="593" t="str">
        <f t="shared" si="52"/>
        <v/>
      </c>
      <c r="CK41" s="594" t="str">
        <f t="shared" si="53"/>
        <v/>
      </c>
      <c r="CL41" s="595" t="str">
        <f t="shared" si="54"/>
        <v/>
      </c>
      <c r="CM41" s="596" t="str">
        <f t="shared" si="55"/>
        <v/>
      </c>
      <c r="CN41" s="597" t="str">
        <f t="shared" si="56"/>
        <v/>
      </c>
      <c r="CO41" s="598" t="str">
        <f t="shared" si="57"/>
        <v/>
      </c>
      <c r="CP41" s="615" t="str">
        <f t="shared" si="58"/>
        <v/>
      </c>
      <c r="CQ41" s="616" t="str">
        <f t="shared" si="59"/>
        <v/>
      </c>
      <c r="CR41" s="750" t="str">
        <f t="shared" si="60"/>
        <v/>
      </c>
      <c r="CS41" s="751" t="str">
        <f t="shared" si="61"/>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62"/>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63"/>
        <v>0</v>
      </c>
      <c r="DO41" s="818">
        <f t="shared" si="64"/>
        <v>0</v>
      </c>
      <c r="DP41" s="822" t="str">
        <f t="shared" si="65"/>
        <v/>
      </c>
      <c r="DQ41" s="822" t="str">
        <f t="shared" si="66"/>
        <v/>
      </c>
      <c r="DR41" s="822" t="str">
        <f t="shared" si="67"/>
        <v/>
      </c>
      <c r="DS41" s="821">
        <f t="shared" si="68"/>
        <v>0</v>
      </c>
      <c r="DT41" s="821">
        <f t="shared" si="69"/>
        <v>0</v>
      </c>
      <c r="DU41" s="821" t="str">
        <f t="shared" si="70"/>
        <v/>
      </c>
      <c r="DV41" s="822" t="str">
        <f t="shared" si="71"/>
        <v/>
      </c>
      <c r="DW41" s="856" t="str">
        <f t="shared" si="72"/>
        <v/>
      </c>
      <c r="DX41" s="1006">
        <f t="shared" si="73"/>
        <v>0</v>
      </c>
      <c r="DY41" s="822">
        <f t="shared" si="74"/>
        <v>0</v>
      </c>
      <c r="DZ41" s="821">
        <f t="shared" si="75"/>
        <v>0</v>
      </c>
      <c r="EA41" s="821" t="str">
        <f t="shared" si="76"/>
        <v/>
      </c>
      <c r="EB41" s="822" t="str">
        <f t="shared" si="77"/>
        <v/>
      </c>
      <c r="EC41" s="856" t="str">
        <f t="shared" si="78"/>
        <v/>
      </c>
      <c r="ED41" s="1006">
        <f t="shared" si="79"/>
        <v>0</v>
      </c>
      <c r="EE41" s="1293" t="str">
        <f t="shared" si="80"/>
        <v/>
      </c>
      <c r="EF41" s="1293" t="str">
        <f t="shared" si="81"/>
        <v/>
      </c>
      <c r="EG41" s="1293" t="str">
        <f t="shared" si="82"/>
        <v/>
      </c>
      <c r="EH41" s="856" t="e">
        <f t="shared" si="83"/>
        <v>#N/A</v>
      </c>
      <c r="EI41" s="856" t="e">
        <f t="shared" si="84"/>
        <v>#N/A</v>
      </c>
      <c r="EJ41" s="822" t="str">
        <f t="shared" si="85"/>
        <v/>
      </c>
      <c r="EK41" s="822" t="str">
        <f t="shared" si="85"/>
        <v/>
      </c>
      <c r="EL41" s="1293" t="str">
        <f t="shared" si="86"/>
        <v/>
      </c>
      <c r="EM41" s="822" t="str">
        <f t="shared" si="87"/>
        <v/>
      </c>
      <c r="EN41" s="822" t="str">
        <f t="shared" si="88"/>
        <v/>
      </c>
      <c r="EO41" s="856" t="e">
        <f t="shared" si="89"/>
        <v>#N/A</v>
      </c>
      <c r="EP41" s="856" t="e">
        <f t="shared" si="90"/>
        <v>#N/A</v>
      </c>
      <c r="EQ41" s="1293" t="str">
        <f t="shared" si="91"/>
        <v/>
      </c>
      <c r="ER41" s="822" t="str">
        <f t="shared" si="91"/>
        <v/>
      </c>
      <c r="ES41" s="822" t="str">
        <f t="shared" si="92"/>
        <v/>
      </c>
      <c r="ET41" s="822" t="str">
        <f t="shared" si="93"/>
        <v/>
      </c>
      <c r="EU41" s="829" t="str">
        <f t="shared" si="94"/>
        <v/>
      </c>
      <c r="EV41" s="824" t="str">
        <f t="shared" si="95"/>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96"/>
        <v/>
      </c>
      <c r="FA41" s="829" t="str">
        <f>IF(AND(DE41="G", ISBLANK(BW41), ISBLANK(BX41)),VLOOKUP(MIN(BT41:BU41),TblJoistSize!$M$3:$N$10,2),IF(OR(DE41="B", DE41="G"),MIN(BW41:BX41),""))</f>
        <v/>
      </c>
      <c r="FB41" s="829" t="str">
        <f>IF(AND(DE41="G", ISBLANK(BW41), ISBLANK(BX41)),VLOOKUP(MAX(BT41:BU41),TblJoistSize!$M$3:$N$10,2),IF(OR(DE41="B", DE41="G"),MAX(BW41:BX41),""))</f>
        <v/>
      </c>
      <c r="FC41" s="829" t="str">
        <f t="shared" si="97"/>
        <v/>
      </c>
      <c r="FD41" s="821">
        <f t="shared" si="124"/>
        <v>0</v>
      </c>
      <c r="FE41" s="821">
        <f t="shared" si="98"/>
        <v>0</v>
      </c>
      <c r="FF41" s="821">
        <f t="shared" si="99"/>
        <v>0</v>
      </c>
      <c r="FG41" s="821" t="str">
        <f t="shared" si="100"/>
        <v/>
      </c>
      <c r="FH41" s="822" t="str">
        <f t="shared" si="101"/>
        <v/>
      </c>
      <c r="FI41" s="821">
        <f t="shared" si="125"/>
        <v>0</v>
      </c>
      <c r="FJ41" s="821">
        <f t="shared" si="102"/>
        <v>0</v>
      </c>
      <c r="FK41" s="821">
        <f t="shared" si="103"/>
        <v>0</v>
      </c>
      <c r="FL41" s="821" t="str">
        <f t="shared" si="104"/>
        <v/>
      </c>
      <c r="FM41" s="822" t="str">
        <f t="shared" si="105"/>
        <v/>
      </c>
      <c r="FN41" s="822" t="e">
        <f t="shared" si="106"/>
        <v>#VALUE!</v>
      </c>
      <c r="FO41" s="940" t="e">
        <f t="shared" si="107"/>
        <v>#VALUE!</v>
      </c>
      <c r="FP41" s="940" t="e">
        <f t="shared" si="108"/>
        <v>#VALUE!</v>
      </c>
      <c r="FQ41" s="830" t="e">
        <f t="shared" si="109"/>
        <v>#VALUE!</v>
      </c>
      <c r="FR41" s="831" t="e">
        <f t="shared" si="110"/>
        <v>#VALUE!</v>
      </c>
      <c r="FS41" s="832" t="str">
        <f t="shared" si="111"/>
        <v/>
      </c>
      <c r="FT41" s="833" t="str">
        <f t="shared" si="112"/>
        <v/>
      </c>
      <c r="FU41" s="870">
        <f t="shared" si="113"/>
        <v>0</v>
      </c>
      <c r="FV41" s="871">
        <f t="shared" si="114"/>
        <v>0</v>
      </c>
      <c r="GA41" s="1791" t="str">
        <f t="shared" si="115"/>
        <v/>
      </c>
      <c r="GB41" s="1792" t="str">
        <f t="shared" si="116"/>
        <v/>
      </c>
      <c r="GC41" s="1793" t="str">
        <f t="shared" si="117"/>
        <v/>
      </c>
      <c r="GD41" s="1794" t="str">
        <f t="shared" si="118"/>
        <v/>
      </c>
      <c r="GE41" s="1795" t="str">
        <f t="shared" si="119"/>
        <v/>
      </c>
      <c r="GF41" s="600" t="str">
        <f t="shared" si="120"/>
        <v/>
      </c>
      <c r="GG41" s="1130"/>
      <c r="GH41" s="1131"/>
      <c r="GI41" s="1130"/>
      <c r="GJ41" s="1131"/>
      <c r="GK41" s="1638">
        <f t="shared" si="121"/>
        <v>0</v>
      </c>
      <c r="GL41" s="1636" t="e">
        <f t="shared" si="122"/>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
        <v/>
      </c>
      <c r="B42" s="1681" t="str">
        <f t="shared" si="2"/>
        <v/>
      </c>
      <c r="C42" s="1449" t="str">
        <f t="shared" si="3"/>
        <v/>
      </c>
      <c r="D42" s="1705" t="str">
        <f t="shared" si="4"/>
        <v/>
      </c>
      <c r="E42" s="1706" t="str">
        <f t="shared" si="5"/>
        <v/>
      </c>
      <c r="F42" s="1714" t="str">
        <f t="shared" si="6"/>
        <v/>
      </c>
      <c r="G42" s="1709" t="str">
        <f t="shared" si="7"/>
        <v/>
      </c>
      <c r="H42" s="1779" t="str">
        <f t="shared" si="8"/>
        <v/>
      </c>
      <c r="I42" s="1705" t="str">
        <f t="shared" si="9"/>
        <v/>
      </c>
      <c r="J42" s="1709" t="str">
        <f t="shared" si="10"/>
        <v/>
      </c>
      <c r="K42" s="1796" t="str">
        <f t="shared" si="11"/>
        <v/>
      </c>
      <c r="L42" s="1712" t="str">
        <f t="shared" si="12"/>
        <v/>
      </c>
      <c r="M42" s="1713" t="str">
        <f t="shared" si="13"/>
        <v/>
      </c>
      <c r="N42" s="1708" t="str">
        <f t="shared" si="14"/>
        <v/>
      </c>
      <c r="O42" s="1709" t="str">
        <f t="shared" si="15"/>
        <v/>
      </c>
      <c r="P42" s="1710" t="str">
        <f t="shared" si="16"/>
        <v/>
      </c>
      <c r="Q42" s="1705" t="str">
        <f t="shared" si="17"/>
        <v/>
      </c>
      <c r="R42" s="1709" t="str">
        <f t="shared" si="18"/>
        <v/>
      </c>
      <c r="S42" s="1711" t="str">
        <f t="shared" si="19"/>
        <v/>
      </c>
      <c r="T42" s="1714" t="str">
        <f t="shared" si="20"/>
        <v/>
      </c>
      <c r="U42" s="1709" t="str">
        <f t="shared" si="21"/>
        <v/>
      </c>
      <c r="V42" s="1705" t="str">
        <f t="shared" si="22"/>
        <v/>
      </c>
      <c r="W42" s="1709" t="str">
        <f t="shared" si="23"/>
        <v/>
      </c>
      <c r="X42" s="1713">
        <f t="shared" si="24"/>
        <v>0</v>
      </c>
      <c r="Y42" s="1781" t="str">
        <f t="shared" si="25"/>
        <v/>
      </c>
      <c r="Z42" s="1782" t="str">
        <f t="shared" si="26"/>
        <v/>
      </c>
      <c r="AA42" s="1783" t="str">
        <f t="shared" si="27"/>
        <v/>
      </c>
      <c r="AB42" s="1413"/>
      <c r="AC42" s="964" t="b">
        <v>0</v>
      </c>
      <c r="AD42" s="441">
        <f t="shared" si="28"/>
        <v>0</v>
      </c>
      <c r="AE42" s="442">
        <f t="shared" si="29"/>
        <v>0</v>
      </c>
      <c r="AF42" s="442">
        <f t="shared" si="30"/>
        <v>0</v>
      </c>
      <c r="AG42" s="442">
        <f t="shared" si="31"/>
        <v>0</v>
      </c>
      <c r="AH42" s="443">
        <f t="shared" si="32"/>
        <v>0</v>
      </c>
      <c r="AI42" s="444" t="b">
        <v>0</v>
      </c>
      <c r="AJ42" s="238">
        <f t="shared" si="33"/>
        <v>0</v>
      </c>
      <c r="AK42" s="830" t="str">
        <f t="shared" si="34"/>
        <v/>
      </c>
      <c r="AL42" s="945" t="str">
        <f t="shared" si="35"/>
        <v/>
      </c>
      <c r="AM42" s="830" t="str">
        <f t="shared" si="36"/>
        <v/>
      </c>
      <c r="AN42" s="830" t="str">
        <f t="shared" si="37"/>
        <v/>
      </c>
      <c r="AO42" s="830" t="str">
        <f t="shared" si="38"/>
        <v/>
      </c>
      <c r="AP42" s="830" t="b">
        <f>IF(ISERROR(AJ42),FALSE,IF(OR(AJ42=0,ISERROR(AL42),ISERROR(AM42),ISERROR(AN42),ISERROR(AO42)),FALSE,IF(AL42&lt;&gt;"",IF(ISERROR(VLOOKUP(SUBSTITUTE(SUBSTITUTE(C42,"R",""),"A",""),TblJoistSize!$A:$A,1,FALSE)),FALSE,TRUE),TRUE)))</f>
        <v>0</v>
      </c>
      <c r="AQ42" s="1038" t="e">
        <f t="shared" si="39"/>
        <v>#N/A</v>
      </c>
      <c r="AR42" s="945" t="b">
        <f t="shared" si="40"/>
        <v>0</v>
      </c>
      <c r="AS42" s="1038" t="e">
        <f t="shared" si="41"/>
        <v>#N/A</v>
      </c>
      <c r="AT42" s="945" t="b">
        <f t="shared" si="42"/>
        <v>0</v>
      </c>
      <c r="AU42" s="946" t="str">
        <f t="shared" si="43"/>
        <v/>
      </c>
      <c r="AV42" s="830" t="str">
        <f t="shared" si="44"/>
        <v/>
      </c>
      <c r="AW42" s="830" t="str">
        <f t="shared" si="45"/>
        <v/>
      </c>
      <c r="AX42" s="830" t="str">
        <f t="shared" si="123"/>
        <v/>
      </c>
      <c r="AY42" s="1039" t="b">
        <f t="shared" si="46"/>
        <v>0</v>
      </c>
      <c r="AZ42" s="856" t="str">
        <f t="shared" si="47"/>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48"/>
        <v/>
      </c>
      <c r="BR42" s="910"/>
      <c r="BS42" s="672"/>
      <c r="BT42" s="713"/>
      <c r="BU42" s="714"/>
      <c r="BV42" s="1625"/>
      <c r="BW42" s="713"/>
      <c r="BX42" s="714"/>
      <c r="BY42" s="715"/>
      <c r="BZ42" s="716"/>
      <c r="CA42" s="680" t="str">
        <f>IF(ISERROR(DE42),"",IF(DE42="","",IF(VLOOKUP(BS42,SectInfo!$B:$N,10,FALSE)="","","X")))</f>
        <v/>
      </c>
      <c r="CB42" s="738"/>
      <c r="CC42" s="1551" t="str">
        <f t="shared" si="49"/>
        <v/>
      </c>
      <c r="CD42" s="910"/>
      <c r="CE42" s="717"/>
      <c r="CF42" s="736"/>
      <c r="CG42" s="737"/>
      <c r="CH42" s="591" t="str">
        <f t="shared" si="50"/>
        <v/>
      </c>
      <c r="CI42" s="592" t="str">
        <f t="shared" si="51"/>
        <v/>
      </c>
      <c r="CJ42" s="593" t="str">
        <f t="shared" si="52"/>
        <v/>
      </c>
      <c r="CK42" s="594" t="str">
        <f t="shared" si="53"/>
        <v/>
      </c>
      <c r="CL42" s="595" t="str">
        <f t="shared" si="54"/>
        <v/>
      </c>
      <c r="CM42" s="596" t="str">
        <f t="shared" si="55"/>
        <v/>
      </c>
      <c r="CN42" s="597" t="str">
        <f t="shared" si="56"/>
        <v/>
      </c>
      <c r="CO42" s="598" t="str">
        <f t="shared" si="57"/>
        <v/>
      </c>
      <c r="CP42" s="615" t="str">
        <f t="shared" si="58"/>
        <v/>
      </c>
      <c r="CQ42" s="616" t="str">
        <f t="shared" si="59"/>
        <v/>
      </c>
      <c r="CR42" s="750" t="str">
        <f t="shared" si="60"/>
        <v/>
      </c>
      <c r="CS42" s="751" t="str">
        <f t="shared" si="61"/>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62"/>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63"/>
        <v>0</v>
      </c>
      <c r="DO42" s="818">
        <f t="shared" si="64"/>
        <v>0</v>
      </c>
      <c r="DP42" s="822" t="str">
        <f t="shared" si="65"/>
        <v/>
      </c>
      <c r="DQ42" s="822" t="str">
        <f t="shared" si="66"/>
        <v/>
      </c>
      <c r="DR42" s="822" t="str">
        <f t="shared" si="67"/>
        <v/>
      </c>
      <c r="DS42" s="821">
        <f t="shared" si="68"/>
        <v>0</v>
      </c>
      <c r="DT42" s="821">
        <f t="shared" si="69"/>
        <v>0</v>
      </c>
      <c r="DU42" s="821" t="str">
        <f t="shared" si="70"/>
        <v/>
      </c>
      <c r="DV42" s="822" t="str">
        <f t="shared" si="71"/>
        <v/>
      </c>
      <c r="DW42" s="856" t="str">
        <f t="shared" si="72"/>
        <v/>
      </c>
      <c r="DX42" s="1006">
        <f t="shared" si="73"/>
        <v>0</v>
      </c>
      <c r="DY42" s="822">
        <f t="shared" si="74"/>
        <v>0</v>
      </c>
      <c r="DZ42" s="821">
        <f t="shared" si="75"/>
        <v>0</v>
      </c>
      <c r="EA42" s="821" t="str">
        <f t="shared" si="76"/>
        <v/>
      </c>
      <c r="EB42" s="822" t="str">
        <f t="shared" si="77"/>
        <v/>
      </c>
      <c r="EC42" s="856" t="str">
        <f t="shared" si="78"/>
        <v/>
      </c>
      <c r="ED42" s="1006">
        <f t="shared" si="79"/>
        <v>0</v>
      </c>
      <c r="EE42" s="1293" t="str">
        <f t="shared" si="80"/>
        <v/>
      </c>
      <c r="EF42" s="1293" t="str">
        <f t="shared" si="81"/>
        <v/>
      </c>
      <c r="EG42" s="1293" t="str">
        <f t="shared" si="82"/>
        <v/>
      </c>
      <c r="EH42" s="856" t="e">
        <f t="shared" si="83"/>
        <v>#N/A</v>
      </c>
      <c r="EI42" s="856" t="e">
        <f t="shared" si="84"/>
        <v>#N/A</v>
      </c>
      <c r="EJ42" s="822" t="str">
        <f t="shared" si="85"/>
        <v/>
      </c>
      <c r="EK42" s="822" t="str">
        <f t="shared" si="85"/>
        <v/>
      </c>
      <c r="EL42" s="1293" t="str">
        <f t="shared" si="86"/>
        <v/>
      </c>
      <c r="EM42" s="822" t="str">
        <f t="shared" si="87"/>
        <v/>
      </c>
      <c r="EN42" s="822" t="str">
        <f t="shared" si="88"/>
        <v/>
      </c>
      <c r="EO42" s="856" t="e">
        <f t="shared" si="89"/>
        <v>#N/A</v>
      </c>
      <c r="EP42" s="856" t="e">
        <f t="shared" si="90"/>
        <v>#N/A</v>
      </c>
      <c r="EQ42" s="1293" t="str">
        <f t="shared" si="91"/>
        <v/>
      </c>
      <c r="ER42" s="822" t="str">
        <f t="shared" si="91"/>
        <v/>
      </c>
      <c r="ES42" s="822" t="str">
        <f t="shared" si="92"/>
        <v/>
      </c>
      <c r="ET42" s="822" t="str">
        <f t="shared" si="93"/>
        <v/>
      </c>
      <c r="EU42" s="829" t="str">
        <f t="shared" si="94"/>
        <v/>
      </c>
      <c r="EV42" s="824" t="str">
        <f t="shared" si="95"/>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96"/>
        <v/>
      </c>
      <c r="FA42" s="829" t="str">
        <f>IF(AND(DE42="G", ISBLANK(BW42), ISBLANK(BX42)),VLOOKUP(MIN(BT42:BU42),TblJoistSize!$M$3:$N$10,2),IF(OR(DE42="B", DE42="G"),MIN(BW42:BX42),""))</f>
        <v/>
      </c>
      <c r="FB42" s="829" t="str">
        <f>IF(AND(DE42="G", ISBLANK(BW42), ISBLANK(BX42)),VLOOKUP(MAX(BT42:BU42),TblJoistSize!$M$3:$N$10,2),IF(OR(DE42="B", DE42="G"),MAX(BW42:BX42),""))</f>
        <v/>
      </c>
      <c r="FC42" s="829" t="str">
        <f t="shared" si="97"/>
        <v/>
      </c>
      <c r="FD42" s="821">
        <f t="shared" si="124"/>
        <v>0</v>
      </c>
      <c r="FE42" s="821">
        <f t="shared" si="98"/>
        <v>0</v>
      </c>
      <c r="FF42" s="821">
        <f t="shared" si="99"/>
        <v>0</v>
      </c>
      <c r="FG42" s="821" t="str">
        <f t="shared" si="100"/>
        <v/>
      </c>
      <c r="FH42" s="822" t="str">
        <f t="shared" si="101"/>
        <v/>
      </c>
      <c r="FI42" s="821">
        <f t="shared" si="125"/>
        <v>0</v>
      </c>
      <c r="FJ42" s="821">
        <f t="shared" si="102"/>
        <v>0</v>
      </c>
      <c r="FK42" s="821">
        <f t="shared" si="103"/>
        <v>0</v>
      </c>
      <c r="FL42" s="821" t="str">
        <f t="shared" si="104"/>
        <v/>
      </c>
      <c r="FM42" s="822" t="str">
        <f t="shared" si="105"/>
        <v/>
      </c>
      <c r="FN42" s="822" t="e">
        <f t="shared" si="106"/>
        <v>#VALUE!</v>
      </c>
      <c r="FO42" s="940" t="e">
        <f t="shared" si="107"/>
        <v>#VALUE!</v>
      </c>
      <c r="FP42" s="940" t="e">
        <f t="shared" si="108"/>
        <v>#VALUE!</v>
      </c>
      <c r="FQ42" s="830" t="e">
        <f t="shared" si="109"/>
        <v>#VALUE!</v>
      </c>
      <c r="FR42" s="831" t="e">
        <f t="shared" si="110"/>
        <v>#VALUE!</v>
      </c>
      <c r="FS42" s="832" t="str">
        <f t="shared" si="111"/>
        <v/>
      </c>
      <c r="FT42" s="833" t="str">
        <f t="shared" si="112"/>
        <v/>
      </c>
      <c r="FU42" s="870">
        <f t="shared" si="113"/>
        <v>0</v>
      </c>
      <c r="FV42" s="871">
        <f t="shared" si="114"/>
        <v>0</v>
      </c>
      <c r="GA42" s="1791" t="str">
        <f t="shared" si="115"/>
        <v/>
      </c>
      <c r="GB42" s="1792" t="str">
        <f t="shared" si="116"/>
        <v/>
      </c>
      <c r="GC42" s="1793" t="str">
        <f t="shared" si="117"/>
        <v/>
      </c>
      <c r="GD42" s="1794" t="str">
        <f t="shared" si="118"/>
        <v/>
      </c>
      <c r="GE42" s="1795" t="str">
        <f t="shared" si="119"/>
        <v/>
      </c>
      <c r="GF42" s="600" t="str">
        <f t="shared" si="120"/>
        <v/>
      </c>
      <c r="GG42" s="1130"/>
      <c r="GH42" s="1131"/>
      <c r="GI42" s="1130"/>
      <c r="GJ42" s="1131"/>
      <c r="GK42" s="1638">
        <f t="shared" si="121"/>
        <v>0</v>
      </c>
      <c r="GL42" s="1636" t="e">
        <f t="shared" si="122"/>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
        <v/>
      </c>
      <c r="B43" s="1681" t="str">
        <f t="shared" si="2"/>
        <v/>
      </c>
      <c r="C43" s="1449" t="str">
        <f t="shared" si="3"/>
        <v/>
      </c>
      <c r="D43" s="1705" t="str">
        <f t="shared" si="4"/>
        <v/>
      </c>
      <c r="E43" s="1706" t="str">
        <f t="shared" si="5"/>
        <v/>
      </c>
      <c r="F43" s="1714" t="str">
        <f t="shared" si="6"/>
        <v/>
      </c>
      <c r="G43" s="1709" t="str">
        <f t="shared" si="7"/>
        <v/>
      </c>
      <c r="H43" s="1779" t="str">
        <f t="shared" si="8"/>
        <v/>
      </c>
      <c r="I43" s="1705" t="str">
        <f t="shared" si="9"/>
        <v/>
      </c>
      <c r="J43" s="1709" t="str">
        <f t="shared" si="10"/>
        <v/>
      </c>
      <c r="K43" s="1796" t="str">
        <f t="shared" si="11"/>
        <v/>
      </c>
      <c r="L43" s="1712" t="str">
        <f t="shared" si="12"/>
        <v/>
      </c>
      <c r="M43" s="1713" t="str">
        <f t="shared" si="13"/>
        <v/>
      </c>
      <c r="N43" s="1708" t="str">
        <f t="shared" si="14"/>
        <v/>
      </c>
      <c r="O43" s="1709" t="str">
        <f t="shared" si="15"/>
        <v/>
      </c>
      <c r="P43" s="1710" t="str">
        <f t="shared" si="16"/>
        <v/>
      </c>
      <c r="Q43" s="1705" t="str">
        <f t="shared" si="17"/>
        <v/>
      </c>
      <c r="R43" s="1709" t="str">
        <f t="shared" si="18"/>
        <v/>
      </c>
      <c r="S43" s="1711" t="str">
        <f t="shared" si="19"/>
        <v/>
      </c>
      <c r="T43" s="1714" t="str">
        <f t="shared" si="20"/>
        <v/>
      </c>
      <c r="U43" s="1709" t="str">
        <f t="shared" si="21"/>
        <v/>
      </c>
      <c r="V43" s="1705" t="str">
        <f t="shared" si="22"/>
        <v/>
      </c>
      <c r="W43" s="1709" t="str">
        <f t="shared" si="23"/>
        <v/>
      </c>
      <c r="X43" s="1713">
        <f t="shared" si="24"/>
        <v>0</v>
      </c>
      <c r="Y43" s="1781" t="str">
        <f t="shared" si="25"/>
        <v/>
      </c>
      <c r="Z43" s="1782" t="str">
        <f t="shared" si="26"/>
        <v/>
      </c>
      <c r="AA43" s="1783" t="str">
        <f t="shared" si="27"/>
        <v/>
      </c>
      <c r="AB43" s="1413"/>
      <c r="AC43" s="964" t="b">
        <v>0</v>
      </c>
      <c r="AD43" s="441">
        <f t="shared" si="28"/>
        <v>0</v>
      </c>
      <c r="AE43" s="442">
        <f t="shared" si="29"/>
        <v>0</v>
      </c>
      <c r="AF43" s="442">
        <f t="shared" si="30"/>
        <v>0</v>
      </c>
      <c r="AG43" s="442">
        <f t="shared" si="31"/>
        <v>0</v>
      </c>
      <c r="AH43" s="443">
        <f t="shared" si="32"/>
        <v>0</v>
      </c>
      <c r="AI43" s="444" t="b">
        <v>0</v>
      </c>
      <c r="AJ43" s="238">
        <f t="shared" si="33"/>
        <v>0</v>
      </c>
      <c r="AK43" s="830" t="str">
        <f t="shared" si="34"/>
        <v/>
      </c>
      <c r="AL43" s="945" t="str">
        <f t="shared" si="35"/>
        <v/>
      </c>
      <c r="AM43" s="830" t="str">
        <f t="shared" si="36"/>
        <v/>
      </c>
      <c r="AN43" s="830" t="str">
        <f t="shared" si="37"/>
        <v/>
      </c>
      <c r="AO43" s="830" t="str">
        <f t="shared" si="38"/>
        <v/>
      </c>
      <c r="AP43" s="830" t="b">
        <f>IF(ISERROR(AJ43),FALSE,IF(OR(AJ43=0,ISERROR(AL43),ISERROR(AM43),ISERROR(AN43),ISERROR(AO43)),FALSE,IF(AL43&lt;&gt;"",IF(ISERROR(VLOOKUP(SUBSTITUTE(SUBSTITUTE(C43,"R",""),"A",""),TblJoistSize!$A:$A,1,FALSE)),FALSE,TRUE),TRUE)))</f>
        <v>0</v>
      </c>
      <c r="AQ43" s="1038" t="e">
        <f t="shared" si="39"/>
        <v>#N/A</v>
      </c>
      <c r="AR43" s="945" t="b">
        <f t="shared" si="40"/>
        <v>0</v>
      </c>
      <c r="AS43" s="1038" t="e">
        <f t="shared" si="41"/>
        <v>#N/A</v>
      </c>
      <c r="AT43" s="945" t="b">
        <f t="shared" si="42"/>
        <v>0</v>
      </c>
      <c r="AU43" s="946" t="str">
        <f t="shared" si="43"/>
        <v/>
      </c>
      <c r="AV43" s="830" t="str">
        <f t="shared" si="44"/>
        <v/>
      </c>
      <c r="AW43" s="830" t="str">
        <f t="shared" si="45"/>
        <v/>
      </c>
      <c r="AX43" s="830" t="str">
        <f t="shared" si="123"/>
        <v/>
      </c>
      <c r="AY43" s="1039" t="b">
        <f t="shared" si="46"/>
        <v>0</v>
      </c>
      <c r="AZ43" s="856" t="str">
        <f t="shared" si="47"/>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48"/>
        <v/>
      </c>
      <c r="BR43" s="910"/>
      <c r="BS43" s="672"/>
      <c r="BT43" s="713"/>
      <c r="BU43" s="714"/>
      <c r="BV43" s="1625"/>
      <c r="BW43" s="713"/>
      <c r="BX43" s="714"/>
      <c r="BY43" s="715"/>
      <c r="BZ43" s="716"/>
      <c r="CA43" s="680" t="str">
        <f>IF(ISERROR(DE43),"",IF(DE43="","",IF(VLOOKUP(BS43,SectInfo!$B:$N,10,FALSE)="","","X")))</f>
        <v/>
      </c>
      <c r="CB43" s="738"/>
      <c r="CC43" s="1551" t="str">
        <f t="shared" si="49"/>
        <v/>
      </c>
      <c r="CD43" s="910"/>
      <c r="CE43" s="717"/>
      <c r="CF43" s="736"/>
      <c r="CG43" s="737"/>
      <c r="CH43" s="591" t="str">
        <f t="shared" si="50"/>
        <v/>
      </c>
      <c r="CI43" s="592" t="str">
        <f t="shared" si="51"/>
        <v/>
      </c>
      <c r="CJ43" s="593" t="str">
        <f t="shared" si="52"/>
        <v/>
      </c>
      <c r="CK43" s="594" t="str">
        <f t="shared" si="53"/>
        <v/>
      </c>
      <c r="CL43" s="595" t="str">
        <f t="shared" si="54"/>
        <v/>
      </c>
      <c r="CM43" s="596" t="str">
        <f t="shared" si="55"/>
        <v/>
      </c>
      <c r="CN43" s="597" t="str">
        <f t="shared" si="56"/>
        <v/>
      </c>
      <c r="CO43" s="598" t="str">
        <f t="shared" si="57"/>
        <v/>
      </c>
      <c r="CP43" s="615" t="str">
        <f t="shared" si="58"/>
        <v/>
      </c>
      <c r="CQ43" s="616" t="str">
        <f t="shared" si="59"/>
        <v/>
      </c>
      <c r="CR43" s="750" t="str">
        <f t="shared" si="60"/>
        <v/>
      </c>
      <c r="CS43" s="751" t="str">
        <f t="shared" si="61"/>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62"/>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63"/>
        <v>0</v>
      </c>
      <c r="DO43" s="818">
        <f t="shared" si="64"/>
        <v>0</v>
      </c>
      <c r="DP43" s="822" t="str">
        <f t="shared" si="65"/>
        <v/>
      </c>
      <c r="DQ43" s="822" t="str">
        <f t="shared" si="66"/>
        <v/>
      </c>
      <c r="DR43" s="822" t="str">
        <f t="shared" si="67"/>
        <v/>
      </c>
      <c r="DS43" s="821">
        <f t="shared" si="68"/>
        <v>0</v>
      </c>
      <c r="DT43" s="821">
        <f t="shared" si="69"/>
        <v>0</v>
      </c>
      <c r="DU43" s="821" t="str">
        <f t="shared" si="70"/>
        <v/>
      </c>
      <c r="DV43" s="822" t="str">
        <f t="shared" si="71"/>
        <v/>
      </c>
      <c r="DW43" s="856" t="str">
        <f t="shared" si="72"/>
        <v/>
      </c>
      <c r="DX43" s="1006">
        <f t="shared" si="73"/>
        <v>0</v>
      </c>
      <c r="DY43" s="822">
        <f t="shared" si="74"/>
        <v>0</v>
      </c>
      <c r="DZ43" s="821">
        <f t="shared" si="75"/>
        <v>0</v>
      </c>
      <c r="EA43" s="821" t="str">
        <f t="shared" si="76"/>
        <v/>
      </c>
      <c r="EB43" s="822" t="str">
        <f t="shared" si="77"/>
        <v/>
      </c>
      <c r="EC43" s="856" t="str">
        <f t="shared" si="78"/>
        <v/>
      </c>
      <c r="ED43" s="1006">
        <f t="shared" si="79"/>
        <v>0</v>
      </c>
      <c r="EE43" s="1293" t="str">
        <f t="shared" si="80"/>
        <v/>
      </c>
      <c r="EF43" s="1293" t="str">
        <f t="shared" si="81"/>
        <v/>
      </c>
      <c r="EG43" s="1293" t="str">
        <f t="shared" si="82"/>
        <v/>
      </c>
      <c r="EH43" s="856" t="e">
        <f t="shared" si="83"/>
        <v>#N/A</v>
      </c>
      <c r="EI43" s="856" t="e">
        <f t="shared" si="84"/>
        <v>#N/A</v>
      </c>
      <c r="EJ43" s="822" t="str">
        <f t="shared" si="85"/>
        <v/>
      </c>
      <c r="EK43" s="822" t="str">
        <f t="shared" si="85"/>
        <v/>
      </c>
      <c r="EL43" s="1293" t="str">
        <f t="shared" si="86"/>
        <v/>
      </c>
      <c r="EM43" s="822" t="str">
        <f t="shared" si="87"/>
        <v/>
      </c>
      <c r="EN43" s="822" t="str">
        <f t="shared" si="88"/>
        <v/>
      </c>
      <c r="EO43" s="856" t="e">
        <f t="shared" si="89"/>
        <v>#N/A</v>
      </c>
      <c r="EP43" s="856" t="e">
        <f t="shared" si="90"/>
        <v>#N/A</v>
      </c>
      <c r="EQ43" s="1293" t="str">
        <f t="shared" si="91"/>
        <v/>
      </c>
      <c r="ER43" s="822" t="str">
        <f t="shared" si="91"/>
        <v/>
      </c>
      <c r="ES43" s="822" t="str">
        <f t="shared" si="92"/>
        <v/>
      </c>
      <c r="ET43" s="822" t="str">
        <f t="shared" si="93"/>
        <v/>
      </c>
      <c r="EU43" s="829" t="str">
        <f t="shared" si="94"/>
        <v/>
      </c>
      <c r="EV43" s="824" t="str">
        <f t="shared" si="95"/>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96"/>
        <v/>
      </c>
      <c r="FA43" s="829" t="str">
        <f>IF(AND(DE43="G", ISBLANK(BW43), ISBLANK(BX43)),VLOOKUP(MIN(BT43:BU43),TblJoistSize!$M$3:$N$10,2),IF(OR(DE43="B", DE43="G"),MIN(BW43:BX43),""))</f>
        <v/>
      </c>
      <c r="FB43" s="829" t="str">
        <f>IF(AND(DE43="G", ISBLANK(BW43), ISBLANK(BX43)),VLOOKUP(MAX(BT43:BU43),TblJoistSize!$M$3:$N$10,2),IF(OR(DE43="B", DE43="G"),MAX(BW43:BX43),""))</f>
        <v/>
      </c>
      <c r="FC43" s="829" t="str">
        <f t="shared" si="97"/>
        <v/>
      </c>
      <c r="FD43" s="821">
        <f t="shared" si="124"/>
        <v>0</v>
      </c>
      <c r="FE43" s="821">
        <f t="shared" si="98"/>
        <v>0</v>
      </c>
      <c r="FF43" s="821">
        <f t="shared" si="99"/>
        <v>0</v>
      </c>
      <c r="FG43" s="821" t="str">
        <f t="shared" si="100"/>
        <v/>
      </c>
      <c r="FH43" s="822" t="str">
        <f t="shared" si="101"/>
        <v/>
      </c>
      <c r="FI43" s="821">
        <f t="shared" si="125"/>
        <v>0</v>
      </c>
      <c r="FJ43" s="821">
        <f t="shared" si="102"/>
        <v>0</v>
      </c>
      <c r="FK43" s="821">
        <f t="shared" si="103"/>
        <v>0</v>
      </c>
      <c r="FL43" s="821" t="str">
        <f t="shared" si="104"/>
        <v/>
      </c>
      <c r="FM43" s="822" t="str">
        <f t="shared" si="105"/>
        <v/>
      </c>
      <c r="FN43" s="822" t="e">
        <f t="shared" si="106"/>
        <v>#VALUE!</v>
      </c>
      <c r="FO43" s="940" t="e">
        <f t="shared" si="107"/>
        <v>#VALUE!</v>
      </c>
      <c r="FP43" s="940" t="e">
        <f t="shared" si="108"/>
        <v>#VALUE!</v>
      </c>
      <c r="FQ43" s="830" t="e">
        <f t="shared" si="109"/>
        <v>#VALUE!</v>
      </c>
      <c r="FR43" s="831" t="e">
        <f t="shared" si="110"/>
        <v>#VALUE!</v>
      </c>
      <c r="FS43" s="832" t="str">
        <f t="shared" si="111"/>
        <v/>
      </c>
      <c r="FT43" s="833" t="str">
        <f t="shared" si="112"/>
        <v/>
      </c>
      <c r="FU43" s="870">
        <f t="shared" si="113"/>
        <v>0</v>
      </c>
      <c r="FV43" s="871">
        <f t="shared" si="114"/>
        <v>0</v>
      </c>
      <c r="GA43" s="1791" t="str">
        <f t="shared" si="115"/>
        <v/>
      </c>
      <c r="GB43" s="1792" t="str">
        <f t="shared" si="116"/>
        <v/>
      </c>
      <c r="GC43" s="1793" t="str">
        <f t="shared" si="117"/>
        <v/>
      </c>
      <c r="GD43" s="1794" t="str">
        <f t="shared" si="118"/>
        <v/>
      </c>
      <c r="GE43" s="1795" t="str">
        <f t="shared" si="119"/>
        <v/>
      </c>
      <c r="GF43" s="600" t="str">
        <f t="shared" si="120"/>
        <v/>
      </c>
      <c r="GG43" s="1130"/>
      <c r="GH43" s="1131"/>
      <c r="GI43" s="1130"/>
      <c r="GJ43" s="1131"/>
      <c r="GK43" s="1638">
        <f t="shared" si="121"/>
        <v>0</v>
      </c>
      <c r="GL43" s="1636" t="e">
        <f t="shared" si="122"/>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
        <v/>
      </c>
      <c r="B44" s="1681" t="str">
        <f t="shared" si="2"/>
        <v/>
      </c>
      <c r="C44" s="1449" t="str">
        <f t="shared" si="3"/>
        <v/>
      </c>
      <c r="D44" s="1705" t="str">
        <f t="shared" si="4"/>
        <v/>
      </c>
      <c r="E44" s="1706" t="str">
        <f t="shared" si="5"/>
        <v/>
      </c>
      <c r="F44" s="1714" t="str">
        <f t="shared" si="6"/>
        <v/>
      </c>
      <c r="G44" s="1709" t="str">
        <f t="shared" si="7"/>
        <v/>
      </c>
      <c r="H44" s="1779" t="str">
        <f t="shared" si="8"/>
        <v/>
      </c>
      <c r="I44" s="1705" t="str">
        <f t="shared" si="9"/>
        <v/>
      </c>
      <c r="J44" s="1709" t="str">
        <f t="shared" si="10"/>
        <v/>
      </c>
      <c r="K44" s="1796" t="str">
        <f t="shared" si="11"/>
        <v/>
      </c>
      <c r="L44" s="1712" t="str">
        <f t="shared" si="12"/>
        <v/>
      </c>
      <c r="M44" s="1713" t="str">
        <f t="shared" si="13"/>
        <v/>
      </c>
      <c r="N44" s="1708" t="str">
        <f t="shared" si="14"/>
        <v/>
      </c>
      <c r="O44" s="1709" t="str">
        <f t="shared" si="15"/>
        <v/>
      </c>
      <c r="P44" s="1710" t="str">
        <f t="shared" si="16"/>
        <v/>
      </c>
      <c r="Q44" s="1705" t="str">
        <f t="shared" si="17"/>
        <v/>
      </c>
      <c r="R44" s="1709" t="str">
        <f t="shared" si="18"/>
        <v/>
      </c>
      <c r="S44" s="1711" t="str">
        <f t="shared" si="19"/>
        <v/>
      </c>
      <c r="T44" s="1714" t="str">
        <f t="shared" si="20"/>
        <v/>
      </c>
      <c r="U44" s="1709" t="str">
        <f t="shared" si="21"/>
        <v/>
      </c>
      <c r="V44" s="1705" t="str">
        <f t="shared" si="22"/>
        <v/>
      </c>
      <c r="W44" s="1709" t="str">
        <f t="shared" si="23"/>
        <v/>
      </c>
      <c r="X44" s="1713">
        <f t="shared" si="24"/>
        <v>0</v>
      </c>
      <c r="Y44" s="1781" t="str">
        <f t="shared" si="25"/>
        <v/>
      </c>
      <c r="Z44" s="1782" t="str">
        <f t="shared" si="26"/>
        <v/>
      </c>
      <c r="AA44" s="1783" t="str">
        <f t="shared" si="27"/>
        <v/>
      </c>
      <c r="AB44" s="1413"/>
      <c r="AC44" s="964" t="b">
        <v>0</v>
      </c>
      <c r="AD44" s="441">
        <f t="shared" si="28"/>
        <v>0</v>
      </c>
      <c r="AE44" s="442">
        <f t="shared" si="29"/>
        <v>0</v>
      </c>
      <c r="AF44" s="442">
        <f t="shared" si="30"/>
        <v>0</v>
      </c>
      <c r="AG44" s="442">
        <f t="shared" si="31"/>
        <v>0</v>
      </c>
      <c r="AH44" s="443">
        <f t="shared" si="32"/>
        <v>0</v>
      </c>
      <c r="AI44" s="444" t="b">
        <v>0</v>
      </c>
      <c r="AJ44" s="238">
        <f t="shared" si="33"/>
        <v>0</v>
      </c>
      <c r="AK44" s="830" t="str">
        <f t="shared" si="34"/>
        <v/>
      </c>
      <c r="AL44" s="945" t="str">
        <f t="shared" si="35"/>
        <v/>
      </c>
      <c r="AM44" s="830" t="str">
        <f t="shared" si="36"/>
        <v/>
      </c>
      <c r="AN44" s="830" t="str">
        <f t="shared" si="37"/>
        <v/>
      </c>
      <c r="AO44" s="830" t="str">
        <f t="shared" si="38"/>
        <v/>
      </c>
      <c r="AP44" s="830" t="b">
        <f>IF(ISERROR(AJ44),FALSE,IF(OR(AJ44=0,ISERROR(AL44),ISERROR(AM44),ISERROR(AN44),ISERROR(AO44)),FALSE,IF(AL44&lt;&gt;"",IF(ISERROR(VLOOKUP(SUBSTITUTE(SUBSTITUTE(C44,"R",""),"A",""),TblJoistSize!$A:$A,1,FALSE)),FALSE,TRUE),TRUE)))</f>
        <v>0</v>
      </c>
      <c r="AQ44" s="1038" t="e">
        <f t="shared" si="39"/>
        <v>#N/A</v>
      </c>
      <c r="AR44" s="945" t="b">
        <f t="shared" si="40"/>
        <v>0</v>
      </c>
      <c r="AS44" s="1038" t="e">
        <f t="shared" si="41"/>
        <v>#N/A</v>
      </c>
      <c r="AT44" s="945" t="b">
        <f t="shared" si="42"/>
        <v>0</v>
      </c>
      <c r="AU44" s="946" t="str">
        <f t="shared" si="43"/>
        <v/>
      </c>
      <c r="AV44" s="830" t="str">
        <f t="shared" si="44"/>
        <v/>
      </c>
      <c r="AW44" s="830" t="str">
        <f t="shared" si="45"/>
        <v/>
      </c>
      <c r="AX44" s="830" t="str">
        <f t="shared" si="123"/>
        <v/>
      </c>
      <c r="AY44" s="1039" t="b">
        <f t="shared" si="46"/>
        <v>0</v>
      </c>
      <c r="AZ44" s="856" t="str">
        <f t="shared" si="47"/>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48"/>
        <v/>
      </c>
      <c r="BR44" s="910"/>
      <c r="BS44" s="672"/>
      <c r="BT44" s="713"/>
      <c r="BU44" s="714"/>
      <c r="BV44" s="1625"/>
      <c r="BW44" s="713"/>
      <c r="BX44" s="714"/>
      <c r="BY44" s="715"/>
      <c r="BZ44" s="716"/>
      <c r="CA44" s="680" t="str">
        <f>IF(ISERROR(DE44),"",IF(DE44="","",IF(VLOOKUP(BS44,SectInfo!$B:$N,10,FALSE)="","","X")))</f>
        <v/>
      </c>
      <c r="CB44" s="738"/>
      <c r="CC44" s="1551" t="str">
        <f t="shared" si="49"/>
        <v/>
      </c>
      <c r="CD44" s="910"/>
      <c r="CE44" s="717"/>
      <c r="CF44" s="736"/>
      <c r="CG44" s="737"/>
      <c r="CH44" s="591" t="str">
        <f t="shared" si="50"/>
        <v/>
      </c>
      <c r="CI44" s="592" t="str">
        <f t="shared" si="51"/>
        <v/>
      </c>
      <c r="CJ44" s="593" t="str">
        <f t="shared" si="52"/>
        <v/>
      </c>
      <c r="CK44" s="594" t="str">
        <f t="shared" si="53"/>
        <v/>
      </c>
      <c r="CL44" s="595" t="str">
        <f t="shared" si="54"/>
        <v/>
      </c>
      <c r="CM44" s="596" t="str">
        <f t="shared" si="55"/>
        <v/>
      </c>
      <c r="CN44" s="597" t="str">
        <f t="shared" si="56"/>
        <v/>
      </c>
      <c r="CO44" s="598" t="str">
        <f t="shared" si="57"/>
        <v/>
      </c>
      <c r="CP44" s="615" t="str">
        <f t="shared" si="58"/>
        <v/>
      </c>
      <c r="CQ44" s="616" t="str">
        <f t="shared" si="59"/>
        <v/>
      </c>
      <c r="CR44" s="750" t="str">
        <f t="shared" si="60"/>
        <v/>
      </c>
      <c r="CS44" s="751" t="str">
        <f t="shared" si="61"/>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62"/>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63"/>
        <v>0</v>
      </c>
      <c r="DO44" s="818">
        <f t="shared" si="64"/>
        <v>0</v>
      </c>
      <c r="DP44" s="822" t="str">
        <f t="shared" si="65"/>
        <v/>
      </c>
      <c r="DQ44" s="822" t="str">
        <f t="shared" si="66"/>
        <v/>
      </c>
      <c r="DR44" s="822" t="str">
        <f t="shared" si="67"/>
        <v/>
      </c>
      <c r="DS44" s="821">
        <f t="shared" si="68"/>
        <v>0</v>
      </c>
      <c r="DT44" s="821">
        <f t="shared" si="69"/>
        <v>0</v>
      </c>
      <c r="DU44" s="821" t="str">
        <f t="shared" si="70"/>
        <v/>
      </c>
      <c r="DV44" s="822" t="str">
        <f t="shared" si="71"/>
        <v/>
      </c>
      <c r="DW44" s="856" t="str">
        <f t="shared" si="72"/>
        <v/>
      </c>
      <c r="DX44" s="1006">
        <f t="shared" si="73"/>
        <v>0</v>
      </c>
      <c r="DY44" s="822">
        <f t="shared" si="74"/>
        <v>0</v>
      </c>
      <c r="DZ44" s="821">
        <f t="shared" si="75"/>
        <v>0</v>
      </c>
      <c r="EA44" s="821" t="str">
        <f t="shared" si="76"/>
        <v/>
      </c>
      <c r="EB44" s="822" t="str">
        <f t="shared" si="77"/>
        <v/>
      </c>
      <c r="EC44" s="856" t="str">
        <f t="shared" si="78"/>
        <v/>
      </c>
      <c r="ED44" s="1006">
        <f t="shared" si="79"/>
        <v>0</v>
      </c>
      <c r="EE44" s="1293" t="str">
        <f t="shared" si="80"/>
        <v/>
      </c>
      <c r="EF44" s="1293" t="str">
        <f t="shared" si="81"/>
        <v/>
      </c>
      <c r="EG44" s="1293" t="str">
        <f t="shared" si="82"/>
        <v/>
      </c>
      <c r="EH44" s="856" t="e">
        <f t="shared" si="83"/>
        <v>#N/A</v>
      </c>
      <c r="EI44" s="856" t="e">
        <f t="shared" si="84"/>
        <v>#N/A</v>
      </c>
      <c r="EJ44" s="822" t="str">
        <f t="shared" si="85"/>
        <v/>
      </c>
      <c r="EK44" s="822" t="str">
        <f t="shared" si="85"/>
        <v/>
      </c>
      <c r="EL44" s="1293" t="str">
        <f t="shared" si="86"/>
        <v/>
      </c>
      <c r="EM44" s="822" t="str">
        <f t="shared" si="87"/>
        <v/>
      </c>
      <c r="EN44" s="822" t="str">
        <f t="shared" si="88"/>
        <v/>
      </c>
      <c r="EO44" s="856" t="e">
        <f t="shared" si="89"/>
        <v>#N/A</v>
      </c>
      <c r="EP44" s="856" t="e">
        <f t="shared" si="90"/>
        <v>#N/A</v>
      </c>
      <c r="EQ44" s="1293" t="str">
        <f t="shared" si="91"/>
        <v/>
      </c>
      <c r="ER44" s="822" t="str">
        <f t="shared" si="91"/>
        <v/>
      </c>
      <c r="ES44" s="822" t="str">
        <f t="shared" si="92"/>
        <v/>
      </c>
      <c r="ET44" s="822" t="str">
        <f t="shared" si="93"/>
        <v/>
      </c>
      <c r="EU44" s="829" t="str">
        <f t="shared" si="94"/>
        <v/>
      </c>
      <c r="EV44" s="824" t="str">
        <f t="shared" si="95"/>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96"/>
        <v/>
      </c>
      <c r="FA44" s="829" t="str">
        <f>IF(AND(DE44="G", ISBLANK(BW44), ISBLANK(BX44)),VLOOKUP(MIN(BT44:BU44),TblJoistSize!$M$3:$N$10,2),IF(OR(DE44="B", DE44="G"),MIN(BW44:BX44),""))</f>
        <v/>
      </c>
      <c r="FB44" s="829" t="str">
        <f>IF(AND(DE44="G", ISBLANK(BW44), ISBLANK(BX44)),VLOOKUP(MAX(BT44:BU44),TblJoistSize!$M$3:$N$10,2),IF(OR(DE44="B", DE44="G"),MAX(BW44:BX44),""))</f>
        <v/>
      </c>
      <c r="FC44" s="829" t="str">
        <f t="shared" si="97"/>
        <v/>
      </c>
      <c r="FD44" s="821">
        <f t="shared" si="124"/>
        <v>0</v>
      </c>
      <c r="FE44" s="821">
        <f t="shared" si="98"/>
        <v>0</v>
      </c>
      <c r="FF44" s="821">
        <f t="shared" si="99"/>
        <v>0</v>
      </c>
      <c r="FG44" s="821" t="str">
        <f t="shared" si="100"/>
        <v/>
      </c>
      <c r="FH44" s="822" t="str">
        <f t="shared" si="101"/>
        <v/>
      </c>
      <c r="FI44" s="821">
        <f t="shared" si="125"/>
        <v>0</v>
      </c>
      <c r="FJ44" s="821">
        <f t="shared" si="102"/>
        <v>0</v>
      </c>
      <c r="FK44" s="821">
        <f t="shared" si="103"/>
        <v>0</v>
      </c>
      <c r="FL44" s="821" t="str">
        <f t="shared" si="104"/>
        <v/>
      </c>
      <c r="FM44" s="822" t="str">
        <f t="shared" si="105"/>
        <v/>
      </c>
      <c r="FN44" s="822" t="e">
        <f t="shared" si="106"/>
        <v>#VALUE!</v>
      </c>
      <c r="FO44" s="940" t="e">
        <f t="shared" si="107"/>
        <v>#VALUE!</v>
      </c>
      <c r="FP44" s="940" t="e">
        <f t="shared" si="108"/>
        <v>#VALUE!</v>
      </c>
      <c r="FQ44" s="830" t="e">
        <f t="shared" si="109"/>
        <v>#VALUE!</v>
      </c>
      <c r="FR44" s="831" t="e">
        <f t="shared" si="110"/>
        <v>#VALUE!</v>
      </c>
      <c r="FS44" s="832" t="str">
        <f t="shared" si="111"/>
        <v/>
      </c>
      <c r="FT44" s="833" t="str">
        <f t="shared" si="112"/>
        <v/>
      </c>
      <c r="FU44" s="870">
        <f t="shared" si="113"/>
        <v>0</v>
      </c>
      <c r="FV44" s="871">
        <f t="shared" si="114"/>
        <v>0</v>
      </c>
      <c r="GA44" s="1791" t="str">
        <f t="shared" si="115"/>
        <v/>
      </c>
      <c r="GB44" s="1792" t="str">
        <f t="shared" si="116"/>
        <v/>
      </c>
      <c r="GC44" s="1793" t="str">
        <f t="shared" si="117"/>
        <v/>
      </c>
      <c r="GD44" s="1794" t="str">
        <f t="shared" si="118"/>
        <v/>
      </c>
      <c r="GE44" s="1795" t="str">
        <f t="shared" si="119"/>
        <v/>
      </c>
      <c r="GF44" s="600" t="str">
        <f t="shared" si="120"/>
        <v/>
      </c>
      <c r="GG44" s="1130"/>
      <c r="GH44" s="1131"/>
      <c r="GI44" s="1130"/>
      <c r="GJ44" s="1131"/>
      <c r="GK44" s="1638">
        <f t="shared" si="121"/>
        <v>0</v>
      </c>
      <c r="GL44" s="1636" t="e">
        <f t="shared" si="122"/>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t="str">
        <f>IF(BC45="","",BC45)</f>
        <v/>
      </c>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14"/>
        <v/>
      </c>
      <c r="O45" s="1723" t="str">
        <f t="shared" si="15"/>
        <v/>
      </c>
      <c r="P45" s="1724" t="str">
        <f t="shared" si="16"/>
        <v/>
      </c>
      <c r="Q45" s="1719" t="str">
        <f t="shared" si="17"/>
        <v/>
      </c>
      <c r="R45" s="1723" t="str">
        <f t="shared" si="18"/>
        <v/>
      </c>
      <c r="S45" s="1725" t="str">
        <f t="shared" si="19"/>
        <v/>
      </c>
      <c r="T45" s="1728" t="str">
        <f t="shared" si="20"/>
        <v/>
      </c>
      <c r="U45" s="1723" t="str">
        <f t="shared" si="21"/>
        <v/>
      </c>
      <c r="V45" s="1719" t="str">
        <f t="shared" si="22"/>
        <v/>
      </c>
      <c r="W45" s="1723" t="str">
        <f t="shared" si="23"/>
        <v/>
      </c>
      <c r="X45" s="1727">
        <f>IF(EV45="",0,EV45)</f>
        <v>0</v>
      </c>
      <c r="Y45" s="1787" t="str">
        <f>FG45</f>
        <v/>
      </c>
      <c r="Z45" s="1788" t="str">
        <f>FL45</f>
        <v/>
      </c>
      <c r="AA45" s="1789" t="str">
        <f t="shared" si="27"/>
        <v/>
      </c>
      <c r="AB45" s="1413"/>
      <c r="AC45" s="964" t="b">
        <v>0</v>
      </c>
      <c r="AD45" s="441">
        <f t="shared" si="28"/>
        <v>0</v>
      </c>
      <c r="AE45" s="442">
        <f t="shared" si="29"/>
        <v>0</v>
      </c>
      <c r="AF45" s="442">
        <f t="shared" si="30"/>
        <v>0</v>
      </c>
      <c r="AG45" s="442">
        <f t="shared" si="31"/>
        <v>0</v>
      </c>
      <c r="AH45" s="443">
        <f t="shared" si="32"/>
        <v>0</v>
      </c>
      <c r="AI45" s="444" t="b">
        <v>0</v>
      </c>
      <c r="AJ45" s="238">
        <f t="shared" si="33"/>
        <v>0</v>
      </c>
      <c r="AK45" s="830" t="str">
        <f t="shared" si="34"/>
        <v/>
      </c>
      <c r="AL45" s="945" t="str">
        <f t="shared" si="35"/>
        <v/>
      </c>
      <c r="AM45" s="830" t="str">
        <f t="shared" si="36"/>
        <v/>
      </c>
      <c r="AN45" s="830" t="str">
        <f t="shared" si="37"/>
        <v/>
      </c>
      <c r="AO45" s="830" t="str">
        <f t="shared" si="38"/>
        <v/>
      </c>
      <c r="AP45" s="830" t="b">
        <f>IF(ISERROR(AJ45),FALSE,IF(OR(AJ45=0,ISERROR(AL45),ISERROR(AM45),ISERROR(AN45),ISERROR(AO45)),FALSE,IF(AL45&lt;&gt;"",IF(ISERROR(VLOOKUP(SUBSTITUTE(SUBSTITUTE(C45,"R",""),"A",""),TblJoistSize!$A:$A,1,FALSE)),FALSE,TRUE),TRUE)))</f>
        <v>0</v>
      </c>
      <c r="AQ45" s="1038" t="e">
        <f t="shared" si="39"/>
        <v>#N/A</v>
      </c>
      <c r="AR45" s="945" t="b">
        <f t="shared" si="40"/>
        <v>0</v>
      </c>
      <c r="AS45" s="1038" t="e">
        <f t="shared" si="41"/>
        <v>#N/A</v>
      </c>
      <c r="AT45" s="945" t="b">
        <f t="shared" si="42"/>
        <v>0</v>
      </c>
      <c r="AU45" s="946" t="str">
        <f t="shared" si="43"/>
        <v/>
      </c>
      <c r="AV45" s="830" t="str">
        <f t="shared" si="44"/>
        <v/>
      </c>
      <c r="AW45" s="830" t="str">
        <f t="shared" si="45"/>
        <v/>
      </c>
      <c r="AX45" s="830" t="str">
        <f t="shared" si="123"/>
        <v/>
      </c>
      <c r="AY45" s="1039" t="b">
        <f t="shared" si="46"/>
        <v>0</v>
      </c>
      <c r="AZ45" s="856" t="str">
        <f t="shared" si="47"/>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48"/>
        <v/>
      </c>
      <c r="BR45" s="911"/>
      <c r="BS45" s="681"/>
      <c r="BT45" s="718"/>
      <c r="BU45" s="719"/>
      <c r="BV45" s="1626"/>
      <c r="BW45" s="718"/>
      <c r="BX45" s="719"/>
      <c r="BY45" s="720"/>
      <c r="BZ45" s="721"/>
      <c r="CA45" s="689" t="str">
        <f>IF(ISERROR(DE45),"",IF(DE45="","",IF(VLOOKUP(BS45,SectInfo!$B:$N,10,FALSE)="","","X")))</f>
        <v/>
      </c>
      <c r="CB45" s="741"/>
      <c r="CC45" s="1552" t="str">
        <f t="shared" si="49"/>
        <v/>
      </c>
      <c r="CD45" s="911"/>
      <c r="CE45" s="722"/>
      <c r="CF45" s="739"/>
      <c r="CG45" s="740"/>
      <c r="CH45" s="601" t="str">
        <f t="shared" si="50"/>
        <v/>
      </c>
      <c r="CI45" s="602" t="str">
        <f t="shared" si="51"/>
        <v/>
      </c>
      <c r="CJ45" s="603" t="str">
        <f t="shared" si="52"/>
        <v/>
      </c>
      <c r="CK45" s="604" t="str">
        <f t="shared" si="53"/>
        <v/>
      </c>
      <c r="CL45" s="605" t="str">
        <f t="shared" si="54"/>
        <v/>
      </c>
      <c r="CM45" s="606" t="str">
        <f t="shared" si="55"/>
        <v/>
      </c>
      <c r="CN45" s="607" t="str">
        <f t="shared" si="56"/>
        <v/>
      </c>
      <c r="CO45" s="608" t="str">
        <f t="shared" si="57"/>
        <v/>
      </c>
      <c r="CP45" s="617" t="str">
        <f t="shared" si="58"/>
        <v/>
      </c>
      <c r="CQ45" s="618" t="str">
        <f t="shared" si="59"/>
        <v/>
      </c>
      <c r="CR45" s="752" t="str">
        <f t="shared" si="60"/>
        <v/>
      </c>
      <c r="CS45" s="753" t="str">
        <f t="shared" si="61"/>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62"/>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63"/>
        <v>0</v>
      </c>
      <c r="DO45" s="818">
        <f t="shared" si="64"/>
        <v>0</v>
      </c>
      <c r="DP45" s="822" t="str">
        <f t="shared" si="65"/>
        <v/>
      </c>
      <c r="DQ45" s="822" t="str">
        <f t="shared" si="66"/>
        <v/>
      </c>
      <c r="DR45" s="822" t="str">
        <f t="shared" si="67"/>
        <v/>
      </c>
      <c r="DS45" s="821">
        <f t="shared" si="68"/>
        <v>0</v>
      </c>
      <c r="DT45" s="821">
        <f t="shared" si="69"/>
        <v>0</v>
      </c>
      <c r="DU45" s="821" t="str">
        <f t="shared" si="70"/>
        <v/>
      </c>
      <c r="DV45" s="822" t="str">
        <f t="shared" si="71"/>
        <v/>
      </c>
      <c r="DW45" s="856" t="str">
        <f t="shared" si="72"/>
        <v/>
      </c>
      <c r="DX45" s="1006">
        <f t="shared" si="73"/>
        <v>0</v>
      </c>
      <c r="DY45" s="822">
        <f t="shared" si="74"/>
        <v>0</v>
      </c>
      <c r="DZ45" s="821">
        <f t="shared" si="75"/>
        <v>0</v>
      </c>
      <c r="EA45" s="821" t="str">
        <f t="shared" si="76"/>
        <v/>
      </c>
      <c r="EB45" s="822" t="str">
        <f t="shared" si="77"/>
        <v/>
      </c>
      <c r="EC45" s="856" t="str">
        <f t="shared" si="78"/>
        <v/>
      </c>
      <c r="ED45" s="1006">
        <f t="shared" si="79"/>
        <v>0</v>
      </c>
      <c r="EE45" s="1293" t="str">
        <f t="shared" si="80"/>
        <v/>
      </c>
      <c r="EF45" s="1293" t="str">
        <f t="shared" si="81"/>
        <v/>
      </c>
      <c r="EG45" s="1293" t="str">
        <f t="shared" si="82"/>
        <v/>
      </c>
      <c r="EH45" s="856" t="e">
        <f t="shared" si="83"/>
        <v>#N/A</v>
      </c>
      <c r="EI45" s="856" t="e">
        <f t="shared" si="84"/>
        <v>#N/A</v>
      </c>
      <c r="EJ45" s="822" t="str">
        <f t="shared" si="85"/>
        <v/>
      </c>
      <c r="EK45" s="822" t="str">
        <f t="shared" si="85"/>
        <v/>
      </c>
      <c r="EL45" s="1293" t="str">
        <f t="shared" si="86"/>
        <v/>
      </c>
      <c r="EM45" s="822" t="str">
        <f t="shared" si="87"/>
        <v/>
      </c>
      <c r="EN45" s="822" t="str">
        <f t="shared" si="88"/>
        <v/>
      </c>
      <c r="EO45" s="856" t="e">
        <f t="shared" si="89"/>
        <v>#N/A</v>
      </c>
      <c r="EP45" s="856" t="e">
        <f t="shared" si="90"/>
        <v>#N/A</v>
      </c>
      <c r="EQ45" s="1293" t="str">
        <f t="shared" si="91"/>
        <v/>
      </c>
      <c r="ER45" s="822" t="str">
        <f t="shared" si="91"/>
        <v/>
      </c>
      <c r="ES45" s="822" t="str">
        <f t="shared" si="92"/>
        <v/>
      </c>
      <c r="ET45" s="822" t="str">
        <f t="shared" si="93"/>
        <v/>
      </c>
      <c r="EU45" s="829" t="str">
        <f t="shared" si="94"/>
        <v/>
      </c>
      <c r="EV45" s="824" t="str">
        <f t="shared" si="95"/>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96"/>
        <v/>
      </c>
      <c r="FA45" s="829" t="str">
        <f>IF(AND(DE45="G", ISBLANK(BW45), ISBLANK(BX45)),VLOOKUP(MIN(BT45:BU45),TblJoistSize!$M$3:$N$10,2),IF(OR(DE45="B", DE45="G"),MIN(BW45:BX45),""))</f>
        <v/>
      </c>
      <c r="FB45" s="829" t="str">
        <f>IF(AND(DE45="G", ISBLANK(BW45), ISBLANK(BX45)),VLOOKUP(MAX(BT45:BU45),TblJoistSize!$M$3:$N$10,2),IF(OR(DE45="B", DE45="G"),MAX(BW45:BX45),""))</f>
        <v/>
      </c>
      <c r="FC45" s="829" t="str">
        <f t="shared" si="97"/>
        <v/>
      </c>
      <c r="FD45" s="821">
        <f t="shared" si="124"/>
        <v>0</v>
      </c>
      <c r="FE45" s="821">
        <f t="shared" si="98"/>
        <v>0</v>
      </c>
      <c r="FF45" s="821">
        <f t="shared" si="99"/>
        <v>0</v>
      </c>
      <c r="FG45" s="821" t="str">
        <f t="shared" si="100"/>
        <v/>
      </c>
      <c r="FH45" s="822" t="str">
        <f t="shared" si="101"/>
        <v/>
      </c>
      <c r="FI45" s="821">
        <f t="shared" si="125"/>
        <v>0</v>
      </c>
      <c r="FJ45" s="821">
        <f t="shared" si="102"/>
        <v>0</v>
      </c>
      <c r="FK45" s="821">
        <f t="shared" si="103"/>
        <v>0</v>
      </c>
      <c r="FL45" s="821" t="str">
        <f t="shared" si="104"/>
        <v/>
      </c>
      <c r="FM45" s="822" t="str">
        <f t="shared" si="105"/>
        <v/>
      </c>
      <c r="FN45" s="822" t="e">
        <f t="shared" si="106"/>
        <v>#VALUE!</v>
      </c>
      <c r="FO45" s="940" t="e">
        <f t="shared" si="107"/>
        <v>#VALUE!</v>
      </c>
      <c r="FP45" s="940" t="e">
        <f t="shared" si="108"/>
        <v>#VALUE!</v>
      </c>
      <c r="FQ45" s="830" t="e">
        <f t="shared" si="109"/>
        <v>#VALUE!</v>
      </c>
      <c r="FR45" s="831" t="e">
        <f t="shared" si="110"/>
        <v>#VALUE!</v>
      </c>
      <c r="FS45" s="832" t="str">
        <f t="shared" si="111"/>
        <v/>
      </c>
      <c r="FT45" s="833" t="str">
        <f t="shared" si="112"/>
        <v/>
      </c>
      <c r="FU45" s="870">
        <f t="shared" si="113"/>
        <v>0</v>
      </c>
      <c r="FV45" s="871">
        <f t="shared" si="114"/>
        <v>0</v>
      </c>
      <c r="GA45" s="1791" t="str">
        <f t="shared" si="115"/>
        <v/>
      </c>
      <c r="GB45" s="1792" t="str">
        <f t="shared" si="116"/>
        <v/>
      </c>
      <c r="GC45" s="1793" t="str">
        <f t="shared" si="117"/>
        <v/>
      </c>
      <c r="GD45" s="1794" t="str">
        <f t="shared" si="118"/>
        <v/>
      </c>
      <c r="GE45" s="1795" t="str">
        <f t="shared" si="119"/>
        <v/>
      </c>
      <c r="GF45" s="600" t="str">
        <f t="shared" si="120"/>
        <v/>
      </c>
      <c r="GG45" s="1132"/>
      <c r="GH45" s="1133"/>
      <c r="GI45" s="1132"/>
      <c r="GJ45" s="1133"/>
      <c r="GK45" s="1638">
        <f t="shared" si="121"/>
        <v>0</v>
      </c>
      <c r="GL45" s="1636" t="e">
        <f t="shared" si="122"/>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idden="1" x14ac:dyDescent="0.2"/>
    <row r="51" spans="1:192" hidden="1" x14ac:dyDescent="0.2"/>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339"/>
      <c r="CQ57" s="2340"/>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6">IF(GF57="","",BE57)</f>
        <v/>
      </c>
      <c r="GB57" s="619" t="str">
        <f t="shared" ref="GB57" si="127">IF(GF57="","",BF57)</f>
        <v/>
      </c>
      <c r="GC57" s="621" t="str">
        <f t="shared" ref="GC57" si="128">IF(GF57="","",IF(CV57="",0,CV57))</f>
        <v/>
      </c>
      <c r="GD57" s="622" t="str">
        <f t="shared" ref="GD57" si="129">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342" t="s">
        <v>524</v>
      </c>
      <c r="EM71" s="2343"/>
      <c r="EN71" s="2343"/>
      <c r="EO71" s="2344"/>
    </row>
    <row r="72" spans="1:145" ht="15" customHeight="1" thickBot="1" x14ac:dyDescent="0.25">
      <c r="EL72" s="2495" t="s">
        <v>535</v>
      </c>
      <c r="EM72" s="2498" t="s">
        <v>536</v>
      </c>
      <c r="EN72" s="2498" t="s">
        <v>537</v>
      </c>
      <c r="EO72" s="2501" t="s">
        <v>538</v>
      </c>
    </row>
    <row r="73" spans="1:145" ht="15" customHeight="1" thickBot="1" x14ac:dyDescent="0.25">
      <c r="EJ73" s="2502" t="s">
        <v>542</v>
      </c>
      <c r="EL73" s="2496"/>
      <c r="EM73" s="2499"/>
      <c r="EN73" s="2499"/>
      <c r="EO73" s="2403"/>
    </row>
    <row r="74" spans="1:145" ht="15" customHeight="1" thickBot="1" x14ac:dyDescent="0.25">
      <c r="EJ74" s="2503"/>
      <c r="EL74" s="2497"/>
      <c r="EM74" s="2500"/>
      <c r="EN74" s="2500"/>
      <c r="EO74" s="2404"/>
    </row>
    <row r="75" spans="1:145" ht="15" customHeight="1" thickTop="1" x14ac:dyDescent="0.2">
      <c r="EJ75" s="507" t="str">
        <f t="shared" ref="EJ75:EJ104" si="130">IF(AU16="","",IF(OR(AU16="K",AU16="KCS"),(BE16*12+BF16+IF(CU16="M",MAX(CV16,$CX$4),0)+IF(DE16="M",MAX(DF16,$CX$4),0))/12,IF(OR(AU16="LH",AU16="DLH"),(BE16*12+BF16+8-MAX(MAX(BH16,BI16)/2,DC16)-MAX(MAX(BT16,BU16)/2,DM16))/12,IF(OR(AU16="JS",AU16="HDR"),""))))</f>
        <v/>
      </c>
      <c r="EL75" s="445"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446" t="str">
        <f t="shared" ref="EM75:EM104" si="131">IF(BD16="","",IF(EL75="-","-",IF(EO75="No",0,IF(AZ16/12&lt;60,1,IF(AZ16/12&lt;100,2,EL75)))))</f>
        <v/>
      </c>
      <c r="EN75" s="447" t="str">
        <f>IF(BD16="","",IF(ISERROR(VLOOKUP(BD16,TblJoistSize!$A$1:$G$274,2,FALSE)),"-",VLOOKUP(BD16,TblJoistSize!$A$1:$G$274,2,FALSE)))</f>
        <v/>
      </c>
      <c r="EO75" s="448" t="str">
        <f t="shared" ref="EO75:EO104" si="132">IF(BD16="","",IF(EN75="-","-",IF(EN75="NM","No",IF(EN75&lt;=AZ16/12,"Yes","No"))))</f>
        <v/>
      </c>
    </row>
    <row r="76" spans="1:145" ht="15" customHeight="1" x14ac:dyDescent="0.2">
      <c r="EJ76" s="507" t="str">
        <f t="shared" si="130"/>
        <v/>
      </c>
      <c r="EL76" s="445"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446" t="str">
        <f t="shared" si="131"/>
        <v/>
      </c>
      <c r="EN76" s="447" t="str">
        <f>IF(BD17="","",IF(ISERROR(VLOOKUP(BD17,TblJoistSize!$A$1:$G$274,2,FALSE)),"-",VLOOKUP(BD17,TblJoistSize!$A$1:$G$274,2,FALSE)))</f>
        <v/>
      </c>
      <c r="EO76" s="448" t="str">
        <f t="shared" si="132"/>
        <v/>
      </c>
    </row>
    <row r="77" spans="1:145" ht="15" customHeight="1" x14ac:dyDescent="0.2">
      <c r="EJ77" s="507" t="str">
        <f t="shared" si="130"/>
        <v/>
      </c>
      <c r="EL77" s="445"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446" t="str">
        <f t="shared" si="131"/>
        <v/>
      </c>
      <c r="EN77" s="447" t="str">
        <f>IF(BD18="","",IF(ISERROR(VLOOKUP(BD18,TblJoistSize!$A$1:$G$274,2,FALSE)),"-",VLOOKUP(BD18,TblJoistSize!$A$1:$G$274,2,FALSE)))</f>
        <v/>
      </c>
      <c r="EO77" s="448" t="str">
        <f t="shared" si="132"/>
        <v/>
      </c>
    </row>
    <row r="78" spans="1:145" ht="15" customHeight="1" x14ac:dyDescent="0.2">
      <c r="EJ78" s="507" t="str">
        <f t="shared" si="130"/>
        <v/>
      </c>
      <c r="EL78" s="445"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446" t="str">
        <f t="shared" si="131"/>
        <v/>
      </c>
      <c r="EN78" s="447" t="str">
        <f>IF(BD19="","",IF(ISERROR(VLOOKUP(BD19,TblJoistSize!$A$1:$G$274,2,FALSE)),"-",VLOOKUP(BD19,TblJoistSize!$A$1:$G$274,2,FALSE)))</f>
        <v/>
      </c>
      <c r="EO78" s="448" t="str">
        <f t="shared" si="132"/>
        <v/>
      </c>
    </row>
    <row r="79" spans="1:145" ht="15" customHeight="1" x14ac:dyDescent="0.2">
      <c r="EJ79" s="507" t="str">
        <f t="shared" si="130"/>
        <v/>
      </c>
      <c r="EL79" s="445"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446" t="str">
        <f t="shared" si="131"/>
        <v/>
      </c>
      <c r="EN79" s="447" t="str">
        <f>IF(BD20="","",IF(ISERROR(VLOOKUP(BD20,TblJoistSize!$A$1:$G$274,2,FALSE)),"-",VLOOKUP(BD20,TblJoistSize!$A$1:$G$274,2,FALSE)))</f>
        <v/>
      </c>
      <c r="EO79" s="448" t="str">
        <f t="shared" si="132"/>
        <v/>
      </c>
    </row>
    <row r="80" spans="1:145" ht="15" customHeight="1" x14ac:dyDescent="0.2">
      <c r="EJ80" s="507" t="str">
        <f t="shared" si="130"/>
        <v/>
      </c>
      <c r="EL80" s="445"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446" t="str">
        <f t="shared" si="131"/>
        <v/>
      </c>
      <c r="EN80" s="447" t="str">
        <f>IF(BD21="","",IF(ISERROR(VLOOKUP(BD21,TblJoistSize!$A$1:$G$274,2,FALSE)),"-",VLOOKUP(BD21,TblJoistSize!$A$1:$G$274,2,FALSE)))</f>
        <v/>
      </c>
      <c r="EO80" s="448" t="str">
        <f t="shared" si="132"/>
        <v/>
      </c>
    </row>
    <row r="81" spans="140:145" ht="15" customHeight="1" x14ac:dyDescent="0.2">
      <c r="EJ81" s="507" t="str">
        <f t="shared" si="130"/>
        <v/>
      </c>
      <c r="EL81" s="445"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446" t="str">
        <f t="shared" si="131"/>
        <v/>
      </c>
      <c r="EN81" s="447" t="str">
        <f>IF(BD22="","",IF(ISERROR(VLOOKUP(BD22,TblJoistSize!$A$1:$G$274,2,FALSE)),"-",VLOOKUP(BD22,TblJoistSize!$A$1:$G$274,2,FALSE)))</f>
        <v/>
      </c>
      <c r="EO81" s="448" t="str">
        <f t="shared" si="132"/>
        <v/>
      </c>
    </row>
    <row r="82" spans="140:145" ht="15" customHeight="1" x14ac:dyDescent="0.2">
      <c r="EJ82" s="507" t="str">
        <f t="shared" si="130"/>
        <v/>
      </c>
      <c r="EL82" s="44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446" t="str">
        <f t="shared" si="131"/>
        <v/>
      </c>
      <c r="EN82" s="447" t="str">
        <f>IF(BD23="","",IF(ISERROR(VLOOKUP(BD23,TblJoistSize!$A$1:$G$274,2,FALSE)),"-",VLOOKUP(BD23,TblJoistSize!$A$1:$G$274,2,FALSE)))</f>
        <v/>
      </c>
      <c r="EO82" s="448" t="str">
        <f t="shared" si="132"/>
        <v/>
      </c>
    </row>
    <row r="83" spans="140:145" ht="15" customHeight="1" x14ac:dyDescent="0.2">
      <c r="EJ83" s="507" t="str">
        <f t="shared" si="130"/>
        <v/>
      </c>
      <c r="EL83" s="44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446" t="str">
        <f t="shared" si="131"/>
        <v/>
      </c>
      <c r="EN83" s="447" t="str">
        <f>IF(BD24="","",IF(ISERROR(VLOOKUP(BD24,TblJoistSize!$A$1:$G$274,2,FALSE)),"-",VLOOKUP(BD24,TblJoistSize!$A$1:$G$274,2,FALSE)))</f>
        <v/>
      </c>
      <c r="EO83" s="448" t="str">
        <f t="shared" si="132"/>
        <v/>
      </c>
    </row>
    <row r="84" spans="140:145" ht="15" customHeight="1" x14ac:dyDescent="0.2">
      <c r="EJ84" s="507" t="str">
        <f t="shared" si="130"/>
        <v/>
      </c>
      <c r="EL84" s="44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446" t="str">
        <f t="shared" si="131"/>
        <v/>
      </c>
      <c r="EN84" s="447" t="str">
        <f>IF(BD25="","",IF(ISERROR(VLOOKUP(BD25,TblJoistSize!$A$1:$G$274,2,FALSE)),"-",VLOOKUP(BD25,TblJoistSize!$A$1:$G$274,2,FALSE)))</f>
        <v/>
      </c>
      <c r="EO84" s="448" t="str">
        <f t="shared" si="132"/>
        <v/>
      </c>
    </row>
    <row r="85" spans="140:145" ht="15" customHeight="1" x14ac:dyDescent="0.2">
      <c r="EJ85" s="507" t="str">
        <f t="shared" si="130"/>
        <v/>
      </c>
      <c r="EL85" s="44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446" t="str">
        <f t="shared" si="131"/>
        <v/>
      </c>
      <c r="EN85" s="447" t="str">
        <f>IF(BD26="","",IF(ISERROR(VLOOKUP(BD26,TblJoistSize!$A$1:$G$274,2,FALSE)),"-",VLOOKUP(BD26,TblJoistSize!$A$1:$G$274,2,FALSE)))</f>
        <v/>
      </c>
      <c r="EO85" s="448" t="str">
        <f t="shared" si="132"/>
        <v/>
      </c>
    </row>
    <row r="86" spans="140:145" ht="15" customHeight="1" x14ac:dyDescent="0.2">
      <c r="EJ86" s="507" t="str">
        <f t="shared" si="130"/>
        <v/>
      </c>
      <c r="EL86" s="44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446" t="str">
        <f t="shared" si="131"/>
        <v/>
      </c>
      <c r="EN86" s="447" t="str">
        <f>IF(BD27="","",IF(ISERROR(VLOOKUP(BD27,TblJoistSize!$A$1:$G$274,2,FALSE)),"-",VLOOKUP(BD27,TblJoistSize!$A$1:$G$274,2,FALSE)))</f>
        <v/>
      </c>
      <c r="EO86" s="448" t="str">
        <f t="shared" si="132"/>
        <v/>
      </c>
    </row>
    <row r="87" spans="140:145" ht="15" customHeight="1" x14ac:dyDescent="0.2">
      <c r="EJ87" s="507" t="str">
        <f t="shared" si="130"/>
        <v/>
      </c>
      <c r="EL87" s="44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446" t="str">
        <f t="shared" si="131"/>
        <v/>
      </c>
      <c r="EN87" s="447" t="str">
        <f>IF(BD28="","",IF(ISERROR(VLOOKUP(BD28,TblJoistSize!$A$1:$G$274,2,FALSE)),"-",VLOOKUP(BD28,TblJoistSize!$A$1:$G$274,2,FALSE)))</f>
        <v/>
      </c>
      <c r="EO87" s="448" t="str">
        <f t="shared" si="132"/>
        <v/>
      </c>
    </row>
    <row r="88" spans="140:145" ht="15" customHeight="1" x14ac:dyDescent="0.2">
      <c r="EJ88" s="507" t="str">
        <f t="shared" si="130"/>
        <v/>
      </c>
      <c r="EL88" s="44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446" t="str">
        <f t="shared" si="131"/>
        <v/>
      </c>
      <c r="EN88" s="447" t="str">
        <f>IF(BD29="","",IF(ISERROR(VLOOKUP(BD29,TblJoistSize!$A$1:$G$274,2,FALSE)),"-",VLOOKUP(BD29,TblJoistSize!$A$1:$G$274,2,FALSE)))</f>
        <v/>
      </c>
      <c r="EO88" s="448" t="str">
        <f t="shared" si="132"/>
        <v/>
      </c>
    </row>
    <row r="89" spans="140:145" ht="15" customHeight="1" x14ac:dyDescent="0.2">
      <c r="EJ89" s="507" t="str">
        <f t="shared" si="130"/>
        <v/>
      </c>
      <c r="EL89" s="44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446" t="str">
        <f t="shared" si="131"/>
        <v/>
      </c>
      <c r="EN89" s="447" t="str">
        <f>IF(BD30="","",IF(ISERROR(VLOOKUP(BD30,TblJoistSize!$A$1:$G$274,2,FALSE)),"-",VLOOKUP(BD30,TblJoistSize!$A$1:$G$274,2,FALSE)))</f>
        <v/>
      </c>
      <c r="EO89" s="448" t="str">
        <f t="shared" si="132"/>
        <v/>
      </c>
    </row>
    <row r="90" spans="140:145" ht="15" customHeight="1" x14ac:dyDescent="0.2">
      <c r="EJ90" s="507" t="str">
        <f t="shared" si="130"/>
        <v/>
      </c>
      <c r="EL90" s="44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446" t="str">
        <f t="shared" si="131"/>
        <v/>
      </c>
      <c r="EN90" s="447" t="str">
        <f>IF(BD31="","",IF(ISERROR(VLOOKUP(BD31,TblJoistSize!$A$1:$G$274,2,FALSE)),"-",VLOOKUP(BD31,TblJoistSize!$A$1:$G$274,2,FALSE)))</f>
        <v/>
      </c>
      <c r="EO90" s="448" t="str">
        <f t="shared" si="132"/>
        <v/>
      </c>
    </row>
    <row r="91" spans="140:145" ht="15" customHeight="1" x14ac:dyDescent="0.2">
      <c r="EJ91" s="507" t="str">
        <f t="shared" si="130"/>
        <v/>
      </c>
      <c r="EL91" s="44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446" t="str">
        <f t="shared" si="131"/>
        <v/>
      </c>
      <c r="EN91" s="447" t="str">
        <f>IF(BD32="","",IF(ISERROR(VLOOKUP(BD32,TblJoistSize!$A$1:$G$274,2,FALSE)),"-",VLOOKUP(BD32,TblJoistSize!$A$1:$G$274,2,FALSE)))</f>
        <v/>
      </c>
      <c r="EO91" s="448" t="str">
        <f t="shared" si="132"/>
        <v/>
      </c>
    </row>
    <row r="92" spans="140:145" ht="15" customHeight="1" x14ac:dyDescent="0.2">
      <c r="EJ92" s="507" t="str">
        <f t="shared" si="130"/>
        <v/>
      </c>
      <c r="EL92" s="44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446" t="str">
        <f t="shared" si="131"/>
        <v/>
      </c>
      <c r="EN92" s="447" t="str">
        <f>IF(BD33="","",IF(ISERROR(VLOOKUP(BD33,TblJoistSize!$A$1:$G$274,2,FALSE)),"-",VLOOKUP(BD33,TblJoistSize!$A$1:$G$274,2,FALSE)))</f>
        <v/>
      </c>
      <c r="EO92" s="448" t="str">
        <f t="shared" si="132"/>
        <v/>
      </c>
    </row>
    <row r="93" spans="140:145" ht="15" customHeight="1" x14ac:dyDescent="0.2">
      <c r="EJ93" s="507" t="str">
        <f t="shared" si="130"/>
        <v/>
      </c>
      <c r="EL93" s="44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446" t="str">
        <f t="shared" si="131"/>
        <v/>
      </c>
      <c r="EN93" s="447" t="str">
        <f>IF(BD34="","",IF(ISERROR(VLOOKUP(BD34,TblJoistSize!$A$1:$G$274,2,FALSE)),"-",VLOOKUP(BD34,TblJoistSize!$A$1:$G$274,2,FALSE)))</f>
        <v/>
      </c>
      <c r="EO93" s="448" t="str">
        <f t="shared" si="132"/>
        <v/>
      </c>
    </row>
    <row r="94" spans="140:145" ht="15" customHeight="1" x14ac:dyDescent="0.2">
      <c r="EJ94" s="507" t="str">
        <f t="shared" si="130"/>
        <v/>
      </c>
      <c r="EL94" s="44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446" t="str">
        <f t="shared" si="131"/>
        <v/>
      </c>
      <c r="EN94" s="447" t="str">
        <f>IF(BD35="","",IF(ISERROR(VLOOKUP(BD35,TblJoistSize!$A$1:$G$274,2,FALSE)),"-",VLOOKUP(BD35,TblJoistSize!$A$1:$G$274,2,FALSE)))</f>
        <v/>
      </c>
      <c r="EO94" s="448" t="str">
        <f t="shared" si="132"/>
        <v/>
      </c>
    </row>
    <row r="95" spans="140:145" ht="15" customHeight="1" x14ac:dyDescent="0.2">
      <c r="EJ95" s="507" t="str">
        <f t="shared" si="130"/>
        <v/>
      </c>
      <c r="EL95" s="44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446" t="str">
        <f t="shared" si="131"/>
        <v/>
      </c>
      <c r="EN95" s="447" t="str">
        <f>IF(BD36="","",IF(ISERROR(VLOOKUP(BD36,TblJoistSize!$A$1:$G$274,2,FALSE)),"-",VLOOKUP(BD36,TblJoistSize!$A$1:$G$274,2,FALSE)))</f>
        <v/>
      </c>
      <c r="EO95" s="448" t="str">
        <f t="shared" si="132"/>
        <v/>
      </c>
    </row>
    <row r="96" spans="140:145" ht="15" customHeight="1" x14ac:dyDescent="0.2">
      <c r="EJ96" s="507" t="str">
        <f t="shared" si="130"/>
        <v/>
      </c>
      <c r="EL96" s="44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446" t="str">
        <f t="shared" si="131"/>
        <v/>
      </c>
      <c r="EN96" s="447" t="str">
        <f>IF(BD37="","",IF(ISERROR(VLOOKUP(BD37,TblJoistSize!$A$1:$G$274,2,FALSE)),"-",VLOOKUP(BD37,TblJoistSize!$A$1:$G$274,2,FALSE)))</f>
        <v/>
      </c>
      <c r="EO96" s="448" t="str">
        <f t="shared" si="132"/>
        <v/>
      </c>
    </row>
    <row r="97" spans="140:145" ht="15" customHeight="1" x14ac:dyDescent="0.2">
      <c r="EJ97" s="507" t="str">
        <f t="shared" si="130"/>
        <v/>
      </c>
      <c r="EL97" s="44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446" t="str">
        <f t="shared" si="131"/>
        <v/>
      </c>
      <c r="EN97" s="447" t="str">
        <f>IF(BD38="","",IF(ISERROR(VLOOKUP(BD38,TblJoistSize!$A$1:$G$274,2,FALSE)),"-",VLOOKUP(BD38,TblJoistSize!$A$1:$G$274,2,FALSE)))</f>
        <v/>
      </c>
      <c r="EO97" s="448" t="str">
        <f t="shared" si="132"/>
        <v/>
      </c>
    </row>
    <row r="98" spans="140:145" ht="15" customHeight="1" x14ac:dyDescent="0.2">
      <c r="EJ98" s="507" t="str">
        <f t="shared" si="130"/>
        <v/>
      </c>
      <c r="EL98" s="44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446" t="str">
        <f t="shared" si="131"/>
        <v/>
      </c>
      <c r="EN98" s="447" t="str">
        <f>IF(BD39="","",IF(ISERROR(VLOOKUP(BD39,TblJoistSize!$A$1:$G$274,2,FALSE)),"-",VLOOKUP(BD39,TblJoistSize!$A$1:$G$274,2,FALSE)))</f>
        <v/>
      </c>
      <c r="EO98" s="448" t="str">
        <f t="shared" si="132"/>
        <v/>
      </c>
    </row>
    <row r="99" spans="140:145" ht="15" customHeight="1" x14ac:dyDescent="0.2">
      <c r="EJ99" s="507" t="str">
        <f t="shared" si="130"/>
        <v/>
      </c>
      <c r="EL99" s="44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446" t="str">
        <f t="shared" si="131"/>
        <v/>
      </c>
      <c r="EN99" s="447" t="str">
        <f>IF(BD40="","",IF(ISERROR(VLOOKUP(BD40,TblJoistSize!$A$1:$G$274,2,FALSE)),"-",VLOOKUP(BD40,TblJoistSize!$A$1:$G$274,2,FALSE)))</f>
        <v/>
      </c>
      <c r="EO99" s="448" t="str">
        <f t="shared" si="132"/>
        <v/>
      </c>
    </row>
    <row r="100" spans="140:145" ht="15" customHeight="1" x14ac:dyDescent="0.2">
      <c r="EJ100" s="507" t="str">
        <f t="shared" si="130"/>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31"/>
        <v/>
      </c>
      <c r="EN100" s="447" t="str">
        <f>IF(BD41="","",IF(ISERROR(VLOOKUP(BD41,TblJoistSize!$A$1:$G$274,2,FALSE)),"-",VLOOKUP(BD41,TblJoistSize!$A$1:$G$274,2,FALSE)))</f>
        <v/>
      </c>
      <c r="EO100" s="448" t="str">
        <f t="shared" si="132"/>
        <v/>
      </c>
    </row>
    <row r="101" spans="140:145" x14ac:dyDescent="0.2">
      <c r="EJ101" s="507" t="str">
        <f t="shared" si="130"/>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31"/>
        <v/>
      </c>
      <c r="EN101" s="447" t="str">
        <f>IF(BD42="","",IF(ISERROR(VLOOKUP(BD42,TblJoistSize!$A$1:$G$274,2,FALSE)),"-",VLOOKUP(BD42,TblJoistSize!$A$1:$G$274,2,FALSE)))</f>
        <v/>
      </c>
      <c r="EO101" s="448" t="str">
        <f t="shared" si="132"/>
        <v/>
      </c>
    </row>
    <row r="102" spans="140:145" x14ac:dyDescent="0.2">
      <c r="EJ102" s="507" t="str">
        <f t="shared" si="130"/>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31"/>
        <v/>
      </c>
      <c r="EN102" s="447" t="str">
        <f>IF(BD43="","",IF(ISERROR(VLOOKUP(BD43,TblJoistSize!$A$1:$G$274,2,FALSE)),"-",VLOOKUP(BD43,TblJoistSize!$A$1:$G$274,2,FALSE)))</f>
        <v/>
      </c>
      <c r="EO102" s="448" t="str">
        <f t="shared" si="132"/>
        <v/>
      </c>
    </row>
    <row r="103" spans="140:145" x14ac:dyDescent="0.2">
      <c r="EJ103" s="507" t="str">
        <f t="shared" si="130"/>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31"/>
        <v/>
      </c>
      <c r="EN103" s="447" t="str">
        <f>IF(BD44="","",IF(ISERROR(VLOOKUP(BD44,TblJoistSize!$A$1:$G$274,2,FALSE)),"-",VLOOKUP(BD44,TblJoistSize!$A$1:$G$274,2,FALSE)))</f>
        <v/>
      </c>
      <c r="EO103" s="448" t="str">
        <f t="shared" si="132"/>
        <v/>
      </c>
    </row>
    <row r="104" spans="140:145" x14ac:dyDescent="0.2">
      <c r="EJ104" s="507" t="str">
        <f t="shared" si="130"/>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31"/>
        <v/>
      </c>
      <c r="EN104" s="447" t="str">
        <f>IF(BD45="","",IF(ISERROR(VLOOKUP(BD45,TblJoistSize!$A$1:$G$274,2,FALSE)),"-",VLOOKUP(BD45,TblJoistSize!$A$1:$G$274,2,FALSE)))</f>
        <v/>
      </c>
      <c r="EO104" s="448" t="str">
        <f t="shared" si="132"/>
        <v/>
      </c>
    </row>
  </sheetData>
  <sheetProtection selectLockedCells="1"/>
  <dataConsolidate link="1"/>
  <mergeCells count="190">
    <mergeCell ref="BN14:BN15"/>
    <mergeCell ref="BO14:BO15"/>
    <mergeCell ref="BP14:BR14"/>
    <mergeCell ref="BS14:BS15"/>
    <mergeCell ref="BT14:BU15"/>
    <mergeCell ref="BV14:BV15"/>
    <mergeCell ref="ID14:ID15"/>
    <mergeCell ref="IE14:IE15"/>
    <mergeCell ref="IF14:IF15"/>
    <mergeCell ref="GM14:GM15"/>
    <mergeCell ref="HV14:HV15"/>
    <mergeCell ref="HQ14:HQ15"/>
    <mergeCell ref="HT14:HT15"/>
    <mergeCell ref="FF12:FF15"/>
    <mergeCell ref="FB12:FB15"/>
    <mergeCell ref="HB14:HB15"/>
    <mergeCell ref="HC14:HC15"/>
    <mergeCell ref="DA14:DA15"/>
    <mergeCell ref="GA13:GJ13"/>
    <mergeCell ref="EE14:EE15"/>
    <mergeCell ref="FU14:FV14"/>
    <mergeCell ref="FD12:FD15"/>
    <mergeCell ref="EW12:EW15"/>
    <mergeCell ref="FC12:FC15"/>
    <mergeCell ref="HA12:IF13"/>
    <mergeCell ref="HA14:HA15"/>
    <mergeCell ref="HD14:HE15"/>
    <mergeCell ref="HF14:HF15"/>
    <mergeCell ref="HG14:HG15"/>
    <mergeCell ref="HH14:HH15"/>
    <mergeCell ref="HI14:HI15"/>
    <mergeCell ref="HJ14:HJ15"/>
    <mergeCell ref="HK14:HK15"/>
    <mergeCell ref="HL14:HL15"/>
    <mergeCell ref="HM14:HM15"/>
    <mergeCell ref="HN14:HN15"/>
    <mergeCell ref="HO14:HO15"/>
    <mergeCell ref="HP14:HP15"/>
    <mergeCell ref="HR14:HR15"/>
    <mergeCell ref="HS14:HS15"/>
    <mergeCell ref="HU14:HU15"/>
    <mergeCell ref="HW14:HW15"/>
    <mergeCell ref="HX14:HX15"/>
    <mergeCell ref="HY14:HY15"/>
    <mergeCell ref="HZ14:HZ15"/>
    <mergeCell ref="IA14:IA15"/>
    <mergeCell ref="IB14:IB15"/>
    <mergeCell ref="IC14:IC15"/>
    <mergeCell ref="EL71:EO71"/>
    <mergeCell ref="EL72:EL74"/>
    <mergeCell ref="EM72:EM74"/>
    <mergeCell ref="EN72:EN74"/>
    <mergeCell ref="EO72:EO74"/>
    <mergeCell ref="EJ73:EJ74"/>
    <mergeCell ref="GC14:GD14"/>
    <mergeCell ref="GF14:GF15"/>
    <mergeCell ref="GL14:GL15"/>
    <mergeCell ref="GG14:GH14"/>
    <mergeCell ref="GI14:GJ14"/>
    <mergeCell ref="GK14:GK15"/>
    <mergeCell ref="FP14:FP15"/>
    <mergeCell ref="FK12:FK15"/>
    <mergeCell ref="GA14:GB14"/>
    <mergeCell ref="GE14:GE15"/>
    <mergeCell ref="FM12:FM15"/>
    <mergeCell ref="FT14:FT15"/>
    <mergeCell ref="EZ12:EZ15"/>
    <mergeCell ref="FE12:FE15"/>
    <mergeCell ref="FJ12:FJ15"/>
    <mergeCell ref="FH12:FH15"/>
    <mergeCell ref="FN12:FN15"/>
    <mergeCell ref="FQ14:FQ15"/>
    <mergeCell ref="AZ14:AZ15"/>
    <mergeCell ref="CH14:CJ14"/>
    <mergeCell ref="CN12:CO14"/>
    <mergeCell ref="BG13:BR13"/>
    <mergeCell ref="BS13:CD13"/>
    <mergeCell ref="CE13:CE15"/>
    <mergeCell ref="CF13:CG14"/>
    <mergeCell ref="BB14:BB15"/>
    <mergeCell ref="BC14:BC15"/>
    <mergeCell ref="BD14:BD15"/>
    <mergeCell ref="BE14:BF15"/>
    <mergeCell ref="BG14:BG15"/>
    <mergeCell ref="BH14:BI15"/>
    <mergeCell ref="BW14:BX15"/>
    <mergeCell ref="BY14:BY15"/>
    <mergeCell ref="BZ14:BZ15"/>
    <mergeCell ref="CA14:CA15"/>
    <mergeCell ref="CB14:CD14"/>
    <mergeCell ref="BB13:BF13"/>
    <mergeCell ref="BB11:CB12"/>
    <mergeCell ref="CD11:CG12"/>
    <mergeCell ref="BJ14:BJ15"/>
    <mergeCell ref="BK14:BL15"/>
    <mergeCell ref="BM14:BM15"/>
    <mergeCell ref="Y6:Z6"/>
    <mergeCell ref="S9:AA9"/>
    <mergeCell ref="Z10:AA10"/>
    <mergeCell ref="T15:U15"/>
    <mergeCell ref="V15:W15"/>
    <mergeCell ref="Y14:Z14"/>
    <mergeCell ref="AV13:AW15"/>
    <mergeCell ref="AU13:AU15"/>
    <mergeCell ref="P2:S3"/>
    <mergeCell ref="P4:S4"/>
    <mergeCell ref="P1:S1"/>
    <mergeCell ref="Q15:R15"/>
    <mergeCell ref="Q14:S14"/>
    <mergeCell ref="A5:M5"/>
    <mergeCell ref="T14:X14"/>
    <mergeCell ref="C9:O9"/>
    <mergeCell ref="C10:O10"/>
    <mergeCell ref="S10:W10"/>
    <mergeCell ref="L14:M14"/>
    <mergeCell ref="M6:T6"/>
    <mergeCell ref="M7:S7"/>
    <mergeCell ref="F14:H14"/>
    <mergeCell ref="I15:J15"/>
    <mergeCell ref="I14:K14"/>
    <mergeCell ref="A14:A15"/>
    <mergeCell ref="B14:B15"/>
    <mergeCell ref="C14:C15"/>
    <mergeCell ref="N14:P14"/>
    <mergeCell ref="N15:O15"/>
    <mergeCell ref="F15:G15"/>
    <mergeCell ref="D14:E15"/>
    <mergeCell ref="FG12:FG15"/>
    <mergeCell ref="FL12:FL15"/>
    <mergeCell ref="FQ12:FR13"/>
    <mergeCell ref="FO14:FO15"/>
    <mergeCell ref="EO14:EP14"/>
    <mergeCell ref="FA12:FA15"/>
    <mergeCell ref="ES14:ES15"/>
    <mergeCell ref="ET14:ET15"/>
    <mergeCell ref="EU14:EU15"/>
    <mergeCell ref="EV12:EV15"/>
    <mergeCell ref="EX12:EX15"/>
    <mergeCell ref="EQ14:ER14"/>
    <mergeCell ref="EH14:EI14"/>
    <mergeCell ref="EF14:EG14"/>
    <mergeCell ref="FS14:FS15"/>
    <mergeCell ref="CU13:DD13"/>
    <mergeCell ref="CV14:CV15"/>
    <mergeCell ref="CP57:CQ57"/>
    <mergeCell ref="FR14:FR15"/>
    <mergeCell ref="DI14:DI15"/>
    <mergeCell ref="DK14:DK15"/>
    <mergeCell ref="DJ14:DJ15"/>
    <mergeCell ref="EJ14:EK14"/>
    <mergeCell ref="EL14:EL15"/>
    <mergeCell ref="EM14:EN14"/>
    <mergeCell ref="DC14:DC15"/>
    <mergeCell ref="CZ14:CZ15"/>
    <mergeCell ref="DB14:DB15"/>
    <mergeCell ref="DM14:DM15"/>
    <mergeCell ref="DF14:DF15"/>
    <mergeCell ref="DH14:DH15"/>
    <mergeCell ref="CP12:CQ14"/>
    <mergeCell ref="EY12:EY15"/>
    <mergeCell ref="EB14:EB15"/>
    <mergeCell ref="DY14:DY15"/>
    <mergeCell ref="FI12:FI15"/>
    <mergeCell ref="ED14:ED15"/>
    <mergeCell ref="DX14:DX15"/>
    <mergeCell ref="DP14:DP15"/>
    <mergeCell ref="DW14:DW15"/>
    <mergeCell ref="DS14:DS15"/>
    <mergeCell ref="DV14:DV15"/>
    <mergeCell ref="DR14:DR15"/>
    <mergeCell ref="DT14:DU14"/>
    <mergeCell ref="DQ14:DQ15"/>
    <mergeCell ref="CU14:CU15"/>
    <mergeCell ref="CX14:CX15"/>
    <mergeCell ref="CW14:CW15"/>
    <mergeCell ref="EC14:EC15"/>
    <mergeCell ref="DZ14:EA14"/>
    <mergeCell ref="DE13:DN13"/>
    <mergeCell ref="CC6:CF6"/>
    <mergeCell ref="DN14:DN15"/>
    <mergeCell ref="DL14:DL15"/>
    <mergeCell ref="DG14:DG15"/>
    <mergeCell ref="CK14:CK15"/>
    <mergeCell ref="CL14:CM14"/>
    <mergeCell ref="DO14:DO15"/>
    <mergeCell ref="DE14:DE15"/>
    <mergeCell ref="CY14:CY15"/>
    <mergeCell ref="DD14:DD15"/>
    <mergeCell ref="CR12:CR15"/>
    <mergeCell ref="CS12:CS15"/>
  </mergeCells>
  <phoneticPr fontId="0" type="noConversion"/>
  <conditionalFormatting sqref="EF57">
    <cfRule type="cellIs" dxfId="709" priority="650" stopIfTrue="1" operator="notEqual">
      <formula>$EG57</formula>
    </cfRule>
  </conditionalFormatting>
  <conditionalFormatting sqref="EM57">
    <cfRule type="cellIs" dxfId="708" priority="651" stopIfTrue="1" operator="notEqual">
      <formula>$EN57</formula>
    </cfRule>
  </conditionalFormatting>
  <conditionalFormatting sqref="P2:S4">
    <cfRule type="cellIs" dxfId="707" priority="760" stopIfTrue="1" operator="equal">
      <formula>""</formula>
    </cfRule>
  </conditionalFormatting>
  <conditionalFormatting sqref="EF16:EF45">
    <cfRule type="cellIs" dxfId="706" priority="610" stopIfTrue="1" operator="notEqual">
      <formula>$EG16</formula>
    </cfRule>
  </conditionalFormatting>
  <conditionalFormatting sqref="CC7">
    <cfRule type="expression" dxfId="705" priority="374" stopIfTrue="1">
      <formula>ISBLANK($CC$7)</formula>
    </cfRule>
  </conditionalFormatting>
  <conditionalFormatting sqref="CC6">
    <cfRule type="expression" dxfId="704" priority="373" stopIfTrue="1">
      <formula>ISBLANK($CC$6)</formula>
    </cfRule>
  </conditionalFormatting>
  <conditionalFormatting sqref="M7">
    <cfRule type="expression" dxfId="703" priority="371" stopIfTrue="1">
      <formula>OR(ISBLANK($M$7),$M$7="")</formula>
    </cfRule>
    <cfRule type="expression" dxfId="702" priority="372" stopIfTrue="1">
      <formula>NOT(OR(COUNTIF(masterFinishList, $M$7) &gt; 0, COUNTIF($M$7, "Other:*") &gt; 0))</formula>
    </cfRule>
  </conditionalFormatting>
  <conditionalFormatting sqref="BD16:BD45">
    <cfRule type="expression" dxfId="701" priority="251">
      <formula>AND(NOT($AY16),NOT($AP16))</formula>
    </cfRule>
  </conditionalFormatting>
  <conditionalFormatting sqref="C16:C45">
    <cfRule type="expression" dxfId="700" priority="186">
      <formula>AND(NOT($AY16),NOT($AP16))</formula>
    </cfRule>
  </conditionalFormatting>
  <conditionalFormatting sqref="X16:X45">
    <cfRule type="expression" dxfId="699" priority="53">
      <formula>$X16=0</formula>
    </cfRule>
  </conditionalFormatting>
  <conditionalFormatting sqref="CG16:CG45">
    <cfRule type="expression" dxfId="698" priority="673">
      <formula>OR(CH16&lt;&gt;"",CI16&lt;&gt;"",CJ16&lt;&gt;"",CK16&lt;&gt;"",CL16&lt;&gt;"",CM16&lt;&gt;"",CP16&lt;&gt;"",CQ16&lt;&gt;"")</formula>
    </cfRule>
  </conditionalFormatting>
  <conditionalFormatting sqref="BE16:BF45">
    <cfRule type="expression" dxfId="697" priority="985">
      <formula>AND(NOT($AY16),AND($AZ16,AND($AK16&lt;&gt;"HDR",$AK16&lt;&gt;"JS",$AJ16&gt;=8)))</formula>
    </cfRule>
  </conditionalFormatting>
  <conditionalFormatting sqref="D16:E45">
    <cfRule type="expression" dxfId="696" priority="223">
      <formula>AND(NOT($AY16),AND($AZ16,AND($AK16&lt;&gt;"HDR",$AK16&lt;&gt;"JS",$AJ16&gt;=8)))</formula>
    </cfRule>
    <cfRule type="expression" dxfId="695" priority="1572" stopIfTrue="1">
      <formula xml:space="preserve"> AND($GM16 &gt;= 0.125, $GL16 &gt; 0)</formula>
    </cfRule>
  </conditionalFormatting>
  <conditionalFormatting sqref="AA12">
    <cfRule type="expression" dxfId="694" priority="159">
      <formula>OR(ISBLANK(AA12),AA12="")</formula>
    </cfRule>
  </conditionalFormatting>
  <conditionalFormatting sqref="A16:S45 X16:AA45 BB16:CD45">
    <cfRule type="expression" dxfId="693" priority="1147">
      <formula>$AC16</formula>
    </cfRule>
  </conditionalFormatting>
  <conditionalFormatting sqref="BG16:BG45">
    <cfRule type="expression" dxfId="692" priority="54">
      <formula>AND(NOT($AY16),ISERROR(CU16))</formula>
    </cfRule>
    <cfRule type="expression" dxfId="691" priority="92">
      <formula>AND(NOT($AY16),OR(CP16&lt;&gt;"", CU16=""))</formula>
    </cfRule>
  </conditionalFormatting>
  <conditionalFormatting sqref="BH16:BH45">
    <cfRule type="expression" dxfId="690" priority="80">
      <formula>AND(NOT($AY16),OR($CU16="M",$CU16="C",AND($CU16="B",$DC16&gt;0)))</formula>
    </cfRule>
    <cfRule type="expression" dxfId="689" priority="81">
      <formula>AND(NOT($AY16),AND(BH16="",BI16="",OR($CU16="B",$CU16="G")))</formula>
    </cfRule>
    <cfRule type="expression" dxfId="688" priority="82">
      <formula>AND(NOT($AY16),(BH16/2)/COS(RADIANS(BM16))+CV16-DW16&lt;VLOOKUP(AU16,$DF$2:$DJ$9,5,FALSE))</formula>
    </cfRule>
  </conditionalFormatting>
  <conditionalFormatting sqref="BI16:BI45">
    <cfRule type="expression" dxfId="687" priority="89">
      <formula>AND(NOT($AY16),OR($CU16="M",$CU16="C",AND($CU16="B",$DC16&gt;0)))</formula>
    </cfRule>
    <cfRule type="expression" dxfId="686" priority="90">
      <formula>AND(NOT($AY16),AND(BH16="",BI16="",OR($CU16="B",$CU16="G")))</formula>
    </cfRule>
    <cfRule type="expression" dxfId="685" priority="91">
      <formula>AND(NOT($AY16),(BI16/2)/COS(RADIANS(BM16))+CV16-DW16&lt;VLOOKUP(AU16,$DF$2:$DJ$9,5,FALSE))</formula>
    </cfRule>
  </conditionalFormatting>
  <conditionalFormatting sqref="BK16:BK45">
    <cfRule type="expression" dxfId="684" priority="68">
      <formula>AND(NOT($AY16),OR($CU16="M",$CU16="C",AND($CU16="B",$DA16&lt;&gt;"")))</formula>
    </cfRule>
    <cfRule type="expression" dxfId="683" priority="69">
      <formula>AND(NOT($AY16),AND(BJ16="X",BK16="",BL16=""))</formula>
    </cfRule>
    <cfRule type="expression" dxfId="682" priority="70">
      <formula>AND(NOT($AY16),EZ16="ERR")</formula>
    </cfRule>
  </conditionalFormatting>
  <conditionalFormatting sqref="BL16:BL45">
    <cfRule type="expression" dxfId="681" priority="71">
      <formula>AND(NOT($AY16),OR($CU16="M",$CU16="C",AND($CU16="B",$DA16&lt;&gt;"")))</formula>
    </cfRule>
    <cfRule type="expression" dxfId="680" priority="72">
      <formula>AND(NOT($AY16),AND(BJ16="X",BK16="",BL16=""))</formula>
    </cfRule>
    <cfRule type="expression" dxfId="679" priority="73">
      <formula>AND(NOT($AY16),EZ16="ERR")</formula>
    </cfRule>
  </conditionalFormatting>
  <conditionalFormatting sqref="A16:B45 BB16:BC45">
    <cfRule type="expression" dxfId="678" priority="105">
      <formula>AND(NOT($AE$1),$B16=0,$AD$1="M")</formula>
    </cfRule>
  </conditionalFormatting>
  <conditionalFormatting sqref="AA16:AA45">
    <cfRule type="expression" dxfId="677" priority="34">
      <formula>AND(NOT($AY16),LEN(AA16)&gt;31)</formula>
    </cfRule>
  </conditionalFormatting>
  <conditionalFormatting sqref="GA16:GB45">
    <cfRule type="expression" dxfId="676" priority="32" stopIfTrue="1">
      <formula>$GM16&gt;=0.125</formula>
    </cfRule>
  </conditionalFormatting>
  <conditionalFormatting sqref="BO16:BO45">
    <cfRule type="expression" dxfId="675" priority="27">
      <formula>AND(BO16="X",CY16="")</formula>
    </cfRule>
    <cfRule type="expression" dxfId="674" priority="28">
      <formula>AND(BO16="",CY16&lt;&gt;"")</formula>
    </cfRule>
  </conditionalFormatting>
  <conditionalFormatting sqref="CA16:CA45">
    <cfRule type="expression" dxfId="673" priority="29">
      <formula>AND(CA16="X",DI16="")</formula>
    </cfRule>
    <cfRule type="expression" dxfId="672" priority="30">
      <formula>AND(CA16="",DI16&lt;&gt;"")</formula>
    </cfRule>
  </conditionalFormatting>
  <conditionalFormatting sqref="CE16:CG45">
    <cfRule type="expression" dxfId="671" priority="31">
      <formula>$AC16</formula>
    </cfRule>
  </conditionalFormatting>
  <conditionalFormatting sqref="EM16:EM45">
    <cfRule type="cellIs" dxfId="670" priority="26" stopIfTrue="1" operator="notEqual">
      <formula>$EN16</formula>
    </cfRule>
  </conditionalFormatting>
  <conditionalFormatting sqref="U16:U45">
    <cfRule type="expression" dxfId="669" priority="22">
      <formula>AND(NOT($AY16),NOT(AR16),$P16&lt;&gt;3)</formula>
    </cfRule>
  </conditionalFormatting>
  <conditionalFormatting sqref="W16:W45">
    <cfRule type="expression" dxfId="668" priority="24">
      <formula>AND(NOT($AY16),NOT(AT16),$S16&lt;&gt;3)</formula>
    </cfRule>
  </conditionalFormatting>
  <conditionalFormatting sqref="T16:T45">
    <cfRule type="expression" dxfId="667" priority="21">
      <formula>AND(NOT($AY16),NOT(AR16),$P16&lt;&gt;3)</formula>
    </cfRule>
  </conditionalFormatting>
  <conditionalFormatting sqref="V16:V45">
    <cfRule type="expression" dxfId="666" priority="23">
      <formula>AND(NOT($AY16),NOT(AT16),$S16&lt;&gt;3)</formula>
    </cfRule>
  </conditionalFormatting>
  <conditionalFormatting sqref="T16:W45">
    <cfRule type="expression" dxfId="665" priority="25">
      <formula>$AC16</formula>
    </cfRule>
  </conditionalFormatting>
  <conditionalFormatting sqref="C57">
    <cfRule type="expression" dxfId="664" priority="13">
      <formula>AND(NOT($AY57),NOT($AP57))</formula>
    </cfRule>
  </conditionalFormatting>
  <conditionalFormatting sqref="X57">
    <cfRule type="expression" dxfId="663" priority="11">
      <formula>$X57=0</formula>
    </cfRule>
  </conditionalFormatting>
  <conditionalFormatting sqref="D57:E57">
    <cfRule type="expression" dxfId="662" priority="14">
      <formula>AND(NOT($AY57),AND($AZ57,AND($AK57&lt;&gt;"HDR",$AK57&lt;&gt;"JS",$AJ57&gt;=8)))</formula>
    </cfRule>
  </conditionalFormatting>
  <conditionalFormatting sqref="A57:S57 X57:AA57">
    <cfRule type="expression" dxfId="661" priority="15">
      <formula>$AC57</formula>
    </cfRule>
  </conditionalFormatting>
  <conditionalFormatting sqref="A57:B57">
    <cfRule type="expression" dxfId="660" priority="12">
      <formula>AND(NOT($AE$1),$B57=0,$AD$1="M")</formula>
    </cfRule>
  </conditionalFormatting>
  <conditionalFormatting sqref="AA57">
    <cfRule type="expression" dxfId="659" priority="10">
      <formula>AND(NOT($AY57),LEN(AA57)&gt;31)</formula>
    </cfRule>
  </conditionalFormatting>
  <conditionalFormatting sqref="U57">
    <cfRule type="expression" dxfId="658" priority="6">
      <formula>AND(NOT($AY57),NOT(AR57),$P57&lt;&gt;3)</formula>
    </cfRule>
  </conditionalFormatting>
  <conditionalFormatting sqref="W57">
    <cfRule type="expression" dxfId="657" priority="8">
      <formula>AND(NOT($AY57),NOT(AT57),$S57&lt;&gt;3)</formula>
    </cfRule>
  </conditionalFormatting>
  <conditionalFormatting sqref="T57">
    <cfRule type="expression" dxfId="656" priority="5">
      <formula>AND(NOT($AY57),NOT(AR57),$P57&lt;&gt;3)</formula>
    </cfRule>
  </conditionalFormatting>
  <conditionalFormatting sqref="V57">
    <cfRule type="expression" dxfId="655" priority="7">
      <formula>AND(NOT($AY57),NOT(AT57),$S57&lt;&gt;3)</formula>
    </cfRule>
  </conditionalFormatting>
  <conditionalFormatting sqref="T57:W57">
    <cfRule type="expression" dxfId="654" priority="9">
      <formula>$AC57</formula>
    </cfRule>
  </conditionalFormatting>
  <conditionalFormatting sqref="BQ16:BQ45">
    <cfRule type="expression" dxfId="653" priority="3">
      <formula>CP16&lt;&gt;""</formula>
    </cfRule>
  </conditionalFormatting>
  <conditionalFormatting sqref="CC16:CC45">
    <cfRule type="expression" dxfId="652" priority="2">
      <formula>CQ16&lt;&gt;""</formula>
    </cfRule>
  </conditionalFormatting>
  <conditionalFormatting sqref="BS16:BS45">
    <cfRule type="expression" dxfId="651" priority="1466">
      <formula>AND(NOT($AY16),ISERROR(DE16))</formula>
    </cfRule>
    <cfRule type="expression" dxfId="650" priority="1467">
      <formula>AND(NOT($AY16),OR(DE16="", CQ16&lt;&gt;""))</formula>
    </cfRule>
  </conditionalFormatting>
  <conditionalFormatting sqref="BW16:BW45">
    <cfRule type="expression" dxfId="649" priority="1518">
      <formula>AND(NOT($AY16),OR($DE16="M",$DE16="C",AND($DE16="B",$DK16&lt;&gt;"")))</formula>
    </cfRule>
    <cfRule type="expression" dxfId="648" priority="1519">
      <formula>AND(NOT($AY16),AND(BV16="X",BW16="",BX16=""))</formula>
    </cfRule>
    <cfRule type="expression" dxfId="647" priority="1520">
      <formula>AND(NOT($AY16),FC16="ERR")</formula>
    </cfRule>
  </conditionalFormatting>
  <conditionalFormatting sqref="BX16:BX45">
    <cfRule type="expression" dxfId="646" priority="1521">
      <formula>AND(NOT($AY16),OR($DE16="M",$DE16="C",AND($DE16="B",$DK16&lt;&gt;"")))</formula>
    </cfRule>
    <cfRule type="expression" dxfId="645" priority="1522">
      <formula>AND(NOT($AY16),AND(BV16="X",BW16="",BX16=""))</formula>
    </cfRule>
    <cfRule type="expression" dxfId="644" priority="1523">
      <formula>AND(NOT($AY16),FC16="ERR")</formula>
    </cfRule>
  </conditionalFormatting>
  <conditionalFormatting sqref="BT16:BT45">
    <cfRule type="expression" dxfId="643" priority="1524">
      <formula>AND(NOT($AY16),OR($DE16="M",$DE16="C",AND($DE16="B",$DM16&gt;0)))</formula>
    </cfRule>
    <cfRule type="expression" dxfId="642" priority="1525">
      <formula>AND(NOT($AY16),AND(BT16="",BU16="",OR($DE16="B",$DE16="G")))</formula>
    </cfRule>
    <cfRule type="expression" dxfId="641" priority="1526">
      <formula>AND(NOT($AY16),(BT16/2)/COS(RADIANS(BY16))+DF16-EC16&lt;VLOOKUP(AU16,$DF$2:$DJ$9,5,FALSE))</formula>
    </cfRule>
  </conditionalFormatting>
  <conditionalFormatting sqref="BU16:BU45">
    <cfRule type="expression" dxfId="640" priority="1527">
      <formula>AND(NOT($AY16),OR($DE16="M",$DE16="C",AND($DE16="B",$DM16&gt;0)))</formula>
    </cfRule>
    <cfRule type="expression" dxfId="639" priority="1528">
      <formula>AND(NOT($AY16),AND(BT16="",BU16="",OR($DE16="B",$DE16="G")))</formula>
    </cfRule>
    <cfRule type="expression" dxfId="638" priority="1529">
      <formula>AND(NOT($AY16),(BU16/2)/COS(RADIANS(BY16))+DF16-EC16&lt;VLOOKUP(AU16,$DF$2:$DJ$9,5,FALSE))</formula>
    </cfRule>
  </conditionalFormatting>
  <conditionalFormatting sqref="BZ16:BZ45 BN16:BN45">
    <cfRule type="expression" dxfId="637" priority="1550">
      <formula>AND(NOT($AY16),AND(ISBLANK(BN16),AND(NOT(ISBLANK(BM16)),$CE16&lt;&gt;0)))</formula>
    </cfRule>
  </conditionalFormatting>
  <conditionalFormatting sqref="BJ16:BJ45">
    <cfRule type="expression" dxfId="636" priority="1554">
      <formula>AND(NOT($AY16),OR($CU16="C",AND($CU16="M",$DA16&gt;0)))</formula>
    </cfRule>
    <cfRule type="expression" dxfId="635" priority="1555">
      <formula>AND(NOT($AY16),OR(NOT(IF(AND(OR(MID($BB16,1,1)="T",($BE16+$BF16/12)/IF(ABS($CE16)&gt;$DQ$1,COS($DO16),1)&gt;=40),OR($CU16="B",$CU16="G")),"X","")="X"),$EZ16="ERR"))</formula>
    </cfRule>
    <cfRule type="expression" dxfId="634" priority="1556">
      <formula>AND(NOT($AY16),$BJ16&lt;&gt;"X",$BJ16&lt;&gt;IF(AND(OR(MID(BB16,1,1)="T",($BE16+$BF16/12)/IF(ABS($CE16)&gt;$DQ$1,COS($DO16),1)&gt;=40),OR($CU16="B",$CU16="G")),"X",""))</formula>
    </cfRule>
  </conditionalFormatting>
  <conditionalFormatting sqref="BV16:BV45">
    <cfRule type="expression" dxfId="633" priority="1569">
      <formula>AND(NOT($AY16),OR($DE16="C",AND($DE16="M",$DK16&gt;0)))</formula>
    </cfRule>
    <cfRule type="expression" dxfId="632" priority="1570">
      <formula>AND(NOT($AY16),OR(NOT(IF(AND(OR(MID($BB16,1,1)="T",($BE16+$BF16/12)/IF(ABS($CE16)&gt;$DQ$1,COS($DO16),1)&gt;=40),OR($DE16="B",$DE16="G")),"X","")="X"),$FC16="ERR"))</formula>
    </cfRule>
    <cfRule type="expression" dxfId="631" priority="1571">
      <formula>AND(NOT($AY16),$BV16&lt;&gt;"X",$BV16&lt;&gt;IF(AND(OR(MID(BB16,1,1)="T",($BE16+$BF16/12)/IF(ABS($CE16)&gt;$DQ$1,COS($DO16),1)&gt;=40),OR($DE16="B",$DE16="G")),"X",""))</formula>
    </cfRule>
  </conditionalFormatting>
  <conditionalFormatting sqref="GA57:GB57">
    <cfRule type="expression" dxfId="630" priority="1" stopIfTrue="1">
      <formula>$GM57&gt;=0.125</formula>
    </cfRule>
  </conditionalFormatting>
  <dataValidations count="14">
    <dataValidation type="list" allowBlank="1" showInputMessage="1" sqref="CC6:CF6 M7:S7" xr:uid="{00000000-0002-0000-0D00-000000000000}">
      <formula1>masterFinishList</formula1>
    </dataValidation>
    <dataValidation type="whole" operator="greaterThanOrEqual" allowBlank="1" showErrorMessage="1" errorTitle="Dimensional Error" error="&quot;Feet&quot; can only be whole numbers." sqref="D16:D45 F16:F45 I16:I45 T16:T45 V16:V45 BE16:BE45 D57 F57 I57 T57 V57" xr:uid="{00000000-0002-0000-0D00-000001000000}">
      <formula1>0</formula1>
    </dataValidation>
    <dataValidation type="decimal" allowBlank="1" showInputMessage="1" showErrorMessage="1" errorTitle="Dimensional Error" error="&quot;Inches&quot; must be a number from 0 to 11.875." sqref="BF16:BF45 G16:G45 J16:J45 W16:W45 U16:U45 E16:E45 G57 J57 W57 U57 E57" xr:uid="{00000000-0002-0000-0D00-000002000000}">
      <formula1>0</formula1>
      <formula2>11.875</formula2>
    </dataValidation>
    <dataValidation type="decimal" operator="greaterThanOrEqual" allowBlank="1" showInputMessage="1" showErrorMessage="1" errorTitle="Dimensional Error" error="&quot;Inches&quot; must be a number." sqref="BH16:BI45 BK16:BL45 BT16:BU45 BW16:BX45" xr:uid="{00000000-0002-0000-0D00-000003000000}">
      <formula1>0</formula1>
    </dataValidation>
    <dataValidation type="decimal" operator="notEqual" allowBlank="1" showInputMessage="1" showErrorMessage="1" errorTitle="input Error" error="Enter + or - Numbers Only._x000a_Do NOT use &quot;&lt;&quot; or &quot;&gt;&quot;." sqref="Y16:Z45 Y57:Z57" xr:uid="{00000000-0002-0000-0D00-000004000000}">
      <formula1>0</formula1>
    </dataValidation>
    <dataValidation type="decimal" operator="greaterThan" allowBlank="1" showInputMessage="1" showErrorMessage="1" errorTitle="Dimensional Error" error="Only positive numeric values can be entered here." sqref="L16:M45 L57:M57" xr:uid="{00000000-0002-0000-0D00-000005000000}">
      <formula1>0</formula1>
    </dataValidation>
    <dataValidation type="whole" operator="greaterThanOrEqual" allowBlank="1" showInputMessage="1" showErrorMessage="1" sqref="B57" xr:uid="{00000000-0002-0000-0D00-000006000000}">
      <formula1>0</formula1>
    </dataValidation>
    <dataValidation type="decimal" operator="lessThanOrEqual" allowBlank="1" showInputMessage="1" errorTitle="BL Over-Ride Error!" error="Base Length can't be past Joist Overall Length!  See section for Maximum Over-Ride Dimension." sqref="CC16:CC45" xr:uid="{00000000-0002-0000-0D00-000007000000}">
      <formula1>$DF16</formula1>
    </dataValidation>
    <dataValidation type="decimal" operator="lessThanOrEqual" allowBlank="1" showInputMessage="1" errorTitle="BL Over-Ride Error!" error="Base Length can't be past Joist Overall Length!  See section for Maximum Over-Ride Dimension." sqref="BQ16:BQ45" xr:uid="{00000000-0002-0000-0D00-000008000000}">
      <formula1>$CV16</formula1>
    </dataValidation>
    <dataValidation type="decimal" allowBlank="1" showInputMessage="1" showErrorMessage="1" errorTitle="Input Error" error="Numeric Values Only!" sqref="GC16:GD45 GC57:GD57 BP16:BP45 CB16:CB45" xr:uid="{10E335A0-C812-4B11-A878-8B37520F5376}">
      <formula1>-1200</formula1>
      <formula2>1200</formula2>
    </dataValidation>
    <dataValidation type="whole" operator="greaterThanOrEqual" allowBlank="1" showInputMessage="1" showErrorMessage="1" errorTitle="Input Error" error="Positive Integers Only!" sqref="GA16:GA45 GA57" xr:uid="{5A3AFB85-612B-41BC-99E9-7776CBDC20D4}">
      <formula1>0</formula1>
    </dataValidation>
    <dataValidation type="decimal" allowBlank="1" showInputMessage="1" showErrorMessage="1" errorTitle="Input Error" error="Numbers from 0&quot; to 11 7/8&quot; only!" sqref="GB16:GB45 GB57" xr:uid="{227C6233-DD82-4B1E-A09C-72713DBA5D7A}">
      <formula1>0</formula1>
      <formula2>11.875</formula2>
    </dataValidation>
    <dataValidation type="decimal" operator="greaterThan" allowBlank="1" showInputMessage="1" showErrorMessage="1" errorTitle="Input Error" error="Positive Numeric Values Only!" sqref="BR16:BR45 CD16:CD45" xr:uid="{D443B939-F648-4209-AB35-C44222F1AF0F}">
      <formula1>0</formula1>
    </dataValidation>
    <dataValidation type="whole" operator="greaterThan" allowBlank="1" showInputMessage="1" showErrorMessage="1" errorTitle="Quantity Error" error="Value must be an integer greater than -1000." sqref="B16:B45 BC16:BC45" xr:uid="{9F1C0102-77DE-4B35-9D84-56D3FA42460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41"/>
  </sheetPr>
  <dimension ref="A1:IC301"/>
  <sheetViews>
    <sheetView showGridLines="0" zoomScaleNormal="100" zoomScaleSheetLayoutView="105" workbookViewId="0">
      <selection activeCell="A27" sqref="A2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197"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ht="14.45" customHeight="1" thickBot="1" x14ac:dyDescent="0.25">
      <c r="A1" s="374"/>
      <c r="B1" s="374"/>
      <c r="C1" s="374"/>
      <c r="D1" s="374"/>
      <c r="E1" s="373"/>
      <c r="F1" s="373"/>
      <c r="G1" s="373"/>
      <c r="H1" s="373"/>
      <c r="I1" s="374"/>
      <c r="J1" s="1848" t="str">
        <f>IF(R1="","",VLOOKUP(R1,'Job Info.'!X:AA,4,FALSE))</f>
        <v>Master</v>
      </c>
      <c r="K1" s="1848"/>
      <c r="L1" s="1848"/>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c r="HS1" s="245"/>
      <c r="HT1" s="245"/>
      <c r="HU1" s="245"/>
      <c r="HV1" s="245"/>
      <c r="HW1" s="245"/>
      <c r="HX1" s="245"/>
      <c r="HY1" s="245"/>
      <c r="HZ1" s="245"/>
      <c r="IA1" s="245"/>
      <c r="IB1" s="245"/>
    </row>
    <row r="2" spans="1:237" ht="12.95" customHeight="1" thickTop="1" x14ac:dyDescent="0.2">
      <c r="A2" s="374"/>
      <c r="B2" s="374"/>
      <c r="C2" s="374"/>
      <c r="D2" s="374"/>
      <c r="E2" s="382"/>
      <c r="F2" s="382"/>
      <c r="G2" s="382"/>
      <c r="H2" s="382"/>
      <c r="I2" s="374"/>
      <c r="J2" s="1853" t="str">
        <f>IF(R1="","",IF(VLOOKUP(R1,'Job Info.'!X:Z,2,FALSE),"Released for Fabrication",""))</f>
        <v/>
      </c>
      <c r="K2" s="1854"/>
      <c r="L2" s="1855"/>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c r="HR2" s="245"/>
      <c r="HS2" s="245"/>
      <c r="HT2" s="245"/>
      <c r="HU2" s="245"/>
      <c r="HV2" s="245"/>
      <c r="HW2" s="245"/>
      <c r="HX2" s="245"/>
      <c r="HY2" s="245"/>
      <c r="HZ2" s="245"/>
      <c r="IA2" s="245"/>
      <c r="IB2" s="245"/>
      <c r="IC2" s="245"/>
    </row>
    <row r="3" spans="1:237" ht="12.95" customHeight="1" x14ac:dyDescent="0.2">
      <c r="A3" s="374"/>
      <c r="B3" s="374"/>
      <c r="C3" s="374"/>
      <c r="D3" s="374"/>
      <c r="E3" s="373"/>
      <c r="F3" s="374"/>
      <c r="G3" s="374"/>
      <c r="H3" s="374"/>
      <c r="I3" s="374"/>
      <c r="J3" s="1856"/>
      <c r="K3" s="1857"/>
      <c r="L3" s="1858"/>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c r="HR3" s="245"/>
      <c r="HS3" s="245"/>
      <c r="HT3" s="245"/>
      <c r="HU3" s="245"/>
      <c r="HV3" s="245"/>
      <c r="HW3" s="245"/>
      <c r="HX3" s="245"/>
      <c r="HY3" s="245"/>
      <c r="HZ3" s="245"/>
      <c r="IA3" s="245"/>
      <c r="IB3" s="245"/>
      <c r="IC3" s="245"/>
    </row>
    <row r="4" spans="1:237" ht="12.95" customHeight="1" thickBot="1" x14ac:dyDescent="0.25">
      <c r="A4" s="374"/>
      <c r="B4" s="374"/>
      <c r="C4" s="374"/>
      <c r="D4" s="374"/>
      <c r="E4" s="374"/>
      <c r="F4" s="374"/>
      <c r="G4" s="374"/>
      <c r="H4" s="374"/>
      <c r="I4" s="374"/>
      <c r="J4" s="1859" t="str">
        <f>IF(R1="","",IF(VLOOKUP(R1,'Job Info.'!X:Z,2,FALSE),VLOOKUP(R1,'Job Info.'!X:Z,3,FALSE),""))</f>
        <v/>
      </c>
      <c r="K4" s="1860"/>
      <c r="L4" s="1861"/>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c r="HR4" s="245"/>
      <c r="HS4" s="245"/>
      <c r="HT4" s="245"/>
      <c r="HU4" s="245"/>
      <c r="HV4" s="245"/>
      <c r="HW4" s="245"/>
      <c r="HX4" s="245"/>
      <c r="HY4" s="245"/>
      <c r="HZ4" s="245"/>
      <c r="IA4" s="245"/>
      <c r="IB4" s="245"/>
      <c r="IC4" s="245"/>
    </row>
    <row r="5" spans="1:237" ht="12.95" customHeight="1" thickTop="1" x14ac:dyDescent="0.2">
      <c r="A5" s="2100" t="str">
        <f ca="1">'Job Info.'!D11</f>
        <v>8200 Woolery Way | Fallon, NV 89406 | www.newmill.com</v>
      </c>
      <c r="B5" s="2423"/>
      <c r="C5" s="2423"/>
      <c r="D5" s="2423"/>
      <c r="E5" s="2423"/>
      <c r="F5" s="2423"/>
      <c r="G5" s="2423"/>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c r="HR5" s="245"/>
      <c r="HS5" s="245"/>
      <c r="HT5" s="245"/>
      <c r="HU5" s="245"/>
      <c r="HV5" s="245"/>
      <c r="HW5" s="245"/>
      <c r="HX5" s="245"/>
      <c r="HY5" s="245"/>
      <c r="HZ5" s="245"/>
      <c r="IA5" s="245"/>
      <c r="IB5" s="245"/>
      <c r="IC5" s="245"/>
    </row>
    <row r="6" spans="1:237" ht="12.95" customHeight="1" x14ac:dyDescent="0.2">
      <c r="A6" s="374"/>
      <c r="B6" s="374"/>
      <c r="C6" s="374"/>
      <c r="D6" s="374"/>
      <c r="E6" s="373"/>
      <c r="F6" s="374"/>
      <c r="G6" s="374"/>
      <c r="H6" s="374"/>
      <c r="I6" s="374"/>
      <c r="J6" s="374"/>
      <c r="K6" s="374"/>
      <c r="L6" s="374"/>
      <c r="M6" s="374"/>
      <c r="N6" s="460" t="s">
        <v>20</v>
      </c>
      <c r="O6" s="2539">
        <f>IF(ISBLANK('Job Info.'!D8),"",'Job Info.'!D8)</f>
        <v>45048</v>
      </c>
      <c r="P6" s="2539"/>
      <c r="R6" s="503" t="s">
        <v>1132</v>
      </c>
      <c r="GZ6" s="245"/>
      <c r="HA6" s="245"/>
      <c r="HB6" s="245"/>
      <c r="HC6" s="245"/>
      <c r="HD6" s="247"/>
      <c r="HE6" s="381"/>
      <c r="HF6" s="245"/>
      <c r="HG6" s="245"/>
      <c r="HH6" s="245"/>
      <c r="HI6" s="245"/>
      <c r="HJ6" s="245"/>
      <c r="HK6" s="245"/>
      <c r="HL6" s="245"/>
      <c r="HM6" s="245"/>
      <c r="HN6" s="245"/>
      <c r="HO6" s="245"/>
      <c r="HP6" s="245"/>
      <c r="HQ6" s="245"/>
      <c r="HR6" s="245"/>
      <c r="HS6" s="245"/>
      <c r="HT6" s="245"/>
      <c r="HU6" s="245"/>
      <c r="HV6" s="245"/>
      <c r="HW6" s="245"/>
      <c r="HX6" s="245"/>
      <c r="HY6" s="245"/>
      <c r="HZ6" s="245"/>
      <c r="IA6" s="245"/>
      <c r="IB6" s="245"/>
      <c r="IC6" s="245"/>
    </row>
    <row r="7" spans="1:237" ht="12.95" customHeight="1" x14ac:dyDescent="0.2">
      <c r="A7" s="395" t="s">
        <v>39</v>
      </c>
      <c r="B7" s="374"/>
      <c r="C7" s="374"/>
      <c r="D7" s="374"/>
      <c r="E7" s="374"/>
      <c r="F7" s="374"/>
      <c r="G7" s="467"/>
      <c r="H7" s="460" t="s">
        <v>26</v>
      </c>
      <c r="I7" s="2536"/>
      <c r="J7" s="2537"/>
      <c r="K7" s="2537"/>
      <c r="L7" s="1947"/>
      <c r="M7" s="374"/>
      <c r="N7" s="460" t="s">
        <v>21</v>
      </c>
      <c r="O7" s="1175" t="str">
        <f>CONCATENATE(R7, " of ",IF(ISBLANK('Job Info.'!D9),"",'Job Info.'!D9))</f>
        <v xml:space="preserve"> of 19</v>
      </c>
      <c r="P7" s="662"/>
      <c r="R7" s="1083"/>
      <c r="GZ7" s="245"/>
      <c r="HA7" s="245"/>
      <c r="HB7" s="245"/>
      <c r="HC7" s="245"/>
      <c r="HD7" s="247"/>
      <c r="HE7" s="381"/>
      <c r="HF7" s="245"/>
      <c r="HG7" s="245"/>
      <c r="HH7" s="245"/>
      <c r="HI7" s="245"/>
      <c r="HJ7" s="245"/>
      <c r="HK7" s="245"/>
      <c r="HL7" s="245"/>
      <c r="HM7" s="245"/>
      <c r="HN7" s="245"/>
      <c r="HO7" s="245"/>
      <c r="HP7" s="245"/>
      <c r="HQ7" s="245"/>
      <c r="HR7" s="245"/>
      <c r="HS7" s="245"/>
      <c r="HT7" s="245"/>
      <c r="HU7" s="245"/>
      <c r="HV7" s="245"/>
      <c r="HW7" s="245"/>
      <c r="HX7" s="245"/>
      <c r="HY7" s="245"/>
      <c r="HZ7" s="245"/>
      <c r="IA7" s="245"/>
      <c r="IB7" s="245"/>
      <c r="IC7" s="245"/>
    </row>
    <row r="8" spans="1:237" ht="2.85" customHeight="1" x14ac:dyDescent="0.2">
      <c r="A8" s="374"/>
      <c r="B8" s="374"/>
      <c r="C8" s="374"/>
      <c r="D8" s="374"/>
      <c r="E8" s="374"/>
      <c r="F8" s="374"/>
      <c r="G8" s="374"/>
      <c r="H8" s="374"/>
      <c r="I8" s="2534" t="str">
        <f>IF(I7="NO PAINT - GALV","GALV. BOLTS","")</f>
        <v/>
      </c>
      <c r="J8" s="2534"/>
      <c r="K8" s="2534"/>
      <c r="L8" s="374"/>
      <c r="M8" s="374"/>
      <c r="N8" s="374"/>
      <c r="O8" s="374"/>
      <c r="P8" s="374"/>
      <c r="GZ8" s="245"/>
      <c r="HA8" s="245"/>
      <c r="HB8" s="245"/>
      <c r="HC8" s="245"/>
      <c r="HD8" s="247"/>
      <c r="HE8" s="381"/>
      <c r="HF8" s="245"/>
      <c r="HG8" s="245"/>
      <c r="HH8" s="245"/>
      <c r="HI8" s="245"/>
      <c r="HJ8" s="245"/>
      <c r="HK8" s="245"/>
      <c r="HL8" s="245"/>
      <c r="HM8" s="245"/>
      <c r="HN8" s="245"/>
      <c r="HO8" s="245"/>
      <c r="HP8" s="245"/>
      <c r="HQ8" s="245"/>
      <c r="HR8" s="245"/>
      <c r="HS8" s="245"/>
      <c r="HT8" s="245"/>
      <c r="HU8" s="245"/>
      <c r="HV8" s="245"/>
      <c r="HW8" s="245"/>
      <c r="HX8" s="245"/>
      <c r="HY8" s="245"/>
      <c r="HZ8" s="245"/>
      <c r="IA8" s="245"/>
      <c r="IB8" s="245"/>
      <c r="IC8" s="245"/>
    </row>
    <row r="9" spans="1:237" ht="12.2" customHeight="1" x14ac:dyDescent="0.2">
      <c r="A9" s="471" t="s">
        <v>1</v>
      </c>
      <c r="B9" s="239"/>
      <c r="C9" s="1824" t="str">
        <f>IF(ISBLANK('Job Info.'!D3),"",'Job Info.'!D3)</f>
        <v>MINDEN UPS BLDG 1</v>
      </c>
      <c r="D9" s="1824"/>
      <c r="E9" s="1824"/>
      <c r="F9" s="1824"/>
      <c r="G9" s="1903"/>
      <c r="H9" s="468"/>
      <c r="I9" s="458" t="s">
        <v>2</v>
      </c>
      <c r="J9" s="1824" t="str">
        <f>IF(ISBLANK('Job Info.'!D5),"",'Job Info.'!D5)</f>
        <v>NN22-0071</v>
      </c>
      <c r="K9" s="1824"/>
      <c r="L9" s="1824"/>
      <c r="M9" s="1824"/>
      <c r="N9" s="1824"/>
      <c r="O9" s="1824"/>
      <c r="P9" s="1825"/>
      <c r="GZ9" s="245"/>
      <c r="HA9" s="245"/>
      <c r="HB9" s="245"/>
      <c r="HC9" s="245"/>
      <c r="HD9" s="247"/>
      <c r="HE9" s="381"/>
      <c r="HF9" s="245"/>
      <c r="HG9" s="245"/>
      <c r="HH9" s="245"/>
      <c r="HI9" s="245"/>
      <c r="HJ9" s="245"/>
      <c r="HK9" s="245"/>
      <c r="HL9" s="245"/>
      <c r="HM9" s="245"/>
      <c r="HN9" s="245"/>
      <c r="HO9" s="245"/>
      <c r="HP9" s="245"/>
      <c r="HQ9" s="245"/>
      <c r="HR9" s="245"/>
      <c r="HS9" s="245"/>
      <c r="HT9" s="245"/>
      <c r="HU9" s="245"/>
      <c r="HV9" s="245"/>
      <c r="HW9" s="245"/>
      <c r="HX9" s="245"/>
      <c r="HY9" s="245"/>
      <c r="HZ9" s="245"/>
      <c r="IA9" s="245"/>
      <c r="IB9" s="245"/>
      <c r="IC9" s="245"/>
    </row>
    <row r="10" spans="1:237" ht="12.2" customHeight="1" x14ac:dyDescent="0.2">
      <c r="A10" s="471" t="s">
        <v>3</v>
      </c>
      <c r="B10" s="239"/>
      <c r="C10" s="1824" t="str">
        <f>IF(ISBLANK('Job Info.'!D4),"",'Job Info.'!D4)</f>
        <v>MINDEN, NV</v>
      </c>
      <c r="D10" s="1824"/>
      <c r="E10" s="1824"/>
      <c r="F10" s="1824"/>
      <c r="G10" s="1903"/>
      <c r="H10" s="468"/>
      <c r="I10" s="471" t="s">
        <v>22</v>
      </c>
      <c r="J10" s="1824" t="str">
        <f>IF(ISBLANK('Job Info.'!D6),"",'Job Info.'!D6)</f>
        <v>JMM</v>
      </c>
      <c r="K10" s="1824"/>
      <c r="L10" s="1825"/>
      <c r="M10" s="469"/>
      <c r="N10" s="458" t="s">
        <v>23</v>
      </c>
      <c r="O10" s="1824" t="str">
        <f>IF(ISBLANK('Job Info.'!D7),"",'Job Info.'!D7)</f>
        <v>NR</v>
      </c>
      <c r="P10" s="1825"/>
      <c r="GZ10" s="245"/>
      <c r="HA10" s="245"/>
      <c r="HB10" s="245"/>
      <c r="HC10" s="245"/>
      <c r="HD10" s="247"/>
      <c r="HE10" s="381"/>
      <c r="HF10" s="245"/>
      <c r="HG10" s="245"/>
      <c r="HH10" s="245"/>
      <c r="HI10" s="245"/>
      <c r="HJ10" s="245"/>
      <c r="HK10" s="245"/>
      <c r="HL10" s="245"/>
      <c r="HM10" s="245"/>
      <c r="HN10" s="245"/>
      <c r="HO10" s="245"/>
      <c r="HP10" s="245"/>
      <c r="HY10" s="255"/>
      <c r="HZ10" s="255"/>
      <c r="IA10" s="245"/>
      <c r="IB10" s="245"/>
      <c r="IC10" s="245"/>
    </row>
    <row r="11" spans="1:237" ht="49.5" customHeight="1" x14ac:dyDescent="0.2">
      <c r="A11" s="19"/>
      <c r="B11" s="19"/>
      <c r="C11" s="19"/>
      <c r="D11" s="19"/>
      <c r="E11" s="19"/>
      <c r="F11" s="19"/>
      <c r="G11" s="19"/>
      <c r="H11" s="19"/>
      <c r="I11" s="19"/>
      <c r="J11" s="19"/>
      <c r="K11" s="19"/>
      <c r="L11" s="19"/>
      <c r="M11" s="19"/>
      <c r="N11" s="19"/>
      <c r="O11" s="19"/>
      <c r="P11" s="19"/>
      <c r="GZ11" s="245"/>
      <c r="HA11" s="245"/>
      <c r="HB11" s="245"/>
      <c r="HC11" s="245"/>
      <c r="HD11" s="247"/>
      <c r="HE11" s="381"/>
      <c r="HF11" s="245"/>
      <c r="HG11" s="245"/>
      <c r="HH11" s="245"/>
      <c r="HI11" s="245"/>
      <c r="HJ11" s="245"/>
      <c r="HK11" s="245"/>
      <c r="HL11" s="245"/>
      <c r="HM11" s="245"/>
      <c r="HN11" s="245"/>
      <c r="HO11" s="245"/>
      <c r="HP11" s="245"/>
      <c r="HY11" s="245"/>
      <c r="HZ11" s="245"/>
      <c r="IA11" s="245"/>
      <c r="IB11" s="245"/>
      <c r="IC11" s="245"/>
    </row>
    <row r="12" spans="1:237" ht="12.6" customHeight="1" x14ac:dyDescent="0.2">
      <c r="A12" s="2532"/>
      <c r="B12" s="2532"/>
      <c r="C12" s="2532"/>
      <c r="D12" s="2532"/>
      <c r="E12" s="2532"/>
      <c r="F12" s="1109"/>
      <c r="G12" s="1108"/>
      <c r="H12" s="24"/>
      <c r="I12" s="24"/>
      <c r="J12" s="24"/>
      <c r="K12" s="24"/>
      <c r="L12" s="25"/>
      <c r="M12" s="2532"/>
      <c r="N12" s="2532"/>
      <c r="O12" s="25"/>
      <c r="P12" s="19"/>
      <c r="GZ12" s="245"/>
      <c r="HW12" s="1285"/>
      <c r="HY12" s="245"/>
      <c r="HZ12" s="245"/>
      <c r="IA12" s="245"/>
      <c r="IB12" s="245"/>
      <c r="IC12" s="245"/>
    </row>
    <row r="13" spans="1:237" ht="12.6" customHeight="1" x14ac:dyDescent="0.25">
      <c r="A13" s="26"/>
      <c r="B13" s="26"/>
      <c r="C13" s="26"/>
      <c r="D13" s="1109"/>
      <c r="E13" s="1109"/>
      <c r="F13" s="1109"/>
      <c r="G13" s="1109"/>
      <c r="H13" s="1109"/>
      <c r="I13" s="1109"/>
      <c r="J13" s="1109"/>
      <c r="K13" s="1109"/>
      <c r="L13" s="25"/>
      <c r="M13" s="25"/>
      <c r="N13" s="25"/>
      <c r="O13" s="25"/>
      <c r="P13" s="19"/>
      <c r="GZ13" s="245"/>
      <c r="HW13" s="1285"/>
      <c r="HY13" s="245"/>
      <c r="HZ13" s="245"/>
      <c r="IA13" s="245"/>
      <c r="IB13" s="245"/>
      <c r="IC13" s="245"/>
    </row>
    <row r="14" spans="1:237" ht="12.6" customHeight="1" x14ac:dyDescent="0.25">
      <c r="A14" s="25"/>
      <c r="B14" s="26"/>
      <c r="C14" s="26"/>
      <c r="D14" s="1109"/>
      <c r="E14" s="1109"/>
      <c r="F14" s="1109"/>
      <c r="G14" s="1109"/>
      <c r="H14" s="1109"/>
      <c r="I14" s="1109"/>
      <c r="J14" s="1109"/>
      <c r="K14" s="1109"/>
      <c r="L14" s="25"/>
      <c r="M14" s="25"/>
      <c r="N14" s="25"/>
      <c r="O14" s="25"/>
      <c r="P14" s="19"/>
      <c r="GZ14" s="245"/>
      <c r="HW14" s="1285"/>
      <c r="IC14" s="245"/>
    </row>
    <row r="15" spans="1:237" ht="12.6" customHeight="1" x14ac:dyDescent="0.25">
      <c r="A15" s="26"/>
      <c r="B15" s="26"/>
      <c r="C15" s="26"/>
      <c r="D15" s="25"/>
      <c r="E15" s="1109"/>
      <c r="F15" s="1109"/>
      <c r="G15" s="1109"/>
      <c r="H15" s="1109"/>
      <c r="I15" s="1109"/>
      <c r="J15" s="1109"/>
      <c r="K15" s="1109"/>
      <c r="L15" s="25"/>
      <c r="M15" s="25"/>
      <c r="N15" s="25"/>
      <c r="O15" s="25"/>
      <c r="P15" s="19"/>
      <c r="GZ15" s="245"/>
      <c r="IC15" s="245"/>
    </row>
    <row r="16" spans="1:237" ht="12.6" customHeight="1" x14ac:dyDescent="0.25">
      <c r="A16" s="26"/>
      <c r="B16" s="26"/>
      <c r="C16" s="26"/>
      <c r="D16" s="1109"/>
      <c r="E16" s="1109"/>
      <c r="F16" s="1109"/>
      <c r="G16" s="1109"/>
      <c r="H16" s="1109"/>
      <c r="I16" s="1109"/>
      <c r="J16" s="1109"/>
      <c r="K16" s="1109"/>
      <c r="L16" s="25"/>
      <c r="M16" s="25"/>
      <c r="N16" s="25"/>
      <c r="O16" s="25"/>
      <c r="P16" s="19"/>
      <c r="GZ16" s="245"/>
      <c r="IC16" s="245"/>
    </row>
    <row r="17" spans="1:225" ht="12.6" customHeight="1" x14ac:dyDescent="0.25">
      <c r="A17" s="26"/>
      <c r="B17" s="26"/>
      <c r="C17" s="26"/>
      <c r="D17" s="25"/>
      <c r="E17" s="25"/>
      <c r="F17" s="1109"/>
      <c r="G17" s="1109"/>
      <c r="H17" s="1109"/>
      <c r="I17" s="1109"/>
      <c r="J17" s="1109"/>
      <c r="K17" s="1109"/>
      <c r="L17" s="25"/>
      <c r="M17" s="25"/>
      <c r="N17" s="25"/>
      <c r="O17" s="25"/>
      <c r="P17" s="19"/>
    </row>
    <row r="18" spans="1:225" ht="12.6" customHeight="1" x14ac:dyDescent="0.25">
      <c r="A18" s="26"/>
      <c r="B18" s="26"/>
      <c r="C18" s="26"/>
      <c r="D18" s="2533"/>
      <c r="E18" s="2533"/>
      <c r="F18" s="25"/>
      <c r="G18" s="1109"/>
      <c r="H18" s="1109"/>
      <c r="I18" s="1109"/>
      <c r="J18" s="1109"/>
      <c r="K18" s="1109"/>
      <c r="L18" s="25"/>
      <c r="M18" s="25"/>
      <c r="N18" s="25"/>
      <c r="O18" s="25"/>
      <c r="P18" s="19"/>
    </row>
    <row r="19" spans="1:225" ht="12.6" customHeight="1" x14ac:dyDescent="0.2">
      <c r="A19" s="25"/>
      <c r="B19" s="25"/>
      <c r="C19" s="25"/>
      <c r="D19" s="25"/>
      <c r="E19" s="25"/>
      <c r="F19" s="1109"/>
      <c r="G19" s="25"/>
      <c r="H19" s="25"/>
      <c r="I19" s="25"/>
      <c r="J19" s="25"/>
      <c r="K19" s="25"/>
      <c r="L19" s="25"/>
      <c r="M19" s="25"/>
      <c r="N19" s="25"/>
      <c r="O19" s="25"/>
      <c r="P19" s="19"/>
    </row>
    <row r="20" spans="1:225" ht="12.6" customHeight="1" x14ac:dyDescent="0.2">
      <c r="A20" s="25"/>
      <c r="B20" s="25"/>
      <c r="C20" s="25"/>
      <c r="D20" s="25"/>
      <c r="E20" s="25"/>
      <c r="F20" s="1109"/>
      <c r="G20" s="25"/>
      <c r="H20" s="25"/>
      <c r="I20" s="25"/>
      <c r="J20" s="25"/>
      <c r="K20" s="25"/>
      <c r="L20" s="25"/>
      <c r="M20" s="25"/>
      <c r="N20" s="25"/>
      <c r="O20" s="25"/>
      <c r="P20" s="19"/>
    </row>
    <row r="21" spans="1:225" ht="12.6" customHeight="1" x14ac:dyDescent="0.2">
      <c r="A21" s="2531"/>
      <c r="B21" s="2531"/>
      <c r="C21" s="2531"/>
      <c r="D21" s="1113"/>
      <c r="E21" s="28"/>
      <c r="F21" s="29"/>
      <c r="G21" s="28"/>
      <c r="H21" s="28"/>
      <c r="I21" s="28"/>
      <c r="J21" s="28"/>
      <c r="K21" s="28"/>
      <c r="L21" s="28"/>
      <c r="M21" s="28"/>
      <c r="N21" s="28"/>
      <c r="O21" s="28"/>
      <c r="P21" s="19"/>
    </row>
    <row r="22" spans="1:225" ht="12.6" customHeight="1" thickBot="1" x14ac:dyDescent="0.25">
      <c r="A22" s="2530"/>
      <c r="B22" s="2530"/>
      <c r="C22" s="2530"/>
      <c r="D22" s="1112"/>
      <c r="E22" s="28"/>
      <c r="F22" s="28"/>
      <c r="G22" s="1112"/>
      <c r="H22" s="28"/>
      <c r="I22" s="28"/>
      <c r="J22" s="28"/>
      <c r="K22" s="28"/>
      <c r="L22" s="28"/>
      <c r="M22" s="28"/>
      <c r="N22" s="28"/>
      <c r="O22" s="28"/>
      <c r="P22" s="19"/>
      <c r="HA22" s="255">
        <v>1</v>
      </c>
      <c r="HB22" s="255">
        <f t="shared" ref="HB22:HP22" si="0">HA22+1</f>
        <v>2</v>
      </c>
      <c r="HC22" s="255">
        <f t="shared" si="0"/>
        <v>3</v>
      </c>
      <c r="HD22" s="255">
        <f t="shared" si="0"/>
        <v>4</v>
      </c>
      <c r="HE22" s="255">
        <f t="shared" si="0"/>
        <v>5</v>
      </c>
      <c r="HF22" s="255">
        <f t="shared" si="0"/>
        <v>6</v>
      </c>
      <c r="HG22" s="255">
        <f t="shared" si="0"/>
        <v>7</v>
      </c>
      <c r="HH22" s="255">
        <f t="shared" si="0"/>
        <v>8</v>
      </c>
      <c r="HI22" s="255">
        <f t="shared" si="0"/>
        <v>9</v>
      </c>
      <c r="HJ22" s="255">
        <f t="shared" si="0"/>
        <v>10</v>
      </c>
      <c r="HK22" s="255">
        <f t="shared" si="0"/>
        <v>11</v>
      </c>
      <c r="HL22" s="255">
        <f t="shared" si="0"/>
        <v>12</v>
      </c>
      <c r="HM22" s="255">
        <f t="shared" si="0"/>
        <v>13</v>
      </c>
      <c r="HN22" s="255">
        <f t="shared" si="0"/>
        <v>14</v>
      </c>
      <c r="HO22" s="255">
        <f t="shared" si="0"/>
        <v>15</v>
      </c>
      <c r="HP22" s="255">
        <f t="shared" si="0"/>
        <v>16</v>
      </c>
    </row>
    <row r="23" spans="1:225" ht="12.6" customHeight="1" thickTop="1" x14ac:dyDescent="0.2">
      <c r="A23" s="2530"/>
      <c r="B23" s="2530"/>
      <c r="C23" s="2530"/>
      <c r="D23" s="1112"/>
      <c r="E23" s="28"/>
      <c r="F23" s="28"/>
      <c r="G23" s="1112"/>
      <c r="H23" s="28"/>
      <c r="I23" s="28"/>
      <c r="J23" s="28"/>
      <c r="K23" s="28"/>
      <c r="L23" s="28"/>
      <c r="M23" s="28"/>
      <c r="N23" s="28"/>
      <c r="O23" s="28"/>
      <c r="P23" s="19"/>
      <c r="HA23" s="2508" t="s">
        <v>621</v>
      </c>
      <c r="HB23" s="1931"/>
      <c r="HC23" s="1931"/>
      <c r="HD23" s="1931"/>
      <c r="HE23" s="1931"/>
      <c r="HF23" s="1931"/>
      <c r="HG23" s="1931"/>
      <c r="HH23" s="1931"/>
      <c r="HI23" s="1931"/>
      <c r="HJ23" s="1931"/>
      <c r="HK23" s="1931"/>
      <c r="HL23" s="1931"/>
      <c r="HM23" s="1931"/>
      <c r="HN23" s="1931"/>
      <c r="HO23" s="1931"/>
      <c r="HP23" s="1932"/>
    </row>
    <row r="24" spans="1:225" ht="12.6" customHeight="1" thickBot="1" x14ac:dyDescent="0.3">
      <c r="A24" s="1114"/>
      <c r="B24" s="27"/>
      <c r="C24" s="27"/>
      <c r="D24" s="3"/>
      <c r="E24" s="3"/>
      <c r="F24" s="3"/>
      <c r="G24" s="3"/>
      <c r="H24" s="3"/>
      <c r="I24" s="3"/>
      <c r="J24" s="3"/>
      <c r="K24" s="3"/>
      <c r="L24" s="3"/>
      <c r="M24" s="3"/>
      <c r="N24" s="3"/>
      <c r="O24" s="3"/>
      <c r="P24" s="19"/>
      <c r="R24" s="245"/>
      <c r="S24" s="245"/>
      <c r="T24" s="245"/>
      <c r="U24" s="245"/>
      <c r="V24" s="245"/>
      <c r="W24" s="245"/>
      <c r="X24" s="245"/>
      <c r="Y24" s="245"/>
      <c r="Z24" s="245"/>
      <c r="AA24" s="245"/>
      <c r="HA24" s="2188"/>
      <c r="HB24" s="2189"/>
      <c r="HC24" s="2189"/>
      <c r="HD24" s="2189"/>
      <c r="HE24" s="2189"/>
      <c r="HF24" s="2189"/>
      <c r="HG24" s="2189"/>
      <c r="HH24" s="2189"/>
      <c r="HI24" s="2189"/>
      <c r="HJ24" s="2189"/>
      <c r="HK24" s="2189"/>
      <c r="HL24" s="2189"/>
      <c r="HM24" s="2189"/>
      <c r="HN24" s="2189"/>
      <c r="HO24" s="2189"/>
      <c r="HP24" s="2190"/>
    </row>
    <row r="25" spans="1:225" s="23" customFormat="1" ht="12.6" customHeight="1" thickTop="1" thickBot="1" x14ac:dyDescent="0.25">
      <c r="A25" s="2520" t="s">
        <v>40</v>
      </c>
      <c r="B25" s="2521"/>
      <c r="C25" s="2526" t="s">
        <v>130</v>
      </c>
      <c r="D25" s="1986" t="s">
        <v>673</v>
      </c>
      <c r="E25" s="2524" t="s">
        <v>674</v>
      </c>
      <c r="F25" s="2517" t="s">
        <v>36</v>
      </c>
      <c r="G25" s="2426" t="s">
        <v>79</v>
      </c>
      <c r="H25" s="2424"/>
      <c r="I25" s="2519" t="s">
        <v>675</v>
      </c>
      <c r="J25" s="2424"/>
      <c r="K25" s="2524" t="s">
        <v>107</v>
      </c>
      <c r="L25" s="2538"/>
      <c r="M25" s="2535" t="s">
        <v>108</v>
      </c>
      <c r="N25" s="2526" t="s">
        <v>109</v>
      </c>
      <c r="O25" s="2517" t="s">
        <v>110</v>
      </c>
      <c r="P25" s="1059" t="s">
        <v>676</v>
      </c>
      <c r="Q25" s="1410"/>
      <c r="R25" s="426"/>
      <c r="S25" s="426"/>
      <c r="T25" s="426"/>
      <c r="U25" s="426">
        <f>COUNTA(U27:U300)</f>
        <v>13</v>
      </c>
      <c r="V25" s="2542" t="s">
        <v>797</v>
      </c>
      <c r="W25" s="426">
        <f>COUNTA(W27:W300)</f>
        <v>9</v>
      </c>
      <c r="X25" s="2540" t="s">
        <v>946</v>
      </c>
      <c r="Y25" s="2541"/>
      <c r="Z25" s="2541"/>
      <c r="AA25" s="2541"/>
      <c r="AB25" s="426"/>
      <c r="AC25" s="2529" t="s">
        <v>1137</v>
      </c>
      <c r="AD25" s="1922"/>
      <c r="AE25" s="426">
        <f>COUNTA(AE27:AE300)</f>
        <v>166</v>
      </c>
      <c r="HA25" s="2509" t="s">
        <v>632</v>
      </c>
      <c r="HB25" s="2511" t="s">
        <v>1148</v>
      </c>
      <c r="HC25" s="2511" t="s">
        <v>1134</v>
      </c>
      <c r="HD25" s="2506" t="s">
        <v>1144</v>
      </c>
      <c r="HE25" s="2506" t="s">
        <v>660</v>
      </c>
      <c r="HF25" s="2513" t="s">
        <v>677</v>
      </c>
      <c r="HG25" s="2513" t="s">
        <v>1149</v>
      </c>
      <c r="HH25" s="2513" t="s">
        <v>1150</v>
      </c>
      <c r="HI25" s="2513" t="s">
        <v>1151</v>
      </c>
      <c r="HJ25" s="2513" t="s">
        <v>1152</v>
      </c>
      <c r="HK25" s="2513" t="s">
        <v>1153</v>
      </c>
      <c r="HL25" s="2513" t="s">
        <v>1154</v>
      </c>
      <c r="HM25" s="2513" t="s">
        <v>1145</v>
      </c>
      <c r="HN25" s="2506" t="s">
        <v>1146</v>
      </c>
      <c r="HO25" s="2506" t="s">
        <v>1147</v>
      </c>
      <c r="HP25" s="2515" t="s">
        <v>480</v>
      </c>
    </row>
    <row r="26" spans="1:225" s="23" customFormat="1" ht="12.6" customHeight="1" thickTop="1" thickBot="1" x14ac:dyDescent="0.25">
      <c r="A26" s="2522"/>
      <c r="B26" s="2523"/>
      <c r="C26" s="2527"/>
      <c r="D26" s="1987"/>
      <c r="E26" s="2525"/>
      <c r="F26" s="2528"/>
      <c r="G26" s="1111" t="s">
        <v>632</v>
      </c>
      <c r="H26" s="1066" t="s">
        <v>171</v>
      </c>
      <c r="I26" s="1071" t="s">
        <v>632</v>
      </c>
      <c r="J26" s="1110" t="s">
        <v>171</v>
      </c>
      <c r="K26" s="2522"/>
      <c r="L26" s="2518"/>
      <c r="M26" s="1982"/>
      <c r="N26" s="2523"/>
      <c r="O26" s="2518"/>
      <c r="P26" s="1060" t="s">
        <v>57</v>
      </c>
      <c r="Q26" s="1408" t="s">
        <v>1101</v>
      </c>
      <c r="R26" s="372" t="s">
        <v>170</v>
      </c>
      <c r="S26" s="372" t="s">
        <v>788</v>
      </c>
      <c r="T26" s="372" t="s">
        <v>1136</v>
      </c>
      <c r="U26" s="426" t="s">
        <v>794</v>
      </c>
      <c r="V26" s="2543"/>
      <c r="W26" s="426" t="s">
        <v>660</v>
      </c>
      <c r="X26" s="426" t="s">
        <v>661</v>
      </c>
      <c r="Y26" s="426" t="s">
        <v>662</v>
      </c>
      <c r="Z26" s="426" t="s">
        <v>663</v>
      </c>
      <c r="AA26" s="426" t="s">
        <v>664</v>
      </c>
      <c r="AB26" s="426" t="s">
        <v>677</v>
      </c>
      <c r="AC26" s="426" t="s">
        <v>1138</v>
      </c>
      <c r="AD26" s="426" t="s">
        <v>1139</v>
      </c>
      <c r="AE26" s="426" t="s">
        <v>819</v>
      </c>
      <c r="AF26" s="426" t="s">
        <v>1135</v>
      </c>
      <c r="HA26" s="2510"/>
      <c r="HB26" s="2512"/>
      <c r="HC26" s="2512"/>
      <c r="HD26" s="2507"/>
      <c r="HE26" s="2507"/>
      <c r="HF26" s="2514"/>
      <c r="HG26" s="2514"/>
      <c r="HH26" s="2514"/>
      <c r="HI26" s="2514"/>
      <c r="HJ26" s="2514"/>
      <c r="HK26" s="2514"/>
      <c r="HL26" s="2514"/>
      <c r="HM26" s="2514"/>
      <c r="HN26" s="2507"/>
      <c r="HO26" s="2507"/>
      <c r="HP26" s="2516"/>
    </row>
    <row r="27" spans="1:225" ht="12.6" customHeight="1" thickTop="1" x14ac:dyDescent="0.25">
      <c r="A27" s="1448"/>
      <c r="B27" s="1449"/>
      <c r="C27" s="1681"/>
      <c r="D27" s="1450"/>
      <c r="E27" s="1448"/>
      <c r="F27" s="1451"/>
      <c r="G27" s="1448"/>
      <c r="H27" s="714"/>
      <c r="I27" s="1452"/>
      <c r="J27" s="1453"/>
      <c r="K27" s="1454"/>
      <c r="L27" s="1455"/>
      <c r="M27" s="1456"/>
      <c r="N27" s="1457"/>
      <c r="O27" s="1458"/>
      <c r="P27" s="1459"/>
      <c r="Q27" s="1409" t="b">
        <v>0</v>
      </c>
      <c r="R27" s="470" t="b">
        <v>0</v>
      </c>
      <c r="S27" s="464" t="b">
        <f>AND($S$1,C27=0)</f>
        <v>0</v>
      </c>
      <c r="T27" s="464" t="b">
        <f>IF(OR(ISBLANK(D27),ISBLANK(E27),ISBLANK(F27),ISERROR(MATCH(F27,$AB$27:$AB$34,0))),FALSE,IF(ISERROR(FIND("B",$E27)),FALSE,IF(ISBLANK($D27),FALSE,IF(ISERROR(VLOOKUP(TRIM($D27),$AE$27:$AF$192,2,FALSE)),TRUE,VLOOKUP(TRIM($F27),$AB$27:$AD$34,IF(ISERROR(FIND("X",$E27)),3,2),FALSE)&lt;=VLOOKUP(TRIM($D27),$AE$27:$AF$192,2,FALSE)))))</f>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7"/>
      <c r="HB27" s="1148"/>
      <c r="HC27" s="1148"/>
      <c r="HD27" s="1153"/>
      <c r="HE27" s="1154"/>
      <c r="HF27" s="1148"/>
      <c r="HG27" s="1148"/>
      <c r="HH27" s="1148"/>
      <c r="HI27" s="1155"/>
      <c r="HJ27" s="1148"/>
      <c r="HK27" s="1148"/>
      <c r="HL27" s="1148"/>
      <c r="HM27" s="1148"/>
      <c r="HN27" s="1148"/>
      <c r="HO27" s="1148"/>
      <c r="HP27" s="1156"/>
      <c r="HQ27" s="1173"/>
    </row>
    <row r="28" spans="1:225" ht="12.6" customHeight="1" x14ac:dyDescent="0.25">
      <c r="A28" s="1448"/>
      <c r="B28" s="1449"/>
      <c r="C28" s="1681"/>
      <c r="D28" s="1450"/>
      <c r="E28" s="1448"/>
      <c r="F28" s="1451"/>
      <c r="G28" s="1448"/>
      <c r="H28" s="714"/>
      <c r="I28" s="1452"/>
      <c r="J28" s="1453"/>
      <c r="K28" s="1454"/>
      <c r="L28" s="1455"/>
      <c r="M28" s="1456"/>
      <c r="N28" s="1457"/>
      <c r="O28" s="1458"/>
      <c r="P28" s="1459"/>
      <c r="Q28" s="1409" t="b">
        <v>0</v>
      </c>
      <c r="R28" s="470" t="b">
        <v>0</v>
      </c>
      <c r="S28" s="464" t="b">
        <f t="shared" ref="S28:S42" si="1">AND($S$1,C28=0)</f>
        <v>0</v>
      </c>
      <c r="T28" s="464" t="b">
        <f t="shared" ref="T28:T42" si="2">IF(OR(ISBLANK(D28),ISBLANK(E28),ISBLANK(F28),ISERROR(MATCH(F28,$AB$27:$AB$34,0))),FALSE,IF(ISERROR(FIND("B",$E28)),FALSE,IF(ISBLANK($D28),FALSE,IF(ISERROR(VLOOKUP(TRIM($D28),$AE$27:$AF$192,2,FALSE)),TRUE,VLOOKUP(TRIM($F28),$AB$27:$AD$34,IF(ISERROR(FIND("X",$E28)),3,2),FALSE)&lt;=VLOOKUP(TRIM($D28),$AE$27:$AF$192,2,FALSE)))))</f>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c r="HB28" s="1150"/>
      <c r="HC28" s="1150"/>
      <c r="HD28" s="1157"/>
      <c r="HE28" s="1158"/>
      <c r="HF28" s="1150"/>
      <c r="HG28" s="1150"/>
      <c r="HH28" s="1150"/>
      <c r="HI28" s="1159"/>
      <c r="HJ28" s="1150"/>
      <c r="HK28" s="1150"/>
      <c r="HL28" s="1150"/>
      <c r="HM28" s="1150"/>
      <c r="HN28" s="1150"/>
      <c r="HO28" s="1150"/>
      <c r="HP28" s="1160"/>
      <c r="HQ28" s="1173"/>
    </row>
    <row r="29" spans="1:225" ht="12.6" customHeight="1" x14ac:dyDescent="0.25">
      <c r="A29" s="1448"/>
      <c r="B29" s="1449"/>
      <c r="C29" s="1681"/>
      <c r="D29" s="1450"/>
      <c r="E29" s="1448"/>
      <c r="F29" s="1451"/>
      <c r="G29" s="1448"/>
      <c r="H29" s="714"/>
      <c r="I29" s="1452"/>
      <c r="J29" s="1453"/>
      <c r="K29" s="1454"/>
      <c r="L29" s="1455"/>
      <c r="M29" s="1456"/>
      <c r="N29" s="1457"/>
      <c r="O29" s="1458"/>
      <c r="P29" s="1459"/>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c r="HB29" s="1150"/>
      <c r="HC29" s="1150"/>
      <c r="HD29" s="1157"/>
      <c r="HE29" s="1158"/>
      <c r="HF29" s="1150"/>
      <c r="HG29" s="1150"/>
      <c r="HH29" s="1150"/>
      <c r="HI29" s="1159"/>
      <c r="HJ29" s="1150"/>
      <c r="HK29" s="1150"/>
      <c r="HL29" s="1150"/>
      <c r="HM29" s="1150"/>
      <c r="HN29" s="1150"/>
      <c r="HO29" s="1150"/>
      <c r="HP29" s="1160"/>
      <c r="HQ29" s="1173"/>
    </row>
    <row r="30" spans="1:225" ht="12.6" customHeight="1" x14ac:dyDescent="0.25">
      <c r="A30" s="1448"/>
      <c r="B30" s="1449"/>
      <c r="C30" s="1681"/>
      <c r="D30" s="1450"/>
      <c r="E30" s="1448"/>
      <c r="F30" s="1451"/>
      <c r="G30" s="1448"/>
      <c r="H30" s="714"/>
      <c r="I30" s="1452"/>
      <c r="J30" s="1453"/>
      <c r="K30" s="1454"/>
      <c r="L30" s="1455"/>
      <c r="M30" s="1456"/>
      <c r="N30" s="1457"/>
      <c r="O30" s="1458"/>
      <c r="P30" s="1459"/>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c r="HB30" s="1150"/>
      <c r="HC30" s="1150"/>
      <c r="HD30" s="1157"/>
      <c r="HE30" s="1158"/>
      <c r="HF30" s="1150"/>
      <c r="HG30" s="1150"/>
      <c r="HH30" s="1150"/>
      <c r="HI30" s="1159"/>
      <c r="HJ30" s="1150"/>
      <c r="HK30" s="1150"/>
      <c r="HL30" s="1150"/>
      <c r="HM30" s="1150"/>
      <c r="HN30" s="1150"/>
      <c r="HO30" s="1150"/>
      <c r="HP30" s="1160"/>
      <c r="HQ30" s="1173"/>
    </row>
    <row r="31" spans="1:225" ht="12.6" customHeight="1" x14ac:dyDescent="0.25">
      <c r="A31" s="1448"/>
      <c r="B31" s="1449"/>
      <c r="C31" s="1681"/>
      <c r="D31" s="1450"/>
      <c r="E31" s="1448"/>
      <c r="F31" s="1451"/>
      <c r="G31" s="1448"/>
      <c r="H31" s="714"/>
      <c r="I31" s="1452"/>
      <c r="J31" s="1453"/>
      <c r="K31" s="1454"/>
      <c r="L31" s="1455"/>
      <c r="M31" s="1456"/>
      <c r="N31" s="1457"/>
      <c r="O31" s="1458"/>
      <c r="P31" s="1459"/>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c r="HB31" s="1150"/>
      <c r="HC31" s="1150"/>
      <c r="HD31" s="1157"/>
      <c r="HE31" s="1158"/>
      <c r="HF31" s="1150"/>
      <c r="HG31" s="1150"/>
      <c r="HH31" s="1150"/>
      <c r="HI31" s="1159"/>
      <c r="HJ31" s="1150"/>
      <c r="HK31" s="1150"/>
      <c r="HL31" s="1150"/>
      <c r="HM31" s="1150"/>
      <c r="HN31" s="1150"/>
      <c r="HO31" s="1150"/>
      <c r="HP31" s="1160"/>
      <c r="HQ31" s="1173"/>
    </row>
    <row r="32" spans="1:225" ht="12.6" customHeight="1" x14ac:dyDescent="0.25">
      <c r="A32" s="1448"/>
      <c r="B32" s="1449"/>
      <c r="C32" s="1681"/>
      <c r="D32" s="1450"/>
      <c r="E32" s="1448"/>
      <c r="F32" s="1451"/>
      <c r="G32" s="1448"/>
      <c r="H32" s="714"/>
      <c r="I32" s="1452"/>
      <c r="J32" s="1453"/>
      <c r="K32" s="1454"/>
      <c r="L32" s="1455"/>
      <c r="M32" s="1456"/>
      <c r="N32" s="1457"/>
      <c r="O32" s="1458"/>
      <c r="P32" s="1459"/>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c r="HB32" s="1150"/>
      <c r="HC32" s="1150"/>
      <c r="HD32" s="1157"/>
      <c r="HE32" s="1158"/>
      <c r="HF32" s="1150"/>
      <c r="HG32" s="1150"/>
      <c r="HH32" s="1150"/>
      <c r="HI32" s="1159"/>
      <c r="HJ32" s="1150"/>
      <c r="HK32" s="1150"/>
      <c r="HL32" s="1150"/>
      <c r="HM32" s="1150"/>
      <c r="HN32" s="1150"/>
      <c r="HO32" s="1150"/>
      <c r="HP32" s="1160"/>
      <c r="HQ32" s="1173"/>
    </row>
    <row r="33" spans="1:225" ht="12.6" customHeight="1" x14ac:dyDescent="0.25">
      <c r="A33" s="1448"/>
      <c r="B33" s="1449"/>
      <c r="C33" s="1681"/>
      <c r="D33" s="1450"/>
      <c r="E33" s="1448"/>
      <c r="F33" s="1451"/>
      <c r="G33" s="1448"/>
      <c r="H33" s="714"/>
      <c r="I33" s="1452"/>
      <c r="J33" s="1453"/>
      <c r="K33" s="1454"/>
      <c r="L33" s="1455"/>
      <c r="M33" s="1456"/>
      <c r="N33" s="1457"/>
      <c r="O33" s="1458"/>
      <c r="P33" s="1459"/>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c r="HB33" s="1150"/>
      <c r="HC33" s="1150"/>
      <c r="HD33" s="1157"/>
      <c r="HE33" s="1158"/>
      <c r="HF33" s="1150"/>
      <c r="HG33" s="1150"/>
      <c r="HH33" s="1150"/>
      <c r="HI33" s="1159"/>
      <c r="HJ33" s="1150"/>
      <c r="HK33" s="1150"/>
      <c r="HL33" s="1150"/>
      <c r="HM33" s="1150"/>
      <c r="HN33" s="1150"/>
      <c r="HO33" s="1150"/>
      <c r="HP33" s="1160"/>
      <c r="HQ33" s="1173"/>
    </row>
    <row r="34" spans="1:225" ht="12.6" customHeight="1" x14ac:dyDescent="0.25">
      <c r="A34" s="1448"/>
      <c r="B34" s="1449"/>
      <c r="C34" s="1681"/>
      <c r="D34" s="1450"/>
      <c r="E34" s="1448"/>
      <c r="F34" s="1451"/>
      <c r="G34" s="1448"/>
      <c r="H34" s="714"/>
      <c r="I34" s="1452"/>
      <c r="J34" s="1453"/>
      <c r="K34" s="1454"/>
      <c r="L34" s="1455"/>
      <c r="M34" s="1456"/>
      <c r="N34" s="1457"/>
      <c r="O34" s="1458"/>
      <c r="P34" s="1459"/>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c r="HB34" s="1150"/>
      <c r="HC34" s="1150"/>
      <c r="HD34" s="1157"/>
      <c r="HE34" s="1158"/>
      <c r="HF34" s="1150"/>
      <c r="HG34" s="1150"/>
      <c r="HH34" s="1150"/>
      <c r="HI34" s="1159"/>
      <c r="HJ34" s="1150"/>
      <c r="HK34" s="1150"/>
      <c r="HL34" s="1150"/>
      <c r="HM34" s="1150"/>
      <c r="HN34" s="1150"/>
      <c r="HO34" s="1150"/>
      <c r="HP34" s="1160"/>
      <c r="HQ34" s="1173"/>
    </row>
    <row r="35" spans="1:225" ht="12.6" customHeight="1" x14ac:dyDescent="0.25">
      <c r="A35" s="1448"/>
      <c r="B35" s="1449"/>
      <c r="C35" s="1681"/>
      <c r="D35" s="1450"/>
      <c r="E35" s="1448"/>
      <c r="F35" s="1451"/>
      <c r="G35" s="1448"/>
      <c r="H35" s="714"/>
      <c r="I35" s="1452"/>
      <c r="J35" s="1453"/>
      <c r="K35" s="1454"/>
      <c r="L35" s="1455"/>
      <c r="M35" s="1456"/>
      <c r="N35" s="1457"/>
      <c r="O35" s="1458"/>
      <c r="P35" s="1459"/>
      <c r="Q35" s="1409"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5">
        <v>1.375</v>
      </c>
      <c r="HA35" s="1149"/>
      <c r="HB35" s="1150"/>
      <c r="HC35" s="1150"/>
      <c r="HD35" s="1157"/>
      <c r="HE35" s="1158"/>
      <c r="HF35" s="1150"/>
      <c r="HG35" s="1150"/>
      <c r="HH35" s="1150"/>
      <c r="HI35" s="1159"/>
      <c r="HJ35" s="1150"/>
      <c r="HK35" s="1150"/>
      <c r="HL35" s="1150"/>
      <c r="HM35" s="1150"/>
      <c r="HN35" s="1150"/>
      <c r="HO35" s="1150"/>
      <c r="HP35" s="1160"/>
      <c r="HQ35" s="1173"/>
    </row>
    <row r="36" spans="1:225" ht="12.6" customHeight="1" x14ac:dyDescent="0.25">
      <c r="A36" s="1448"/>
      <c r="B36" s="1449"/>
      <c r="C36" s="1681"/>
      <c r="D36" s="1450"/>
      <c r="E36" s="1448"/>
      <c r="F36" s="1451"/>
      <c r="G36" s="1448"/>
      <c r="H36" s="714"/>
      <c r="I36" s="1452"/>
      <c r="J36" s="1453"/>
      <c r="K36" s="1454"/>
      <c r="L36" s="1455"/>
      <c r="M36" s="1456"/>
      <c r="N36" s="1457"/>
      <c r="O36" s="1458"/>
      <c r="P36" s="1459"/>
      <c r="Q36" s="1409" t="b">
        <v>0</v>
      </c>
      <c r="R36" s="470" t="b">
        <v>0</v>
      </c>
      <c r="S36" s="464" t="b">
        <f t="shared" si="1"/>
        <v>0</v>
      </c>
      <c r="T36" s="464" t="b">
        <f t="shared" si="2"/>
        <v>0</v>
      </c>
      <c r="U36" s="628" t="s">
        <v>815</v>
      </c>
      <c r="V36" s="378"/>
      <c r="W36" s="378"/>
      <c r="X36" s="378"/>
      <c r="Y36" s="378"/>
      <c r="Z36" s="378"/>
      <c r="AA36" s="378"/>
      <c r="AB36" s="378"/>
      <c r="AC36" s="378"/>
      <c r="AD36" s="378"/>
      <c r="AE36" s="628" t="s">
        <v>824</v>
      </c>
      <c r="AF36" s="1125">
        <v>1.5</v>
      </c>
      <c r="HA36" s="1149"/>
      <c r="HB36" s="1150"/>
      <c r="HC36" s="1150"/>
      <c r="HD36" s="1157"/>
      <c r="HE36" s="1158"/>
      <c r="HF36" s="1150"/>
      <c r="HG36" s="1150"/>
      <c r="HH36" s="1150"/>
      <c r="HI36" s="1159"/>
      <c r="HJ36" s="1150"/>
      <c r="HK36" s="1150"/>
      <c r="HL36" s="1150"/>
      <c r="HM36" s="1150"/>
      <c r="HN36" s="1150"/>
      <c r="HO36" s="1150"/>
      <c r="HP36" s="1160"/>
      <c r="HQ36" s="1173"/>
    </row>
    <row r="37" spans="1:225" ht="12.6" customHeight="1" x14ac:dyDescent="0.25">
      <c r="A37" s="1448"/>
      <c r="B37" s="1449"/>
      <c r="C37" s="1681"/>
      <c r="D37" s="1450"/>
      <c r="E37" s="1448"/>
      <c r="F37" s="1451"/>
      <c r="G37" s="1448"/>
      <c r="H37" s="714"/>
      <c r="I37" s="1452"/>
      <c r="J37" s="1453"/>
      <c r="K37" s="1454"/>
      <c r="L37" s="1455"/>
      <c r="M37" s="1456"/>
      <c r="N37" s="1457"/>
      <c r="O37" s="1458"/>
      <c r="P37" s="1459"/>
      <c r="Q37" s="1409" t="b">
        <v>0</v>
      </c>
      <c r="R37" s="470" t="b">
        <v>0</v>
      </c>
      <c r="S37" s="464" t="b">
        <f t="shared" si="1"/>
        <v>0</v>
      </c>
      <c r="T37" s="464" t="b">
        <f t="shared" si="2"/>
        <v>0</v>
      </c>
      <c r="U37" s="628" t="s">
        <v>816</v>
      </c>
      <c r="V37" s="378"/>
      <c r="W37" s="378"/>
      <c r="X37" s="378"/>
      <c r="Y37" s="378"/>
      <c r="Z37" s="378"/>
      <c r="AA37" s="378"/>
      <c r="AB37" s="378"/>
      <c r="AC37" s="378"/>
      <c r="AD37" s="378"/>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1448"/>
      <c r="B38" s="1449"/>
      <c r="C38" s="1681"/>
      <c r="D38" s="1450"/>
      <c r="E38" s="1448"/>
      <c r="F38" s="1451"/>
      <c r="G38" s="1448"/>
      <c r="H38" s="714"/>
      <c r="I38" s="1452"/>
      <c r="J38" s="1453"/>
      <c r="K38" s="1454"/>
      <c r="L38" s="1455"/>
      <c r="M38" s="1456"/>
      <c r="N38" s="1457"/>
      <c r="O38" s="1458"/>
      <c r="P38" s="1459"/>
      <c r="Q38" s="1409" t="b">
        <v>0</v>
      </c>
      <c r="R38" s="470" t="b">
        <v>0</v>
      </c>
      <c r="S38" s="464" t="b">
        <f t="shared" si="1"/>
        <v>0</v>
      </c>
      <c r="T38" s="464" t="b">
        <f t="shared" si="2"/>
        <v>0</v>
      </c>
      <c r="U38" s="628" t="s">
        <v>817</v>
      </c>
      <c r="V38" s="378"/>
      <c r="W38" s="378"/>
      <c r="X38" s="378"/>
      <c r="Y38" s="378"/>
      <c r="Z38" s="378"/>
      <c r="AA38" s="378"/>
      <c r="AB38" s="378"/>
      <c r="AC38" s="378"/>
      <c r="AD38" s="378"/>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1448"/>
      <c r="B39" s="1449"/>
      <c r="C39" s="1681"/>
      <c r="D39" s="1450"/>
      <c r="E39" s="1448"/>
      <c r="F39" s="1451"/>
      <c r="G39" s="1448"/>
      <c r="H39" s="714"/>
      <c r="I39" s="1452"/>
      <c r="J39" s="1453"/>
      <c r="K39" s="1454"/>
      <c r="L39" s="1455"/>
      <c r="M39" s="1456"/>
      <c r="N39" s="1457"/>
      <c r="O39" s="1458"/>
      <c r="P39" s="1459"/>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1448"/>
      <c r="B40" s="1449"/>
      <c r="C40" s="1681"/>
      <c r="D40" s="1450"/>
      <c r="E40" s="1448"/>
      <c r="F40" s="1451"/>
      <c r="G40" s="1448"/>
      <c r="H40" s="714"/>
      <c r="I40" s="1452"/>
      <c r="J40" s="1453"/>
      <c r="K40" s="1454"/>
      <c r="L40" s="1455"/>
      <c r="M40" s="1456"/>
      <c r="N40" s="1457"/>
      <c r="O40" s="1458"/>
      <c r="P40" s="1459"/>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1448"/>
      <c r="B41" s="1449"/>
      <c r="C41" s="1681"/>
      <c r="D41" s="1450"/>
      <c r="E41" s="1448"/>
      <c r="F41" s="1451"/>
      <c r="G41" s="1448"/>
      <c r="H41" s="714"/>
      <c r="I41" s="1452"/>
      <c r="J41" s="1453"/>
      <c r="K41" s="1454"/>
      <c r="L41" s="1455"/>
      <c r="M41" s="1456"/>
      <c r="N41" s="1457"/>
      <c r="O41" s="1458"/>
      <c r="P41" s="1459"/>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1460"/>
      <c r="B42" s="1461"/>
      <c r="C42" s="1682"/>
      <c r="D42" s="1462"/>
      <c r="E42" s="1460"/>
      <c r="F42" s="1463"/>
      <c r="G42" s="1460"/>
      <c r="H42" s="1464"/>
      <c r="I42" s="1465"/>
      <c r="J42" s="1466"/>
      <c r="K42" s="1467"/>
      <c r="L42" s="1468"/>
      <c r="M42" s="1469"/>
      <c r="N42" s="1470"/>
      <c r="O42" s="1471"/>
      <c r="P42" s="1472"/>
      <c r="Q42" s="1409" t="b">
        <v>0</v>
      </c>
      <c r="R42" s="470" t="b">
        <v>0</v>
      </c>
      <c r="S42" s="464" t="b">
        <f t="shared" si="1"/>
        <v>0</v>
      </c>
      <c r="T42" s="464" t="b">
        <f t="shared" si="2"/>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SUM(C27:C42)</f>
        <v>0</v>
      </c>
      <c r="E47" s="30" t="b">
        <f>SUMIF(E27:E42,"BA*",C27:C42)&gt;0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2" t="s">
        <v>1174</v>
      </c>
      <c r="AE60" s="628" t="s">
        <v>848</v>
      </c>
      <c r="AF60" s="1125">
        <v>2.375</v>
      </c>
    </row>
    <row r="61" spans="1:32" ht="12.6" hidden="1" customHeight="1" x14ac:dyDescent="0.2">
      <c r="A61" s="894"/>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1" ht="12.6" customHeight="1" x14ac:dyDescent="0.2">
      <c r="AE301" s="635" t="s">
        <v>938</v>
      </c>
    </row>
  </sheetData>
  <sheetProtection selectLockedCells="1"/>
  <mergeCells count="50">
    <mergeCell ref="O6:P6"/>
    <mergeCell ref="O10:P10"/>
    <mergeCell ref="X25:AA25"/>
    <mergeCell ref="J10:L10"/>
    <mergeCell ref="J9:P9"/>
    <mergeCell ref="V25:V26"/>
    <mergeCell ref="J1:L1"/>
    <mergeCell ref="J2:L3"/>
    <mergeCell ref="J4:L4"/>
    <mergeCell ref="N25:N26"/>
    <mergeCell ref="I8:K8"/>
    <mergeCell ref="M12:N12"/>
    <mergeCell ref="M25:M26"/>
    <mergeCell ref="I7:L7"/>
    <mergeCell ref="K25:L26"/>
    <mergeCell ref="A5:G5"/>
    <mergeCell ref="C9:G9"/>
    <mergeCell ref="C10:G10"/>
    <mergeCell ref="A22:C22"/>
    <mergeCell ref="A23:C23"/>
    <mergeCell ref="A21:C21"/>
    <mergeCell ref="A12:C12"/>
    <mergeCell ref="D12:E12"/>
    <mergeCell ref="D18:E18"/>
    <mergeCell ref="HK25:HK26"/>
    <mergeCell ref="O25:O26"/>
    <mergeCell ref="G25:H25"/>
    <mergeCell ref="I25:J25"/>
    <mergeCell ref="A25:B26"/>
    <mergeCell ref="D25:D26"/>
    <mergeCell ref="E25:E26"/>
    <mergeCell ref="C25:C26"/>
    <mergeCell ref="F25:F26"/>
    <mergeCell ref="AC25:AD25"/>
    <mergeCell ref="HO25:HO26"/>
    <mergeCell ref="HA23:HP24"/>
    <mergeCell ref="HA25:HA26"/>
    <mergeCell ref="HB25:HB26"/>
    <mergeCell ref="HC25:HC26"/>
    <mergeCell ref="HF25:HF26"/>
    <mergeCell ref="HI25:HI26"/>
    <mergeCell ref="HL25:HL26"/>
    <mergeCell ref="HM25:HM26"/>
    <mergeCell ref="HN25:HN26"/>
    <mergeCell ref="HP25:HP26"/>
    <mergeCell ref="HD25:HD26"/>
    <mergeCell ref="HE25:HE26"/>
    <mergeCell ref="HG25:HG26"/>
    <mergeCell ref="HH25:HH26"/>
    <mergeCell ref="HJ25:HJ26"/>
  </mergeCells>
  <phoneticPr fontId="0" type="noConversion"/>
  <conditionalFormatting sqref="J2:L4">
    <cfRule type="cellIs" dxfId="629" priority="69" stopIfTrue="1" operator="equal">
      <formula>""</formula>
    </cfRule>
  </conditionalFormatting>
  <conditionalFormatting sqref="G7">
    <cfRule type="cellIs" dxfId="628" priority="70" stopIfTrue="1" operator="equal">
      <formula>"NO PAINT"</formula>
    </cfRule>
  </conditionalFormatting>
  <conditionalFormatting sqref="I7:K7">
    <cfRule type="expression" dxfId="627" priority="71" stopIfTrue="1">
      <formula>NOT(OR(COUNTIF(masterFinishList, $I$7) &gt; 0, COUNTIF($I$7, "Other:*") &gt; 0))</formula>
    </cfRule>
  </conditionalFormatting>
  <conditionalFormatting sqref="C27:C42 A27:A42">
    <cfRule type="expression" dxfId="626" priority="8">
      <formula>AND(NOT($S$1),$C27=0,OR($R$1="",$R$1="M"))</formula>
    </cfRule>
  </conditionalFormatting>
  <conditionalFormatting sqref="F27:F42">
    <cfRule type="expression" dxfId="625" priority="35">
      <formula>OR(ISERROR(VLOOKUP(E27,$V$27:$V$42,1,FALSE)),ISERROR(VLOOKUP(F27,$AB$27:$AB$42,1,FALSE)))</formula>
    </cfRule>
  </conditionalFormatting>
  <conditionalFormatting sqref="D27:D42">
    <cfRule type="expression" dxfId="624" priority="12">
      <formula>OR(ISERROR(VLOOKUP(TRIM(D27),$AE$27:$AE$300,1,FALSE)),AND(NOT(ISERROR(VLOOKUP(E27,$V$27:$V$300,1,FALSE))),NOT(ISERROR(VLOOKUP(TRIM(D27),$U$27:$U$300,1,FALSE)))))</formula>
    </cfRule>
  </conditionalFormatting>
  <conditionalFormatting sqref="E27:E42">
    <cfRule type="expression" dxfId="623" priority="15">
      <formula>OR(ISERROR(VLOOKUP(E27,$W$27:$W$42,1,FALSE)),AND(NOT(ISERROR(VLOOKUP(E27,$V$27:$V$300,1,FALSE))),NOT(ISERROR(VLOOKUP(D27,$U$27:$U$300,1,FALSE)))))</formula>
    </cfRule>
  </conditionalFormatting>
  <conditionalFormatting sqref="I7:L7">
    <cfRule type="cellIs" dxfId="622" priority="9" operator="equal">
      <formula>0</formula>
    </cfRule>
  </conditionalFormatting>
  <conditionalFormatting sqref="A27:P42">
    <cfRule type="expression" dxfId="621" priority="38">
      <formula>$Q27</formula>
    </cfRule>
  </conditionalFormatting>
  <conditionalFormatting sqref="A36:A42">
    <cfRule type="expression" dxfId="620" priority="5">
      <formula>AND(NOT($S$1),$C36=0,OR($R$1="",$R$1="M"))</formula>
    </cfRule>
  </conditionalFormatting>
  <conditionalFormatting sqref="G27:G42">
    <cfRule type="expression" dxfId="619" priority="4">
      <formula>NOT(VLOOKUP($E27,$W$27:$AA$42,2,FALSE))</formula>
    </cfRule>
  </conditionalFormatting>
  <conditionalFormatting sqref="I27:I42">
    <cfRule type="expression" dxfId="618" priority="3">
      <formula>NOT(VLOOKUP($E27,$W$27:$AA$42,4,FALSE))</formula>
    </cfRule>
  </conditionalFormatting>
  <conditionalFormatting sqref="H27">
    <cfRule type="expression" dxfId="617" priority="2">
      <formula>NOT(VLOOKUP($E27,$W$27:$AA$42,3,FALSE))</formula>
    </cfRule>
  </conditionalFormatting>
  <conditionalFormatting sqref="J27:J42">
    <cfRule type="expression" dxfId="616" priority="1">
      <formula>NOT(VLOOKUP($E27,$W$27:$AA$42,5,FALSE))</formula>
    </cfRule>
  </conditionalFormatting>
  <dataValidations count="6">
    <dataValidation type="list" allowBlank="1" showInputMessage="1" sqref="F27:F42" xr:uid="{00000000-0002-0000-0E00-000000000000}">
      <formula1>$AB$27:$AB$34</formula1>
    </dataValidation>
    <dataValidation type="list" allowBlank="1" errorTitle="Invalid Bridging Type" error="You MUST use a bridging type provided in the list." sqref="E27:E42" xr:uid="{00000000-0002-0000-0E00-000001000000}">
      <formula1>OFFSET($W$27,0,0,$W$25)</formula1>
    </dataValidation>
    <dataValidation type="whole" operator="greaterThanOrEqual" allowBlank="1" showErrorMessage="1" errorTitle="Dimensional Error" error="&quot;Feet&quot; can only be whole numbers." sqref="K27:K42" xr:uid="{00000000-0002-0000-0E00-000002000000}">
      <formula1>0</formula1>
    </dataValidation>
    <dataValidation type="decimal" allowBlank="1" showInputMessage="1" showErrorMessage="1" errorTitle="Dimensional Error" error="&quot;Inches&quot; must be a number from 0 to 11.875." sqref="L27:L42" xr:uid="{00000000-0002-0000-0E00-000003000000}">
      <formula1>0</formula1>
      <formula2>11.875</formula2>
    </dataValidation>
    <dataValidation type="list" allowBlank="1" showInputMessage="1" sqref="I7:L7" xr:uid="{00000000-0002-0000-0E00-000004000000}">
      <formula1>masterFinishList</formula1>
    </dataValidation>
    <dataValidation type="whole" operator="greaterThan" allowBlank="1" showInputMessage="1" showErrorMessage="1" errorTitle="Quantity Error" error="Value must be an integer greater than -1000." sqref="C27:C42" xr:uid="{FF07B724-FE48-464D-9FB2-42909802E4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indexed="41"/>
  </sheetPr>
  <dimension ref="A1:HR301"/>
  <sheetViews>
    <sheetView showGridLines="0" zoomScaleNormal="100" zoomScaleSheetLayoutView="100" workbookViewId="0">
      <selection activeCell="A14" sqref="A14"/>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9" width="5.7109375" style="2" hidden="1" customWidth="1"/>
    <col min="20" max="20" width="7.7109375" style="2" hidden="1" customWidth="1"/>
    <col min="21" max="28" width="5.7109375" style="2" hidden="1" customWidth="1"/>
    <col min="29" max="30" width="6.7109375" style="2" hidden="1" customWidth="1"/>
    <col min="31" max="31" width="6.140625" style="197" hidden="1" customWidth="1"/>
    <col min="32" max="32" width="7.7109375" style="197" hidden="1" customWidth="1"/>
    <col min="33" max="33" width="5.7109375" style="2"/>
    <col min="34" max="52" width="0" style="2" hidden="1" customWidth="1"/>
    <col min="53"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26" ht="14.45" customHeight="1" thickBot="1" x14ac:dyDescent="0.25">
      <c r="A1" s="374"/>
      <c r="B1" s="374"/>
      <c r="C1" s="374"/>
      <c r="D1" s="374"/>
      <c r="E1" s="373"/>
      <c r="F1" s="373"/>
      <c r="G1" s="373"/>
      <c r="H1" s="373"/>
      <c r="I1" s="374"/>
      <c r="J1" s="1848" t="str">
        <f>IF(R1="","",VLOOKUP(R1,'Job Info.'!X:AA,4,FALSE))</f>
        <v>Master</v>
      </c>
      <c r="K1" s="1848"/>
      <c r="L1" s="1848"/>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row>
    <row r="2" spans="1:226" ht="12.95" customHeight="1" thickTop="1" x14ac:dyDescent="0.2">
      <c r="A2" s="374"/>
      <c r="B2" s="374"/>
      <c r="C2" s="374"/>
      <c r="D2" s="374"/>
      <c r="E2" s="382"/>
      <c r="F2" s="382"/>
      <c r="G2" s="382"/>
      <c r="H2" s="382"/>
      <c r="I2" s="374"/>
      <c r="J2" s="1853" t="str">
        <f>IF(R1="","",IF(VLOOKUP(R1,'Job Info.'!X:Z,2,FALSE),"Released for Fabrication",""))</f>
        <v/>
      </c>
      <c r="K2" s="1854"/>
      <c r="L2" s="1855"/>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row>
    <row r="3" spans="1:226" ht="12.95" customHeight="1" x14ac:dyDescent="0.2">
      <c r="A3" s="374"/>
      <c r="B3" s="374"/>
      <c r="C3" s="374"/>
      <c r="D3" s="374"/>
      <c r="E3" s="373"/>
      <c r="F3" s="374"/>
      <c r="G3" s="374"/>
      <c r="H3" s="374"/>
      <c r="I3" s="374"/>
      <c r="J3" s="1856"/>
      <c r="K3" s="1857"/>
      <c r="L3" s="1858"/>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row>
    <row r="4" spans="1:226" ht="12.95" customHeight="1" thickBot="1" x14ac:dyDescent="0.25">
      <c r="A4" s="374"/>
      <c r="B4" s="374"/>
      <c r="C4" s="374"/>
      <c r="D4" s="374"/>
      <c r="E4" s="374"/>
      <c r="F4" s="374"/>
      <c r="G4" s="374"/>
      <c r="H4" s="374"/>
      <c r="I4" s="374"/>
      <c r="J4" s="1859" t="str">
        <f>IF(R1="","",IF(VLOOKUP(R1,'Job Info.'!X:Z,2,FALSE),VLOOKUP(R1,'Job Info.'!X:Z,3,FALSE),""))</f>
        <v/>
      </c>
      <c r="K4" s="1860"/>
      <c r="L4" s="1861"/>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row>
    <row r="5" spans="1:226" ht="12.95" customHeight="1" thickTop="1" x14ac:dyDescent="0.2">
      <c r="A5" s="2100" t="str">
        <f ca="1">'Job Info.'!D11</f>
        <v>8200 Woolery Way | Fallon, NV 89406 | www.newmill.com</v>
      </c>
      <c r="B5" s="2423"/>
      <c r="C5" s="2423"/>
      <c r="D5" s="2423"/>
      <c r="E5" s="2423"/>
      <c r="F5" s="2423"/>
      <c r="G5" s="2423"/>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row>
    <row r="6" spans="1:226" ht="12.95" customHeight="1" x14ac:dyDescent="0.2">
      <c r="A6" s="374"/>
      <c r="B6" s="374"/>
      <c r="C6" s="374"/>
      <c r="D6" s="374"/>
      <c r="E6" s="373"/>
      <c r="F6" s="374"/>
      <c r="G6" s="374"/>
      <c r="H6" s="374"/>
      <c r="I6" s="374"/>
      <c r="J6" s="374"/>
      <c r="K6" s="374"/>
      <c r="L6" s="374"/>
      <c r="M6" s="374"/>
      <c r="N6" s="460" t="s">
        <v>20</v>
      </c>
      <c r="O6" s="2539">
        <f>IF(ISBLANK('Job Info.'!D8),"",'Job Info.'!D8)</f>
        <v>45048</v>
      </c>
      <c r="P6" s="2539"/>
      <c r="R6" s="503" t="s">
        <v>1132</v>
      </c>
      <c r="GZ6" s="245"/>
      <c r="HA6" s="245"/>
      <c r="HB6" s="245"/>
      <c r="HC6" s="245"/>
      <c r="HD6" s="247"/>
      <c r="HE6" s="381"/>
      <c r="HF6" s="245"/>
      <c r="HG6" s="245"/>
      <c r="HH6" s="245"/>
      <c r="HI6" s="245"/>
      <c r="HJ6" s="245"/>
      <c r="HK6" s="245"/>
      <c r="HL6" s="245"/>
      <c r="HM6" s="245"/>
      <c r="HN6" s="245"/>
      <c r="HO6" s="245"/>
      <c r="HP6" s="245"/>
      <c r="HQ6" s="245"/>
    </row>
    <row r="7" spans="1:226" ht="12.95" customHeight="1" x14ac:dyDescent="0.2">
      <c r="A7" s="395" t="s">
        <v>39</v>
      </c>
      <c r="B7" s="374"/>
      <c r="C7" s="374"/>
      <c r="D7" s="374"/>
      <c r="E7" s="374"/>
      <c r="F7" s="374"/>
      <c r="G7" s="467"/>
      <c r="H7" s="460" t="s">
        <v>26</v>
      </c>
      <c r="I7" s="2536"/>
      <c r="J7" s="2537"/>
      <c r="K7" s="2537"/>
      <c r="L7" s="1947"/>
      <c r="M7" s="374"/>
      <c r="N7" s="460" t="s">
        <v>21</v>
      </c>
      <c r="O7" s="1175" t="str">
        <f>CONCATENATE(R7, " of ",IF(ISBLANK('Job Info.'!D9),"",'Job Info.'!D9))</f>
        <v xml:space="preserve"> of 19</v>
      </c>
      <c r="P7" s="662"/>
      <c r="R7" s="1083"/>
      <c r="GZ7" s="245"/>
      <c r="HA7" s="245"/>
      <c r="HB7" s="245"/>
      <c r="HC7" s="245"/>
      <c r="HD7" s="247"/>
      <c r="HE7" s="381"/>
      <c r="HF7" s="245"/>
      <c r="HG7" s="245"/>
      <c r="HH7" s="245"/>
      <c r="HI7" s="245"/>
      <c r="HJ7" s="245"/>
      <c r="HK7" s="245"/>
      <c r="HL7" s="245"/>
      <c r="HM7" s="245"/>
      <c r="HN7" s="245"/>
      <c r="HO7" s="245"/>
      <c r="HP7" s="245"/>
      <c r="HQ7" s="245"/>
    </row>
    <row r="8" spans="1:226" ht="2.85" customHeight="1" x14ac:dyDescent="0.2">
      <c r="A8" s="374"/>
      <c r="B8" s="374"/>
      <c r="C8" s="374"/>
      <c r="D8" s="374"/>
      <c r="E8" s="374"/>
      <c r="F8" s="374"/>
      <c r="G8" s="374"/>
      <c r="H8" s="374"/>
      <c r="I8" s="2534" t="str">
        <f>IF(I7="NO PAINT - GALV","GALV. BOLTS","")</f>
        <v/>
      </c>
      <c r="J8" s="2534"/>
      <c r="K8" s="2534"/>
      <c r="L8" s="374"/>
      <c r="M8" s="374"/>
      <c r="N8" s="374"/>
      <c r="O8" s="374"/>
      <c r="P8" s="374"/>
      <c r="GZ8" s="245"/>
      <c r="HA8" s="245"/>
      <c r="HB8" s="245"/>
      <c r="HC8" s="245"/>
      <c r="HD8" s="247"/>
      <c r="HE8" s="381"/>
      <c r="HF8" s="245"/>
      <c r="HG8" s="245"/>
      <c r="HH8" s="245"/>
      <c r="HI8" s="245"/>
      <c r="HJ8" s="245"/>
      <c r="HK8" s="245"/>
      <c r="HL8" s="245"/>
      <c r="HM8" s="245"/>
      <c r="HN8" s="245"/>
      <c r="HO8" s="245"/>
      <c r="HP8" s="245"/>
      <c r="HQ8" s="245"/>
    </row>
    <row r="9" spans="1:226" ht="12.2" customHeight="1" x14ac:dyDescent="0.2">
      <c r="A9" s="471" t="s">
        <v>1</v>
      </c>
      <c r="B9" s="239"/>
      <c r="C9" s="1824" t="str">
        <f>IF(ISBLANK('Job Info.'!D3),"",'Job Info.'!D3)</f>
        <v>MINDEN UPS BLDG 1</v>
      </c>
      <c r="D9" s="1824"/>
      <c r="E9" s="1824"/>
      <c r="F9" s="1824"/>
      <c r="G9" s="1903"/>
      <c r="H9" s="468"/>
      <c r="I9" s="458" t="s">
        <v>2</v>
      </c>
      <c r="J9" s="1824" t="str">
        <f>IF(ISBLANK('Job Info.'!D5),"",'Job Info.'!D5)</f>
        <v>NN22-0071</v>
      </c>
      <c r="K9" s="1824"/>
      <c r="L9" s="1824"/>
      <c r="M9" s="1824"/>
      <c r="N9" s="1824"/>
      <c r="O9" s="1824"/>
      <c r="P9" s="1825"/>
      <c r="GZ9" s="245"/>
      <c r="HA9" s="245"/>
      <c r="HB9" s="245"/>
      <c r="HC9" s="245"/>
      <c r="HD9" s="247"/>
      <c r="HE9" s="381"/>
      <c r="HF9" s="245"/>
      <c r="HG9" s="245"/>
      <c r="HH9" s="245"/>
      <c r="HI9" s="245"/>
      <c r="HJ9" s="245"/>
      <c r="HK9" s="245"/>
      <c r="HL9" s="245"/>
      <c r="HM9" s="245"/>
      <c r="HN9" s="245"/>
      <c r="HO9" s="245"/>
      <c r="HP9" s="245"/>
      <c r="HQ9" s="245"/>
    </row>
    <row r="10" spans="1:226" ht="12.2" customHeight="1" thickBot="1" x14ac:dyDescent="0.25">
      <c r="A10" s="471" t="s">
        <v>3</v>
      </c>
      <c r="B10" s="239"/>
      <c r="C10" s="1824" t="str">
        <f>IF(ISBLANK('Job Info.'!D4),"",'Job Info.'!D4)</f>
        <v>MINDEN, NV</v>
      </c>
      <c r="D10" s="1824"/>
      <c r="E10" s="1824"/>
      <c r="F10" s="1824"/>
      <c r="G10" s="1903"/>
      <c r="H10" s="468"/>
      <c r="I10" s="471" t="s">
        <v>22</v>
      </c>
      <c r="J10" s="1824" t="str">
        <f>IF(ISBLANK('Job Info.'!D6),"",'Job Info.'!D6)</f>
        <v>JMM</v>
      </c>
      <c r="K10" s="1824"/>
      <c r="L10" s="1825"/>
      <c r="M10" s="469"/>
      <c r="N10" s="458" t="s">
        <v>23</v>
      </c>
      <c r="O10" s="1824" t="str">
        <f>IF(ISBLANK('Job Info.'!D7),"",'Job Info.'!D7)</f>
        <v>NR</v>
      </c>
      <c r="P10" s="1825"/>
      <c r="GZ10" s="245"/>
      <c r="HA10" s="255">
        <v>1</v>
      </c>
      <c r="HB10" s="255">
        <f t="shared" ref="HB10:HP10" si="0">HA10+1</f>
        <v>2</v>
      </c>
      <c r="HC10" s="255">
        <f t="shared" si="0"/>
        <v>3</v>
      </c>
      <c r="HD10" s="255">
        <f t="shared" si="0"/>
        <v>4</v>
      </c>
      <c r="HE10" s="255">
        <f t="shared" si="0"/>
        <v>5</v>
      </c>
      <c r="HF10" s="255">
        <f t="shared" si="0"/>
        <v>6</v>
      </c>
      <c r="HG10" s="255">
        <f t="shared" si="0"/>
        <v>7</v>
      </c>
      <c r="HH10" s="255">
        <f t="shared" si="0"/>
        <v>8</v>
      </c>
      <c r="HI10" s="255">
        <f t="shared" si="0"/>
        <v>9</v>
      </c>
      <c r="HJ10" s="255">
        <f t="shared" si="0"/>
        <v>10</v>
      </c>
      <c r="HK10" s="255">
        <f t="shared" si="0"/>
        <v>11</v>
      </c>
      <c r="HL10" s="255">
        <f t="shared" si="0"/>
        <v>12</v>
      </c>
      <c r="HM10" s="255">
        <f t="shared" si="0"/>
        <v>13</v>
      </c>
      <c r="HN10" s="255">
        <f t="shared" si="0"/>
        <v>14</v>
      </c>
      <c r="HO10" s="255">
        <f t="shared" si="0"/>
        <v>15</v>
      </c>
      <c r="HP10" s="255">
        <f t="shared" si="0"/>
        <v>16</v>
      </c>
    </row>
    <row r="11" spans="1:226" ht="49.5" customHeight="1" thickTop="1" thickBot="1" x14ac:dyDescent="0.25">
      <c r="A11" s="19"/>
      <c r="B11" s="19"/>
      <c r="C11" s="19"/>
      <c r="D11" s="19"/>
      <c r="E11" s="19"/>
      <c r="F11" s="19"/>
      <c r="G11" s="19"/>
      <c r="H11" s="19"/>
      <c r="I11" s="19"/>
      <c r="J11" s="19"/>
      <c r="K11" s="19"/>
      <c r="L11" s="19"/>
      <c r="M11" s="19"/>
      <c r="N11" s="19"/>
      <c r="O11" s="19"/>
      <c r="P11" s="19"/>
      <c r="GZ11" s="245"/>
      <c r="HA11" s="2547" t="s">
        <v>621</v>
      </c>
      <c r="HB11" s="2548"/>
      <c r="HC11" s="2548"/>
      <c r="HD11" s="2548"/>
      <c r="HE11" s="2548"/>
      <c r="HF11" s="2548"/>
      <c r="HG11" s="2548"/>
      <c r="HH11" s="2548"/>
      <c r="HI11" s="2548"/>
      <c r="HJ11" s="2548"/>
      <c r="HK11" s="2548"/>
      <c r="HL11" s="2548"/>
      <c r="HM11" s="2548"/>
      <c r="HN11" s="2548"/>
      <c r="HO11" s="2548"/>
      <c r="HP11" s="2549"/>
    </row>
    <row r="12" spans="1:226" ht="12.6" customHeight="1" thickTop="1" thickBot="1" x14ac:dyDescent="0.25">
      <c r="A12" s="2520" t="s">
        <v>40</v>
      </c>
      <c r="B12" s="2521"/>
      <c r="C12" s="2085" t="s">
        <v>130</v>
      </c>
      <c r="D12" s="2089" t="s">
        <v>673</v>
      </c>
      <c r="E12" s="2084" t="s">
        <v>674</v>
      </c>
      <c r="F12" s="2550" t="s">
        <v>36</v>
      </c>
      <c r="G12" s="2084" t="s">
        <v>79</v>
      </c>
      <c r="H12" s="2550"/>
      <c r="I12" s="2544" t="s">
        <v>675</v>
      </c>
      <c r="J12" s="2089"/>
      <c r="K12" s="2084" t="s">
        <v>107</v>
      </c>
      <c r="L12" s="2545"/>
      <c r="M12" s="2544" t="s">
        <v>108</v>
      </c>
      <c r="N12" s="2085" t="s">
        <v>109</v>
      </c>
      <c r="O12" s="2089" t="s">
        <v>110</v>
      </c>
      <c r="P12" s="1059" t="s">
        <v>676</v>
      </c>
      <c r="Q12" s="1407"/>
      <c r="GZ12" s="245"/>
      <c r="HA12" s="2509" t="s">
        <v>632</v>
      </c>
      <c r="HB12" s="2511" t="s">
        <v>1148</v>
      </c>
      <c r="HC12" s="2511" t="s">
        <v>1134</v>
      </c>
      <c r="HD12" s="2506" t="s">
        <v>1144</v>
      </c>
      <c r="HE12" s="2506" t="s">
        <v>660</v>
      </c>
      <c r="HF12" s="2513" t="s">
        <v>677</v>
      </c>
      <c r="HG12" s="2513" t="s">
        <v>1149</v>
      </c>
      <c r="HH12" s="2513" t="s">
        <v>1150</v>
      </c>
      <c r="HI12" s="2513" t="s">
        <v>1151</v>
      </c>
      <c r="HJ12" s="2513" t="s">
        <v>1152</v>
      </c>
      <c r="HK12" s="2513" t="s">
        <v>1153</v>
      </c>
      <c r="HL12" s="2513" t="s">
        <v>1154</v>
      </c>
      <c r="HM12" s="2513" t="s">
        <v>1145</v>
      </c>
      <c r="HN12" s="2506" t="s">
        <v>1146</v>
      </c>
      <c r="HO12" s="2506" t="s">
        <v>1147</v>
      </c>
      <c r="HP12" s="2515" t="s">
        <v>480</v>
      </c>
    </row>
    <row r="13" spans="1:226" ht="12.6" customHeight="1" thickTop="1" thickBot="1" x14ac:dyDescent="0.25">
      <c r="A13" s="2522"/>
      <c r="B13" s="2523"/>
      <c r="C13" s="2085"/>
      <c r="D13" s="2089"/>
      <c r="E13" s="2084"/>
      <c r="F13" s="2551"/>
      <c r="G13" s="1404" t="s">
        <v>632</v>
      </c>
      <c r="H13" s="1063" t="s">
        <v>171</v>
      </c>
      <c r="I13" s="1062" t="s">
        <v>632</v>
      </c>
      <c r="J13" s="1405" t="s">
        <v>171</v>
      </c>
      <c r="K13" s="2546"/>
      <c r="L13" s="2545"/>
      <c r="M13" s="2090"/>
      <c r="N13" s="2091"/>
      <c r="O13" s="2102"/>
      <c r="P13" s="1060" t="s">
        <v>57</v>
      </c>
      <c r="Q13" s="1408" t="s">
        <v>1101</v>
      </c>
      <c r="R13" s="372" t="s">
        <v>170</v>
      </c>
      <c r="S13" s="372" t="s">
        <v>788</v>
      </c>
      <c r="T13" s="372" t="s">
        <v>1136</v>
      </c>
      <c r="GZ13" s="245"/>
      <c r="HA13" s="2510"/>
      <c r="HB13" s="2512"/>
      <c r="HC13" s="2512"/>
      <c r="HD13" s="2507"/>
      <c r="HE13" s="2507"/>
      <c r="HF13" s="2514"/>
      <c r="HG13" s="2514"/>
      <c r="HH13" s="2514"/>
      <c r="HI13" s="2514"/>
      <c r="HJ13" s="2514"/>
      <c r="HK13" s="2514"/>
      <c r="HL13" s="2514"/>
      <c r="HM13" s="2514"/>
      <c r="HN13" s="2507"/>
      <c r="HO13" s="2507"/>
      <c r="HP13" s="2516"/>
    </row>
    <row r="14" spans="1:226" ht="12.6" customHeight="1" thickTop="1" x14ac:dyDescent="0.25">
      <c r="A14" s="1473"/>
      <c r="B14" s="1474"/>
      <c r="C14" s="1680"/>
      <c r="D14" s="1475"/>
      <c r="E14" s="1473"/>
      <c r="F14" s="1476"/>
      <c r="G14" s="1473"/>
      <c r="H14" s="1477"/>
      <c r="I14" s="1478"/>
      <c r="J14" s="1479"/>
      <c r="K14" s="1480"/>
      <c r="L14" s="1481"/>
      <c r="M14" s="1482"/>
      <c r="N14" s="1483"/>
      <c r="O14" s="1484"/>
      <c r="P14" s="1485"/>
      <c r="Q14" s="1409" t="b">
        <v>0</v>
      </c>
      <c r="R14" s="470" t="b">
        <v>0</v>
      </c>
      <c r="S14" s="464" t="b">
        <f>AND($S$1,C14=0)</f>
        <v>0</v>
      </c>
      <c r="T14" s="464" t="b">
        <f>IF(OR(ISBLANK(D14),ISBLANK(E14),ISBLANK(F14),ISERROR(MATCH(F14,$AB$27:$AB$34,0))),FALSE,IF(ISERROR(FIND("B",$E14)),FALSE,IF(ISBLANK($D14),FALSE,IF(ISERROR(VLOOKUP(TRIM($D14),$AE$27:$AF$192,2,FALSE)),TRUE,VLOOKUP(TRIM($F14),$AB$27:$AD$34,IF(ISERROR(FIND("X",$E14)),3,2),FALSE)&lt;=VLOOKUP(TRIM($D14),$AE$27:$AF$192,2,FALSE)))))</f>
        <v>0</v>
      </c>
      <c r="GZ14" s="245"/>
      <c r="HA14" s="1147"/>
      <c r="HB14" s="1148"/>
      <c r="HC14" s="1148"/>
      <c r="HD14" s="1153"/>
      <c r="HE14" s="1154"/>
      <c r="HF14" s="1148"/>
      <c r="HG14" s="1148"/>
      <c r="HH14" s="1148"/>
      <c r="HI14" s="1155"/>
      <c r="HJ14" s="1148"/>
      <c r="HK14" s="1148"/>
      <c r="HL14" s="1148"/>
      <c r="HM14" s="1148"/>
      <c r="HN14" s="1148"/>
      <c r="HO14" s="1148"/>
      <c r="HP14" s="1156"/>
      <c r="HQ14" s="1173"/>
    </row>
    <row r="15" spans="1:226" ht="12.6" customHeight="1" x14ac:dyDescent="0.25">
      <c r="A15" s="1448"/>
      <c r="B15" s="1449"/>
      <c r="C15" s="1681"/>
      <c r="D15" s="1450"/>
      <c r="E15" s="1448"/>
      <c r="F15" s="1451"/>
      <c r="G15" s="1448"/>
      <c r="H15" s="714"/>
      <c r="I15" s="1452"/>
      <c r="J15" s="1453"/>
      <c r="K15" s="1454"/>
      <c r="L15" s="1455"/>
      <c r="M15" s="1456"/>
      <c r="N15" s="1457"/>
      <c r="O15" s="1486"/>
      <c r="P15" s="1459"/>
      <c r="Q15" s="1409" t="b">
        <v>0</v>
      </c>
      <c r="R15" s="470" t="b">
        <v>0</v>
      </c>
      <c r="S15" s="464" t="b">
        <f t="shared" ref="S15:S42" si="1">AND($S$1,C15=0)</f>
        <v>0</v>
      </c>
      <c r="T15" s="464" t="b">
        <f t="shared" ref="T15:T41" si="2">IF(OR(ISBLANK(D15),ISBLANK(E15),ISBLANK(F15),ISERROR(MATCH(F15,$AB$27:$AB$34,0))),FALSE,IF(ISERROR(FIND("B",$E15)),FALSE,IF(ISBLANK($D15),FALSE,IF(ISERROR(VLOOKUP(TRIM($D15),$AE$27:$AF$192,2,FALSE)),TRUE,VLOOKUP(TRIM($F15),$AB$27:$AD$34,IF(ISERROR(FIND("X",$E15)),3,2),FALSE)&lt;=VLOOKUP(TRIM($D15),$AE$27:$AF$192,2,FALSE)))))</f>
        <v>0</v>
      </c>
      <c r="GZ15" s="245"/>
      <c r="HA15" s="1149"/>
      <c r="HB15" s="1150"/>
      <c r="HC15" s="1150"/>
      <c r="HD15" s="1157"/>
      <c r="HE15" s="1158"/>
      <c r="HF15" s="1150"/>
      <c r="HG15" s="1150"/>
      <c r="HH15" s="1150"/>
      <c r="HI15" s="1159"/>
      <c r="HJ15" s="1150"/>
      <c r="HK15" s="1150"/>
      <c r="HL15" s="1150"/>
      <c r="HM15" s="1150"/>
      <c r="HN15" s="1150"/>
      <c r="HO15" s="1150"/>
      <c r="HP15" s="1160"/>
      <c r="HQ15" s="1173"/>
    </row>
    <row r="16" spans="1:226" ht="12.6" customHeight="1" x14ac:dyDescent="0.25">
      <c r="A16" s="1448"/>
      <c r="B16" s="1449"/>
      <c r="C16" s="1681"/>
      <c r="D16" s="1450"/>
      <c r="E16" s="1448"/>
      <c r="F16" s="1451"/>
      <c r="G16" s="1448"/>
      <c r="H16" s="714"/>
      <c r="I16" s="1452"/>
      <c r="J16" s="1453"/>
      <c r="K16" s="1454"/>
      <c r="L16" s="1455"/>
      <c r="M16" s="1456"/>
      <c r="N16" s="1457"/>
      <c r="O16" s="1486"/>
      <c r="P16" s="1459"/>
      <c r="Q16" s="1409" t="b">
        <v>0</v>
      </c>
      <c r="R16" s="470" t="b">
        <v>0</v>
      </c>
      <c r="S16" s="464" t="b">
        <f t="shared" si="1"/>
        <v>0</v>
      </c>
      <c r="T16" s="464" t="b">
        <f t="shared" si="2"/>
        <v>0</v>
      </c>
      <c r="GZ16" s="245"/>
      <c r="HA16" s="1149"/>
      <c r="HB16" s="1150"/>
      <c r="HC16" s="1150"/>
      <c r="HD16" s="1157"/>
      <c r="HE16" s="1158"/>
      <c r="HF16" s="1150"/>
      <c r="HG16" s="1150"/>
      <c r="HH16" s="1150"/>
      <c r="HI16" s="1159"/>
      <c r="HJ16" s="1150"/>
      <c r="HK16" s="1150"/>
      <c r="HL16" s="1150"/>
      <c r="HM16" s="1150"/>
      <c r="HN16" s="1150"/>
      <c r="HO16" s="1150"/>
      <c r="HP16" s="1160"/>
      <c r="HQ16" s="1173"/>
    </row>
    <row r="17" spans="1:225" ht="12.6" customHeight="1" x14ac:dyDescent="0.25">
      <c r="A17" s="1448"/>
      <c r="B17" s="1449"/>
      <c r="C17" s="1681"/>
      <c r="D17" s="1450"/>
      <c r="E17" s="1448"/>
      <c r="F17" s="1451"/>
      <c r="G17" s="1448"/>
      <c r="H17" s="714"/>
      <c r="I17" s="1452"/>
      <c r="J17" s="1453"/>
      <c r="K17" s="1454"/>
      <c r="L17" s="1455"/>
      <c r="M17" s="1456"/>
      <c r="N17" s="1457"/>
      <c r="O17" s="1486"/>
      <c r="P17" s="1459"/>
      <c r="Q17" s="1409" t="b">
        <v>0</v>
      </c>
      <c r="R17" s="470" t="b">
        <v>0</v>
      </c>
      <c r="S17" s="464" t="b">
        <f t="shared" si="1"/>
        <v>0</v>
      </c>
      <c r="T17" s="464" t="b">
        <f t="shared" si="2"/>
        <v>0</v>
      </c>
      <c r="HA17" s="1149"/>
      <c r="HB17" s="1150"/>
      <c r="HC17" s="1150"/>
      <c r="HD17" s="1157"/>
      <c r="HE17" s="1158"/>
      <c r="HF17" s="1150"/>
      <c r="HG17" s="1150"/>
      <c r="HH17" s="1150"/>
      <c r="HI17" s="1159"/>
      <c r="HJ17" s="1150"/>
      <c r="HK17" s="1150"/>
      <c r="HL17" s="1150"/>
      <c r="HM17" s="1150"/>
      <c r="HN17" s="1150"/>
      <c r="HO17" s="1150"/>
      <c r="HP17" s="1160"/>
      <c r="HQ17" s="1173"/>
    </row>
    <row r="18" spans="1:225" ht="12.6" customHeight="1" x14ac:dyDescent="0.25">
      <c r="A18" s="1448"/>
      <c r="B18" s="1449"/>
      <c r="C18" s="1681"/>
      <c r="D18" s="1450"/>
      <c r="E18" s="1448"/>
      <c r="F18" s="1451"/>
      <c r="G18" s="1448"/>
      <c r="H18" s="714"/>
      <c r="I18" s="1452"/>
      <c r="J18" s="1453"/>
      <c r="K18" s="1454"/>
      <c r="L18" s="1455"/>
      <c r="M18" s="1456"/>
      <c r="N18" s="1457"/>
      <c r="O18" s="1486"/>
      <c r="P18" s="1459"/>
      <c r="Q18" s="1409" t="b">
        <v>0</v>
      </c>
      <c r="R18" s="470" t="b">
        <v>0</v>
      </c>
      <c r="S18" s="464" t="b">
        <f t="shared" si="1"/>
        <v>0</v>
      </c>
      <c r="T18" s="464" t="b">
        <f t="shared" si="2"/>
        <v>0</v>
      </c>
      <c r="HA18" s="1149"/>
      <c r="HB18" s="1150"/>
      <c r="HC18" s="1150"/>
      <c r="HD18" s="1157"/>
      <c r="HE18" s="1158"/>
      <c r="HF18" s="1150"/>
      <c r="HG18" s="1150"/>
      <c r="HH18" s="1150"/>
      <c r="HI18" s="1159"/>
      <c r="HJ18" s="1150"/>
      <c r="HK18" s="1150"/>
      <c r="HL18" s="1150"/>
      <c r="HM18" s="1150"/>
      <c r="HN18" s="1150"/>
      <c r="HO18" s="1150"/>
      <c r="HP18" s="1160"/>
      <c r="HQ18" s="1173"/>
    </row>
    <row r="19" spans="1:225" ht="12.6" customHeight="1" x14ac:dyDescent="0.25">
      <c r="A19" s="1448"/>
      <c r="B19" s="1449"/>
      <c r="C19" s="1681"/>
      <c r="D19" s="1450"/>
      <c r="E19" s="1448"/>
      <c r="F19" s="1451"/>
      <c r="G19" s="1448"/>
      <c r="H19" s="714"/>
      <c r="I19" s="1452"/>
      <c r="J19" s="1453"/>
      <c r="K19" s="1454"/>
      <c r="L19" s="1455"/>
      <c r="M19" s="1456"/>
      <c r="N19" s="1457"/>
      <c r="O19" s="1486"/>
      <c r="P19" s="1459"/>
      <c r="Q19" s="1409" t="b">
        <v>0</v>
      </c>
      <c r="R19" s="470" t="b">
        <v>0</v>
      </c>
      <c r="S19" s="464" t="b">
        <f t="shared" si="1"/>
        <v>0</v>
      </c>
      <c r="T19" s="464" t="b">
        <f t="shared" si="2"/>
        <v>0</v>
      </c>
      <c r="HA19" s="1149"/>
      <c r="HB19" s="1150"/>
      <c r="HC19" s="1150"/>
      <c r="HD19" s="1157"/>
      <c r="HE19" s="1158"/>
      <c r="HF19" s="1150"/>
      <c r="HG19" s="1150"/>
      <c r="HH19" s="1150"/>
      <c r="HI19" s="1159"/>
      <c r="HJ19" s="1150"/>
      <c r="HK19" s="1150"/>
      <c r="HL19" s="1150"/>
      <c r="HM19" s="1150"/>
      <c r="HN19" s="1150"/>
      <c r="HO19" s="1150"/>
      <c r="HP19" s="1160"/>
      <c r="HQ19" s="1173"/>
    </row>
    <row r="20" spans="1:225" ht="12.6" customHeight="1" x14ac:dyDescent="0.25">
      <c r="A20" s="1448"/>
      <c r="B20" s="1449"/>
      <c r="C20" s="1681"/>
      <c r="D20" s="1450"/>
      <c r="E20" s="1448"/>
      <c r="F20" s="1451"/>
      <c r="G20" s="1448"/>
      <c r="H20" s="714"/>
      <c r="I20" s="1452"/>
      <c r="J20" s="1453"/>
      <c r="K20" s="1454"/>
      <c r="L20" s="1455"/>
      <c r="M20" s="1456"/>
      <c r="N20" s="1457"/>
      <c r="O20" s="1486"/>
      <c r="P20" s="1459"/>
      <c r="Q20" s="1409" t="b">
        <v>0</v>
      </c>
      <c r="R20" s="470" t="b">
        <v>0</v>
      </c>
      <c r="S20" s="464" t="b">
        <f t="shared" si="1"/>
        <v>0</v>
      </c>
      <c r="T20" s="464" t="b">
        <f t="shared" si="2"/>
        <v>0</v>
      </c>
      <c r="HA20" s="1149"/>
      <c r="HB20" s="1150"/>
      <c r="HC20" s="1150"/>
      <c r="HD20" s="1157"/>
      <c r="HE20" s="1158"/>
      <c r="HF20" s="1150"/>
      <c r="HG20" s="1150"/>
      <c r="HH20" s="1150"/>
      <c r="HI20" s="1159"/>
      <c r="HJ20" s="1150"/>
      <c r="HK20" s="1150"/>
      <c r="HL20" s="1150"/>
      <c r="HM20" s="1150"/>
      <c r="HN20" s="1150"/>
      <c r="HO20" s="1150"/>
      <c r="HP20" s="1160"/>
      <c r="HQ20" s="1173"/>
    </row>
    <row r="21" spans="1:225" ht="12.6" customHeight="1" x14ac:dyDescent="0.25">
      <c r="A21" s="1448"/>
      <c r="B21" s="1449"/>
      <c r="C21" s="1681"/>
      <c r="D21" s="1450"/>
      <c r="E21" s="1448"/>
      <c r="F21" s="1451"/>
      <c r="G21" s="1448"/>
      <c r="H21" s="714"/>
      <c r="I21" s="1452"/>
      <c r="J21" s="1453"/>
      <c r="K21" s="1454"/>
      <c r="L21" s="1455"/>
      <c r="M21" s="1456"/>
      <c r="N21" s="1457"/>
      <c r="O21" s="1486"/>
      <c r="P21" s="1459"/>
      <c r="Q21" s="1409" t="b">
        <v>0</v>
      </c>
      <c r="R21" s="470" t="b">
        <v>0</v>
      </c>
      <c r="S21" s="464" t="b">
        <f t="shared" si="1"/>
        <v>0</v>
      </c>
      <c r="T21" s="464" t="b">
        <f t="shared" si="2"/>
        <v>0</v>
      </c>
      <c r="HA21" s="1149"/>
      <c r="HB21" s="1150"/>
      <c r="HC21" s="1150"/>
      <c r="HD21" s="1157"/>
      <c r="HE21" s="1158"/>
      <c r="HF21" s="1150"/>
      <c r="HG21" s="1150"/>
      <c r="HH21" s="1150"/>
      <c r="HI21" s="1159"/>
      <c r="HJ21" s="1150"/>
      <c r="HK21" s="1150"/>
      <c r="HL21" s="1150"/>
      <c r="HM21" s="1150"/>
      <c r="HN21" s="1150"/>
      <c r="HO21" s="1150"/>
      <c r="HP21" s="1160"/>
      <c r="HQ21" s="1173"/>
    </row>
    <row r="22" spans="1:225" ht="12.6" customHeight="1" x14ac:dyDescent="0.25">
      <c r="A22" s="1448"/>
      <c r="B22" s="1449"/>
      <c r="C22" s="1681"/>
      <c r="D22" s="1450"/>
      <c r="E22" s="1448"/>
      <c r="F22" s="1451"/>
      <c r="G22" s="1448"/>
      <c r="H22" s="714"/>
      <c r="I22" s="1452"/>
      <c r="J22" s="1453"/>
      <c r="K22" s="1454"/>
      <c r="L22" s="1455"/>
      <c r="M22" s="1456"/>
      <c r="N22" s="1457"/>
      <c r="O22" s="1486"/>
      <c r="P22" s="1459"/>
      <c r="Q22" s="1409" t="b">
        <v>0</v>
      </c>
      <c r="R22" s="470" t="b">
        <v>0</v>
      </c>
      <c r="S22" s="464" t="b">
        <f t="shared" si="1"/>
        <v>0</v>
      </c>
      <c r="T22" s="464" t="b">
        <f t="shared" si="2"/>
        <v>0</v>
      </c>
      <c r="HA22" s="1149"/>
      <c r="HB22" s="1150"/>
      <c r="HC22" s="1150"/>
      <c r="HD22" s="1157"/>
      <c r="HE22" s="1158"/>
      <c r="HF22" s="1150"/>
      <c r="HG22" s="1150"/>
      <c r="HH22" s="1150"/>
      <c r="HI22" s="1159"/>
      <c r="HJ22" s="1150"/>
      <c r="HK22" s="1150"/>
      <c r="HL22" s="1150"/>
      <c r="HM22" s="1150"/>
      <c r="HN22" s="1150"/>
      <c r="HO22" s="1150"/>
      <c r="HP22" s="1160"/>
      <c r="HQ22" s="1173"/>
    </row>
    <row r="23" spans="1:225" ht="12.6" customHeight="1" x14ac:dyDescent="0.25">
      <c r="A23" s="1448"/>
      <c r="B23" s="1449"/>
      <c r="C23" s="1681"/>
      <c r="D23" s="1450"/>
      <c r="E23" s="1448"/>
      <c r="F23" s="1451"/>
      <c r="G23" s="1448"/>
      <c r="H23" s="714"/>
      <c r="I23" s="1452"/>
      <c r="J23" s="1453"/>
      <c r="K23" s="1454"/>
      <c r="L23" s="1455"/>
      <c r="M23" s="1456"/>
      <c r="N23" s="1457"/>
      <c r="O23" s="1486"/>
      <c r="P23" s="1459"/>
      <c r="Q23" s="1409" t="b">
        <v>0</v>
      </c>
      <c r="R23" s="470" t="b">
        <v>0</v>
      </c>
      <c r="S23" s="464" t="b">
        <f t="shared" si="1"/>
        <v>0</v>
      </c>
      <c r="T23" s="464" t="b">
        <f t="shared" si="2"/>
        <v>0</v>
      </c>
      <c r="HA23" s="1149"/>
      <c r="HB23" s="1150"/>
      <c r="HC23" s="1150"/>
      <c r="HD23" s="1157"/>
      <c r="HE23" s="1158"/>
      <c r="HF23" s="1150"/>
      <c r="HG23" s="1150"/>
      <c r="HH23" s="1150"/>
      <c r="HI23" s="1159"/>
      <c r="HJ23" s="1150"/>
      <c r="HK23" s="1150"/>
      <c r="HL23" s="1150"/>
      <c r="HM23" s="1150"/>
      <c r="HN23" s="1150"/>
      <c r="HO23" s="1150"/>
      <c r="HP23" s="1160"/>
      <c r="HQ23" s="1173"/>
    </row>
    <row r="24" spans="1:225" ht="12.6" customHeight="1" x14ac:dyDescent="0.25">
      <c r="A24" s="1448"/>
      <c r="B24" s="1449"/>
      <c r="C24" s="1681"/>
      <c r="D24" s="1450"/>
      <c r="E24" s="1448"/>
      <c r="F24" s="1451"/>
      <c r="G24" s="1448"/>
      <c r="H24" s="714"/>
      <c r="I24" s="1452"/>
      <c r="J24" s="1453"/>
      <c r="K24" s="1454"/>
      <c r="L24" s="1455"/>
      <c r="M24" s="1456"/>
      <c r="N24" s="1457"/>
      <c r="O24" s="1486"/>
      <c r="P24" s="1459"/>
      <c r="Q24" s="1409" t="b">
        <v>0</v>
      </c>
      <c r="R24" s="470" t="b">
        <v>0</v>
      </c>
      <c r="S24" s="464" t="b">
        <f t="shared" si="1"/>
        <v>0</v>
      </c>
      <c r="T24" s="464" t="b">
        <f t="shared" si="2"/>
        <v>0</v>
      </c>
      <c r="U24" s="245"/>
      <c r="V24" s="245"/>
      <c r="W24" s="245"/>
      <c r="X24" s="245"/>
      <c r="Y24" s="245"/>
      <c r="Z24" s="245"/>
      <c r="AA24" s="245"/>
      <c r="HA24" s="1149"/>
      <c r="HB24" s="1150"/>
      <c r="HC24" s="1150"/>
      <c r="HD24" s="1157"/>
      <c r="HE24" s="1158"/>
      <c r="HF24" s="1150"/>
      <c r="HG24" s="1150"/>
      <c r="HH24" s="1150"/>
      <c r="HI24" s="1159"/>
      <c r="HJ24" s="1150"/>
      <c r="HK24" s="1150"/>
      <c r="HL24" s="1150"/>
      <c r="HM24" s="1150"/>
      <c r="HN24" s="1150"/>
      <c r="HO24" s="1150"/>
      <c r="HP24" s="1160"/>
      <c r="HQ24" s="1173"/>
    </row>
    <row r="25" spans="1:225" s="23" customFormat="1" ht="12.6" customHeight="1" thickBot="1" x14ac:dyDescent="0.3">
      <c r="A25" s="1448"/>
      <c r="B25" s="1449"/>
      <c r="C25" s="1681"/>
      <c r="D25" s="1450"/>
      <c r="E25" s="1448"/>
      <c r="F25" s="1451"/>
      <c r="G25" s="1448"/>
      <c r="H25" s="714"/>
      <c r="I25" s="1452"/>
      <c r="J25" s="1453"/>
      <c r="K25" s="1454"/>
      <c r="L25" s="1455"/>
      <c r="M25" s="1456"/>
      <c r="N25" s="1457"/>
      <c r="O25" s="1486"/>
      <c r="P25" s="1459"/>
      <c r="Q25" s="1409" t="b">
        <v>0</v>
      </c>
      <c r="R25" s="470" t="b">
        <v>0</v>
      </c>
      <c r="S25" s="464" t="b">
        <f t="shared" si="1"/>
        <v>0</v>
      </c>
      <c r="T25" s="464" t="b">
        <f t="shared" si="2"/>
        <v>0</v>
      </c>
      <c r="U25" s="426">
        <f>COUNTA(U27:U300)</f>
        <v>13</v>
      </c>
      <c r="V25" s="2542" t="s">
        <v>797</v>
      </c>
      <c r="W25" s="426">
        <f>COUNTA(W27:W300)</f>
        <v>9</v>
      </c>
      <c r="X25" s="2540" t="s">
        <v>946</v>
      </c>
      <c r="Y25" s="2541"/>
      <c r="Z25" s="2541"/>
      <c r="AA25" s="2541"/>
      <c r="AB25" s="426"/>
      <c r="AC25" s="2529" t="s">
        <v>1137</v>
      </c>
      <c r="AD25" s="1922"/>
      <c r="AE25" s="426">
        <f>COUNTA(AE27:AE300)</f>
        <v>166</v>
      </c>
      <c r="AF25" s="426"/>
      <c r="HA25" s="1149"/>
      <c r="HB25" s="1150"/>
      <c r="HC25" s="1150"/>
      <c r="HD25" s="1157"/>
      <c r="HE25" s="1158"/>
      <c r="HF25" s="1150"/>
      <c r="HG25" s="1150"/>
      <c r="HH25" s="1150"/>
      <c r="HI25" s="1159"/>
      <c r="HJ25" s="1150"/>
      <c r="HK25" s="1150"/>
      <c r="HL25" s="1150"/>
      <c r="HM25" s="1150"/>
      <c r="HN25" s="1150"/>
      <c r="HO25" s="1150"/>
      <c r="HP25" s="1160"/>
      <c r="HQ25" s="1174"/>
    </row>
    <row r="26" spans="1:225" s="23" customFormat="1" ht="12.6" customHeight="1" thickTop="1" x14ac:dyDescent="0.25">
      <c r="A26" s="1448"/>
      <c r="B26" s="1449"/>
      <c r="C26" s="1681"/>
      <c r="D26" s="1450"/>
      <c r="E26" s="1448"/>
      <c r="F26" s="1451"/>
      <c r="G26" s="1448"/>
      <c r="H26" s="714"/>
      <c r="I26" s="1452"/>
      <c r="J26" s="1453"/>
      <c r="K26" s="1454"/>
      <c r="L26" s="1455"/>
      <c r="M26" s="1456"/>
      <c r="N26" s="1457"/>
      <c r="O26" s="1486"/>
      <c r="P26" s="1459"/>
      <c r="Q26" s="1409" t="b">
        <v>0</v>
      </c>
      <c r="R26" s="470" t="b">
        <v>0</v>
      </c>
      <c r="S26" s="464" t="b">
        <f t="shared" si="1"/>
        <v>0</v>
      </c>
      <c r="T26" s="464" t="b">
        <f t="shared" si="2"/>
        <v>0</v>
      </c>
      <c r="U26" s="426" t="s">
        <v>794</v>
      </c>
      <c r="V26" s="2543"/>
      <c r="W26" s="426" t="s">
        <v>660</v>
      </c>
      <c r="X26" s="426" t="s">
        <v>661</v>
      </c>
      <c r="Y26" s="426" t="s">
        <v>662</v>
      </c>
      <c r="Z26" s="426" t="s">
        <v>663</v>
      </c>
      <c r="AA26" s="426" t="s">
        <v>664</v>
      </c>
      <c r="AB26" s="426" t="s">
        <v>677</v>
      </c>
      <c r="AC26" s="426" t="s">
        <v>1138</v>
      </c>
      <c r="AD26" s="426" t="s">
        <v>1139</v>
      </c>
      <c r="AE26" s="426" t="s">
        <v>819</v>
      </c>
      <c r="AF26" s="426" t="s">
        <v>1135</v>
      </c>
      <c r="HA26" s="1149"/>
      <c r="HB26" s="1150"/>
      <c r="HC26" s="1150"/>
      <c r="HD26" s="1157"/>
      <c r="HE26" s="1158"/>
      <c r="HF26" s="1150"/>
      <c r="HG26" s="1150"/>
      <c r="HH26" s="1150"/>
      <c r="HI26" s="1159"/>
      <c r="HJ26" s="1150"/>
      <c r="HK26" s="1150"/>
      <c r="HL26" s="1150"/>
      <c r="HM26" s="1150"/>
      <c r="HN26" s="1150"/>
      <c r="HO26" s="1150"/>
      <c r="HP26" s="1160"/>
      <c r="HQ26" s="1174"/>
    </row>
    <row r="27" spans="1:225" ht="12.6" customHeight="1" x14ac:dyDescent="0.25">
      <c r="A27" s="1448"/>
      <c r="B27" s="1449"/>
      <c r="C27" s="1681"/>
      <c r="D27" s="1450"/>
      <c r="E27" s="1448"/>
      <c r="F27" s="1451"/>
      <c r="G27" s="1448"/>
      <c r="H27" s="714"/>
      <c r="I27" s="1452"/>
      <c r="J27" s="1453"/>
      <c r="K27" s="1454"/>
      <c r="L27" s="1455"/>
      <c r="M27" s="1456"/>
      <c r="N27" s="1457"/>
      <c r="O27" s="1486"/>
      <c r="P27" s="1459"/>
      <c r="Q27" s="1409" t="b">
        <v>0</v>
      </c>
      <c r="R27" s="470" t="b">
        <v>0</v>
      </c>
      <c r="S27" s="464" t="b">
        <f t="shared" si="1"/>
        <v>0</v>
      </c>
      <c r="T27" s="464" t="b">
        <f t="shared" si="2"/>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9"/>
      <c r="HB27" s="1150"/>
      <c r="HC27" s="1150"/>
      <c r="HD27" s="1157"/>
      <c r="HE27" s="1158"/>
      <c r="HF27" s="1150"/>
      <c r="HG27" s="1150"/>
      <c r="HH27" s="1150"/>
      <c r="HI27" s="1159"/>
      <c r="HJ27" s="1150"/>
      <c r="HK27" s="1150"/>
      <c r="HL27" s="1150"/>
      <c r="HM27" s="1150"/>
      <c r="HN27" s="1150"/>
      <c r="HO27" s="1150"/>
      <c r="HP27" s="1160"/>
      <c r="HQ27" s="1173"/>
    </row>
    <row r="28" spans="1:225" ht="12.6" customHeight="1" x14ac:dyDescent="0.25">
      <c r="A28" s="1448"/>
      <c r="B28" s="1449"/>
      <c r="C28" s="1681"/>
      <c r="D28" s="1450"/>
      <c r="E28" s="1448"/>
      <c r="F28" s="1451"/>
      <c r="G28" s="1448"/>
      <c r="H28" s="714"/>
      <c r="I28" s="1452"/>
      <c r="J28" s="1453"/>
      <c r="K28" s="1454"/>
      <c r="L28" s="1455"/>
      <c r="M28" s="1456"/>
      <c r="N28" s="1457"/>
      <c r="O28" s="1486"/>
      <c r="P28" s="1459"/>
      <c r="Q28" s="1409" t="b">
        <v>0</v>
      </c>
      <c r="R28" s="470" t="b">
        <v>0</v>
      </c>
      <c r="S28" s="464" t="b">
        <f t="shared" si="1"/>
        <v>0</v>
      </c>
      <c r="T28" s="464" t="b">
        <f t="shared" si="2"/>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c r="HB28" s="1150"/>
      <c r="HC28" s="1150"/>
      <c r="HD28" s="1157"/>
      <c r="HE28" s="1158"/>
      <c r="HF28" s="1150"/>
      <c r="HG28" s="1150"/>
      <c r="HH28" s="1150"/>
      <c r="HI28" s="1159"/>
      <c r="HJ28" s="1150"/>
      <c r="HK28" s="1150"/>
      <c r="HL28" s="1150"/>
      <c r="HM28" s="1150"/>
      <c r="HN28" s="1150"/>
      <c r="HO28" s="1150"/>
      <c r="HP28" s="1160"/>
      <c r="HQ28" s="1173"/>
    </row>
    <row r="29" spans="1:225" ht="12.6" customHeight="1" x14ac:dyDescent="0.25">
      <c r="A29" s="1448"/>
      <c r="B29" s="1449"/>
      <c r="C29" s="1681"/>
      <c r="D29" s="1450"/>
      <c r="E29" s="1448"/>
      <c r="F29" s="1451"/>
      <c r="G29" s="1448"/>
      <c r="H29" s="714"/>
      <c r="I29" s="1452"/>
      <c r="J29" s="1453"/>
      <c r="K29" s="1454"/>
      <c r="L29" s="1455"/>
      <c r="M29" s="1456"/>
      <c r="N29" s="1457"/>
      <c r="O29" s="1486"/>
      <c r="P29" s="1459"/>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c r="HB29" s="1150"/>
      <c r="HC29" s="1150"/>
      <c r="HD29" s="1157"/>
      <c r="HE29" s="1158"/>
      <c r="HF29" s="1150"/>
      <c r="HG29" s="1150"/>
      <c r="HH29" s="1150"/>
      <c r="HI29" s="1159"/>
      <c r="HJ29" s="1150"/>
      <c r="HK29" s="1150"/>
      <c r="HL29" s="1150"/>
      <c r="HM29" s="1150"/>
      <c r="HN29" s="1150"/>
      <c r="HO29" s="1150"/>
      <c r="HP29" s="1160"/>
      <c r="HQ29" s="1173"/>
    </row>
    <row r="30" spans="1:225" ht="12.6" customHeight="1" x14ac:dyDescent="0.25">
      <c r="A30" s="1448"/>
      <c r="B30" s="1449"/>
      <c r="C30" s="1681"/>
      <c r="D30" s="1450"/>
      <c r="E30" s="1448"/>
      <c r="F30" s="1451"/>
      <c r="G30" s="1448"/>
      <c r="H30" s="714"/>
      <c r="I30" s="1452"/>
      <c r="J30" s="1453"/>
      <c r="K30" s="1454"/>
      <c r="L30" s="1455"/>
      <c r="M30" s="1456"/>
      <c r="N30" s="1457"/>
      <c r="O30" s="1486"/>
      <c r="P30" s="1459"/>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c r="HB30" s="1150"/>
      <c r="HC30" s="1150"/>
      <c r="HD30" s="1157"/>
      <c r="HE30" s="1158"/>
      <c r="HF30" s="1150"/>
      <c r="HG30" s="1150"/>
      <c r="HH30" s="1150"/>
      <c r="HI30" s="1159"/>
      <c r="HJ30" s="1150"/>
      <c r="HK30" s="1150"/>
      <c r="HL30" s="1150"/>
      <c r="HM30" s="1150"/>
      <c r="HN30" s="1150"/>
      <c r="HO30" s="1150"/>
      <c r="HP30" s="1160"/>
      <c r="HQ30" s="1173"/>
    </row>
    <row r="31" spans="1:225" ht="12.6" customHeight="1" x14ac:dyDescent="0.25">
      <c r="A31" s="1448"/>
      <c r="B31" s="1449"/>
      <c r="C31" s="1681"/>
      <c r="D31" s="1450"/>
      <c r="E31" s="1448"/>
      <c r="F31" s="1451"/>
      <c r="G31" s="1448"/>
      <c r="H31" s="714"/>
      <c r="I31" s="1452"/>
      <c r="J31" s="1453"/>
      <c r="K31" s="1454"/>
      <c r="L31" s="1455"/>
      <c r="M31" s="1456"/>
      <c r="N31" s="1457"/>
      <c r="O31" s="1486"/>
      <c r="P31" s="1459"/>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c r="HB31" s="1150"/>
      <c r="HC31" s="1150"/>
      <c r="HD31" s="1157"/>
      <c r="HE31" s="1158"/>
      <c r="HF31" s="1150"/>
      <c r="HG31" s="1150"/>
      <c r="HH31" s="1150"/>
      <c r="HI31" s="1159"/>
      <c r="HJ31" s="1150"/>
      <c r="HK31" s="1150"/>
      <c r="HL31" s="1150"/>
      <c r="HM31" s="1150"/>
      <c r="HN31" s="1150"/>
      <c r="HO31" s="1150"/>
      <c r="HP31" s="1160"/>
      <c r="HQ31" s="1173"/>
    </row>
    <row r="32" spans="1:225" ht="12.6" customHeight="1" x14ac:dyDescent="0.25">
      <c r="A32" s="1448"/>
      <c r="B32" s="1449"/>
      <c r="C32" s="1681"/>
      <c r="D32" s="1450"/>
      <c r="E32" s="1448"/>
      <c r="F32" s="1451"/>
      <c r="G32" s="1448"/>
      <c r="H32" s="714"/>
      <c r="I32" s="1452"/>
      <c r="J32" s="1453"/>
      <c r="K32" s="1454"/>
      <c r="L32" s="1455"/>
      <c r="M32" s="1456"/>
      <c r="N32" s="1457"/>
      <c r="O32" s="1486"/>
      <c r="P32" s="1459"/>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c r="HB32" s="1150"/>
      <c r="HC32" s="1150"/>
      <c r="HD32" s="1157"/>
      <c r="HE32" s="1158"/>
      <c r="HF32" s="1150"/>
      <c r="HG32" s="1150"/>
      <c r="HH32" s="1150"/>
      <c r="HI32" s="1159"/>
      <c r="HJ32" s="1150"/>
      <c r="HK32" s="1150"/>
      <c r="HL32" s="1150"/>
      <c r="HM32" s="1150"/>
      <c r="HN32" s="1150"/>
      <c r="HO32" s="1150"/>
      <c r="HP32" s="1160"/>
      <c r="HQ32" s="1173"/>
    </row>
    <row r="33" spans="1:225" ht="12.6" customHeight="1" x14ac:dyDescent="0.25">
      <c r="A33" s="1448"/>
      <c r="B33" s="1449"/>
      <c r="C33" s="1681"/>
      <c r="D33" s="1450"/>
      <c r="E33" s="1448"/>
      <c r="F33" s="1451"/>
      <c r="G33" s="1448"/>
      <c r="H33" s="714"/>
      <c r="I33" s="1452"/>
      <c r="J33" s="1453"/>
      <c r="K33" s="1454"/>
      <c r="L33" s="1455"/>
      <c r="M33" s="1456"/>
      <c r="N33" s="1457"/>
      <c r="O33" s="1486"/>
      <c r="P33" s="1459"/>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c r="HB33" s="1150"/>
      <c r="HC33" s="1150"/>
      <c r="HD33" s="1157"/>
      <c r="HE33" s="1158"/>
      <c r="HF33" s="1150"/>
      <c r="HG33" s="1150"/>
      <c r="HH33" s="1150"/>
      <c r="HI33" s="1159"/>
      <c r="HJ33" s="1150"/>
      <c r="HK33" s="1150"/>
      <c r="HL33" s="1150"/>
      <c r="HM33" s="1150"/>
      <c r="HN33" s="1150"/>
      <c r="HO33" s="1150"/>
      <c r="HP33" s="1160"/>
      <c r="HQ33" s="1173"/>
    </row>
    <row r="34" spans="1:225" ht="12.6" customHeight="1" x14ac:dyDescent="0.25">
      <c r="A34" s="1448"/>
      <c r="B34" s="1449"/>
      <c r="C34" s="1681"/>
      <c r="D34" s="1450"/>
      <c r="E34" s="1448"/>
      <c r="F34" s="1451"/>
      <c r="G34" s="1448"/>
      <c r="H34" s="714"/>
      <c r="I34" s="1452"/>
      <c r="J34" s="1453"/>
      <c r="K34" s="1454"/>
      <c r="L34" s="1455"/>
      <c r="M34" s="1456"/>
      <c r="N34" s="1457"/>
      <c r="O34" s="1486"/>
      <c r="P34" s="1459"/>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c r="HB34" s="1150"/>
      <c r="HC34" s="1150"/>
      <c r="HD34" s="1157"/>
      <c r="HE34" s="1158"/>
      <c r="HF34" s="1150"/>
      <c r="HG34" s="1150"/>
      <c r="HH34" s="1150"/>
      <c r="HI34" s="1159"/>
      <c r="HJ34" s="1150"/>
      <c r="HK34" s="1150"/>
      <c r="HL34" s="1150"/>
      <c r="HM34" s="1150"/>
      <c r="HN34" s="1150"/>
      <c r="HO34" s="1150"/>
      <c r="HP34" s="1160"/>
      <c r="HQ34" s="1173"/>
    </row>
    <row r="35" spans="1:225" ht="12.6" customHeight="1" x14ac:dyDescent="0.25">
      <c r="A35" s="1448"/>
      <c r="B35" s="1449"/>
      <c r="C35" s="1681"/>
      <c r="D35" s="1450"/>
      <c r="E35" s="1448"/>
      <c r="F35" s="1451"/>
      <c r="G35" s="1448"/>
      <c r="H35" s="714"/>
      <c r="I35" s="1452"/>
      <c r="J35" s="1453"/>
      <c r="K35" s="1454"/>
      <c r="L35" s="1455"/>
      <c r="M35" s="1456"/>
      <c r="N35" s="1457"/>
      <c r="O35" s="1486"/>
      <c r="P35" s="1459"/>
      <c r="Q35" s="1409"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5">
        <v>1.375</v>
      </c>
      <c r="HA35" s="1149"/>
      <c r="HB35" s="1150"/>
      <c r="HC35" s="1150"/>
      <c r="HD35" s="1157"/>
      <c r="HE35" s="1158"/>
      <c r="HF35" s="1150"/>
      <c r="HG35" s="1150"/>
      <c r="HH35" s="1150"/>
      <c r="HI35" s="1159"/>
      <c r="HJ35" s="1150"/>
      <c r="HK35" s="1150"/>
      <c r="HL35" s="1150"/>
      <c r="HM35" s="1150"/>
      <c r="HN35" s="1150"/>
      <c r="HO35" s="1150"/>
      <c r="HP35" s="1160"/>
      <c r="HQ35" s="1173"/>
    </row>
    <row r="36" spans="1:225" ht="12.6" customHeight="1" x14ac:dyDescent="0.25">
      <c r="A36" s="1448"/>
      <c r="B36" s="1449"/>
      <c r="C36" s="1681"/>
      <c r="D36" s="1450"/>
      <c r="E36" s="1448"/>
      <c r="F36" s="1451"/>
      <c r="G36" s="1448"/>
      <c r="H36" s="714"/>
      <c r="I36" s="1452"/>
      <c r="J36" s="1453"/>
      <c r="K36" s="1454"/>
      <c r="L36" s="1455"/>
      <c r="M36" s="1456"/>
      <c r="N36" s="1457"/>
      <c r="O36" s="1486"/>
      <c r="P36" s="1459"/>
      <c r="Q36" s="1409" t="b">
        <v>0</v>
      </c>
      <c r="R36" s="470" t="b">
        <v>0</v>
      </c>
      <c r="S36" s="464" t="b">
        <f t="shared" si="1"/>
        <v>0</v>
      </c>
      <c r="T36" s="464" t="b">
        <f t="shared" si="2"/>
        <v>0</v>
      </c>
      <c r="U36" s="628" t="s">
        <v>815</v>
      </c>
      <c r="V36" s="378"/>
      <c r="W36" s="378"/>
      <c r="X36" s="378"/>
      <c r="Y36" s="378"/>
      <c r="Z36" s="378"/>
      <c r="AA36" s="378"/>
      <c r="AB36" s="378"/>
      <c r="AC36" s="378"/>
      <c r="AD36" s="378"/>
      <c r="AE36" s="628" t="s">
        <v>824</v>
      </c>
      <c r="AF36" s="1125">
        <v>1.5</v>
      </c>
      <c r="HA36" s="1149"/>
      <c r="HB36" s="1150"/>
      <c r="HC36" s="1150"/>
      <c r="HD36" s="1157"/>
      <c r="HE36" s="1158"/>
      <c r="HF36" s="1150"/>
      <c r="HG36" s="1150"/>
      <c r="HH36" s="1150"/>
      <c r="HI36" s="1159"/>
      <c r="HJ36" s="1150"/>
      <c r="HK36" s="1150"/>
      <c r="HL36" s="1150"/>
      <c r="HM36" s="1150"/>
      <c r="HN36" s="1150"/>
      <c r="HO36" s="1150"/>
      <c r="HP36" s="1160"/>
      <c r="HQ36" s="1173"/>
    </row>
    <row r="37" spans="1:225" ht="12.6" customHeight="1" x14ac:dyDescent="0.25">
      <c r="A37" s="1448"/>
      <c r="B37" s="1449"/>
      <c r="C37" s="1681"/>
      <c r="D37" s="1450"/>
      <c r="E37" s="1448"/>
      <c r="F37" s="1451"/>
      <c r="G37" s="1448"/>
      <c r="H37" s="714"/>
      <c r="I37" s="1452"/>
      <c r="J37" s="1453"/>
      <c r="K37" s="1454"/>
      <c r="L37" s="1455"/>
      <c r="M37" s="1456"/>
      <c r="N37" s="1457"/>
      <c r="O37" s="1486"/>
      <c r="P37" s="1459"/>
      <c r="Q37" s="1409" t="b">
        <v>0</v>
      </c>
      <c r="R37" s="470" t="b">
        <v>0</v>
      </c>
      <c r="S37" s="464" t="b">
        <f t="shared" si="1"/>
        <v>0</v>
      </c>
      <c r="T37" s="464" t="b">
        <f t="shared" si="2"/>
        <v>0</v>
      </c>
      <c r="U37" s="628" t="s">
        <v>816</v>
      </c>
      <c r="V37" s="378"/>
      <c r="W37" s="378"/>
      <c r="X37" s="378"/>
      <c r="Y37" s="378"/>
      <c r="Z37" s="378"/>
      <c r="AA37" s="378"/>
      <c r="AB37" s="378"/>
      <c r="AC37" s="378"/>
      <c r="AD37" s="378"/>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1448"/>
      <c r="B38" s="1449"/>
      <c r="C38" s="1681"/>
      <c r="D38" s="1450"/>
      <c r="E38" s="1448"/>
      <c r="F38" s="1451"/>
      <c r="G38" s="1448"/>
      <c r="H38" s="714"/>
      <c r="I38" s="1452"/>
      <c r="J38" s="1453"/>
      <c r="K38" s="1454"/>
      <c r="L38" s="1455"/>
      <c r="M38" s="1456"/>
      <c r="N38" s="1457"/>
      <c r="O38" s="1486"/>
      <c r="P38" s="1459"/>
      <c r="Q38" s="1409" t="b">
        <v>0</v>
      </c>
      <c r="R38" s="470" t="b">
        <v>0</v>
      </c>
      <c r="S38" s="464" t="b">
        <f t="shared" si="1"/>
        <v>0</v>
      </c>
      <c r="T38" s="464" t="b">
        <f t="shared" si="2"/>
        <v>0</v>
      </c>
      <c r="U38" s="628" t="s">
        <v>817</v>
      </c>
      <c r="V38" s="378"/>
      <c r="W38" s="378"/>
      <c r="X38" s="378"/>
      <c r="Y38" s="378"/>
      <c r="Z38" s="378"/>
      <c r="AA38" s="378"/>
      <c r="AB38" s="378"/>
      <c r="AC38" s="378"/>
      <c r="AD38" s="378"/>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1448"/>
      <c r="B39" s="1449"/>
      <c r="C39" s="1681"/>
      <c r="D39" s="1450"/>
      <c r="E39" s="1448"/>
      <c r="F39" s="1451"/>
      <c r="G39" s="1448"/>
      <c r="H39" s="714"/>
      <c r="I39" s="1452"/>
      <c r="J39" s="1453"/>
      <c r="K39" s="1454"/>
      <c r="L39" s="1455"/>
      <c r="M39" s="1456"/>
      <c r="N39" s="1457"/>
      <c r="O39" s="1486"/>
      <c r="P39" s="1459"/>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1448"/>
      <c r="B40" s="1449"/>
      <c r="C40" s="1681"/>
      <c r="D40" s="1450"/>
      <c r="E40" s="1448"/>
      <c r="F40" s="1451"/>
      <c r="G40" s="1448"/>
      <c r="H40" s="714"/>
      <c r="I40" s="1452"/>
      <c r="J40" s="1453"/>
      <c r="K40" s="1454"/>
      <c r="L40" s="1455"/>
      <c r="M40" s="1456"/>
      <c r="N40" s="1457"/>
      <c r="O40" s="1486"/>
      <c r="P40" s="1459"/>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1448"/>
      <c r="B41" s="1449"/>
      <c r="C41" s="1681"/>
      <c r="D41" s="1450"/>
      <c r="E41" s="1448"/>
      <c r="F41" s="1451"/>
      <c r="G41" s="1448"/>
      <c r="H41" s="714"/>
      <c r="I41" s="1452"/>
      <c r="J41" s="1453"/>
      <c r="K41" s="1454"/>
      <c r="L41" s="1455"/>
      <c r="M41" s="1456"/>
      <c r="N41" s="1457"/>
      <c r="O41" s="1486"/>
      <c r="P41" s="1459"/>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1460"/>
      <c r="B42" s="1461"/>
      <c r="C42" s="1682"/>
      <c r="D42" s="1462"/>
      <c r="E42" s="1460"/>
      <c r="F42" s="1463"/>
      <c r="G42" s="1460"/>
      <c r="H42" s="1464"/>
      <c r="I42" s="1465"/>
      <c r="J42" s="1466"/>
      <c r="K42" s="1467"/>
      <c r="L42" s="1468"/>
      <c r="M42" s="1469"/>
      <c r="N42" s="1470"/>
      <c r="O42" s="1487"/>
      <c r="P42" s="1472"/>
      <c r="Q42" s="1409" t="b">
        <v>0</v>
      </c>
      <c r="R42" s="470" t="b">
        <v>0</v>
      </c>
      <c r="S42" s="464" t="b">
        <f t="shared" si="1"/>
        <v>0</v>
      </c>
      <c r="T42" s="464" t="b">
        <f>IF(OR(ISBLANK(D42),ISBLANK(E42),ISBLANK(F42),ISERROR(MATCH(F42,$AB$27:$AB$34,0))),FALSE,IF(ISERROR(FIND("B",$E42)),FALSE,IF(ISBLANK($D42),FALSE,IF(ISERROR(VLOOKUP(TRIM($D42),$AE$27:$AF$192,2,FALSE)),TRUE,VLOOKUP(TRIM($F42),$AB$27:$AD$34,IF(ISERROR(FIND("X",$E42)),3,2),FALSE)&lt;=VLOOKUP(TRIM($D42),$AE$27:$AF$192,2,FALSE)))))</f>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SUM(C14:C42)</f>
        <v>0</v>
      </c>
      <c r="E47" s="30" t="b">
        <f>SUMIF(E14:E42,"BA*",C14:C42)&gt;0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3" t="s">
        <v>1170</v>
      </c>
      <c r="AE60" s="628" t="s">
        <v>848</v>
      </c>
      <c r="AF60" s="1125">
        <v>2.375</v>
      </c>
    </row>
    <row r="61" spans="1:32" ht="12.6" hidden="1" customHeight="1" x14ac:dyDescent="0.2">
      <c r="A61" s="894"/>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2" ht="12.6" customHeight="1" x14ac:dyDescent="0.2">
      <c r="AE301" s="635" t="s">
        <v>938</v>
      </c>
      <c r="AF301" s="635"/>
    </row>
  </sheetData>
  <sheetProtection selectLockedCells="1"/>
  <dataConsolidate link="1"/>
  <mergeCells count="43">
    <mergeCell ref="C12:C13"/>
    <mergeCell ref="F12:F13"/>
    <mergeCell ref="J1:L1"/>
    <mergeCell ref="J2:L3"/>
    <mergeCell ref="J4:L4"/>
    <mergeCell ref="I8:K8"/>
    <mergeCell ref="A5:G5"/>
    <mergeCell ref="A12:B13"/>
    <mergeCell ref="D12:D13"/>
    <mergeCell ref="E12:E13"/>
    <mergeCell ref="C9:G9"/>
    <mergeCell ref="C10:G10"/>
    <mergeCell ref="G12:H12"/>
    <mergeCell ref="HP12:HP13"/>
    <mergeCell ref="AC25:AD25"/>
    <mergeCell ref="O6:P6"/>
    <mergeCell ref="J9:P9"/>
    <mergeCell ref="I7:L7"/>
    <mergeCell ref="X25:AA25"/>
    <mergeCell ref="O12:O13"/>
    <mergeCell ref="M12:M13"/>
    <mergeCell ref="O10:P10"/>
    <mergeCell ref="N12:N13"/>
    <mergeCell ref="V25:V26"/>
    <mergeCell ref="K12:L13"/>
    <mergeCell ref="J10:L10"/>
    <mergeCell ref="I12:J12"/>
    <mergeCell ref="HA11:HP11"/>
    <mergeCell ref="HE12:HE13"/>
    <mergeCell ref="HD12:HD13"/>
    <mergeCell ref="HA12:HA13"/>
    <mergeCell ref="HB12:HB13"/>
    <mergeCell ref="HC12:HC13"/>
    <mergeCell ref="HF12:HF13"/>
    <mergeCell ref="HL12:HL13"/>
    <mergeCell ref="HM12:HM13"/>
    <mergeCell ref="HN12:HN13"/>
    <mergeCell ref="HO12:HO13"/>
    <mergeCell ref="HG12:HG13"/>
    <mergeCell ref="HH12:HH13"/>
    <mergeCell ref="HI12:HI13"/>
    <mergeCell ref="HJ12:HJ13"/>
    <mergeCell ref="HK12:HK13"/>
  </mergeCells>
  <phoneticPr fontId="0" type="noConversion"/>
  <conditionalFormatting sqref="A14:A42 C14:C42">
    <cfRule type="expression" dxfId="615" priority="5">
      <formula>AND(NOT($S$1),$C14=0,OR($R$1="",$R$1="M"))</formula>
    </cfRule>
  </conditionalFormatting>
  <conditionalFormatting sqref="J2:L4">
    <cfRule type="cellIs" dxfId="614" priority="25" stopIfTrue="1" operator="equal">
      <formula>""</formula>
    </cfRule>
  </conditionalFormatting>
  <conditionalFormatting sqref="G7">
    <cfRule type="cellIs" dxfId="613" priority="26" stopIfTrue="1" operator="equal">
      <formula>"NO PAINT"</formula>
    </cfRule>
  </conditionalFormatting>
  <conditionalFormatting sqref="I7:K7">
    <cfRule type="expression" dxfId="612" priority="27" stopIfTrue="1">
      <formula>NOT(OR(COUNTIF(masterFinishList, $I$7) &gt; 0, COUNTIF($I$7, "Other:*") &gt; 0))</formula>
    </cfRule>
  </conditionalFormatting>
  <conditionalFormatting sqref="F14:F42">
    <cfRule type="expression" dxfId="611" priority="21">
      <formula>OR(ISERROR(VLOOKUP(E14,$V$27:$V$42,1,FALSE)),ISERROR(VLOOKUP(F14,$AB$27:$AB$42,1,FALSE)))</formula>
    </cfRule>
  </conditionalFormatting>
  <conditionalFormatting sqref="D14:D42">
    <cfRule type="expression" dxfId="610" priority="9">
      <formula>OR(ISERROR(VLOOKUP(TRIM(D14),$AE$27:$AE$300,1,FALSE)),AND(NOT(ISERROR(VLOOKUP(E14,$V$27:$V$300,1,FALSE))),NOT(ISERROR(VLOOKUP(TRIM(D14),$U$27:$U$300,1,FALSE)))))</formula>
    </cfRule>
  </conditionalFormatting>
  <conditionalFormatting sqref="E14:E42">
    <cfRule type="expression" dxfId="609" priority="13">
      <formula>OR(ISERROR(VLOOKUP(E14,$W$27:$W$42,1,FALSE)),AND(NOT(ISERROR(VLOOKUP(E14,$V$27:$V$300,1,FALSE))),NOT(ISERROR(VLOOKUP(D14,$U$27:$U$300,1,FALSE)))))</formula>
    </cfRule>
  </conditionalFormatting>
  <conditionalFormatting sqref="I7:L7">
    <cfRule type="cellIs" dxfId="608" priority="6" operator="equal">
      <formula>0</formula>
    </cfRule>
  </conditionalFormatting>
  <conditionalFormatting sqref="A14:P42">
    <cfRule type="expression" dxfId="607" priority="42">
      <formula>$Q14</formula>
    </cfRule>
  </conditionalFormatting>
  <conditionalFormatting sqref="G14:G42">
    <cfRule type="expression" dxfId="606" priority="4">
      <formula>NOT(VLOOKUP($E14,$W$27:$AA$42,2,FALSE))</formula>
    </cfRule>
  </conditionalFormatting>
  <conditionalFormatting sqref="H14">
    <cfRule type="expression" dxfId="605" priority="3">
      <formula>NOT(VLOOKUP($E14,$W$27:$AA$42,3,FALSE))</formula>
    </cfRule>
  </conditionalFormatting>
  <conditionalFormatting sqref="I14:I42">
    <cfRule type="expression" dxfId="604" priority="2">
      <formula>NOT(VLOOKUP($E14,$W$27:$AA$42,4,FALSE))</formula>
    </cfRule>
  </conditionalFormatting>
  <conditionalFormatting sqref="J14:J42">
    <cfRule type="expression" dxfId="603" priority="1">
      <formula>NOT(VLOOKUP($E14,$W$27:$AA$42,5,FALSE))</formula>
    </cfRule>
  </conditionalFormatting>
  <dataValidations count="6">
    <dataValidation type="list" allowBlank="1" showInputMessage="1" sqref="F14:F42" xr:uid="{00000000-0002-0000-0F00-000000000000}">
      <formula1>$AB$27:$AB$34</formula1>
    </dataValidation>
    <dataValidation type="list" allowBlank="1" errorTitle="Invalid Bridging Type" error="You MUST use a bridging type provided in the list." sqref="E14:E42" xr:uid="{00000000-0002-0000-0F00-000001000000}">
      <formula1>OFFSET($W$27,0,0,$W$25)</formula1>
    </dataValidation>
    <dataValidation type="list" allowBlank="1" showInputMessage="1" sqref="I7:L7" xr:uid="{00000000-0002-0000-0F00-000002000000}">
      <formula1>masterFinishList</formula1>
    </dataValidation>
    <dataValidation type="whole" operator="greaterThanOrEqual" allowBlank="1" showErrorMessage="1" errorTitle="Dimensional Error" error="&quot;Feet&quot; can only be whole numbers." sqref="K14:K42" xr:uid="{00000000-0002-0000-0F00-000003000000}">
      <formula1>0</formula1>
    </dataValidation>
    <dataValidation type="decimal" allowBlank="1" showInputMessage="1" showErrorMessage="1" errorTitle="Dimensional Error" error="&quot;Inches&quot; must be a number from 0 to 11.875." sqref="L14:L42" xr:uid="{00000000-0002-0000-0F00-000004000000}">
      <formula1>0</formula1>
      <formula2>11.875</formula2>
    </dataValidation>
    <dataValidation type="whole" operator="greaterThan" allowBlank="1" showInputMessage="1" showErrorMessage="1" errorTitle="Quantity Error" error="Value must be an integer greater than -1000." sqref="C14:C42" xr:uid="{D2070425-B529-4ABF-B007-17C00EE0C3A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A1:BC182"/>
  <sheetViews>
    <sheetView showGridLines="0" zoomScaleNormal="100" zoomScaleSheetLayoutView="75" workbookViewId="0">
      <selection activeCell="A27" sqref="A27"/>
    </sheetView>
  </sheetViews>
  <sheetFormatPr defaultColWidth="3.7109375" defaultRowHeight="12" customHeight="1" x14ac:dyDescent="0.2"/>
  <cols>
    <col min="1" max="1" width="3" style="1" customWidth="1"/>
    <col min="2" max="27" width="3.7109375" style="1" customWidth="1"/>
    <col min="28" max="28" width="3" style="1" customWidth="1"/>
    <col min="29" max="29" width="3.7109375" style="1" customWidth="1"/>
    <col min="30" max="36" width="1.7109375" style="1" customWidth="1"/>
    <col min="37" max="37" width="6.7109375" style="1" customWidth="1"/>
    <col min="38" max="40" width="6.7109375" style="49" hidden="1" customWidth="1"/>
    <col min="41" max="41" width="8.7109375" style="49" hidden="1" customWidth="1"/>
    <col min="42" max="42" width="10.28515625" style="49" hidden="1" customWidth="1"/>
    <col min="43" max="54" width="6.7109375" style="49" hidden="1" customWidth="1"/>
    <col min="55" max="55" width="6.7109375" style="1" customWidth="1"/>
    <col min="56" max="16384" width="3.7109375" style="1"/>
  </cols>
  <sheetData>
    <row r="1" spans="1:55" ht="15" customHeight="1" thickBot="1" x14ac:dyDescent="0.3">
      <c r="A1"/>
      <c r="B1"/>
      <c r="C1"/>
      <c r="D1"/>
      <c r="E1"/>
      <c r="F1" s="39"/>
      <c r="G1"/>
      <c r="H1"/>
      <c r="I1"/>
      <c r="J1"/>
      <c r="K1" s="38"/>
      <c r="L1"/>
      <c r="M1"/>
      <c r="N1" s="2620" t="str">
        <f>IF(ISBLANK(AL1),"",VLOOKUP(AL1,'Job Info.'!X:AA,4,FALSE))</f>
        <v>Master</v>
      </c>
      <c r="O1" s="2620"/>
      <c r="P1" s="2620"/>
      <c r="Q1" s="1947"/>
      <c r="R1" s="1947"/>
      <c r="S1"/>
      <c r="T1"/>
      <c r="U1" s="47" t="s">
        <v>95</v>
      </c>
      <c r="V1"/>
      <c r="W1" s="38"/>
      <c r="X1" s="2587" t="str">
        <f ca="1">'Job Info.'!D12</f>
        <v>775-428-0600</v>
      </c>
      <c r="Y1" s="2587"/>
      <c r="Z1" s="2587"/>
      <c r="AA1" s="2587"/>
      <c r="AB1" s="2587"/>
      <c r="AC1" s="48"/>
      <c r="AD1" s="48"/>
      <c r="AE1" s="48"/>
      <c r="AF1" s="48"/>
      <c r="AG1" s="48"/>
      <c r="AH1" s="48"/>
      <c r="AI1" s="48"/>
      <c r="AJ1" s="48"/>
      <c r="AK1" s="81" t="s">
        <v>64</v>
      </c>
      <c r="AL1" s="49" t="str">
        <f>'Job Info.'!Q30</f>
        <v>M</v>
      </c>
      <c r="AM1" s="49" t="b">
        <f>'Job Info.'!Q32</f>
        <v>0</v>
      </c>
      <c r="AN1" s="49" t="s">
        <v>424</v>
      </c>
      <c r="AQ1" s="2591" t="s">
        <v>444</v>
      </c>
      <c r="AR1" s="2592"/>
      <c r="AS1" s="2592"/>
      <c r="AT1" s="2592"/>
      <c r="AU1" s="2592"/>
      <c r="AV1" s="2592"/>
      <c r="AW1" s="2592" t="s">
        <v>445</v>
      </c>
      <c r="AX1" s="2592"/>
      <c r="AY1" s="2592"/>
      <c r="AZ1" s="2592"/>
      <c r="BA1" s="2592"/>
      <c r="BB1" s="2593"/>
      <c r="BC1" s="80" t="s">
        <v>65</v>
      </c>
    </row>
    <row r="2" spans="1:55" ht="15" customHeight="1" thickTop="1" thickBot="1" x14ac:dyDescent="0.25">
      <c r="A2"/>
      <c r="B2"/>
      <c r="C2"/>
      <c r="D2"/>
      <c r="E2"/>
      <c r="F2" s="39"/>
      <c r="G2"/>
      <c r="H2"/>
      <c r="I2"/>
      <c r="J2"/>
      <c r="K2" s="38"/>
      <c r="L2"/>
      <c r="M2"/>
      <c r="N2" s="2609" t="str">
        <f>IF(ISBLANK(AL1),"",IF(VLOOKUP(AL1,'Job Info.'!$X:$Z,2,FALSE),"Released for Fabrication",""))</f>
        <v/>
      </c>
      <c r="O2" s="2610"/>
      <c r="P2" s="2610"/>
      <c r="Q2" s="2611"/>
      <c r="R2" s="2612"/>
      <c r="S2"/>
      <c r="T2"/>
      <c r="U2" s="47" t="s">
        <v>96</v>
      </c>
      <c r="V2"/>
      <c r="W2" s="38"/>
      <c r="X2" s="2587" t="str">
        <f ca="1">'Job Info.'!D13</f>
        <v>775-867-2140</v>
      </c>
      <c r="Y2" s="2587"/>
      <c r="Z2" s="2587"/>
      <c r="AA2" s="2587"/>
      <c r="AB2" s="2587"/>
      <c r="AC2" s="48"/>
      <c r="AD2" s="48"/>
      <c r="AE2" s="48"/>
      <c r="AF2" s="48"/>
      <c r="AG2" s="48"/>
      <c r="AH2" s="48"/>
      <c r="AI2" s="48"/>
      <c r="AJ2" s="48"/>
      <c r="AN2" s="49" t="s">
        <v>454</v>
      </c>
      <c r="AP2" s="53" t="s">
        <v>434</v>
      </c>
      <c r="AQ2" s="53" t="s">
        <v>73</v>
      </c>
      <c r="AR2" s="53" t="s">
        <v>74</v>
      </c>
      <c r="AS2" s="53" t="s">
        <v>438</v>
      </c>
      <c r="AT2" s="53" t="s">
        <v>75</v>
      </c>
      <c r="AU2" s="53" t="s">
        <v>76</v>
      </c>
      <c r="AV2" s="72" t="s">
        <v>177</v>
      </c>
      <c r="AW2" s="73" t="s">
        <v>73</v>
      </c>
      <c r="AX2" s="53" t="s">
        <v>74</v>
      </c>
      <c r="AY2" s="53" t="s">
        <v>438</v>
      </c>
      <c r="AZ2" s="53" t="s">
        <v>75</v>
      </c>
      <c r="BA2" s="53" t="s">
        <v>76</v>
      </c>
      <c r="BB2" s="53" t="s">
        <v>177</v>
      </c>
    </row>
    <row r="3" spans="1:55" ht="15" customHeight="1" thickTop="1" x14ac:dyDescent="0.2">
      <c r="A3"/>
      <c r="B3"/>
      <c r="C3"/>
      <c r="D3"/>
      <c r="E3"/>
      <c r="F3" s="39"/>
      <c r="G3"/>
      <c r="H3"/>
      <c r="I3"/>
      <c r="J3"/>
      <c r="K3" s="38"/>
      <c r="L3"/>
      <c r="M3"/>
      <c r="N3" s="2613"/>
      <c r="O3" s="2614"/>
      <c r="P3" s="2614"/>
      <c r="Q3" s="1884"/>
      <c r="R3" s="2615"/>
      <c r="S3"/>
      <c r="T3"/>
      <c r="U3" s="47" t="s">
        <v>98</v>
      </c>
      <c r="V3"/>
      <c r="W3" s="38"/>
      <c r="X3" s="2587" t="str">
        <f ca="1">'Job Info.'!D14</f>
        <v>775-867-2169</v>
      </c>
      <c r="Y3" s="2587"/>
      <c r="Z3" s="2587"/>
      <c r="AA3" s="2587"/>
      <c r="AB3" s="2587"/>
      <c r="AC3" s="48"/>
      <c r="AD3" s="48"/>
      <c r="AE3" s="48"/>
      <c r="AF3" s="48"/>
      <c r="AJ3" s="48"/>
      <c r="AN3" s="49" t="s">
        <v>430</v>
      </c>
      <c r="AP3" s="55" t="s">
        <v>1392</v>
      </c>
      <c r="AQ3" s="55"/>
      <c r="AR3" s="55"/>
      <c r="AS3" s="55"/>
      <c r="AT3" s="55"/>
      <c r="AU3" s="55"/>
      <c r="AV3" s="74">
        <v>12</v>
      </c>
      <c r="AW3" s="75"/>
      <c r="AX3" s="55"/>
      <c r="AY3" s="55"/>
      <c r="AZ3" s="55"/>
      <c r="BA3" s="55"/>
      <c r="BB3" s="55"/>
    </row>
    <row r="4" spans="1:55" ht="15" customHeight="1" thickBot="1" x14ac:dyDescent="0.3">
      <c r="A4"/>
      <c r="B4"/>
      <c r="C4"/>
      <c r="D4"/>
      <c r="E4"/>
      <c r="F4" s="39"/>
      <c r="G4"/>
      <c r="H4"/>
      <c r="I4"/>
      <c r="J4"/>
      <c r="K4" s="38"/>
      <c r="L4"/>
      <c r="M4"/>
      <c r="N4" s="2616" t="str">
        <f>IF(ISBLANK(AL1),"",IF(VLOOKUP(AL1,'Job Info.'!$X:$Z,2,FALSE),VLOOKUP(AL1,'Job Info.'!$X:$Z,3,FALSE),""))</f>
        <v/>
      </c>
      <c r="O4" s="2617"/>
      <c r="P4" s="2617"/>
      <c r="Q4" s="2618"/>
      <c r="R4" s="2619"/>
      <c r="S4"/>
      <c r="T4"/>
      <c r="U4" s="47" t="s">
        <v>97</v>
      </c>
      <c r="V4"/>
      <c r="W4" s="38"/>
      <c r="X4" s="2587" t="str">
        <f ca="1">'Job Info.'!D15</f>
        <v>775-867-2060</v>
      </c>
      <c r="Y4" s="2587"/>
      <c r="Z4" s="2587"/>
      <c r="AA4" s="2587"/>
      <c r="AB4" s="2587"/>
      <c r="AC4" s="48"/>
      <c r="AD4" s="48"/>
      <c r="AE4" s="48"/>
      <c r="AF4" s="48"/>
      <c r="AJ4" s="48"/>
      <c r="AN4" s="49" t="s">
        <v>435</v>
      </c>
      <c r="AP4" s="54">
        <v>1</v>
      </c>
      <c r="AQ4" s="54"/>
      <c r="AR4" s="54">
        <v>180</v>
      </c>
      <c r="AS4" s="54">
        <v>16</v>
      </c>
      <c r="AT4" s="54"/>
      <c r="AU4" s="54"/>
      <c r="AV4" s="76">
        <v>691</v>
      </c>
      <c r="AW4" s="77"/>
      <c r="AX4" s="54"/>
      <c r="AY4" s="54"/>
      <c r="AZ4" s="54"/>
      <c r="BA4" s="54"/>
      <c r="BB4" s="54"/>
    </row>
    <row r="5" spans="1:55" ht="12.95" customHeight="1" thickTop="1" x14ac:dyDescent="0.2">
      <c r="A5" s="1849" t="str">
        <f ca="1">'Job Info.'!D11</f>
        <v>8200 Woolery Way | Fallon, NV 89406 | www.newmill.com</v>
      </c>
      <c r="B5" s="1849"/>
      <c r="C5" s="1849"/>
      <c r="D5" s="1849"/>
      <c r="E5" s="1849"/>
      <c r="F5" s="1849"/>
      <c r="G5" s="1849"/>
      <c r="H5" s="1849"/>
      <c r="I5" s="1849"/>
      <c r="J5" s="1849"/>
      <c r="K5" s="1849"/>
      <c r="L5" s="1849"/>
      <c r="M5" s="1849"/>
      <c r="N5" s="1849"/>
      <c r="O5" s="1849"/>
      <c r="P5"/>
      <c r="Q5"/>
      <c r="R5" s="39"/>
      <c r="S5"/>
      <c r="T5"/>
      <c r="U5"/>
      <c r="V5"/>
      <c r="W5"/>
      <c r="X5" s="460" t="s">
        <v>421</v>
      </c>
      <c r="Y5" s="2601">
        <v>45048.61509259259</v>
      </c>
      <c r="Z5" s="2602"/>
      <c r="AA5" s="2602"/>
      <c r="AB5"/>
      <c r="AC5" s="48"/>
      <c r="AD5" s="48"/>
      <c r="AE5" s="48"/>
      <c r="AF5" s="48"/>
      <c r="AP5" s="54">
        <v>2</v>
      </c>
      <c r="AQ5" s="54"/>
      <c r="AR5" s="54">
        <v>180</v>
      </c>
      <c r="AS5" s="54">
        <v>16</v>
      </c>
      <c r="AT5" s="54"/>
      <c r="AU5" s="54"/>
      <c r="AV5" s="76">
        <v>700</v>
      </c>
      <c r="AW5" s="77"/>
      <c r="AX5" s="54"/>
      <c r="AY5" s="54"/>
      <c r="AZ5" s="54"/>
      <c r="BA5" s="54"/>
      <c r="BB5" s="54"/>
    </row>
    <row r="6" spans="1:55" ht="12.95" customHeight="1" x14ac:dyDescent="0.2">
      <c r="A6"/>
      <c r="B6"/>
      <c r="C6"/>
      <c r="D6"/>
      <c r="E6"/>
      <c r="F6" s="39"/>
      <c r="G6"/>
      <c r="H6"/>
      <c r="I6"/>
      <c r="J6"/>
      <c r="K6"/>
      <c r="L6"/>
      <c r="M6"/>
      <c r="N6"/>
      <c r="O6" s="94" t="s">
        <v>422</v>
      </c>
      <c r="P6"/>
      <c r="Q6"/>
      <c r="R6"/>
      <c r="S6"/>
      <c r="T6"/>
      <c r="U6"/>
      <c r="V6"/>
      <c r="W6"/>
      <c r="X6" s="555" t="s">
        <v>423</v>
      </c>
      <c r="Y6" s="2603"/>
      <c r="Z6" s="2604"/>
      <c r="AA6" s="2604"/>
      <c r="AB6"/>
      <c r="AC6" s="48"/>
      <c r="AD6" s="48"/>
      <c r="AE6" s="48"/>
      <c r="AF6" s="48"/>
      <c r="AP6" s="54">
        <v>3</v>
      </c>
      <c r="AQ6" s="54"/>
      <c r="AR6" s="54">
        <v>175</v>
      </c>
      <c r="AS6" s="54">
        <v>16</v>
      </c>
      <c r="AT6" s="54"/>
      <c r="AU6" s="54"/>
      <c r="AV6" s="76">
        <v>662</v>
      </c>
      <c r="AW6" s="77"/>
      <c r="AX6" s="54"/>
      <c r="AY6" s="54"/>
      <c r="AZ6" s="54"/>
      <c r="BA6" s="54"/>
      <c r="BB6" s="54"/>
    </row>
    <row r="7" spans="1:55" ht="12.95" customHeight="1" x14ac:dyDescent="0.25">
      <c r="A7" s="556" t="s">
        <v>436</v>
      </c>
      <c r="B7"/>
      <c r="C7"/>
      <c r="D7"/>
      <c r="E7"/>
      <c r="F7" s="39"/>
      <c r="G7"/>
      <c r="H7"/>
      <c r="I7"/>
      <c r="J7"/>
      <c r="K7"/>
      <c r="L7" s="2621" t="s">
        <v>424</v>
      </c>
      <c r="M7" s="2622"/>
      <c r="N7" s="2622"/>
      <c r="O7" s="2622"/>
      <c r="P7" s="2622"/>
      <c r="Q7" s="2622"/>
      <c r="R7" s="2622"/>
      <c r="S7"/>
      <c r="T7"/>
      <c r="U7"/>
      <c r="V7"/>
      <c r="W7"/>
      <c r="X7" s="555" t="s">
        <v>425</v>
      </c>
      <c r="Y7" s="2605"/>
      <c r="Z7" s="2606"/>
      <c r="AA7" s="2606"/>
      <c r="AB7"/>
      <c r="AC7" s="48"/>
      <c r="AD7" s="48"/>
      <c r="AE7" s="48"/>
      <c r="AF7" s="48"/>
      <c r="AG7" s="48"/>
      <c r="AN7" s="49" t="s">
        <v>433</v>
      </c>
      <c r="AP7" s="54"/>
      <c r="AQ7" s="54"/>
      <c r="AR7" s="54"/>
      <c r="AS7" s="54"/>
      <c r="AT7" s="54"/>
      <c r="AU7" s="54"/>
      <c r="AV7" s="76"/>
      <c r="AW7" s="77"/>
      <c r="AX7" s="54"/>
      <c r="AY7" s="54"/>
      <c r="AZ7" s="54"/>
      <c r="BA7" s="54"/>
      <c r="BB7" s="54"/>
    </row>
    <row r="8" spans="1:55" ht="12.95" customHeight="1" x14ac:dyDescent="0.2">
      <c r="A8"/>
      <c r="B8"/>
      <c r="C8"/>
      <c r="D8"/>
      <c r="E8"/>
      <c r="F8" s="39"/>
      <c r="G8"/>
      <c r="H8"/>
      <c r="I8"/>
      <c r="J8"/>
      <c r="K8"/>
      <c r="L8"/>
      <c r="M8"/>
      <c r="N8"/>
      <c r="O8" s="95" t="s">
        <v>426</v>
      </c>
      <c r="P8"/>
      <c r="Q8"/>
      <c r="R8"/>
      <c r="S8"/>
      <c r="T8"/>
      <c r="U8"/>
      <c r="V8"/>
      <c r="W8"/>
      <c r="X8" s="555" t="s">
        <v>427</v>
      </c>
      <c r="Y8" s="2607"/>
      <c r="Z8" s="2608"/>
      <c r="AA8" s="2608"/>
      <c r="AB8"/>
      <c r="AC8" s="48"/>
      <c r="AD8" s="48"/>
      <c r="AE8" s="48"/>
      <c r="AF8" s="48"/>
      <c r="AG8" s="48"/>
      <c r="AN8" s="49" t="s">
        <v>432</v>
      </c>
      <c r="AP8" s="54"/>
      <c r="AQ8" s="54"/>
      <c r="AR8" s="54"/>
      <c r="AS8" s="54"/>
      <c r="AT8" s="54"/>
      <c r="AU8" s="54"/>
      <c r="AV8" s="76"/>
      <c r="AW8" s="77"/>
      <c r="AX8" s="54"/>
      <c r="AY8" s="54"/>
      <c r="AZ8" s="54"/>
      <c r="BA8" s="54"/>
      <c r="BB8" s="54"/>
    </row>
    <row r="9" spans="1:55" ht="12.95" customHeight="1" x14ac:dyDescent="0.2">
      <c r="A9" s="1917" t="s">
        <v>1</v>
      </c>
      <c r="B9" s="2624"/>
      <c r="C9" s="2624"/>
      <c r="D9" s="2595" t="str">
        <f>IF(ISBLANK('Job Info.'!D3),"",'Job Info.'!D3)</f>
        <v>MINDEN UPS BLDG 1</v>
      </c>
      <c r="E9" s="2595"/>
      <c r="F9" s="2595"/>
      <c r="G9" s="2595"/>
      <c r="H9" s="2595"/>
      <c r="I9" s="2595"/>
      <c r="J9" s="2595"/>
      <c r="K9" s="2595"/>
      <c r="L9" s="2595"/>
      <c r="M9" s="2595"/>
      <c r="N9" s="2595"/>
      <c r="O9" s="2595"/>
      <c r="P9" s="2623"/>
      <c r="Q9" s="553"/>
      <c r="R9" s="458" t="s">
        <v>2</v>
      </c>
      <c r="S9" s="2594" t="str">
        <f>IF(ISBLANK('Job Info.'!D5),"",'Job Info.'!D5)</f>
        <v>NN22-0071</v>
      </c>
      <c r="T9" s="2595"/>
      <c r="U9" s="2595"/>
      <c r="V9" s="2595"/>
      <c r="W9" s="2595"/>
      <c r="X9" s="96"/>
      <c r="Y9" s="96"/>
      <c r="Z9" s="96"/>
      <c r="AA9" s="96"/>
      <c r="AB9" s="97"/>
      <c r="AC9" s="48"/>
      <c r="AD9" s="48"/>
      <c r="AE9" s="48"/>
      <c r="AF9" s="48"/>
      <c r="AG9" s="48"/>
      <c r="AH9" s="48"/>
      <c r="AI9" s="48"/>
      <c r="AJ9" s="48"/>
      <c r="AN9" s="49" t="s">
        <v>431</v>
      </c>
      <c r="AP9" s="54"/>
      <c r="AQ9" s="54"/>
      <c r="AR9" s="54"/>
      <c r="AS9" s="54"/>
      <c r="AT9" s="54"/>
      <c r="AU9" s="54"/>
      <c r="AV9" s="76"/>
      <c r="AW9" s="77"/>
      <c r="AX9" s="54"/>
      <c r="AY9" s="54"/>
      <c r="AZ9" s="54"/>
      <c r="BA9" s="54"/>
      <c r="BB9" s="54"/>
    </row>
    <row r="10" spans="1:55" ht="12.95" customHeight="1" x14ac:dyDescent="0.2">
      <c r="A10" s="1917" t="s">
        <v>3</v>
      </c>
      <c r="B10" s="2624"/>
      <c r="C10" s="2624"/>
      <c r="D10" s="2595" t="str">
        <f>IF(ISBLANK('Job Info.'!D4),"",'Job Info.'!D4)</f>
        <v>MINDEN, NV</v>
      </c>
      <c r="E10" s="2595"/>
      <c r="F10" s="2595"/>
      <c r="G10" s="2595"/>
      <c r="H10" s="2595"/>
      <c r="I10" s="2595"/>
      <c r="J10" s="2595"/>
      <c r="K10" s="2595"/>
      <c r="L10" s="2595"/>
      <c r="M10" s="2595"/>
      <c r="N10" s="2595"/>
      <c r="O10" s="2595"/>
      <c r="P10" s="2623"/>
      <c r="Q10" s="553"/>
      <c r="R10" s="458" t="s">
        <v>428</v>
      </c>
      <c r="S10" s="2596" t="str">
        <f>IF(ISBLANK('Job Info.'!D6),"",'Job Info.'!D6)</f>
        <v>JMM</v>
      </c>
      <c r="T10" s="2595"/>
      <c r="U10" s="96"/>
      <c r="V10" s="554"/>
      <c r="W10" s="458" t="s">
        <v>429</v>
      </c>
      <c r="X10" s="2595" t="str">
        <f>IF(ISBLANK('Job Info.'!D7),"",'Job Info.'!D7)</f>
        <v>NR</v>
      </c>
      <c r="Y10" s="2595"/>
      <c r="Z10" s="96"/>
      <c r="AA10" s="96"/>
      <c r="AB10" s="97"/>
      <c r="AC10" s="48"/>
      <c r="AD10" s="48"/>
      <c r="AE10" s="48"/>
      <c r="AF10" s="48"/>
      <c r="AG10" s="48"/>
      <c r="AH10" s="48"/>
      <c r="AI10" s="48"/>
      <c r="AJ10" s="48"/>
      <c r="AP10" s="54"/>
      <c r="AQ10" s="54"/>
      <c r="AR10" s="54"/>
      <c r="AS10" s="54"/>
      <c r="AT10" s="54"/>
      <c r="AU10" s="54"/>
      <c r="AV10" s="76"/>
      <c r="AW10" s="77"/>
      <c r="AX10" s="54"/>
      <c r="AY10" s="54"/>
      <c r="AZ10" s="54"/>
      <c r="BA10" s="54"/>
      <c r="BB10" s="54"/>
    </row>
    <row r="11" spans="1:55" ht="5.0999999999999996" customHeight="1" x14ac:dyDescent="0.2">
      <c r="A11" s="99"/>
      <c r="B11" s="99"/>
      <c r="C11" s="99"/>
      <c r="D11" s="99"/>
      <c r="E11" s="99"/>
      <c r="F11" s="39"/>
      <c r="G11" s="57"/>
      <c r="H11" s="57"/>
      <c r="I11" s="57"/>
      <c r="J11" s="57"/>
      <c r="K11" s="56"/>
      <c r="L11" s="57"/>
      <c r="M11" s="57"/>
      <c r="N11" s="57"/>
      <c r="O11" s="57"/>
      <c r="P11" s="57"/>
      <c r="Q11" s="57"/>
      <c r="R11" s="39"/>
      <c r="S11" s="57"/>
      <c r="T11" s="57"/>
      <c r="U11" s="57"/>
      <c r="V11" s="57"/>
      <c r="W11" s="56"/>
      <c r="X11" s="57"/>
      <c r="Y11" s="57"/>
      <c r="Z11" s="57"/>
      <c r="AA11" s="57"/>
      <c r="AB11" s="57"/>
      <c r="AC11" s="48"/>
      <c r="AD11" s="48"/>
      <c r="AE11" s="48"/>
      <c r="AF11" s="48"/>
      <c r="AG11" s="48"/>
      <c r="AH11" s="48"/>
      <c r="AI11" s="48"/>
      <c r="AJ11" s="48"/>
      <c r="AP11" s="54"/>
      <c r="AQ11" s="54"/>
      <c r="AR11" s="54"/>
      <c r="AS11" s="54"/>
      <c r="AT11" s="54"/>
      <c r="AU11" s="54"/>
      <c r="AV11" s="76"/>
      <c r="AW11" s="77"/>
      <c r="AX11" s="54"/>
      <c r="AY11" s="54"/>
      <c r="AZ11" s="54"/>
      <c r="BA11" s="54"/>
      <c r="BB11" s="54"/>
    </row>
    <row r="12" spans="1:55" ht="12.95" customHeight="1" x14ac:dyDescent="0.2">
      <c r="A12" s="56"/>
      <c r="B12" s="56"/>
      <c r="C12" s="2625" t="s">
        <v>446</v>
      </c>
      <c r="D12" s="2625"/>
      <c r="E12" s="2625" t="s">
        <v>440</v>
      </c>
      <c r="F12" s="2625"/>
      <c r="G12" s="22" t="s">
        <v>447</v>
      </c>
      <c r="H12" s="56"/>
      <c r="I12" s="56"/>
      <c r="J12" s="56"/>
      <c r="K12" s="56"/>
      <c r="L12" s="1947" t="s">
        <v>802</v>
      </c>
      <c r="M12" s="1947"/>
      <c r="N12" s="1947"/>
      <c r="O12" s="1947"/>
      <c r="P12" s="1947"/>
      <c r="Q12" s="1947"/>
      <c r="R12" s="1947"/>
      <c r="S12" s="1947"/>
      <c r="T12" s="1947"/>
      <c r="U12" s="1947"/>
      <c r="V12" s="1947"/>
      <c r="W12" s="1947"/>
      <c r="X12" s="1947"/>
      <c r="Y12" s="1947"/>
      <c r="Z12" s="1947"/>
      <c r="AA12" s="1947"/>
      <c r="AB12" s="56"/>
      <c r="AC12" s="48"/>
      <c r="AD12" s="48"/>
      <c r="AE12" s="48"/>
      <c r="AP12" s="54"/>
      <c r="AQ12" s="54"/>
      <c r="AR12" s="54"/>
      <c r="AS12" s="54"/>
      <c r="AT12" s="54"/>
      <c r="AU12" s="54"/>
      <c r="AV12" s="76"/>
      <c r="AW12" s="77"/>
      <c r="AX12" s="54"/>
      <c r="AY12" s="54"/>
      <c r="AZ12" s="54"/>
      <c r="BA12" s="54"/>
      <c r="BB12" s="54"/>
    </row>
    <row r="13" spans="1:55" ht="12.95" customHeight="1" x14ac:dyDescent="0.2">
      <c r="A13" s="2597" t="s">
        <v>73</v>
      </c>
      <c r="B13" s="2597"/>
      <c r="C13" s="2599"/>
      <c r="D13" s="2599"/>
      <c r="E13" s="2555">
        <f>AO20</f>
        <v>0</v>
      </c>
      <c r="F13" s="2555"/>
      <c r="G13" s="2578">
        <f>E13-C13</f>
        <v>0</v>
      </c>
      <c r="H13" s="2579"/>
      <c r="I13" s="2579"/>
      <c r="J13" s="2579"/>
      <c r="K13" s="40"/>
      <c r="L13" s="2588"/>
      <c r="M13" s="2588"/>
      <c r="N13" s="2588"/>
      <c r="O13" s="2588"/>
      <c r="P13" s="2588"/>
      <c r="Q13" s="2588"/>
      <c r="R13" s="2588"/>
      <c r="S13" s="2588"/>
      <c r="T13" s="2588"/>
      <c r="U13" s="2588"/>
      <c r="V13" s="2588"/>
      <c r="W13" s="2588"/>
      <c r="X13" s="2588"/>
      <c r="Y13" s="2588"/>
      <c r="Z13" s="2588"/>
      <c r="AA13" s="2588"/>
      <c r="AB13" s="40"/>
      <c r="AC13" s="48"/>
      <c r="AD13" s="48"/>
      <c r="AE13" s="48"/>
      <c r="AN13" s="91" t="s">
        <v>457</v>
      </c>
      <c r="AO13" s="92">
        <v>0</v>
      </c>
      <c r="AP13" s="54"/>
      <c r="AQ13" s="54"/>
      <c r="AR13" s="54"/>
      <c r="AS13" s="54"/>
      <c r="AT13" s="54"/>
      <c r="AU13" s="54"/>
      <c r="AV13" s="76"/>
      <c r="AW13" s="77"/>
      <c r="AX13" s="54"/>
      <c r="AY13" s="54"/>
      <c r="AZ13" s="54"/>
      <c r="BA13" s="54"/>
      <c r="BB13" s="54"/>
    </row>
    <row r="14" spans="1:55" ht="12.95" customHeight="1" x14ac:dyDescent="0.2">
      <c r="A14" s="2597" t="s">
        <v>437</v>
      </c>
      <c r="B14" s="2597"/>
      <c r="C14" s="2599"/>
      <c r="D14" s="2599"/>
      <c r="E14" s="2555">
        <f>AO21</f>
        <v>535</v>
      </c>
      <c r="F14" s="2555"/>
      <c r="G14" s="2578">
        <f>E14-C14</f>
        <v>535</v>
      </c>
      <c r="H14" s="2579"/>
      <c r="I14" s="2579"/>
      <c r="J14" s="2579"/>
      <c r="K14" s="58"/>
      <c r="L14" s="2588"/>
      <c r="M14" s="2588"/>
      <c r="N14" s="2588"/>
      <c r="O14" s="2588"/>
      <c r="P14" s="2588"/>
      <c r="Q14" s="2588"/>
      <c r="R14" s="2588"/>
      <c r="S14" s="2588"/>
      <c r="T14" s="2588"/>
      <c r="U14" s="2588"/>
      <c r="V14" s="2588"/>
      <c r="W14" s="2588"/>
      <c r="X14" s="2588"/>
      <c r="Y14" s="2588"/>
      <c r="Z14" s="2588"/>
      <c r="AA14" s="2588"/>
      <c r="AB14" s="58"/>
      <c r="AC14" s="48"/>
      <c r="AD14" s="48"/>
      <c r="AE14" s="48"/>
      <c r="AN14" s="91" t="s">
        <v>458</v>
      </c>
      <c r="AO14" s="92">
        <v>535</v>
      </c>
      <c r="AP14" s="54"/>
      <c r="AQ14" s="54"/>
      <c r="AR14" s="54"/>
      <c r="AS14" s="54"/>
      <c r="AT14" s="54"/>
      <c r="AU14" s="54"/>
      <c r="AV14" s="76"/>
      <c r="AW14" s="77"/>
      <c r="AX14" s="54"/>
      <c r="AY14" s="54"/>
      <c r="AZ14" s="54"/>
      <c r="BA14" s="54"/>
      <c r="BB14" s="54"/>
    </row>
    <row r="15" spans="1:55" ht="12.95" customHeight="1" x14ac:dyDescent="0.25">
      <c r="A15" s="2597" t="s">
        <v>438</v>
      </c>
      <c r="B15" s="2597"/>
      <c r="C15" s="2599"/>
      <c r="D15" s="2599"/>
      <c r="E15" s="2555">
        <f>AO22</f>
        <v>48</v>
      </c>
      <c r="F15" s="2555"/>
      <c r="G15" s="2578">
        <f>E15-C15</f>
        <v>48</v>
      </c>
      <c r="H15" s="2579"/>
      <c r="I15" s="2579"/>
      <c r="J15" s="2579"/>
      <c r="K15" s="46"/>
      <c r="L15" s="2588"/>
      <c r="M15" s="2588"/>
      <c r="N15" s="2588"/>
      <c r="O15" s="2588"/>
      <c r="P15" s="2588"/>
      <c r="Q15" s="2588"/>
      <c r="R15" s="2588"/>
      <c r="S15" s="2588"/>
      <c r="T15" s="2588"/>
      <c r="U15" s="2588"/>
      <c r="V15" s="2588"/>
      <c r="W15" s="2588"/>
      <c r="X15" s="2588"/>
      <c r="Y15" s="2588"/>
      <c r="Z15" s="2588"/>
      <c r="AA15" s="2588"/>
      <c r="AB15" s="43"/>
      <c r="AC15" s="48"/>
      <c r="AD15" s="48"/>
      <c r="AE15" s="48"/>
      <c r="AN15" s="91" t="s">
        <v>459</v>
      </c>
      <c r="AO15" s="92">
        <v>48</v>
      </c>
      <c r="AP15" s="54"/>
      <c r="AQ15" s="54"/>
      <c r="AR15" s="54"/>
      <c r="AS15" s="54"/>
      <c r="AT15" s="54"/>
      <c r="AU15" s="54"/>
      <c r="AV15" s="76"/>
      <c r="AW15" s="77"/>
      <c r="AX15" s="54"/>
      <c r="AY15" s="54"/>
      <c r="AZ15" s="54"/>
      <c r="BA15" s="54"/>
      <c r="BB15" s="54"/>
    </row>
    <row r="16" spans="1:55" ht="12.95" customHeight="1" x14ac:dyDescent="0.25">
      <c r="A16" s="2598" t="s">
        <v>1007</v>
      </c>
      <c r="B16" s="2597"/>
      <c r="C16" s="2599"/>
      <c r="D16" s="2599"/>
      <c r="E16" s="2555">
        <f>AO23</f>
        <v>0</v>
      </c>
      <c r="F16" s="2555"/>
      <c r="G16" s="2578">
        <f>E16-C16</f>
        <v>0</v>
      </c>
      <c r="H16" s="2579"/>
      <c r="I16" s="2579"/>
      <c r="J16" s="2579"/>
      <c r="K16" s="46"/>
      <c r="L16" s="2588"/>
      <c r="M16" s="2588"/>
      <c r="N16" s="2588"/>
      <c r="O16" s="2588"/>
      <c r="P16" s="2588"/>
      <c r="Q16" s="2588"/>
      <c r="R16" s="2588"/>
      <c r="S16" s="2588"/>
      <c r="T16" s="2588"/>
      <c r="U16" s="2588"/>
      <c r="V16" s="2588"/>
      <c r="W16" s="2588"/>
      <c r="X16" s="2588"/>
      <c r="Y16" s="2588"/>
      <c r="Z16" s="2588"/>
      <c r="AA16" s="2588"/>
      <c r="AB16" s="43"/>
      <c r="AC16" s="48"/>
      <c r="AD16" s="48"/>
      <c r="AE16" s="48"/>
      <c r="AN16" s="91" t="s">
        <v>460</v>
      </c>
      <c r="AO16" s="92">
        <v>0</v>
      </c>
      <c r="AP16" s="54"/>
      <c r="AQ16" s="54"/>
      <c r="AR16" s="54"/>
      <c r="AS16" s="54"/>
      <c r="AT16" s="54"/>
      <c r="AU16" s="54"/>
      <c r="AV16" s="76"/>
      <c r="AW16" s="77"/>
      <c r="AX16" s="54"/>
      <c r="AY16" s="54"/>
      <c r="AZ16" s="54"/>
      <c r="BA16" s="54"/>
      <c r="BB16" s="54"/>
    </row>
    <row r="17" spans="1:54" ht="12.95" customHeight="1" x14ac:dyDescent="0.25">
      <c r="A17" s="2597" t="s">
        <v>439</v>
      </c>
      <c r="B17" s="2597"/>
      <c r="C17" s="2600"/>
      <c r="D17" s="2600"/>
      <c r="E17" s="2555">
        <f>AO24</f>
        <v>2065</v>
      </c>
      <c r="F17" s="2555"/>
      <c r="G17" s="39"/>
      <c r="H17" s="57"/>
      <c r="I17" s="45"/>
      <c r="J17" s="45"/>
      <c r="K17" s="46"/>
      <c r="L17" s="2588"/>
      <c r="M17" s="2588"/>
      <c r="N17" s="2588"/>
      <c r="O17" s="2588"/>
      <c r="P17" s="2588"/>
      <c r="Q17" s="2588"/>
      <c r="R17" s="2588"/>
      <c r="S17" s="2588"/>
      <c r="T17" s="2588"/>
      <c r="U17" s="2588"/>
      <c r="V17" s="2588"/>
      <c r="W17" s="2588"/>
      <c r="X17" s="2588"/>
      <c r="Y17" s="2588"/>
      <c r="Z17" s="2588"/>
      <c r="AA17" s="2588"/>
      <c r="AB17" s="43"/>
      <c r="AC17" s="48"/>
      <c r="AD17" s="48"/>
      <c r="AE17" s="48"/>
      <c r="AN17" s="91" t="s">
        <v>707</v>
      </c>
      <c r="AO17" s="92" t="b">
        <v>0</v>
      </c>
      <c r="AP17" s="54"/>
      <c r="AQ17" s="54"/>
      <c r="AR17" s="54"/>
      <c r="AS17" s="54"/>
      <c r="AT17" s="54"/>
      <c r="AU17" s="54"/>
      <c r="AV17" s="76"/>
      <c r="AW17" s="77"/>
      <c r="AX17" s="54"/>
      <c r="AY17" s="54"/>
      <c r="AZ17" s="54"/>
      <c r="BA17" s="54"/>
      <c r="BB17" s="54"/>
    </row>
    <row r="18" spans="1:54" ht="12.95" customHeight="1" x14ac:dyDescent="0.25">
      <c r="A18" s="41"/>
      <c r="B18" s="42"/>
      <c r="C18" s="2626">
        <f>SUM(C13:D16)</f>
        <v>0</v>
      </c>
      <c r="D18" s="2627"/>
      <c r="E18" s="78" t="s">
        <v>448</v>
      </c>
      <c r="F18" s="39"/>
      <c r="G18" s="44"/>
      <c r="H18" s="57"/>
      <c r="I18" s="45"/>
      <c r="J18" s="45"/>
      <c r="K18" s="46"/>
      <c r="L18" s="2588"/>
      <c r="M18" s="2588"/>
      <c r="N18" s="2588"/>
      <c r="O18" s="2588"/>
      <c r="P18" s="2588"/>
      <c r="Q18" s="2588"/>
      <c r="R18" s="2588"/>
      <c r="S18" s="2588"/>
      <c r="T18" s="2588"/>
      <c r="U18" s="2588"/>
      <c r="V18" s="2588"/>
      <c r="W18" s="2588"/>
      <c r="X18" s="2588"/>
      <c r="Y18" s="2588"/>
      <c r="Z18" s="2588"/>
      <c r="AA18" s="2588"/>
      <c r="AB18" s="43"/>
      <c r="AC18" s="48"/>
      <c r="AD18" s="48"/>
      <c r="AE18" s="48"/>
      <c r="AP18" s="54"/>
      <c r="AQ18" s="54"/>
      <c r="AR18" s="54"/>
      <c r="AS18" s="54"/>
      <c r="AT18" s="54"/>
      <c r="AU18" s="54"/>
      <c r="AV18" s="76"/>
      <c r="AW18" s="77"/>
      <c r="AX18" s="54"/>
      <c r="AY18" s="54"/>
      <c r="AZ18" s="54"/>
      <c r="BA18" s="54"/>
      <c r="BB18" s="54"/>
    </row>
    <row r="19" spans="1:54" ht="65.25" customHeight="1" thickBot="1" x14ac:dyDescent="0.3">
      <c r="A19"/>
      <c r="B19"/>
      <c r="C19" s="2628" t="str">
        <f>IF(NOT(AO17),"No Bridging Anchors Listed On BOM","")</f>
        <v>No Bridging Anchors Listed On BOM</v>
      </c>
      <c r="D19" s="2629"/>
      <c r="E19" s="2629"/>
      <c r="F19" s="2629"/>
      <c r="G19" s="2629"/>
      <c r="H19" s="557"/>
      <c r="I19"/>
      <c r="J19"/>
      <c r="K19" s="46"/>
      <c r="L19" s="2589"/>
      <c r="M19" s="2589"/>
      <c r="N19" s="2589"/>
      <c r="O19" s="2589"/>
      <c r="P19" s="2589"/>
      <c r="Q19" s="2589"/>
      <c r="R19" s="2589"/>
      <c r="S19" s="2589"/>
      <c r="T19" s="2589"/>
      <c r="U19" s="2589"/>
      <c r="V19" s="2589"/>
      <c r="W19" s="2589"/>
      <c r="X19" s="2589"/>
      <c r="Y19" s="2589"/>
      <c r="Z19" s="2589"/>
      <c r="AA19" s="2589"/>
      <c r="AB19" s="43"/>
      <c r="AC19" s="48"/>
      <c r="AD19" s="48"/>
      <c r="AE19" s="48"/>
      <c r="AF19" s="48"/>
      <c r="AG19" s="48"/>
      <c r="AH19" s="48"/>
      <c r="AI19" s="48"/>
      <c r="AJ19" s="48"/>
      <c r="AP19" s="54"/>
      <c r="AQ19" s="54"/>
      <c r="AR19" s="54"/>
      <c r="AS19" s="54"/>
      <c r="AT19" s="54"/>
      <c r="AU19" s="54"/>
      <c r="AV19" s="76"/>
      <c r="AW19" s="77"/>
      <c r="AX19" s="54"/>
      <c r="AY19" s="54"/>
      <c r="AZ19" s="54"/>
      <c r="BA19" s="54"/>
      <c r="BB19" s="54"/>
    </row>
    <row r="20" spans="1:54" ht="12.95" customHeight="1" thickTop="1" x14ac:dyDescent="0.25">
      <c r="A20" s="59"/>
      <c r="B20" s="60"/>
      <c r="C20" s="60"/>
      <c r="D20" s="61"/>
      <c r="E20" s="62"/>
      <c r="F20" s="63"/>
      <c r="G20" s="63"/>
      <c r="H20" s="64"/>
      <c r="I20" s="65"/>
      <c r="J20" s="65"/>
      <c r="K20" s="66"/>
      <c r="L20" s="67"/>
      <c r="M20" s="59"/>
      <c r="N20" s="60"/>
      <c r="O20" s="60"/>
      <c r="P20" s="61"/>
      <c r="Q20" s="62"/>
      <c r="R20" s="63"/>
      <c r="S20" s="63"/>
      <c r="T20" s="64"/>
      <c r="U20" s="64"/>
      <c r="V20" s="64"/>
      <c r="W20" s="66"/>
      <c r="X20" s="67"/>
      <c r="Y20" s="59"/>
      <c r="Z20" s="60"/>
      <c r="AA20" s="60"/>
      <c r="AB20" s="61"/>
      <c r="AC20" s="48"/>
      <c r="AD20" s="48"/>
      <c r="AE20" s="48"/>
      <c r="AF20" s="48"/>
      <c r="AG20" s="48"/>
      <c r="AH20" s="48"/>
      <c r="AI20" s="48"/>
      <c r="AJ20" s="48"/>
      <c r="AN20" s="231" t="s">
        <v>1184</v>
      </c>
      <c r="AO20" s="1281">
        <f>SUM(AQ:AQ)</f>
        <v>0</v>
      </c>
      <c r="AP20" s="54"/>
      <c r="AQ20" s="54"/>
      <c r="AR20" s="54"/>
      <c r="AS20" s="54"/>
      <c r="AT20" s="54"/>
      <c r="AU20" s="54"/>
      <c r="AV20" s="76"/>
      <c r="AW20" s="77"/>
      <c r="AX20" s="54"/>
      <c r="AY20" s="54"/>
      <c r="AZ20" s="54"/>
      <c r="BA20" s="54"/>
      <c r="BB20" s="54"/>
    </row>
    <row r="21" spans="1:54" ht="12.95" customHeight="1" x14ac:dyDescent="0.25">
      <c r="A21"/>
      <c r="B21" s="2590" t="s">
        <v>442</v>
      </c>
      <c r="C21" s="2590"/>
      <c r="D21" s="2590"/>
      <c r="E21" s="2590"/>
      <c r="F21" s="2590"/>
      <c r="G21" s="2590"/>
      <c r="H21" s="2590"/>
      <c r="I21" s="2590"/>
      <c r="J21" s="2590"/>
      <c r="K21" s="2590"/>
      <c r="L21" s="2590"/>
      <c r="M21" s="2590"/>
      <c r="N21" s="2590"/>
      <c r="O21" s="2590"/>
      <c r="P21" s="2590"/>
      <c r="Q21" s="2590"/>
      <c r="R21" s="2590"/>
      <c r="S21" s="2590"/>
      <c r="T21" s="2590"/>
      <c r="U21" s="2590"/>
      <c r="V21" s="2590"/>
      <c r="W21" s="2590"/>
      <c r="X21" s="2590"/>
      <c r="Y21" s="2590"/>
      <c r="Z21" s="2590"/>
      <c r="AA21" s="2590"/>
      <c r="AB21" s="43"/>
      <c r="AC21" s="48"/>
      <c r="AD21" s="48"/>
      <c r="AN21" s="231" t="s">
        <v>1185</v>
      </c>
      <c r="AO21" s="1281">
        <f>SUM(AR:AR)</f>
        <v>535</v>
      </c>
      <c r="AP21" s="54"/>
      <c r="AQ21" s="54"/>
      <c r="AR21" s="54"/>
      <c r="AS21" s="54"/>
      <c r="AT21" s="54"/>
      <c r="AU21" s="54"/>
      <c r="AV21" s="76"/>
      <c r="AW21" s="77"/>
      <c r="AX21" s="54"/>
      <c r="AY21" s="54"/>
      <c r="AZ21" s="54"/>
      <c r="BA21" s="54"/>
      <c r="BB21" s="54"/>
    </row>
    <row r="22" spans="1:54" ht="12.95" customHeight="1" thickBot="1" x14ac:dyDescent="0.25">
      <c r="A22"/>
      <c r="B22"/>
      <c r="C22"/>
      <c r="D22" s="100">
        <v>1</v>
      </c>
      <c r="E22" s="100"/>
      <c r="F22" s="100"/>
      <c r="G22" s="100"/>
      <c r="H22" s="100">
        <v>2</v>
      </c>
      <c r="I22" s="100"/>
      <c r="J22" s="100"/>
      <c r="K22" s="100"/>
      <c r="L22" s="100">
        <v>3</v>
      </c>
      <c r="M22" s="100"/>
      <c r="N22" s="100"/>
      <c r="O22" s="100"/>
      <c r="P22" s="100">
        <v>4</v>
      </c>
      <c r="Q22" s="100"/>
      <c r="R22" s="100"/>
      <c r="S22" s="100"/>
      <c r="T22" s="100">
        <v>5</v>
      </c>
      <c r="U22" s="100"/>
      <c r="V22" s="100"/>
      <c r="W22" s="100"/>
      <c r="X22" s="100">
        <v>6</v>
      </c>
      <c r="Y22" s="79"/>
      <c r="Z22" s="79"/>
      <c r="AA22" s="79"/>
      <c r="AB22" s="43"/>
      <c r="AC22" s="48"/>
      <c r="AD22" s="48"/>
      <c r="AN22" s="231" t="s">
        <v>1186</v>
      </c>
      <c r="AO22" s="1281">
        <f>SUM(AS:AS)</f>
        <v>48</v>
      </c>
      <c r="AP22" s="54"/>
      <c r="AQ22" s="54"/>
      <c r="AR22" s="54"/>
      <c r="AS22" s="54"/>
      <c r="AT22" s="54"/>
      <c r="AU22" s="54"/>
      <c r="AV22" s="76"/>
      <c r="AW22" s="77"/>
      <c r="AX22" s="54"/>
      <c r="AY22" s="54"/>
      <c r="AZ22" s="54"/>
      <c r="BA22" s="54"/>
      <c r="BB22" s="54"/>
    </row>
    <row r="23" spans="1:54" ht="12.95" customHeight="1" x14ac:dyDescent="0.2">
      <c r="A23"/>
      <c r="B23" s="41"/>
      <c r="C23" s="42"/>
      <c r="D23" s="2569" t="str">
        <f ca="1">IF(ISBLANK(OFFSET($AP$2,D22,0)),"Project Total",CONCATENATE("Seq. ",OFFSET($AP$2,D22,0)))</f>
        <v>Seq. N.S.</v>
      </c>
      <c r="E23" s="2570"/>
      <c r="F23" s="2570"/>
      <c r="G23" s="2571"/>
      <c r="H23" s="2569" t="str">
        <f ca="1">IF(ISBLANK(OFFSET($AP$2,H22,0)),"",CONCATENATE("Seq. ",OFFSET($AP$2,H22,0)))</f>
        <v>Seq. 1</v>
      </c>
      <c r="I23" s="2570"/>
      <c r="J23" s="2570"/>
      <c r="K23" s="2571"/>
      <c r="L23" s="2569" t="str">
        <f ca="1">IF(ISBLANK(OFFSET($AP$2,L22,0)),"",CONCATENATE("Seq. ",OFFSET($AP$2,L22,0)))</f>
        <v>Seq. 2</v>
      </c>
      <c r="M23" s="2570"/>
      <c r="N23" s="2570"/>
      <c r="O23" s="2571"/>
      <c r="P23" s="2569" t="str">
        <f ca="1">IF(ISBLANK(OFFSET($AP$2,P22,0)),"",CONCATENATE("Seq. ",OFFSET($AP$2,P22,0)))</f>
        <v>Seq. 3</v>
      </c>
      <c r="Q23" s="2570"/>
      <c r="R23" s="2570"/>
      <c r="S23" s="2571"/>
      <c r="T23" s="2569" t="str">
        <f ca="1">IF(ISBLANK(OFFSET($AP$2,T22,0)),"",CONCATENATE("Seq. ",OFFSET($AP$2,T22,0)))</f>
        <v/>
      </c>
      <c r="U23" s="2570"/>
      <c r="V23" s="2570"/>
      <c r="W23" s="2571"/>
      <c r="X23" s="2569" t="str">
        <f ca="1">IF(ISBLANK(OFFSET($AP$2,X22,0)),"",CONCATENATE("Seq. ",OFFSET($AP$2,X22,0)))</f>
        <v/>
      </c>
      <c r="Y23" s="2570"/>
      <c r="Z23" s="2570"/>
      <c r="AA23" s="2571"/>
      <c r="AB23" s="43"/>
      <c r="AC23" s="48"/>
      <c r="AD23" s="48"/>
      <c r="AE23" s="48"/>
      <c r="AF23" s="48"/>
      <c r="AG23" s="48"/>
      <c r="AH23" s="48"/>
      <c r="AI23" s="48"/>
      <c r="AJ23" s="48"/>
      <c r="AN23" s="231" t="s">
        <v>1187</v>
      </c>
      <c r="AO23" s="1281">
        <f>SUM(AT:AT)+SUM(AU:AU)</f>
        <v>0</v>
      </c>
      <c r="AP23" s="54"/>
      <c r="AQ23" s="54"/>
      <c r="AR23" s="54"/>
      <c r="AS23" s="54"/>
      <c r="AT23" s="54"/>
      <c r="AU23" s="54"/>
      <c r="AV23" s="76"/>
      <c r="AW23" s="77"/>
      <c r="AX23" s="54"/>
      <c r="AY23" s="54"/>
      <c r="AZ23" s="54"/>
      <c r="BA23" s="54"/>
      <c r="BB23" s="54"/>
    </row>
    <row r="24" spans="1:54" ht="12.95" customHeight="1" thickBot="1" x14ac:dyDescent="0.25">
      <c r="A24"/>
      <c r="B24" s="41"/>
      <c r="C24" s="42"/>
      <c r="D24" s="2558" t="s">
        <v>440</v>
      </c>
      <c r="E24" s="2559"/>
      <c r="F24" s="2559" t="s">
        <v>441</v>
      </c>
      <c r="G24" s="2560"/>
      <c r="H24" s="2558" t="s">
        <v>440</v>
      </c>
      <c r="I24" s="2559"/>
      <c r="J24" s="2559" t="s">
        <v>441</v>
      </c>
      <c r="K24" s="2560"/>
      <c r="L24" s="2558" t="s">
        <v>440</v>
      </c>
      <c r="M24" s="2559"/>
      <c r="N24" s="2559" t="s">
        <v>441</v>
      </c>
      <c r="O24" s="2560"/>
      <c r="P24" s="2558" t="s">
        <v>440</v>
      </c>
      <c r="Q24" s="2559"/>
      <c r="R24" s="2559" t="s">
        <v>441</v>
      </c>
      <c r="S24" s="2560"/>
      <c r="T24" s="2558" t="s">
        <v>440</v>
      </c>
      <c r="U24" s="2559"/>
      <c r="V24" s="2559" t="s">
        <v>441</v>
      </c>
      <c r="W24" s="2560"/>
      <c r="X24" s="2558" t="s">
        <v>440</v>
      </c>
      <c r="Y24" s="2559"/>
      <c r="Z24" s="2559" t="s">
        <v>441</v>
      </c>
      <c r="AA24" s="2560"/>
      <c r="AB24" s="43"/>
      <c r="AC24" s="48"/>
      <c r="AD24" s="48"/>
      <c r="AE24" s="48"/>
      <c r="AF24" s="48"/>
      <c r="AG24" s="48"/>
      <c r="AH24" s="48"/>
      <c r="AI24" s="48"/>
      <c r="AJ24" s="48"/>
      <c r="AN24" s="231" t="s">
        <v>1188</v>
      </c>
      <c r="AO24" s="1281">
        <f>SUM(AV:AV)</f>
        <v>2065</v>
      </c>
      <c r="AP24" s="54"/>
      <c r="AQ24" s="54"/>
      <c r="AR24" s="54"/>
      <c r="AS24" s="54"/>
      <c r="AT24" s="54"/>
      <c r="AU24" s="54"/>
      <c r="AV24" s="76"/>
      <c r="AW24" s="77"/>
      <c r="AX24" s="54"/>
      <c r="AY24" s="54"/>
      <c r="AZ24" s="54"/>
      <c r="BA24" s="54"/>
      <c r="BB24" s="54"/>
    </row>
    <row r="25" spans="1:54" ht="12.95" customHeight="1" x14ac:dyDescent="0.2">
      <c r="A25"/>
      <c r="B25" s="2563" t="s">
        <v>73</v>
      </c>
      <c r="C25" s="2564"/>
      <c r="D25" s="2554">
        <f ca="1">OFFSET($AQ$2,D22,0)+OFFSET($AU$2,D22,0)</f>
        <v>0</v>
      </c>
      <c r="E25" s="2555"/>
      <c r="F25" s="2552">
        <f ca="1">(OFFSET($AQ$2,D22,0)+OFFSET($AU$2,D22,0))-(OFFSET($AW$2,D22,0)+OFFSET($BA$2,D22,0))</f>
        <v>0</v>
      </c>
      <c r="G25" s="2553"/>
      <c r="H25" s="2554">
        <f ca="1">IF(ISBLANK(OFFSET($AP$2,H22,0)),"",OFFSET($AQ$2,H22,0)+OFFSET($AU$2,H22,0))</f>
        <v>0</v>
      </c>
      <c r="I25" s="2555"/>
      <c r="J25" s="2552">
        <f ca="1">IF(ISBLANK(OFFSET($AP$2,H22,0)),"",(OFFSET($AQ$2,H22,0)+OFFSET($AU$2,H22,0))-(OFFSET($AW$2,H22,0)+OFFSET($BA$2,H22,0)))</f>
        <v>0</v>
      </c>
      <c r="K25" s="2553"/>
      <c r="L25" s="2554">
        <f ca="1">IF(ISBLANK(OFFSET($AP$2,L22,0)),"",OFFSET($AQ$2,L22,0)+OFFSET($AU$2,L22,0))</f>
        <v>0</v>
      </c>
      <c r="M25" s="2555"/>
      <c r="N25" s="2552">
        <f ca="1">IF(ISBLANK(OFFSET($AP$2,L22,0)),"",(OFFSET($AQ$2,L22,0)+OFFSET($AU$2,L22,0))-(OFFSET($AW$2,L22,0)+OFFSET($BA$2,L22,0)))</f>
        <v>0</v>
      </c>
      <c r="O25" s="2553"/>
      <c r="P25" s="2554">
        <f ca="1">IF(ISBLANK(OFFSET($AP$2,P22,0)),"",OFFSET($AQ$2,P22,0)+OFFSET($AU$2,P22,0))</f>
        <v>0</v>
      </c>
      <c r="Q25" s="2555"/>
      <c r="R25" s="2552">
        <f ca="1">IF(ISBLANK(OFFSET($AP$2,P22,0)),"",(OFFSET($AQ$2,P22,0)+OFFSET($AU$2,P22,0))-(OFFSET($AW$2,P22,0)+OFFSET($BA$2,P22,0)))</f>
        <v>0</v>
      </c>
      <c r="S25" s="2553"/>
      <c r="T25" s="2554" t="str">
        <f ca="1">IF(ISBLANK(OFFSET($AP$2,T22,0)),"",OFFSET($AQ$2,T22,0)+OFFSET($AU$2,T22,0))</f>
        <v/>
      </c>
      <c r="U25" s="2555"/>
      <c r="V25" s="2552" t="str">
        <f ca="1">IF(ISBLANK(OFFSET($AP$2,T22,0)),"",(OFFSET($AQ$2,T22,0)+OFFSET($AU$2,T22,0))-(OFFSET($AW$2,T22,0)+OFFSET($BA$2,T22,0)))</f>
        <v/>
      </c>
      <c r="W25" s="2553"/>
      <c r="X25" s="2554" t="str">
        <f ca="1">IF(ISBLANK(OFFSET($AP$2,X22,0)),"",OFFSET($AQ$2,X22,0)+OFFSET($AU$2,X22,0))</f>
        <v/>
      </c>
      <c r="Y25" s="2555"/>
      <c r="Z25" s="2552" t="str">
        <f ca="1">IF(ISBLANK(OFFSET($AP$2,X22,0)),"",(OFFSET($AQ$2,X22,0)+OFFSET($AU$2,X22,0))-(OFFSET($AW$2,X22,0)+OFFSET($BA$2,X22,0)))</f>
        <v/>
      </c>
      <c r="AA25" s="2553"/>
      <c r="AB25" s="43"/>
      <c r="AC25" s="48"/>
      <c r="AD25" s="48"/>
      <c r="AE25" s="48"/>
      <c r="AF25" s="48"/>
      <c r="AG25" s="48"/>
      <c r="AH25" s="48"/>
      <c r="AI25" s="48"/>
      <c r="AJ25" s="48"/>
      <c r="AN25" s="231" t="s">
        <v>1189</v>
      </c>
      <c r="AO25" s="1281">
        <f>COUNTA(AP:AP)-1</f>
        <v>4</v>
      </c>
      <c r="AP25" s="54"/>
      <c r="AQ25" s="54"/>
      <c r="AR25" s="54"/>
      <c r="AS25" s="54"/>
      <c r="AT25" s="54"/>
      <c r="AU25" s="54"/>
      <c r="AV25" s="76"/>
      <c r="AW25" s="77"/>
      <c r="AX25" s="54"/>
      <c r="AY25" s="54"/>
      <c r="AZ25" s="54"/>
      <c r="BA25" s="54"/>
      <c r="BB25" s="54"/>
    </row>
    <row r="26" spans="1:54" ht="12.95" customHeight="1" x14ac:dyDescent="0.2">
      <c r="A26"/>
      <c r="B26" s="2556" t="s">
        <v>437</v>
      </c>
      <c r="C26" s="2557"/>
      <c r="D26" s="2554">
        <f ca="1">OFFSET($AR$2,D22,0)</f>
        <v>0</v>
      </c>
      <c r="E26" s="2555"/>
      <c r="F26" s="2552">
        <f ca="1">OFFSET($AR$2,D22,0)-OFFSET($AX$2,D22,0)</f>
        <v>0</v>
      </c>
      <c r="G26" s="2553"/>
      <c r="H26" s="2554">
        <f ca="1">IF(ISBLANK(OFFSET($AP$2,H22,0)),"",OFFSET($AR$2,H22,0))</f>
        <v>180</v>
      </c>
      <c r="I26" s="2555"/>
      <c r="J26" s="2552">
        <f ca="1">IF(ISBLANK(OFFSET($AP$2,H22,0)),"",OFFSET($AR$2,H22,0)-OFFSET($AX$2,H22,0))</f>
        <v>180</v>
      </c>
      <c r="K26" s="2553"/>
      <c r="L26" s="2554">
        <f ca="1">IF(ISBLANK(OFFSET($AP$2,L22,0)),"",OFFSET($AR$2,L22,0))</f>
        <v>180</v>
      </c>
      <c r="M26" s="2555"/>
      <c r="N26" s="2552">
        <f ca="1">IF(ISBLANK(OFFSET($AP$2,L22,0)),"",OFFSET($AR$2,L22,0)-OFFSET($AX$2,L22,0))</f>
        <v>180</v>
      </c>
      <c r="O26" s="2553"/>
      <c r="P26" s="2554">
        <f ca="1">IF(ISBLANK(OFFSET($AP$2,P22,0)),"",OFFSET($AR$2,P22,0))</f>
        <v>175</v>
      </c>
      <c r="Q26" s="2555"/>
      <c r="R26" s="2552">
        <f ca="1">IF(ISBLANK(OFFSET($AP$2,P22,0)),"",OFFSET($AR$2,P22,0)-OFFSET($AX$2,P22,0))</f>
        <v>175</v>
      </c>
      <c r="S26" s="2553"/>
      <c r="T26" s="2554" t="str">
        <f ca="1">IF(ISBLANK(OFFSET($AP$2,T22,0)),"",OFFSET($AR$2,T22,0))</f>
        <v/>
      </c>
      <c r="U26" s="2555"/>
      <c r="V26" s="2552" t="str">
        <f ca="1">IF(ISBLANK(OFFSET($AP$2,T22,0)),"",OFFSET($AR$2,T22,0)-OFFSET($AX$2,T22,0))</f>
        <v/>
      </c>
      <c r="W26" s="2553"/>
      <c r="X26" s="2554" t="str">
        <f ca="1">IF(ISBLANK(OFFSET($AP$2,X22,0)),"",OFFSET($AR$2,X22,0))</f>
        <v/>
      </c>
      <c r="Y26" s="2555"/>
      <c r="Z26" s="2552" t="str">
        <f ca="1">IF(ISBLANK(OFFSET($AP$2,X22,0)),"",OFFSET($AR$2,X22,0)-OFFSET($AX$2,X22,0))</f>
        <v/>
      </c>
      <c r="AA26" s="2553"/>
      <c r="AB26" s="43"/>
      <c r="AC26" s="48"/>
      <c r="AD26" s="48"/>
      <c r="AE26" s="48"/>
      <c r="AF26" s="48"/>
      <c r="AG26" s="48"/>
      <c r="AH26" s="48"/>
      <c r="AI26" s="48"/>
      <c r="AJ26" s="48"/>
      <c r="AP26" s="54"/>
      <c r="AQ26" s="54"/>
      <c r="AR26" s="54"/>
      <c r="AS26" s="54"/>
      <c r="AT26" s="54"/>
      <c r="AU26" s="54"/>
      <c r="AV26" s="76"/>
      <c r="AW26" s="77"/>
      <c r="AX26" s="54"/>
      <c r="AY26" s="54"/>
      <c r="AZ26" s="54"/>
      <c r="BA26" s="54"/>
      <c r="BB26" s="54"/>
    </row>
    <row r="27" spans="1:54" ht="12.95" customHeight="1" x14ac:dyDescent="0.2">
      <c r="A27"/>
      <c r="B27" s="2556" t="s">
        <v>438</v>
      </c>
      <c r="C27" s="2557"/>
      <c r="D27" s="2554">
        <f ca="1">OFFSET($AS$2,D22,0)</f>
        <v>0</v>
      </c>
      <c r="E27" s="2555"/>
      <c r="F27" s="2552">
        <f ca="1">OFFSET($AS$2,D22,0)-OFFSET($AY$2,D22,0)</f>
        <v>0</v>
      </c>
      <c r="G27" s="2553"/>
      <c r="H27" s="2554">
        <f ca="1">IF(ISBLANK(OFFSET($AP$2,H22,0)),"",OFFSET($AS$2,H22,0))</f>
        <v>16</v>
      </c>
      <c r="I27" s="2555"/>
      <c r="J27" s="2552">
        <f ca="1">IF(ISBLANK(OFFSET($AP$2,H22,0)),"",OFFSET($AS$2,H22,0)-OFFSET($AY$2,H22,0))</f>
        <v>16</v>
      </c>
      <c r="K27" s="2553"/>
      <c r="L27" s="2554">
        <f ca="1">IF(ISBLANK(OFFSET($AP$2,L22,0)),"",OFFSET($AS$2,L22,0))</f>
        <v>16</v>
      </c>
      <c r="M27" s="2555"/>
      <c r="N27" s="2552">
        <f ca="1">IF(ISBLANK(OFFSET($AP$2,L22,0)),"",OFFSET($AS$2,L22,0)-OFFSET($AY$2,L22,0))</f>
        <v>16</v>
      </c>
      <c r="O27" s="2553"/>
      <c r="P27" s="2554">
        <f ca="1">IF(ISBLANK(OFFSET($AP$2,P22,0)),"",OFFSET($AS$2,P22,0))</f>
        <v>16</v>
      </c>
      <c r="Q27" s="2555"/>
      <c r="R27" s="2552">
        <f ca="1">IF(ISBLANK(OFFSET($AP$2,P22,0)),"",OFFSET($AS$2,P22,0)-OFFSET($AY$2,P22,0))</f>
        <v>16</v>
      </c>
      <c r="S27" s="2553"/>
      <c r="T27" s="2554" t="str">
        <f ca="1">IF(ISBLANK(OFFSET($AP$2,T22,0)),"",OFFSET($AS$2,T22,0))</f>
        <v/>
      </c>
      <c r="U27" s="2555"/>
      <c r="V27" s="2552" t="str">
        <f ca="1">IF(ISBLANK(OFFSET($AP$2,T22,0)),"",OFFSET($AS$2,T22,0)-OFFSET($AY$2,T22,0))</f>
        <v/>
      </c>
      <c r="W27" s="2553"/>
      <c r="X27" s="2554" t="str">
        <f ca="1">IF(ISBLANK(OFFSET($AP$2,X22,0)),"",OFFSET($AS$2,X22,0))</f>
        <v/>
      </c>
      <c r="Y27" s="2555"/>
      <c r="Z27" s="2552" t="str">
        <f ca="1">IF(ISBLANK(OFFSET($AP$2,X22,0)),"",OFFSET($AS$2,X22,0)-OFFSET($AY$2,X22,0))</f>
        <v/>
      </c>
      <c r="AA27" s="2553"/>
      <c r="AB27" s="43"/>
      <c r="AC27" s="48"/>
      <c r="AD27" s="48"/>
      <c r="AE27" s="48"/>
      <c r="AF27" s="48"/>
      <c r="AG27" s="48"/>
      <c r="AH27" s="48"/>
      <c r="AI27" s="48"/>
      <c r="AJ27" s="48"/>
      <c r="AP27" s="54"/>
      <c r="AQ27" s="54"/>
      <c r="AR27" s="54"/>
      <c r="AS27" s="54"/>
      <c r="AT27" s="54"/>
      <c r="AU27" s="54"/>
      <c r="AV27" s="76"/>
      <c r="AW27" s="77"/>
      <c r="AX27" s="54"/>
      <c r="AY27" s="54"/>
      <c r="AZ27" s="54"/>
      <c r="BA27" s="54"/>
      <c r="BB27" s="54"/>
    </row>
    <row r="28" spans="1:54" ht="12.95" customHeight="1" x14ac:dyDescent="0.2">
      <c r="A28"/>
      <c r="B28" s="2556" t="s">
        <v>75</v>
      </c>
      <c r="C28" s="2557"/>
      <c r="D28" s="2554">
        <f ca="1">OFFSET($AT$2,D22,0)</f>
        <v>0</v>
      </c>
      <c r="E28" s="2555"/>
      <c r="F28" s="2552">
        <f ca="1">OFFSET($AT$2,D22,0)-OFFSET($AZ$2,D22,0)</f>
        <v>0</v>
      </c>
      <c r="G28" s="2553"/>
      <c r="H28" s="2554">
        <f ca="1">IF(ISBLANK(OFFSET($AP$2,H22,0)),"",OFFSET($AT$2,H22,0))</f>
        <v>0</v>
      </c>
      <c r="I28" s="2555"/>
      <c r="J28" s="2552">
        <f ca="1">IF(ISBLANK(OFFSET($AP$2,H22,0)),"",OFFSET($AT$2,H22,0)-OFFSET($AZ$2,H22,0))</f>
        <v>0</v>
      </c>
      <c r="K28" s="2553"/>
      <c r="L28" s="2554">
        <f ca="1">IF(ISBLANK(OFFSET($AP$2,L22,0)),"",OFFSET($AT$2,L22,0))</f>
        <v>0</v>
      </c>
      <c r="M28" s="2555"/>
      <c r="N28" s="2552">
        <f ca="1">IF(ISBLANK(OFFSET($AP$2,L22,0)),"",OFFSET($AT$2,L22,0)-OFFSET($AZ$2,L22,0))</f>
        <v>0</v>
      </c>
      <c r="O28" s="2553"/>
      <c r="P28" s="2554">
        <f ca="1">IF(ISBLANK(OFFSET($AP$2,P22,0)),"",OFFSET($AT$2,P22,0))</f>
        <v>0</v>
      </c>
      <c r="Q28" s="2555"/>
      <c r="R28" s="2552">
        <f ca="1">IF(ISBLANK(OFFSET($AP$2,P22,0)),"",OFFSET($AT$2,P22,0)-OFFSET($AZ$2,P22,0))</f>
        <v>0</v>
      </c>
      <c r="S28" s="2553"/>
      <c r="T28" s="2554" t="str">
        <f ca="1">IF(ISBLANK(OFFSET($AP$2,T22,0)),"",OFFSET($AT$2,T22,0))</f>
        <v/>
      </c>
      <c r="U28" s="2555"/>
      <c r="V28" s="2552" t="str">
        <f ca="1">IF(ISBLANK(OFFSET($AP$2,T22,0)),"",OFFSET($AT$2,T22,0)-OFFSET($AZ$2,T22,0))</f>
        <v/>
      </c>
      <c r="W28" s="2553"/>
      <c r="X28" s="2554" t="str">
        <f ca="1">IF(ISBLANK(OFFSET($AP$2,X22,0)),"",OFFSET($AT$2,X22,0))</f>
        <v/>
      </c>
      <c r="Y28" s="2555"/>
      <c r="Z28" s="2552" t="str">
        <f ca="1">IF(ISBLANK(OFFSET($AP$2,X22,0)),"",OFFSET($AT$2,X22,0)-OFFSET($AZ$2,X22,0))</f>
        <v/>
      </c>
      <c r="AA28" s="2553"/>
      <c r="AB28" s="43"/>
      <c r="AC28" s="48"/>
      <c r="AD28" s="48"/>
      <c r="AE28" s="48"/>
      <c r="AF28" s="48"/>
      <c r="AG28" s="48"/>
      <c r="AH28" s="48"/>
      <c r="AI28" s="48"/>
      <c r="AJ28" s="48"/>
      <c r="AP28" s="54"/>
      <c r="AQ28" s="54"/>
      <c r="AR28" s="54"/>
      <c r="AS28" s="54"/>
      <c r="AT28" s="54"/>
      <c r="AU28" s="54"/>
      <c r="AV28" s="76"/>
      <c r="AW28" s="77"/>
      <c r="AX28" s="54"/>
      <c r="AY28" s="54"/>
      <c r="AZ28" s="54"/>
      <c r="BA28" s="54"/>
      <c r="BB28" s="54"/>
    </row>
    <row r="29" spans="1:54" ht="12.95" customHeight="1" thickBot="1" x14ac:dyDescent="0.25">
      <c r="A29" s="41"/>
      <c r="B29" s="2572" t="s">
        <v>439</v>
      </c>
      <c r="C29" s="2573"/>
      <c r="D29" s="2565">
        <f ca="1">OFFSET($AV$2,D22,0)</f>
        <v>12</v>
      </c>
      <c r="E29" s="2566"/>
      <c r="F29" s="2567">
        <f ca="1">OFFSET($AV$2,D22,0)-OFFSET($BB$2,D22,0)</f>
        <v>12</v>
      </c>
      <c r="G29" s="2568"/>
      <c r="H29" s="2565">
        <f ca="1">IF(ISBLANK(OFFSET($AP$2,H22,0)),"",OFFSET($AV$2,H22,0))</f>
        <v>691</v>
      </c>
      <c r="I29" s="2566"/>
      <c r="J29" s="2567">
        <f ca="1">IF(ISBLANK(OFFSET($AP$2,H22,0)),"",OFFSET($AV$2,H22,0)-OFFSET($BB$2,H22,0))</f>
        <v>691</v>
      </c>
      <c r="K29" s="2568"/>
      <c r="L29" s="2565">
        <f ca="1">IF(ISBLANK(OFFSET($AP$2,L22,0)),"",OFFSET($AV$2,L22,0))</f>
        <v>700</v>
      </c>
      <c r="M29" s="2566"/>
      <c r="N29" s="2567">
        <f ca="1">IF(ISBLANK(OFFSET($AP$2,L22,0)),"",OFFSET($AV$2,L22,0)-OFFSET($BB$2,L22,0))</f>
        <v>700</v>
      </c>
      <c r="O29" s="2568"/>
      <c r="P29" s="2565">
        <f ca="1">IF(ISBLANK(OFFSET($AP$2,P22,0)),"",OFFSET($AV$2,P22,0))</f>
        <v>662</v>
      </c>
      <c r="Q29" s="2566"/>
      <c r="R29" s="2567">
        <f ca="1">IF(ISBLANK(OFFSET($AP$2,P22,0)),"",OFFSET($AV$2,P22,0)-OFFSET($BB$2,P22,0))</f>
        <v>662</v>
      </c>
      <c r="S29" s="2568"/>
      <c r="T29" s="2565" t="str">
        <f ca="1">IF(ISBLANK(OFFSET($AP$2,T22,0)),"",OFFSET($AV$2,T22,0))</f>
        <v/>
      </c>
      <c r="U29" s="2566"/>
      <c r="V29" s="2567" t="str">
        <f ca="1">IF(ISBLANK(OFFSET($AP$2,T22,0)),"",OFFSET($AV$2,T22,0)-OFFSET($BB$2,T22,0))</f>
        <v/>
      </c>
      <c r="W29" s="2568"/>
      <c r="X29" s="2565" t="str">
        <f ca="1">IF(ISBLANK(OFFSET($AP$2,X22,0)),"",OFFSET($AV$2,X22,0))</f>
        <v/>
      </c>
      <c r="Y29" s="2566"/>
      <c r="Z29" s="2567" t="str">
        <f ca="1">IF(ISBLANK(OFFSET($AP$2,X22,0)),"",OFFSET($AV$2,X22,0)-OFFSET($BB$2,X22,0))</f>
        <v/>
      </c>
      <c r="AA29" s="2568"/>
      <c r="AB29" s="43"/>
      <c r="AC29" s="48"/>
      <c r="AD29" s="48"/>
      <c r="AE29" s="48"/>
      <c r="AF29" s="48"/>
      <c r="AG29" s="48"/>
      <c r="AH29" s="48"/>
      <c r="AI29" s="48"/>
      <c r="AJ29" s="48"/>
      <c r="AP29" s="54"/>
      <c r="AQ29" s="54"/>
      <c r="AR29" s="54"/>
      <c r="AS29" s="54"/>
      <c r="AT29" s="54"/>
      <c r="AU29" s="54"/>
      <c r="AV29" s="76"/>
      <c r="AW29" s="77"/>
      <c r="AX29" s="54"/>
      <c r="AY29" s="54"/>
      <c r="AZ29" s="54"/>
      <c r="BA29" s="54"/>
      <c r="BB29" s="54"/>
    </row>
    <row r="30" spans="1:54" ht="12.95" customHeight="1" thickBot="1" x14ac:dyDescent="0.25">
      <c r="A30" s="41"/>
      <c r="B30"/>
      <c r="C30"/>
      <c r="D30" s="100">
        <v>7</v>
      </c>
      <c r="E30" s="100"/>
      <c r="F30" s="100"/>
      <c r="G30" s="100"/>
      <c r="H30" s="100">
        <v>8</v>
      </c>
      <c r="I30" s="100"/>
      <c r="J30" s="100"/>
      <c r="K30" s="100"/>
      <c r="L30" s="100">
        <v>9</v>
      </c>
      <c r="M30" s="100"/>
      <c r="N30" s="100"/>
      <c r="O30" s="100"/>
      <c r="P30" s="100">
        <v>10</v>
      </c>
      <c r="Q30" s="100"/>
      <c r="R30" s="100"/>
      <c r="S30" s="100"/>
      <c r="T30" s="100">
        <v>11</v>
      </c>
      <c r="U30" s="100"/>
      <c r="V30" s="100"/>
      <c r="W30" s="100"/>
      <c r="X30" s="100">
        <v>12</v>
      </c>
      <c r="Y30" s="79"/>
      <c r="Z30" s="79"/>
      <c r="AA30" s="79"/>
      <c r="AB30" s="43"/>
      <c r="AC30" s="48"/>
      <c r="AD30" s="48"/>
      <c r="AE30" s="48"/>
      <c r="AF30" s="48"/>
      <c r="AG30" s="48"/>
      <c r="AH30" s="48"/>
      <c r="AI30" s="48"/>
      <c r="AJ30" s="48"/>
      <c r="AP30" s="54"/>
      <c r="AQ30" s="54"/>
      <c r="AR30" s="54"/>
      <c r="AS30" s="54"/>
      <c r="AT30" s="54"/>
      <c r="AU30" s="54"/>
      <c r="AV30" s="76"/>
      <c r="AW30" s="77"/>
      <c r="AX30" s="54"/>
      <c r="AY30" s="54"/>
      <c r="AZ30" s="54"/>
      <c r="BA30" s="54"/>
      <c r="BB30" s="54"/>
    </row>
    <row r="31" spans="1:54" ht="12.95" customHeight="1" x14ac:dyDescent="0.2">
      <c r="A31" s="57"/>
      <c r="B31" s="41"/>
      <c r="C31" s="42"/>
      <c r="D31" s="2569" t="str">
        <f ca="1">IF(ISBLANK(OFFSET($AP$2,D30,0)),"",CONCATENATE("Seq. ",OFFSET($AP$2,D30,0)))</f>
        <v/>
      </c>
      <c r="E31" s="2570"/>
      <c r="F31" s="2570"/>
      <c r="G31" s="2571"/>
      <c r="H31" s="2569" t="str">
        <f ca="1">IF(ISBLANK(OFFSET($AP$2,H30,0)),"",CONCATENATE("Seq. ",OFFSET($AP$2,H30,0)))</f>
        <v/>
      </c>
      <c r="I31" s="2570"/>
      <c r="J31" s="2570"/>
      <c r="K31" s="2571"/>
      <c r="L31" s="2569" t="str">
        <f ca="1">IF(ISBLANK(OFFSET($AP$2,L30,0)),"",CONCATENATE("Seq. ",OFFSET($AP$2,L30,0)))</f>
        <v/>
      </c>
      <c r="M31" s="2570"/>
      <c r="N31" s="2570"/>
      <c r="O31" s="2571"/>
      <c r="P31" s="2569" t="str">
        <f ca="1">IF(ISBLANK(OFFSET($AP$2,P30,0)),"",CONCATENATE("Seq. ",OFFSET($AP$2,P30,0)))</f>
        <v/>
      </c>
      <c r="Q31" s="2570"/>
      <c r="R31" s="2570"/>
      <c r="S31" s="2571"/>
      <c r="T31" s="2569" t="str">
        <f ca="1">IF(ISBLANK(OFFSET($AP$2,T30,0)),"",CONCATENATE("Seq. ",OFFSET($AP$2,T30,0)))</f>
        <v/>
      </c>
      <c r="U31" s="2570"/>
      <c r="V31" s="2570"/>
      <c r="W31" s="2571"/>
      <c r="X31" s="2569" t="str">
        <f ca="1">IF(ISBLANK(OFFSET($AP$2,X30,0)),"",CONCATENATE("Seq. ",OFFSET($AP$2,X30,0)))</f>
        <v/>
      </c>
      <c r="Y31" s="2570"/>
      <c r="Z31" s="2570"/>
      <c r="AA31" s="2571"/>
      <c r="AB31" s="57"/>
      <c r="AC31" s="48"/>
      <c r="AD31" s="48"/>
      <c r="AE31" s="48"/>
      <c r="AF31" s="48"/>
      <c r="AG31" s="48"/>
      <c r="AH31" s="48"/>
      <c r="AI31" s="48"/>
      <c r="AJ31" s="48"/>
      <c r="AP31" s="54"/>
      <c r="AQ31" s="54"/>
      <c r="AR31" s="54"/>
      <c r="AS31" s="54"/>
      <c r="AT31" s="54"/>
      <c r="AU31" s="54"/>
      <c r="AV31" s="76"/>
      <c r="AW31" s="77"/>
      <c r="AX31" s="54"/>
      <c r="AY31" s="54"/>
      <c r="AZ31" s="54"/>
      <c r="BA31" s="54"/>
      <c r="BB31" s="54"/>
    </row>
    <row r="32" spans="1:54" ht="12.95" customHeight="1" thickBot="1" x14ac:dyDescent="0.25">
      <c r="A32" s="57"/>
      <c r="B32" s="41"/>
      <c r="C32" s="42"/>
      <c r="D32" s="2558" t="s">
        <v>440</v>
      </c>
      <c r="E32" s="2559"/>
      <c r="F32" s="2559" t="s">
        <v>441</v>
      </c>
      <c r="G32" s="2560"/>
      <c r="H32" s="2558" t="s">
        <v>440</v>
      </c>
      <c r="I32" s="2559"/>
      <c r="J32" s="2559" t="s">
        <v>441</v>
      </c>
      <c r="K32" s="2560"/>
      <c r="L32" s="2558" t="s">
        <v>440</v>
      </c>
      <c r="M32" s="2559"/>
      <c r="N32" s="2559" t="s">
        <v>441</v>
      </c>
      <c r="O32" s="2560"/>
      <c r="P32" s="2558" t="s">
        <v>440</v>
      </c>
      <c r="Q32" s="2559"/>
      <c r="R32" s="2559" t="s">
        <v>441</v>
      </c>
      <c r="S32" s="2560"/>
      <c r="T32" s="2558" t="s">
        <v>440</v>
      </c>
      <c r="U32" s="2559"/>
      <c r="V32" s="2559" t="s">
        <v>441</v>
      </c>
      <c r="W32" s="2560"/>
      <c r="X32" s="2558" t="s">
        <v>440</v>
      </c>
      <c r="Y32" s="2559"/>
      <c r="Z32" s="2559" t="s">
        <v>441</v>
      </c>
      <c r="AA32" s="2560"/>
      <c r="AB32" s="57"/>
      <c r="AC32" s="48"/>
      <c r="AD32" s="48"/>
      <c r="AE32" s="48"/>
      <c r="AF32" s="48"/>
      <c r="AG32" s="48"/>
      <c r="AH32" s="48"/>
      <c r="AI32" s="48"/>
      <c r="AJ32" s="48"/>
      <c r="AP32" s="54"/>
      <c r="AQ32" s="54"/>
      <c r="AR32" s="54"/>
      <c r="AS32" s="54"/>
      <c r="AT32" s="54"/>
      <c r="AU32" s="54"/>
      <c r="AV32" s="76"/>
      <c r="AW32" s="77"/>
      <c r="AX32" s="54"/>
      <c r="AY32" s="54"/>
      <c r="AZ32" s="54"/>
      <c r="BA32" s="54"/>
      <c r="BB32" s="54"/>
    </row>
    <row r="33" spans="1:54" ht="12.95" customHeight="1" x14ac:dyDescent="0.2">
      <c r="A33" s="57"/>
      <c r="B33" s="2563" t="s">
        <v>73</v>
      </c>
      <c r="C33" s="2564"/>
      <c r="D33" s="2554" t="str">
        <f ca="1">IF(ISBLANK(OFFSET($AP$2,D30,0)),"",OFFSET($AQ$2,D30,0)+OFFSET($AU$2,D30,0))</f>
        <v/>
      </c>
      <c r="E33" s="2555"/>
      <c r="F33" s="2552" t="str">
        <f ca="1">IF(ISBLANK(OFFSET($AP$2,D30,0)),"",(OFFSET($AQ$2,D30,0)+OFFSET($AU$2,D30,0))-(OFFSET($AW$2,D30,0)+OFFSET($BA$2,D30,0)))</f>
        <v/>
      </c>
      <c r="G33" s="2553"/>
      <c r="H33" s="2554" t="str">
        <f ca="1">IF(ISBLANK(OFFSET($AP$2,H30,0)),"",OFFSET($AQ$2,H30,0)+OFFSET($AU$2,H30,0))</f>
        <v/>
      </c>
      <c r="I33" s="2555"/>
      <c r="J33" s="2552" t="str">
        <f ca="1">IF(ISBLANK(OFFSET($AP$2,H30,0)),"",(OFFSET($AQ$2,H30,0)+OFFSET($AU$2,H30,0))-(OFFSET($AW$2,H30,0)+OFFSET($BA$2,H30,0)))</f>
        <v/>
      </c>
      <c r="K33" s="2553"/>
      <c r="L33" s="2554" t="str">
        <f ca="1">IF(ISBLANK(OFFSET($AP$2,L30,0)),"",OFFSET($AQ$2,L30,0)+OFFSET($AU$2,L30,0))</f>
        <v/>
      </c>
      <c r="M33" s="2555"/>
      <c r="N33" s="2552" t="str">
        <f ca="1">IF(ISBLANK(OFFSET($AP$2,L30,0)),"",(OFFSET($AQ$2,L30,0)+OFFSET($AU$2,L30,0))-(OFFSET($AW$2,L30,0)+OFFSET($BA$2,L30,0)))</f>
        <v/>
      </c>
      <c r="O33" s="2553"/>
      <c r="P33" s="2554" t="str">
        <f ca="1">IF(ISBLANK(OFFSET($AP$2,P30,0)),"",OFFSET($AQ$2,P30,0)+OFFSET($AU$2,P30,0))</f>
        <v/>
      </c>
      <c r="Q33" s="2555"/>
      <c r="R33" s="2552" t="str">
        <f ca="1">IF(ISBLANK(OFFSET($AP$2,P30,0)),"",(OFFSET($AQ$2,P30,0)+OFFSET($AU$2,P30,0))-(OFFSET($AW$2,P30,0)+OFFSET($BA$2,P30,0)))</f>
        <v/>
      </c>
      <c r="S33" s="2553"/>
      <c r="T33" s="2554" t="str">
        <f ca="1">IF(ISBLANK(OFFSET($AP$2,T30,0)),"",OFFSET($AQ$2,T30,0)+OFFSET($AU$2,T30,0))</f>
        <v/>
      </c>
      <c r="U33" s="2555"/>
      <c r="V33" s="2552" t="str">
        <f ca="1">IF(ISBLANK(OFFSET($AP$2,T30,0)),"",(OFFSET($AQ$2,T30,0)+OFFSET($AU$2,T30,0))-(OFFSET($AW$2,T30,0)+OFFSET($BA$2,T30,0)))</f>
        <v/>
      </c>
      <c r="W33" s="2553"/>
      <c r="X33" s="2554" t="str">
        <f ca="1">IF(ISBLANK(OFFSET($AP$2,X30,0)),"",OFFSET($AQ$2,X30,0)+OFFSET($AU$2,X30,0))</f>
        <v/>
      </c>
      <c r="Y33" s="2555"/>
      <c r="Z33" s="2552" t="str">
        <f ca="1">IF(ISBLANK(OFFSET($AP$2,X30,0)),"",(OFFSET($AQ$2,X30,0)+OFFSET($AU$2,X30,0))-(OFFSET($AW$2,X30,0)+OFFSET($BA$2,X30,0)))</f>
        <v/>
      </c>
      <c r="AA33" s="2553"/>
      <c r="AB33" s="57"/>
      <c r="AC33" s="48"/>
      <c r="AD33" s="48"/>
      <c r="AE33" s="48"/>
      <c r="AF33" s="48"/>
      <c r="AG33" s="48"/>
      <c r="AH33" s="48"/>
      <c r="AI33" s="48"/>
      <c r="AJ33" s="48"/>
      <c r="AP33" s="54"/>
      <c r="AQ33" s="54"/>
      <c r="AR33" s="54"/>
      <c r="AS33" s="54"/>
      <c r="AT33" s="54"/>
      <c r="AU33" s="54"/>
      <c r="AV33" s="76"/>
      <c r="AW33" s="77"/>
      <c r="AX33" s="54"/>
      <c r="AY33" s="54"/>
      <c r="AZ33" s="54"/>
      <c r="BA33" s="54"/>
      <c r="BB33" s="54"/>
    </row>
    <row r="34" spans="1:54" ht="12.95" customHeight="1" x14ac:dyDescent="0.2">
      <c r="A34" s="57"/>
      <c r="B34" s="2556" t="s">
        <v>437</v>
      </c>
      <c r="C34" s="2557"/>
      <c r="D34" s="2554" t="str">
        <f ca="1">IF(ISBLANK(OFFSET($AP$2,D30,0)),"",OFFSET($AR$2,D30,0))</f>
        <v/>
      </c>
      <c r="E34" s="2555"/>
      <c r="F34" s="2552" t="str">
        <f ca="1">IF(ISBLANK(OFFSET($AP$2,D30,0)),"",OFFSET($AR$2,D30,0)-OFFSET($AX$2,D30,0))</f>
        <v/>
      </c>
      <c r="G34" s="2553"/>
      <c r="H34" s="2554" t="str">
        <f ca="1">IF(ISBLANK(OFFSET($AP$2,H30,0)),"",OFFSET($AR$2,H30,0))</f>
        <v/>
      </c>
      <c r="I34" s="2555"/>
      <c r="J34" s="2552" t="str">
        <f ca="1">IF(ISBLANK(OFFSET($AP$2,H30,0)),"",OFFSET($AR$2,H30,0)-OFFSET($AX$2,H30,0))</f>
        <v/>
      </c>
      <c r="K34" s="2553"/>
      <c r="L34" s="2554" t="str">
        <f ca="1">IF(ISBLANK(OFFSET($AP$2,L30,0)),"",OFFSET($AR$2,L30,0))</f>
        <v/>
      </c>
      <c r="M34" s="2555"/>
      <c r="N34" s="2552" t="str">
        <f ca="1">IF(ISBLANK(OFFSET($AP$2,L30,0)),"",OFFSET($AR$2,L30,0)-OFFSET($AX$2,L30,0))</f>
        <v/>
      </c>
      <c r="O34" s="2553"/>
      <c r="P34" s="2554" t="str">
        <f ca="1">IF(ISBLANK(OFFSET($AP$2,P30,0)),"",OFFSET($AR$2,P30,0))</f>
        <v/>
      </c>
      <c r="Q34" s="2555"/>
      <c r="R34" s="2552" t="str">
        <f ca="1">IF(ISBLANK(OFFSET($AP$2,P30,0)),"",OFFSET($AR$2,P30,0)-OFFSET($AX$2,P30,0))</f>
        <v/>
      </c>
      <c r="S34" s="2553"/>
      <c r="T34" s="2554" t="str">
        <f ca="1">IF(ISBLANK(OFFSET($AP$2,T30,0)),"",OFFSET($AR$2,T30,0))</f>
        <v/>
      </c>
      <c r="U34" s="2555"/>
      <c r="V34" s="2552" t="str">
        <f ca="1">IF(ISBLANK(OFFSET($AP$2,T30,0)),"",OFFSET($AR$2,T30,0)-OFFSET($AX$2,T30,0))</f>
        <v/>
      </c>
      <c r="W34" s="2553"/>
      <c r="X34" s="2554" t="str">
        <f ca="1">IF(ISBLANK(OFFSET($AP$2,X30,0)),"",OFFSET($AR$2,X30,0))</f>
        <v/>
      </c>
      <c r="Y34" s="2555"/>
      <c r="Z34" s="2552" t="str">
        <f ca="1">IF(ISBLANK(OFFSET($AP$2,X30,0)),"",OFFSET($AR$2,X30,0)-OFFSET($AX$2,X30,0))</f>
        <v/>
      </c>
      <c r="AA34" s="2553"/>
      <c r="AB34" s="57"/>
      <c r="AC34" s="48"/>
      <c r="AD34" s="48"/>
      <c r="AE34" s="48"/>
      <c r="AF34" s="48"/>
      <c r="AG34" s="48"/>
      <c r="AH34" s="48"/>
      <c r="AI34" s="48"/>
      <c r="AJ34" s="48"/>
      <c r="AP34" s="54"/>
      <c r="AQ34" s="54"/>
      <c r="AR34" s="54"/>
      <c r="AS34" s="54"/>
      <c r="AT34" s="54"/>
      <c r="AU34" s="54"/>
      <c r="AV34" s="76"/>
      <c r="AW34" s="77"/>
      <c r="AX34" s="54"/>
      <c r="AY34" s="54"/>
      <c r="AZ34" s="54"/>
      <c r="BA34" s="54"/>
      <c r="BB34" s="54"/>
    </row>
    <row r="35" spans="1:54" ht="12.95" customHeight="1" x14ac:dyDescent="0.2">
      <c r="A35" s="57"/>
      <c r="B35" s="2556" t="s">
        <v>438</v>
      </c>
      <c r="C35" s="2557"/>
      <c r="D35" s="2554" t="str">
        <f ca="1">IF(ISBLANK(OFFSET($AP$2,D30,0)),"",OFFSET($AS$2,D30,0))</f>
        <v/>
      </c>
      <c r="E35" s="2555"/>
      <c r="F35" s="2552" t="str">
        <f ca="1">IF(ISBLANK(OFFSET($AP$2,D30,0)),"",OFFSET($AS$2,D30,0)-OFFSET($AY$2,D30,0))</f>
        <v/>
      </c>
      <c r="G35" s="2553"/>
      <c r="H35" s="2554" t="str">
        <f ca="1">IF(ISBLANK(OFFSET($AP$2,H30,0)),"",OFFSET($AS$2,H30,0))</f>
        <v/>
      </c>
      <c r="I35" s="2555"/>
      <c r="J35" s="2552" t="str">
        <f ca="1">IF(ISBLANK(OFFSET($AP$2,H30,0)),"",OFFSET($AS$2,H30,0)-OFFSET($AY$2,H30,0))</f>
        <v/>
      </c>
      <c r="K35" s="2553"/>
      <c r="L35" s="2554" t="str">
        <f ca="1">IF(ISBLANK(OFFSET($AP$2,L30,0)),"",OFFSET($AS$2,L30,0))</f>
        <v/>
      </c>
      <c r="M35" s="2555"/>
      <c r="N35" s="2552" t="str">
        <f ca="1">IF(ISBLANK(OFFSET($AP$2,L30,0)),"",OFFSET($AS$2,L30,0)-OFFSET($AY$2,L30,0))</f>
        <v/>
      </c>
      <c r="O35" s="2553"/>
      <c r="P35" s="2554" t="str">
        <f ca="1">IF(ISBLANK(OFFSET($AP$2,P30,0)),"",OFFSET($AS$2,P30,0))</f>
        <v/>
      </c>
      <c r="Q35" s="2555"/>
      <c r="R35" s="2552" t="str">
        <f ca="1">IF(ISBLANK(OFFSET($AP$2,P30,0)),"",OFFSET($AS$2,P30,0)-OFFSET($AY$2,P30,0))</f>
        <v/>
      </c>
      <c r="S35" s="2553"/>
      <c r="T35" s="2554" t="str">
        <f ca="1">IF(ISBLANK(OFFSET($AP$2,T30,0)),"",OFFSET($AS$2,T30,0))</f>
        <v/>
      </c>
      <c r="U35" s="2555"/>
      <c r="V35" s="2552" t="str">
        <f ca="1">IF(ISBLANK(OFFSET($AP$2,T30,0)),"",OFFSET($AS$2,T30,0)-OFFSET($AY$2,T30,0))</f>
        <v/>
      </c>
      <c r="W35" s="2553"/>
      <c r="X35" s="2554" t="str">
        <f ca="1">IF(ISBLANK(OFFSET($AP$2,X30,0)),"",OFFSET($AS$2,X30,0))</f>
        <v/>
      </c>
      <c r="Y35" s="2555"/>
      <c r="Z35" s="2552" t="str">
        <f ca="1">IF(ISBLANK(OFFSET($AP$2,X30,0)),"",OFFSET($AS$2,X30,0)-OFFSET($AY$2,X30,0))</f>
        <v/>
      </c>
      <c r="AA35" s="2553"/>
      <c r="AB35" s="57"/>
      <c r="AC35" s="48"/>
      <c r="AD35" s="48"/>
      <c r="AE35" s="48"/>
      <c r="AF35" s="48"/>
      <c r="AG35" s="48"/>
      <c r="AH35" s="48"/>
      <c r="AI35" s="48"/>
      <c r="AJ35" s="48"/>
      <c r="AP35" s="54"/>
      <c r="AQ35" s="54"/>
      <c r="AR35" s="54"/>
      <c r="AS35" s="54"/>
      <c r="AT35" s="54"/>
      <c r="AU35" s="54"/>
      <c r="AV35" s="76"/>
      <c r="AW35" s="77"/>
      <c r="AX35" s="54"/>
      <c r="AY35" s="54"/>
      <c r="AZ35" s="54"/>
      <c r="BA35" s="54"/>
      <c r="BB35" s="54"/>
    </row>
    <row r="36" spans="1:54" ht="12.95" customHeight="1" x14ac:dyDescent="0.2">
      <c r="A36" s="57"/>
      <c r="B36" s="2556" t="s">
        <v>75</v>
      </c>
      <c r="C36" s="2557"/>
      <c r="D36" s="2554" t="str">
        <f ca="1">IF(ISBLANK(OFFSET($AP$2,D30,0)),"",OFFSET($AT$2,D30,0))</f>
        <v/>
      </c>
      <c r="E36" s="2555"/>
      <c r="F36" s="2552" t="str">
        <f ca="1">IF(ISBLANK(OFFSET($AP$2,D30,0)),"",OFFSET($AT$2,D30,0)-OFFSET($AZ$2,D30,0))</f>
        <v/>
      </c>
      <c r="G36" s="2553"/>
      <c r="H36" s="2554" t="str">
        <f ca="1">IF(ISBLANK(OFFSET($AP$2,H30,0)),"",OFFSET($AT$2,H30,0))</f>
        <v/>
      </c>
      <c r="I36" s="2555"/>
      <c r="J36" s="2552" t="str">
        <f ca="1">IF(ISBLANK(OFFSET($AP$2,H30,0)),"",OFFSET($AT$2,H30,0)-OFFSET($AZ$2,H30,0))</f>
        <v/>
      </c>
      <c r="K36" s="2553"/>
      <c r="L36" s="2554" t="str">
        <f ca="1">IF(ISBLANK(OFFSET($AP$2,L30,0)),"",OFFSET($AT$2,L30,0))</f>
        <v/>
      </c>
      <c r="M36" s="2555"/>
      <c r="N36" s="2552" t="str">
        <f ca="1">IF(ISBLANK(OFFSET($AP$2,L30,0)),"",OFFSET($AT$2,L30,0)-OFFSET($AZ$2,L30,0))</f>
        <v/>
      </c>
      <c r="O36" s="2553"/>
      <c r="P36" s="2554" t="str">
        <f ca="1">IF(ISBLANK(OFFSET($AP$2,P30,0)),"",OFFSET($AT$2,P30,0))</f>
        <v/>
      </c>
      <c r="Q36" s="2555"/>
      <c r="R36" s="2552" t="str">
        <f ca="1">IF(ISBLANK(OFFSET($AP$2,P30,0)),"",OFFSET($AT$2,P30,0)-OFFSET($AZ$2,P30,0))</f>
        <v/>
      </c>
      <c r="S36" s="2553"/>
      <c r="T36" s="2554" t="str">
        <f ca="1">IF(ISBLANK(OFFSET($AP$2,T30,0)),"",OFFSET($AT$2,T30,0))</f>
        <v/>
      </c>
      <c r="U36" s="2555"/>
      <c r="V36" s="2552" t="str">
        <f ca="1">IF(ISBLANK(OFFSET($AP$2,T30,0)),"",OFFSET($AT$2,T30,0)-OFFSET($AZ$2,T30,0))</f>
        <v/>
      </c>
      <c r="W36" s="2553"/>
      <c r="X36" s="2554" t="str">
        <f ca="1">IF(ISBLANK(OFFSET($AP$2,X30,0)),"",OFFSET($AT$2,X30,0))</f>
        <v/>
      </c>
      <c r="Y36" s="2555"/>
      <c r="Z36" s="2552" t="str">
        <f ca="1">IF(ISBLANK(OFFSET($AP$2,X30,0)),"",OFFSET($AT$2,X30,0)-OFFSET($AZ$2,X30,0))</f>
        <v/>
      </c>
      <c r="AA36" s="2553"/>
      <c r="AB36" s="57"/>
      <c r="AC36" s="48"/>
      <c r="AD36" s="48"/>
      <c r="AE36" s="48"/>
      <c r="AF36" s="48"/>
      <c r="AG36" s="48"/>
      <c r="AH36" s="48"/>
      <c r="AI36" s="48"/>
      <c r="AJ36" s="48"/>
      <c r="AP36" s="54"/>
      <c r="AQ36" s="54"/>
      <c r="AR36" s="54"/>
      <c r="AS36" s="54"/>
      <c r="AT36" s="54"/>
      <c r="AU36" s="54"/>
      <c r="AV36" s="76"/>
      <c r="AW36" s="77"/>
      <c r="AX36" s="54"/>
      <c r="AY36" s="54"/>
      <c r="AZ36" s="54"/>
      <c r="BA36" s="54"/>
      <c r="BB36" s="54"/>
    </row>
    <row r="37" spans="1:54" ht="12.95" customHeight="1" thickBot="1" x14ac:dyDescent="0.25">
      <c r="A37" s="57"/>
      <c r="B37" s="2572" t="s">
        <v>439</v>
      </c>
      <c r="C37" s="2573"/>
      <c r="D37" s="2565" t="str">
        <f ca="1">IF(ISBLANK(OFFSET($AP$2,D30,0)),"",OFFSET($AV$2,D30,0))</f>
        <v/>
      </c>
      <c r="E37" s="2566"/>
      <c r="F37" s="2567" t="str">
        <f ca="1">IF(ISBLANK(OFFSET($AP$2,D30,0)),"",OFFSET($AV$2,D30,0)-OFFSET($BB$2,D30,0))</f>
        <v/>
      </c>
      <c r="G37" s="2568"/>
      <c r="H37" s="2565" t="str">
        <f ca="1">IF(ISBLANK(OFFSET($AP$2,H30,0)),"",OFFSET($AV$2,H30,0))</f>
        <v/>
      </c>
      <c r="I37" s="2566"/>
      <c r="J37" s="2567" t="str">
        <f ca="1">IF(ISBLANK(OFFSET($AP$2,H30,0)),"",OFFSET($AV$2,H30,0)-OFFSET($BB$2,H30,0))</f>
        <v/>
      </c>
      <c r="K37" s="2568"/>
      <c r="L37" s="2565" t="str">
        <f ca="1">IF(ISBLANK(OFFSET($AP$2,L30,0)),"",OFFSET($AV$2,L30,0))</f>
        <v/>
      </c>
      <c r="M37" s="2566"/>
      <c r="N37" s="2567" t="str">
        <f ca="1">IF(ISBLANK(OFFSET($AP$2,L30,0)),"",OFFSET($AV$2,L30,0)-OFFSET($BB$2,L30,0))</f>
        <v/>
      </c>
      <c r="O37" s="2568"/>
      <c r="P37" s="2565" t="str">
        <f ca="1">IF(ISBLANK(OFFSET($AP$2,P30,0)),"",OFFSET($AV$2,P30,0))</f>
        <v/>
      </c>
      <c r="Q37" s="2566"/>
      <c r="R37" s="2567" t="str">
        <f ca="1">IF(ISBLANK(OFFSET($AP$2,P30,0)),"",OFFSET($AV$2,P30,0)-OFFSET($BB$2,P30,0))</f>
        <v/>
      </c>
      <c r="S37" s="2568"/>
      <c r="T37" s="2565" t="str">
        <f ca="1">IF(ISBLANK(OFFSET($AP$2,T30,0)),"",OFFSET($AV$2,T30,0))</f>
        <v/>
      </c>
      <c r="U37" s="2566"/>
      <c r="V37" s="2567" t="str">
        <f ca="1">IF(ISBLANK(OFFSET($AP$2,T30,0)),"",OFFSET($AV$2,T30,0)-OFFSET($BB$2,T30,0))</f>
        <v/>
      </c>
      <c r="W37" s="2568"/>
      <c r="X37" s="2565" t="str">
        <f ca="1">IF(ISBLANK(OFFSET($AP$2,X30,0)),"",OFFSET($AV$2,X30,0))</f>
        <v/>
      </c>
      <c r="Y37" s="2566"/>
      <c r="Z37" s="2567" t="str">
        <f ca="1">IF(ISBLANK(OFFSET($AP$2,X30,0)),"",OFFSET($AV$2,X30,0)-OFFSET($BB$2,X30,0))</f>
        <v/>
      </c>
      <c r="AA37" s="2568"/>
      <c r="AB37" s="57"/>
      <c r="AC37" s="48"/>
      <c r="AD37" s="48"/>
      <c r="AE37" s="48"/>
      <c r="AF37" s="48"/>
      <c r="AG37" s="48"/>
      <c r="AH37" s="48"/>
      <c r="AI37" s="48"/>
      <c r="AJ37" s="48"/>
      <c r="AP37" s="54"/>
      <c r="AQ37" s="54"/>
      <c r="AR37" s="54"/>
      <c r="AS37" s="54"/>
      <c r="AT37" s="54"/>
      <c r="AU37" s="54"/>
      <c r="AV37" s="76"/>
      <c r="AW37" s="77"/>
      <c r="AX37" s="54"/>
      <c r="AY37" s="54"/>
      <c r="AZ37" s="54"/>
      <c r="BA37" s="54"/>
      <c r="BB37" s="54"/>
    </row>
    <row r="38" spans="1:54" ht="12.95" customHeight="1" thickBot="1" x14ac:dyDescent="0.25">
      <c r="A38" s="57"/>
      <c r="B38"/>
      <c r="C38"/>
      <c r="D38" s="100">
        <v>13</v>
      </c>
      <c r="E38" s="100"/>
      <c r="F38" s="100"/>
      <c r="G38" s="100"/>
      <c r="H38" s="100">
        <v>14</v>
      </c>
      <c r="I38" s="100"/>
      <c r="J38" s="100"/>
      <c r="K38" s="100"/>
      <c r="L38" s="100">
        <v>15</v>
      </c>
      <c r="M38" s="100"/>
      <c r="N38" s="100"/>
      <c r="O38" s="100"/>
      <c r="P38" s="100">
        <v>16</v>
      </c>
      <c r="Q38" s="100"/>
      <c r="R38" s="100"/>
      <c r="S38" s="100"/>
      <c r="T38" s="100">
        <v>17</v>
      </c>
      <c r="U38" s="100"/>
      <c r="V38" s="100"/>
      <c r="W38" s="100"/>
      <c r="X38" s="100">
        <v>18</v>
      </c>
      <c r="Y38" s="79"/>
      <c r="Z38" s="79"/>
      <c r="AA38" s="79"/>
      <c r="AB38" s="57"/>
      <c r="AC38" s="48"/>
      <c r="AD38" s="48"/>
      <c r="AE38" s="48"/>
      <c r="AF38" s="48"/>
      <c r="AG38" s="48"/>
      <c r="AH38" s="48"/>
      <c r="AI38" s="48"/>
      <c r="AJ38" s="48"/>
      <c r="AP38" s="54"/>
      <c r="AQ38" s="54"/>
      <c r="AR38" s="54"/>
      <c r="AS38" s="54"/>
      <c r="AT38" s="54"/>
      <c r="AU38" s="54"/>
      <c r="AV38" s="76"/>
      <c r="AW38" s="77"/>
      <c r="AX38" s="54"/>
      <c r="AY38" s="54"/>
      <c r="AZ38" s="54"/>
      <c r="BA38" s="54"/>
      <c r="BB38" s="54"/>
    </row>
    <row r="39" spans="1:54" ht="12.95" customHeight="1" x14ac:dyDescent="0.2">
      <c r="A39" s="57"/>
      <c r="B39" s="41"/>
      <c r="C39" s="42"/>
      <c r="D39" s="2569" t="str">
        <f ca="1">IF(ISBLANK(OFFSET($AP$2,D38,0)),"",CONCATENATE("Seq. ",OFFSET($AP$2,D38,0)))</f>
        <v/>
      </c>
      <c r="E39" s="2570"/>
      <c r="F39" s="2570"/>
      <c r="G39" s="2571"/>
      <c r="H39" s="2569" t="str">
        <f ca="1">IF(ISBLANK(OFFSET($AP$2,H38,0)),"",CONCATENATE("Seq. ",OFFSET($AP$2,H38,0)))</f>
        <v/>
      </c>
      <c r="I39" s="2570"/>
      <c r="J39" s="2570"/>
      <c r="K39" s="2571"/>
      <c r="L39" s="2569" t="str">
        <f ca="1">IF(ISBLANK(OFFSET($AP$2,L38,0)),"",CONCATENATE("Seq. ",OFFSET($AP$2,L38,0)))</f>
        <v/>
      </c>
      <c r="M39" s="2570"/>
      <c r="N39" s="2570"/>
      <c r="O39" s="2571"/>
      <c r="P39" s="2569" t="str">
        <f ca="1">IF(ISBLANK(OFFSET($AP$2,P38,0)),"",CONCATENATE("Seq. ",OFFSET($AP$2,P38,0)))</f>
        <v/>
      </c>
      <c r="Q39" s="2570"/>
      <c r="R39" s="2570"/>
      <c r="S39" s="2571"/>
      <c r="T39" s="2569" t="str">
        <f ca="1">IF(ISBLANK(OFFSET($AP$2,T38,0)),"",CONCATENATE("Seq. ",OFFSET($AP$2,T38,0)))</f>
        <v/>
      </c>
      <c r="U39" s="2570"/>
      <c r="V39" s="2570"/>
      <c r="W39" s="2571"/>
      <c r="X39" s="2569" t="str">
        <f ca="1">IF(ISBLANK(OFFSET($AP$2,X38,0)),"",CONCATENATE("Seq. ",OFFSET($AP$2,X38,0)))</f>
        <v/>
      </c>
      <c r="Y39" s="2570"/>
      <c r="Z39" s="2570"/>
      <c r="AA39" s="2571"/>
      <c r="AB39" s="57"/>
      <c r="AC39" s="48"/>
      <c r="AD39" s="48"/>
      <c r="AE39" s="48"/>
      <c r="AF39" s="48"/>
      <c r="AG39" s="48"/>
      <c r="AH39" s="48"/>
      <c r="AI39" s="48"/>
      <c r="AJ39" s="48"/>
      <c r="AP39" s="54"/>
      <c r="AQ39" s="54"/>
      <c r="AR39" s="54"/>
      <c r="AS39" s="54"/>
      <c r="AT39" s="54"/>
      <c r="AU39" s="54"/>
      <c r="AV39" s="76"/>
      <c r="AW39" s="77"/>
      <c r="AX39" s="54"/>
      <c r="AY39" s="54"/>
      <c r="AZ39" s="54"/>
      <c r="BA39" s="54"/>
      <c r="BB39" s="54"/>
    </row>
    <row r="40" spans="1:54" ht="12.95" customHeight="1" thickBot="1" x14ac:dyDescent="0.25">
      <c r="A40" s="57"/>
      <c r="B40" s="41"/>
      <c r="C40" s="42"/>
      <c r="D40" s="2558" t="s">
        <v>440</v>
      </c>
      <c r="E40" s="2559"/>
      <c r="F40" s="2559" t="s">
        <v>441</v>
      </c>
      <c r="G40" s="2560"/>
      <c r="H40" s="2558" t="s">
        <v>440</v>
      </c>
      <c r="I40" s="2559"/>
      <c r="J40" s="2559" t="s">
        <v>441</v>
      </c>
      <c r="K40" s="2560"/>
      <c r="L40" s="2558" t="s">
        <v>440</v>
      </c>
      <c r="M40" s="2559"/>
      <c r="N40" s="2559" t="s">
        <v>441</v>
      </c>
      <c r="O40" s="2560"/>
      <c r="P40" s="2558" t="s">
        <v>440</v>
      </c>
      <c r="Q40" s="2559"/>
      <c r="R40" s="2559" t="s">
        <v>441</v>
      </c>
      <c r="S40" s="2560"/>
      <c r="T40" s="2558" t="s">
        <v>440</v>
      </c>
      <c r="U40" s="2559"/>
      <c r="V40" s="2559" t="s">
        <v>441</v>
      </c>
      <c r="W40" s="2560"/>
      <c r="X40" s="2558" t="s">
        <v>440</v>
      </c>
      <c r="Y40" s="2559"/>
      <c r="Z40" s="2559" t="s">
        <v>441</v>
      </c>
      <c r="AA40" s="2560"/>
      <c r="AB40" s="57"/>
      <c r="AC40" s="48"/>
      <c r="AD40" s="48"/>
      <c r="AE40" s="48"/>
      <c r="AF40" s="48"/>
      <c r="AG40" s="48"/>
      <c r="AH40" s="48"/>
      <c r="AI40" s="48"/>
      <c r="AJ40" s="48"/>
      <c r="AP40" s="54"/>
      <c r="AQ40" s="54"/>
      <c r="AR40" s="54"/>
      <c r="AS40" s="54"/>
      <c r="AT40" s="54"/>
      <c r="AU40" s="54"/>
      <c r="AV40" s="76"/>
      <c r="AW40" s="77"/>
      <c r="AX40" s="54"/>
      <c r="AY40" s="54"/>
      <c r="AZ40" s="54"/>
      <c r="BA40" s="54"/>
      <c r="BB40" s="54"/>
    </row>
    <row r="41" spans="1:54" ht="12.95" customHeight="1" x14ac:dyDescent="0.2">
      <c r="A41" s="57"/>
      <c r="B41" s="2563" t="s">
        <v>73</v>
      </c>
      <c r="C41" s="2564"/>
      <c r="D41" s="2554" t="str">
        <f ca="1">IF(ISBLANK(OFFSET($AP$2,D38,0)),"",OFFSET($AQ$2,D38,0)+OFFSET($AU$2,D38,0))</f>
        <v/>
      </c>
      <c r="E41" s="2555"/>
      <c r="F41" s="2552" t="str">
        <f ca="1">IF(ISBLANK(OFFSET($AP$2,D38,0)),"",(OFFSET($AQ$2,D38,0)+OFFSET($AU$2,D38,0))-(OFFSET($AW$2,D38,0)+OFFSET($BA$2,D38,0)))</f>
        <v/>
      </c>
      <c r="G41" s="2553"/>
      <c r="H41" s="2554" t="str">
        <f ca="1">IF(ISBLANK(OFFSET($AP$2,H38,0)),"",OFFSET($AQ$2,H38,0)+OFFSET($AU$2,H38,0))</f>
        <v/>
      </c>
      <c r="I41" s="2555"/>
      <c r="J41" s="2552" t="str">
        <f ca="1">IF(ISBLANK(OFFSET($AP$2,H38,0)),"",(OFFSET($AQ$2,H38,0)+OFFSET($AU$2,H38,0))-(OFFSET($AW$2,H38,0)+OFFSET($BA$2,H38,0)))</f>
        <v/>
      </c>
      <c r="K41" s="2553"/>
      <c r="L41" s="2554" t="str">
        <f ca="1">IF(ISBLANK(OFFSET($AP$2,L38,0)),"",OFFSET($AQ$2,L38,0)+OFFSET($AU$2,L38,0))</f>
        <v/>
      </c>
      <c r="M41" s="2555"/>
      <c r="N41" s="2552" t="str">
        <f ca="1">IF(ISBLANK(OFFSET($AP$2,L38,0)),"",(OFFSET($AQ$2,L38,0)+OFFSET($AU$2,L38,0))-(OFFSET($AW$2,L38,0)+OFFSET($BA$2,L38,0)))</f>
        <v/>
      </c>
      <c r="O41" s="2553"/>
      <c r="P41" s="2554" t="str">
        <f ca="1">IF(ISBLANK(OFFSET($AP$2,P38,0)),"",OFFSET($AQ$2,P38,0)+OFFSET($AU$2,P38,0))</f>
        <v/>
      </c>
      <c r="Q41" s="2555"/>
      <c r="R41" s="2552" t="str">
        <f ca="1">IF(ISBLANK(OFFSET($AP$2,P38,0)),"",(OFFSET($AQ$2,P38,0)+OFFSET($AU$2,P38,0))-(OFFSET($AW$2,P38,0)+OFFSET($BA$2,P38,0)))</f>
        <v/>
      </c>
      <c r="S41" s="2553"/>
      <c r="T41" s="2554" t="str">
        <f ca="1">IF(ISBLANK(OFFSET($AP$2,T38,0)),"",OFFSET($AQ$2,T38,0)+OFFSET($AU$2,T38,0))</f>
        <v/>
      </c>
      <c r="U41" s="2555"/>
      <c r="V41" s="2552" t="str">
        <f ca="1">IF(ISBLANK(OFFSET($AP$2,T38,0)),"",(OFFSET($AQ$2,T38,0)+OFFSET($AU$2,T38,0))-(OFFSET($AW$2,T38,0)+OFFSET($BA$2,T38,0)))</f>
        <v/>
      </c>
      <c r="W41" s="2553"/>
      <c r="X41" s="2554" t="str">
        <f ca="1">IF(ISBLANK(OFFSET($AP$2,X38,0)),"",OFFSET($AQ$2,X38,0)+OFFSET($AU$2,X38,0))</f>
        <v/>
      </c>
      <c r="Y41" s="2555"/>
      <c r="Z41" s="2552" t="str">
        <f ca="1">IF(ISBLANK(OFFSET($AP$2,X38,0)),"",(OFFSET($AQ$2,X38,0)+OFFSET($AU$2,X38,0))-(OFFSET($AW$2,X38,0)+OFFSET($BA$2,X38,0)))</f>
        <v/>
      </c>
      <c r="AA41" s="2553"/>
      <c r="AB41" s="57"/>
      <c r="AC41" s="48"/>
      <c r="AD41" s="48"/>
      <c r="AE41" s="48"/>
      <c r="AF41" s="48"/>
      <c r="AG41" s="48"/>
      <c r="AH41" s="48"/>
      <c r="AI41" s="48"/>
      <c r="AJ41" s="48"/>
      <c r="AP41" s="54"/>
      <c r="AQ41" s="54"/>
      <c r="AR41" s="54"/>
      <c r="AS41" s="54"/>
      <c r="AT41" s="54"/>
      <c r="AU41" s="54"/>
      <c r="AV41" s="76"/>
      <c r="AW41" s="77"/>
      <c r="AX41" s="54"/>
      <c r="AY41" s="54"/>
      <c r="AZ41" s="54"/>
      <c r="BA41" s="54"/>
      <c r="BB41" s="54"/>
    </row>
    <row r="42" spans="1:54" ht="12.95" customHeight="1" x14ac:dyDescent="0.2">
      <c r="A42" s="57"/>
      <c r="B42" s="2556" t="s">
        <v>437</v>
      </c>
      <c r="C42" s="2557"/>
      <c r="D42" s="2554" t="str">
        <f ca="1">IF(ISBLANK(OFFSET($AP$2,D38,0)),"",OFFSET($AR$2,D38,0))</f>
        <v/>
      </c>
      <c r="E42" s="2555"/>
      <c r="F42" s="2552" t="str">
        <f ca="1">IF(ISBLANK(OFFSET($AP$2,D38,0)),"",OFFSET($AR$2,D38,0)-OFFSET($AX$2,D38,0))</f>
        <v/>
      </c>
      <c r="G42" s="2553"/>
      <c r="H42" s="2554" t="str">
        <f ca="1">IF(ISBLANK(OFFSET($AP$2,H38,0)),"",OFFSET($AR$2,H38,0))</f>
        <v/>
      </c>
      <c r="I42" s="2555"/>
      <c r="J42" s="2552" t="str">
        <f ca="1">IF(ISBLANK(OFFSET($AP$2,H38,0)),"",OFFSET($AR$2,H38,0)-OFFSET($AX$2,H38,0))</f>
        <v/>
      </c>
      <c r="K42" s="2553"/>
      <c r="L42" s="2554" t="str">
        <f ca="1">IF(ISBLANK(OFFSET($AP$2,L38,0)),"",OFFSET($AR$2,L38,0))</f>
        <v/>
      </c>
      <c r="M42" s="2555"/>
      <c r="N42" s="2552" t="str">
        <f ca="1">IF(ISBLANK(OFFSET($AP$2,L38,0)),"",OFFSET($AR$2,L38,0)-OFFSET($AX$2,L38,0))</f>
        <v/>
      </c>
      <c r="O42" s="2553"/>
      <c r="P42" s="2554" t="str">
        <f ca="1">IF(ISBLANK(OFFSET($AP$2,P38,0)),"",OFFSET($AR$2,P38,0))</f>
        <v/>
      </c>
      <c r="Q42" s="2555"/>
      <c r="R42" s="2552" t="str">
        <f ca="1">IF(ISBLANK(OFFSET($AP$2,P38,0)),"",OFFSET($AR$2,P38,0)-OFFSET($AX$2,P38,0))</f>
        <v/>
      </c>
      <c r="S42" s="2553"/>
      <c r="T42" s="2554" t="str">
        <f ca="1">IF(ISBLANK(OFFSET($AP$2,T38,0)),"",OFFSET($AR$2,T38,0))</f>
        <v/>
      </c>
      <c r="U42" s="2555"/>
      <c r="V42" s="2552" t="str">
        <f ca="1">IF(ISBLANK(OFFSET($AP$2,T38,0)),"",OFFSET($AR$2,T38,0)-OFFSET($AX$2,T38,0))</f>
        <v/>
      </c>
      <c r="W42" s="2553"/>
      <c r="X42" s="2554" t="str">
        <f ca="1">IF(ISBLANK(OFFSET($AP$2,X38,0)),"",OFFSET($AR$2,X38,0))</f>
        <v/>
      </c>
      <c r="Y42" s="2555"/>
      <c r="Z42" s="2552" t="str">
        <f ca="1">IF(ISBLANK(OFFSET($AP$2,X38,0)),"",OFFSET($AR$2,X38,0)-OFFSET($AX$2,X38,0))</f>
        <v/>
      </c>
      <c r="AA42" s="2553"/>
      <c r="AB42" s="57"/>
      <c r="AC42" s="48"/>
      <c r="AD42" s="48"/>
      <c r="AE42" s="48"/>
      <c r="AF42" s="48"/>
      <c r="AG42" s="48"/>
      <c r="AH42" s="48"/>
      <c r="AI42" s="48"/>
      <c r="AJ42" s="48"/>
      <c r="AP42" s="54"/>
      <c r="AQ42" s="54"/>
      <c r="AR42" s="54"/>
      <c r="AS42" s="54"/>
      <c r="AT42" s="54"/>
      <c r="AU42" s="54"/>
      <c r="AV42" s="76"/>
      <c r="AW42" s="77"/>
      <c r="AX42" s="54"/>
      <c r="AY42" s="54"/>
      <c r="AZ42" s="54"/>
      <c r="BA42" s="54"/>
      <c r="BB42" s="54"/>
    </row>
    <row r="43" spans="1:54" ht="12.95" customHeight="1" x14ac:dyDescent="0.2">
      <c r="A43" s="57"/>
      <c r="B43" s="2556" t="s">
        <v>438</v>
      </c>
      <c r="C43" s="2557"/>
      <c r="D43" s="2554" t="str">
        <f ca="1">IF(ISBLANK(OFFSET($AP$2,D38,0)),"",OFFSET($AS$2,D38,0))</f>
        <v/>
      </c>
      <c r="E43" s="2555"/>
      <c r="F43" s="2552" t="str">
        <f ca="1">IF(ISBLANK(OFFSET($AP$2,D38,0)),"",OFFSET($AS$2,D38,0)-OFFSET($AY$2,D38,0))</f>
        <v/>
      </c>
      <c r="G43" s="2553"/>
      <c r="H43" s="2554" t="str">
        <f ca="1">IF(ISBLANK(OFFSET($AP$2,H38,0)),"",OFFSET($AS$2,H38,0))</f>
        <v/>
      </c>
      <c r="I43" s="2555"/>
      <c r="J43" s="2552" t="str">
        <f ca="1">IF(ISBLANK(OFFSET($AP$2,H38,0)),"",OFFSET($AS$2,H38,0)-OFFSET($AY$2,H38,0))</f>
        <v/>
      </c>
      <c r="K43" s="2553"/>
      <c r="L43" s="2554" t="str">
        <f ca="1">IF(ISBLANK(OFFSET($AP$2,L38,0)),"",OFFSET($AS$2,L38,0))</f>
        <v/>
      </c>
      <c r="M43" s="2555"/>
      <c r="N43" s="2552" t="str">
        <f ca="1">IF(ISBLANK(OFFSET($AP$2,L38,0)),"",OFFSET($AS$2,L38,0)-OFFSET($AY$2,L38,0))</f>
        <v/>
      </c>
      <c r="O43" s="2553"/>
      <c r="P43" s="2554" t="str">
        <f ca="1">IF(ISBLANK(OFFSET($AP$2,P38,0)),"",OFFSET($AS$2,P38,0))</f>
        <v/>
      </c>
      <c r="Q43" s="2555"/>
      <c r="R43" s="2552" t="str">
        <f ca="1">IF(ISBLANK(OFFSET($AP$2,P38,0)),"",OFFSET($AS$2,P38,0)-OFFSET($AY$2,P38,0))</f>
        <v/>
      </c>
      <c r="S43" s="2553"/>
      <c r="T43" s="2554" t="str">
        <f ca="1">IF(ISBLANK(OFFSET($AP$2,T38,0)),"",OFFSET($AS$2,T38,0))</f>
        <v/>
      </c>
      <c r="U43" s="2555"/>
      <c r="V43" s="2552" t="str">
        <f ca="1">IF(ISBLANK(OFFSET($AP$2,T38,0)),"",OFFSET($AS$2,T38,0)-OFFSET($AY$2,T38,0))</f>
        <v/>
      </c>
      <c r="W43" s="2553"/>
      <c r="X43" s="2554" t="str">
        <f ca="1">IF(ISBLANK(OFFSET($AP$2,X38,0)),"",OFFSET($AS$2,X38,0))</f>
        <v/>
      </c>
      <c r="Y43" s="2555"/>
      <c r="Z43" s="2552" t="str">
        <f ca="1">IF(ISBLANK(OFFSET($AP$2,X38,0)),"",OFFSET($AS$2,X38,0)-OFFSET($AY$2,X38,0))</f>
        <v/>
      </c>
      <c r="AA43" s="2553"/>
      <c r="AB43" s="57"/>
      <c r="AC43" s="48"/>
      <c r="AD43" s="48"/>
      <c r="AE43" s="48"/>
      <c r="AF43" s="48"/>
      <c r="AG43" s="48"/>
      <c r="AH43" s="48"/>
      <c r="AI43" s="48"/>
      <c r="AJ43" s="48"/>
      <c r="AP43" s="54"/>
      <c r="AQ43" s="54"/>
      <c r="AR43" s="54"/>
      <c r="AS43" s="54"/>
      <c r="AT43" s="54"/>
      <c r="AU43" s="54"/>
      <c r="AV43" s="76"/>
      <c r="AW43" s="77"/>
      <c r="AX43" s="54"/>
      <c r="AY43" s="54"/>
      <c r="AZ43" s="54"/>
      <c r="BA43" s="54"/>
      <c r="BB43" s="54"/>
    </row>
    <row r="44" spans="1:54" ht="12.95" customHeight="1" x14ac:dyDescent="0.2">
      <c r="A44" s="57"/>
      <c r="B44" s="2556" t="s">
        <v>75</v>
      </c>
      <c r="C44" s="2557"/>
      <c r="D44" s="2554" t="str">
        <f ca="1">IF(ISBLANK(OFFSET($AP$2,D38,0)),"",OFFSET($AT$2,D38,0))</f>
        <v/>
      </c>
      <c r="E44" s="2555"/>
      <c r="F44" s="2552" t="str">
        <f ca="1">IF(ISBLANK(OFFSET($AP$2,D38,0)),"",OFFSET($AT$2,D38,0)-OFFSET($AZ$2,D38,0))</f>
        <v/>
      </c>
      <c r="G44" s="2553"/>
      <c r="H44" s="2554" t="str">
        <f ca="1">IF(ISBLANK(OFFSET($AP$2,H38,0)),"",OFFSET($AT$2,H38,0))</f>
        <v/>
      </c>
      <c r="I44" s="2555"/>
      <c r="J44" s="2552" t="str">
        <f ca="1">IF(ISBLANK(OFFSET($AP$2,H38,0)),"",OFFSET($AT$2,H38,0)-OFFSET($AZ$2,H38,0))</f>
        <v/>
      </c>
      <c r="K44" s="2553"/>
      <c r="L44" s="2554" t="str">
        <f ca="1">IF(ISBLANK(OFFSET($AP$2,L38,0)),"",OFFSET($AT$2,L38,0))</f>
        <v/>
      </c>
      <c r="M44" s="2555"/>
      <c r="N44" s="2552" t="str">
        <f ca="1">IF(ISBLANK(OFFSET($AP$2,L38,0)),"",OFFSET($AT$2,L38,0)-OFFSET($AZ$2,L38,0))</f>
        <v/>
      </c>
      <c r="O44" s="2553"/>
      <c r="P44" s="2554" t="str">
        <f ca="1">IF(ISBLANK(OFFSET($AP$2,P38,0)),"",OFFSET($AT$2,P38,0))</f>
        <v/>
      </c>
      <c r="Q44" s="2555"/>
      <c r="R44" s="2552" t="str">
        <f ca="1">IF(ISBLANK(OFFSET($AP$2,P38,0)),"",OFFSET($AT$2,P38,0)-OFFSET($AZ$2,P38,0))</f>
        <v/>
      </c>
      <c r="S44" s="2553"/>
      <c r="T44" s="2554" t="str">
        <f ca="1">IF(ISBLANK(OFFSET($AP$2,T38,0)),"",OFFSET($AT$2,T38,0))</f>
        <v/>
      </c>
      <c r="U44" s="2555"/>
      <c r="V44" s="2552" t="str">
        <f ca="1">IF(ISBLANK(OFFSET($AP$2,T38,0)),"",OFFSET($AT$2,T38,0)-OFFSET($AZ$2,T38,0))</f>
        <v/>
      </c>
      <c r="W44" s="2553"/>
      <c r="X44" s="2554" t="str">
        <f ca="1">IF(ISBLANK(OFFSET($AP$2,X38,0)),"",OFFSET($AT$2,X38,0))</f>
        <v/>
      </c>
      <c r="Y44" s="2555"/>
      <c r="Z44" s="2552" t="str">
        <f ca="1">IF(ISBLANK(OFFSET($AP$2,X38,0)),"",OFFSET($AT$2,X38,0)-OFFSET($AZ$2,X38,0))</f>
        <v/>
      </c>
      <c r="AA44" s="2553"/>
      <c r="AB44" s="57"/>
      <c r="AC44" s="48"/>
      <c r="AD44" s="48"/>
      <c r="AE44" s="48"/>
      <c r="AF44" s="48"/>
      <c r="AG44" s="48"/>
      <c r="AH44" s="48"/>
      <c r="AI44" s="48"/>
      <c r="AJ44" s="48"/>
      <c r="AP44" s="54"/>
      <c r="AQ44" s="54"/>
      <c r="AR44" s="54"/>
      <c r="AS44" s="54"/>
      <c r="AT44" s="54"/>
      <c r="AU44" s="54"/>
      <c r="AV44" s="76"/>
      <c r="AW44" s="77"/>
      <c r="AX44" s="54"/>
      <c r="AY44" s="54"/>
      <c r="AZ44" s="54"/>
      <c r="BA44" s="54"/>
      <c r="BB44" s="54"/>
    </row>
    <row r="45" spans="1:54" ht="12.95" customHeight="1" thickBot="1" x14ac:dyDescent="0.25">
      <c r="A45" s="57"/>
      <c r="B45" s="2572" t="s">
        <v>439</v>
      </c>
      <c r="C45" s="2573"/>
      <c r="D45" s="2565" t="str">
        <f ca="1">IF(ISBLANK(OFFSET($AP$2,D38,0)),"",OFFSET($AV$2,D38,0))</f>
        <v/>
      </c>
      <c r="E45" s="2566"/>
      <c r="F45" s="2567" t="str">
        <f ca="1">IF(ISBLANK(OFFSET($AP$2,D38,0)),"",OFFSET($AV$2,D38,0)-OFFSET($BB$2,D38,0))</f>
        <v/>
      </c>
      <c r="G45" s="2568"/>
      <c r="H45" s="2565" t="str">
        <f ca="1">IF(ISBLANK(OFFSET($AP$2,H38,0)),"",OFFSET($AV$2,H38,0))</f>
        <v/>
      </c>
      <c r="I45" s="2566"/>
      <c r="J45" s="2567" t="str">
        <f ca="1">IF(ISBLANK(OFFSET($AP$2,H38,0)),"",OFFSET($AV$2,H38,0)-OFFSET($BB$2,H38,0))</f>
        <v/>
      </c>
      <c r="K45" s="2568"/>
      <c r="L45" s="2565" t="str">
        <f ca="1">IF(ISBLANK(OFFSET($AP$2,L38,0)),"",OFFSET($AV$2,L38,0))</f>
        <v/>
      </c>
      <c r="M45" s="2566"/>
      <c r="N45" s="2567" t="str">
        <f ca="1">IF(ISBLANK(OFFSET($AP$2,L38,0)),"",OFFSET($AV$2,L38,0)-OFFSET($BB$2,L38,0))</f>
        <v/>
      </c>
      <c r="O45" s="2568"/>
      <c r="P45" s="2565" t="str">
        <f ca="1">IF(ISBLANK(OFFSET($AP$2,P38,0)),"",OFFSET($AV$2,P38,0))</f>
        <v/>
      </c>
      <c r="Q45" s="2566"/>
      <c r="R45" s="2567" t="str">
        <f ca="1">IF(ISBLANK(OFFSET($AP$2,P38,0)),"",OFFSET($AV$2,P38,0)-OFFSET($BB$2,P38,0))</f>
        <v/>
      </c>
      <c r="S45" s="2568"/>
      <c r="T45" s="2565" t="str">
        <f ca="1">IF(ISBLANK(OFFSET($AP$2,T38,0)),"",OFFSET($AV$2,T38,0))</f>
        <v/>
      </c>
      <c r="U45" s="2566"/>
      <c r="V45" s="2567" t="str">
        <f ca="1">IF(ISBLANK(OFFSET($AP$2,T38,0)),"",OFFSET($AV$2,T38,0)-OFFSET($BB$2,T38,0))</f>
        <v/>
      </c>
      <c r="W45" s="2568"/>
      <c r="X45" s="2565" t="str">
        <f ca="1">IF(ISBLANK(OFFSET($AP$2,X38,0)),"",OFFSET($AV$2,X38,0))</f>
        <v/>
      </c>
      <c r="Y45" s="2566"/>
      <c r="Z45" s="2567" t="str">
        <f ca="1">IF(ISBLANK(OFFSET($AP$2,X38,0)),"",OFFSET($AV$2,X38,0)-OFFSET($BB$2,X38,0))</f>
        <v/>
      </c>
      <c r="AA45" s="2568"/>
      <c r="AB45" s="57"/>
      <c r="AC45" s="48"/>
      <c r="AD45" s="48"/>
      <c r="AE45" s="48"/>
      <c r="AF45" s="48"/>
      <c r="AG45" s="48"/>
      <c r="AH45" s="48"/>
      <c r="AI45" s="48"/>
      <c r="AJ45" s="48"/>
      <c r="AP45" s="54"/>
      <c r="AQ45" s="54"/>
      <c r="AR45" s="54"/>
      <c r="AS45" s="54"/>
      <c r="AT45" s="54"/>
      <c r="AU45" s="54"/>
      <c r="AV45" s="76"/>
      <c r="AW45" s="77"/>
      <c r="AX45" s="54"/>
      <c r="AY45" s="54"/>
      <c r="AZ45" s="54"/>
      <c r="BA45" s="54"/>
      <c r="BB45" s="54"/>
    </row>
    <row r="46" spans="1:54" ht="12.95" customHeight="1" thickBot="1" x14ac:dyDescent="0.25">
      <c r="A46" s="57"/>
      <c r="B46"/>
      <c r="C46"/>
      <c r="D46" s="100">
        <v>19</v>
      </c>
      <c r="E46" s="100"/>
      <c r="F46" s="100"/>
      <c r="G46" s="100"/>
      <c r="H46" s="100">
        <v>20</v>
      </c>
      <c r="I46" s="100"/>
      <c r="J46" s="100"/>
      <c r="K46" s="100"/>
      <c r="L46" s="100">
        <v>21</v>
      </c>
      <c r="M46" s="100"/>
      <c r="N46" s="100"/>
      <c r="O46" s="100"/>
      <c r="P46" s="100">
        <v>22</v>
      </c>
      <c r="Q46" s="100"/>
      <c r="R46" s="100"/>
      <c r="S46" s="100"/>
      <c r="T46" s="100">
        <v>23</v>
      </c>
      <c r="U46" s="100"/>
      <c r="V46" s="100"/>
      <c r="W46" s="100"/>
      <c r="X46" s="100">
        <v>24</v>
      </c>
      <c r="Y46" s="79"/>
      <c r="Z46" s="79"/>
      <c r="AA46" s="79"/>
      <c r="AB46" s="57"/>
      <c r="AC46" s="48"/>
      <c r="AD46" s="48"/>
      <c r="AE46" s="48"/>
      <c r="AF46" s="48"/>
      <c r="AG46" s="48"/>
      <c r="AH46" s="48"/>
      <c r="AI46" s="48"/>
      <c r="AJ46" s="48"/>
      <c r="AP46" s="54"/>
      <c r="AQ46" s="54"/>
      <c r="AR46" s="54"/>
      <c r="AS46" s="54"/>
      <c r="AT46" s="54"/>
      <c r="AU46" s="54"/>
      <c r="AV46" s="76"/>
      <c r="AW46" s="77"/>
      <c r="AX46" s="54"/>
      <c r="AY46" s="54"/>
      <c r="AZ46" s="54"/>
      <c r="BA46" s="54"/>
      <c r="BB46" s="54"/>
    </row>
    <row r="47" spans="1:54" ht="12.95" customHeight="1" x14ac:dyDescent="0.2">
      <c r="A47" s="57"/>
      <c r="B47" s="41"/>
      <c r="C47" s="42"/>
      <c r="D47" s="2569" t="str">
        <f ca="1">IF(ISBLANK(OFFSET($AP$2,D46,0)),"",CONCATENATE("Seq. ",OFFSET($AP$2,D46,0)))</f>
        <v/>
      </c>
      <c r="E47" s="2570"/>
      <c r="F47" s="2570"/>
      <c r="G47" s="2571"/>
      <c r="H47" s="2569" t="str">
        <f ca="1">IF(ISBLANK(OFFSET($AP$2,H46,0)),"",CONCATENATE("Seq. ",OFFSET($AP$2,H46,0)))</f>
        <v/>
      </c>
      <c r="I47" s="2570"/>
      <c r="J47" s="2570"/>
      <c r="K47" s="2571"/>
      <c r="L47" s="2569" t="str">
        <f ca="1">IF(ISBLANK(OFFSET($AP$2,L46,0)),"",CONCATENATE("Seq. ",OFFSET($AP$2,L46,0)))</f>
        <v/>
      </c>
      <c r="M47" s="2570"/>
      <c r="N47" s="2570"/>
      <c r="O47" s="2571"/>
      <c r="P47" s="2569" t="str">
        <f ca="1">IF(ISBLANK(OFFSET($AP$2,P46,0)),"",CONCATENATE("Seq. ",OFFSET($AP$2,P46,0)))</f>
        <v/>
      </c>
      <c r="Q47" s="2570"/>
      <c r="R47" s="2570"/>
      <c r="S47" s="2571"/>
      <c r="T47" s="2569" t="str">
        <f ca="1">IF(ISBLANK(OFFSET($AP$2,T46,0)),"",CONCATENATE("Seq. ",OFFSET($AP$2,T46,0)))</f>
        <v/>
      </c>
      <c r="U47" s="2570"/>
      <c r="V47" s="2570"/>
      <c r="W47" s="2571"/>
      <c r="X47" s="2569" t="str">
        <f ca="1">IF(ISBLANK(OFFSET($AP$2,X46,0)),"",CONCATENATE("Seq. ",OFFSET($AP$2,X46,0)))</f>
        <v/>
      </c>
      <c r="Y47" s="2570"/>
      <c r="Z47" s="2570"/>
      <c r="AA47" s="2571"/>
      <c r="AB47" s="57"/>
      <c r="AC47" s="48"/>
      <c r="AD47" s="48"/>
      <c r="AE47" s="48"/>
      <c r="AF47" s="48"/>
      <c r="AG47" s="48"/>
      <c r="AH47" s="48"/>
      <c r="AI47" s="48"/>
      <c r="AJ47" s="48"/>
      <c r="AP47" s="54"/>
      <c r="AQ47" s="54"/>
      <c r="AR47" s="54"/>
      <c r="AS47" s="54"/>
      <c r="AT47" s="54"/>
      <c r="AU47" s="54"/>
      <c r="AV47" s="76"/>
      <c r="AW47" s="77"/>
      <c r="AX47" s="54"/>
      <c r="AY47" s="54"/>
      <c r="AZ47" s="54"/>
      <c r="BA47" s="54"/>
      <c r="BB47" s="54"/>
    </row>
    <row r="48" spans="1:54" ht="12.95" customHeight="1" thickBot="1" x14ac:dyDescent="0.25">
      <c r="A48" s="57"/>
      <c r="B48" s="41"/>
      <c r="C48" s="42"/>
      <c r="D48" s="2558" t="s">
        <v>440</v>
      </c>
      <c r="E48" s="2559"/>
      <c r="F48" s="2559" t="s">
        <v>441</v>
      </c>
      <c r="G48" s="2560"/>
      <c r="H48" s="2558" t="s">
        <v>440</v>
      </c>
      <c r="I48" s="2559"/>
      <c r="J48" s="2559" t="s">
        <v>441</v>
      </c>
      <c r="K48" s="2560"/>
      <c r="L48" s="2558" t="s">
        <v>440</v>
      </c>
      <c r="M48" s="2559"/>
      <c r="N48" s="2559" t="s">
        <v>441</v>
      </c>
      <c r="O48" s="2560"/>
      <c r="P48" s="2558" t="s">
        <v>440</v>
      </c>
      <c r="Q48" s="2559"/>
      <c r="R48" s="2559" t="s">
        <v>441</v>
      </c>
      <c r="S48" s="2560"/>
      <c r="T48" s="2558" t="s">
        <v>440</v>
      </c>
      <c r="U48" s="2559"/>
      <c r="V48" s="2559" t="s">
        <v>441</v>
      </c>
      <c r="W48" s="2560"/>
      <c r="X48" s="2558" t="s">
        <v>440</v>
      </c>
      <c r="Y48" s="2559"/>
      <c r="Z48" s="2559" t="s">
        <v>441</v>
      </c>
      <c r="AA48" s="2560"/>
      <c r="AB48" s="57"/>
      <c r="AC48" s="48"/>
      <c r="AD48" s="48"/>
      <c r="AE48" s="48"/>
      <c r="AF48" s="48"/>
      <c r="AG48" s="48"/>
      <c r="AH48" s="48"/>
      <c r="AI48" s="48"/>
      <c r="AJ48" s="48"/>
      <c r="AP48" s="54"/>
      <c r="AQ48" s="54"/>
      <c r="AR48" s="54"/>
      <c r="AS48" s="54"/>
      <c r="AT48" s="54"/>
      <c r="AU48" s="54"/>
      <c r="AV48" s="76"/>
      <c r="AW48" s="77"/>
      <c r="AX48" s="54"/>
      <c r="AY48" s="54"/>
      <c r="AZ48" s="54"/>
      <c r="BA48" s="54"/>
      <c r="BB48" s="54"/>
    </row>
    <row r="49" spans="1:54" ht="12.95" customHeight="1" x14ac:dyDescent="0.2">
      <c r="A49" s="57"/>
      <c r="B49" s="2563" t="s">
        <v>73</v>
      </c>
      <c r="C49" s="2564"/>
      <c r="D49" s="2554" t="str">
        <f ca="1">IF(ISBLANK(OFFSET($AP$2,D46,0)),"",OFFSET($AQ$2,D46,0)+OFFSET($AU$2,D46,0))</f>
        <v/>
      </c>
      <c r="E49" s="2555"/>
      <c r="F49" s="2552" t="str">
        <f ca="1">IF(ISBLANK(OFFSET($AP$2,D46,0)),"",(OFFSET($AQ$2,D46,0)+OFFSET($AU$2,D46,0))-(OFFSET($AW$2,D46,0)+OFFSET($BA$2,D46,0)))</f>
        <v/>
      </c>
      <c r="G49" s="2553"/>
      <c r="H49" s="2554" t="str">
        <f ca="1">IF(ISBLANK(OFFSET($AP$2,H46,0)),"",OFFSET($AQ$2,H46,0)+OFFSET($AU$2,H46,0))</f>
        <v/>
      </c>
      <c r="I49" s="2555"/>
      <c r="J49" s="2552" t="str">
        <f ca="1">IF(ISBLANK(OFFSET($AP$2,H46,0)),"",(OFFSET($AQ$2,H46,0)+OFFSET($AU$2,H46,0))-(OFFSET($AW$2,H46,0)+OFFSET($BA$2,H46,0)))</f>
        <v/>
      </c>
      <c r="K49" s="2553"/>
      <c r="L49" s="2554" t="str">
        <f ca="1">IF(ISBLANK(OFFSET($AP$2,L46,0)),"",OFFSET($AQ$2,L46,0)+OFFSET($AU$2,L46,0))</f>
        <v/>
      </c>
      <c r="M49" s="2555"/>
      <c r="N49" s="2552" t="str">
        <f ca="1">IF(ISBLANK(OFFSET($AP$2,L46,0)),"",(OFFSET($AQ$2,L46,0)+OFFSET($AU$2,L46,0))-(OFFSET($AW$2,L46,0)+OFFSET($BA$2,L46,0)))</f>
        <v/>
      </c>
      <c r="O49" s="2553"/>
      <c r="P49" s="2554" t="str">
        <f ca="1">IF(ISBLANK(OFFSET($AP$2,P46,0)),"",OFFSET($AQ$2,P46,0)+OFFSET($AU$2,P46,0))</f>
        <v/>
      </c>
      <c r="Q49" s="2555"/>
      <c r="R49" s="2552" t="str">
        <f ca="1">IF(ISBLANK(OFFSET($AP$2,P46,0)),"",(OFFSET($AQ$2,P46,0)+OFFSET($AU$2,P46,0))-(OFFSET($AW$2,P46,0)+OFFSET($BA$2,P46,0)))</f>
        <v/>
      </c>
      <c r="S49" s="2553"/>
      <c r="T49" s="2554" t="str">
        <f ca="1">IF(ISBLANK(OFFSET($AP$2,T46,0)),"",OFFSET($AQ$2,T46,0)+OFFSET($AU$2,T46,0))</f>
        <v/>
      </c>
      <c r="U49" s="2555"/>
      <c r="V49" s="2552" t="str">
        <f ca="1">IF(ISBLANK(OFFSET($AP$2,T46,0)),"",(OFFSET($AQ$2,T46,0)+OFFSET($AU$2,T46,0))-(OFFSET($AW$2,T46,0)+OFFSET($BA$2,T46,0)))</f>
        <v/>
      </c>
      <c r="W49" s="2553"/>
      <c r="X49" s="2554" t="str">
        <f ca="1">IF(ISBLANK(OFFSET($AP$2,X46,0)),"",OFFSET($AQ$2,X46,0)+OFFSET($AU$2,X46,0))</f>
        <v/>
      </c>
      <c r="Y49" s="2555"/>
      <c r="Z49" s="2552" t="str">
        <f ca="1">IF(ISBLANK(OFFSET($AP$2,X46,0)),"",(OFFSET($AQ$2,X46,0)+OFFSET($AU$2,X46,0))-(OFFSET($AW$2,X46,0)+OFFSET($BA$2,X46,0)))</f>
        <v/>
      </c>
      <c r="AA49" s="2553"/>
      <c r="AB49" s="57"/>
      <c r="AC49" s="48"/>
      <c r="AD49" s="48"/>
      <c r="AE49" s="48"/>
      <c r="AF49" s="48"/>
      <c r="AG49" s="48"/>
      <c r="AH49" s="48"/>
      <c r="AI49" s="48"/>
      <c r="AJ49" s="48"/>
      <c r="AP49" s="54"/>
      <c r="AQ49" s="54"/>
      <c r="AR49" s="54"/>
      <c r="AS49" s="54"/>
      <c r="AT49" s="54"/>
      <c r="AU49" s="54"/>
      <c r="AV49" s="76"/>
      <c r="AW49" s="77"/>
      <c r="AX49" s="54"/>
      <c r="AY49" s="54"/>
      <c r="AZ49" s="54"/>
      <c r="BA49" s="54"/>
      <c r="BB49" s="54"/>
    </row>
    <row r="50" spans="1:54" ht="12.95" customHeight="1" x14ac:dyDescent="0.2">
      <c r="A50" s="57"/>
      <c r="B50" s="2556" t="s">
        <v>437</v>
      </c>
      <c r="C50" s="2557"/>
      <c r="D50" s="2554" t="str">
        <f ca="1">IF(ISBLANK(OFFSET($AP$2,D46,0)),"",OFFSET($AR$2,D46,0))</f>
        <v/>
      </c>
      <c r="E50" s="2555"/>
      <c r="F50" s="2552" t="str">
        <f ca="1">IF(ISBLANK(OFFSET($AP$2,D46,0)),"",OFFSET($AR$2,D46,0)-OFFSET($AX$2,D46,0))</f>
        <v/>
      </c>
      <c r="G50" s="2553"/>
      <c r="H50" s="2554" t="str">
        <f ca="1">IF(ISBLANK(OFFSET($AP$2,H46,0)),"",OFFSET($AR$2,H46,0))</f>
        <v/>
      </c>
      <c r="I50" s="2555"/>
      <c r="J50" s="2552" t="str">
        <f ca="1">IF(ISBLANK(OFFSET($AP$2,H46,0)),"",OFFSET($AR$2,H46,0)-OFFSET($AX$2,H46,0))</f>
        <v/>
      </c>
      <c r="K50" s="2553"/>
      <c r="L50" s="2554" t="str">
        <f ca="1">IF(ISBLANK(OFFSET($AP$2,L46,0)),"",OFFSET($AR$2,L46,0))</f>
        <v/>
      </c>
      <c r="M50" s="2555"/>
      <c r="N50" s="2552" t="str">
        <f ca="1">IF(ISBLANK(OFFSET($AP$2,L46,0)),"",OFFSET($AR$2,L46,0)-OFFSET($AX$2,L46,0))</f>
        <v/>
      </c>
      <c r="O50" s="2553"/>
      <c r="P50" s="2554" t="str">
        <f ca="1">IF(ISBLANK(OFFSET($AP$2,P46,0)),"",OFFSET($AR$2,P46,0))</f>
        <v/>
      </c>
      <c r="Q50" s="2555"/>
      <c r="R50" s="2552" t="str">
        <f ca="1">IF(ISBLANK(OFFSET($AP$2,P46,0)),"",OFFSET($AR$2,P46,0)-OFFSET($AX$2,P46,0))</f>
        <v/>
      </c>
      <c r="S50" s="2553"/>
      <c r="T50" s="2554" t="str">
        <f ca="1">IF(ISBLANK(OFFSET($AP$2,T46,0)),"",OFFSET($AR$2,T46,0))</f>
        <v/>
      </c>
      <c r="U50" s="2555"/>
      <c r="V50" s="2552" t="str">
        <f ca="1">IF(ISBLANK(OFFSET($AP$2,T46,0)),"",OFFSET($AR$2,T46,0)-OFFSET($AX$2,T46,0))</f>
        <v/>
      </c>
      <c r="W50" s="2553"/>
      <c r="X50" s="2554" t="str">
        <f ca="1">IF(ISBLANK(OFFSET($AP$2,X46,0)),"",OFFSET($AR$2,X46,0))</f>
        <v/>
      </c>
      <c r="Y50" s="2555"/>
      <c r="Z50" s="2552" t="str">
        <f ca="1">IF(ISBLANK(OFFSET($AP$2,X46,0)),"",OFFSET($AR$2,X46,0)-OFFSET($AX$2,X46,0))</f>
        <v/>
      </c>
      <c r="AA50" s="2553"/>
      <c r="AB50" s="57"/>
      <c r="AC50" s="48"/>
      <c r="AD50" s="48"/>
      <c r="AE50" s="48"/>
      <c r="AF50" s="48"/>
      <c r="AG50" s="48"/>
      <c r="AH50" s="48"/>
      <c r="AI50" s="48"/>
      <c r="AJ50" s="48"/>
      <c r="AP50" s="54"/>
      <c r="AQ50" s="54"/>
      <c r="AR50" s="54"/>
      <c r="AS50" s="54"/>
      <c r="AT50" s="54"/>
      <c r="AU50" s="54"/>
      <c r="AV50" s="76"/>
      <c r="AW50" s="77"/>
      <c r="AX50" s="54"/>
      <c r="AY50" s="54"/>
      <c r="AZ50" s="54"/>
      <c r="BA50" s="54"/>
      <c r="BB50" s="54"/>
    </row>
    <row r="51" spans="1:54" ht="12.95" customHeight="1" x14ac:dyDescent="0.2">
      <c r="A51" s="57"/>
      <c r="B51" s="2556" t="s">
        <v>438</v>
      </c>
      <c r="C51" s="2557"/>
      <c r="D51" s="2554" t="str">
        <f ca="1">IF(ISBLANK(OFFSET($AP$2,D46,0)),"",OFFSET($AS$2,D46,0))</f>
        <v/>
      </c>
      <c r="E51" s="2555"/>
      <c r="F51" s="2552" t="str">
        <f ca="1">IF(ISBLANK(OFFSET($AP$2,D46,0)),"",OFFSET($AS$2,D46,0)-OFFSET($AY$2,D46,0))</f>
        <v/>
      </c>
      <c r="G51" s="2553"/>
      <c r="H51" s="2554" t="str">
        <f ca="1">IF(ISBLANK(OFFSET($AP$2,H46,0)),"",OFFSET($AS$2,H46,0))</f>
        <v/>
      </c>
      <c r="I51" s="2555"/>
      <c r="J51" s="2552" t="str">
        <f ca="1">IF(ISBLANK(OFFSET($AP$2,H46,0)),"",OFFSET($AS$2,H46,0)-OFFSET($AY$2,H46,0))</f>
        <v/>
      </c>
      <c r="K51" s="2553"/>
      <c r="L51" s="2554" t="str">
        <f ca="1">IF(ISBLANK(OFFSET($AP$2,L46,0)),"",OFFSET($AS$2,L46,0))</f>
        <v/>
      </c>
      <c r="M51" s="2555"/>
      <c r="N51" s="2552" t="str">
        <f ca="1">IF(ISBLANK(OFFSET($AP$2,L46,0)),"",OFFSET($AS$2,L46,0)-OFFSET($AY$2,L46,0))</f>
        <v/>
      </c>
      <c r="O51" s="2553"/>
      <c r="P51" s="2554" t="str">
        <f ca="1">IF(ISBLANK(OFFSET($AP$2,P46,0)),"",OFFSET($AS$2,P46,0))</f>
        <v/>
      </c>
      <c r="Q51" s="2555"/>
      <c r="R51" s="2552" t="str">
        <f ca="1">IF(ISBLANK(OFFSET($AP$2,P46,0)),"",OFFSET($AS$2,P46,0)-OFFSET($AY$2,P46,0))</f>
        <v/>
      </c>
      <c r="S51" s="2553"/>
      <c r="T51" s="2554" t="str">
        <f ca="1">IF(ISBLANK(OFFSET($AP$2,T46,0)),"",OFFSET($AS$2,T46,0))</f>
        <v/>
      </c>
      <c r="U51" s="2555"/>
      <c r="V51" s="2552" t="str">
        <f ca="1">IF(ISBLANK(OFFSET($AP$2,T46,0)),"",OFFSET($AS$2,T46,0)-OFFSET($AY$2,T46,0))</f>
        <v/>
      </c>
      <c r="W51" s="2553"/>
      <c r="X51" s="2554" t="str">
        <f ca="1">IF(ISBLANK(OFFSET($AP$2,X46,0)),"",OFFSET($AS$2,X46,0))</f>
        <v/>
      </c>
      <c r="Y51" s="2555"/>
      <c r="Z51" s="2552" t="str">
        <f ca="1">IF(ISBLANK(OFFSET($AP$2,X46,0)),"",OFFSET($AS$2,X46,0)-OFFSET($AY$2,X46,0))</f>
        <v/>
      </c>
      <c r="AA51" s="2553"/>
      <c r="AB51" s="57"/>
      <c r="AC51" s="48"/>
      <c r="AD51" s="48"/>
      <c r="AE51" s="48"/>
      <c r="AF51" s="48"/>
      <c r="AG51" s="48"/>
      <c r="AH51" s="48"/>
      <c r="AI51" s="48"/>
      <c r="AJ51" s="48"/>
      <c r="AP51" s="54"/>
      <c r="AQ51" s="54"/>
      <c r="AR51" s="54"/>
      <c r="AS51" s="54"/>
      <c r="AT51" s="54"/>
      <c r="AU51" s="54"/>
      <c r="AV51" s="76"/>
      <c r="AW51" s="77"/>
      <c r="AX51" s="54"/>
      <c r="AY51" s="54"/>
      <c r="AZ51" s="54"/>
      <c r="BA51" s="54"/>
      <c r="BB51" s="54"/>
    </row>
    <row r="52" spans="1:54" ht="12.95" customHeight="1" x14ac:dyDescent="0.2">
      <c r="A52" s="57"/>
      <c r="B52" s="2556" t="s">
        <v>75</v>
      </c>
      <c r="C52" s="2557"/>
      <c r="D52" s="2554" t="str">
        <f ca="1">IF(ISBLANK(OFFSET($AP$2,D46,0)),"",OFFSET($AT$2,D46,0))</f>
        <v/>
      </c>
      <c r="E52" s="2555"/>
      <c r="F52" s="2552" t="str">
        <f ca="1">IF(ISBLANK(OFFSET($AP$2,D46,0)),"",OFFSET($AT$2,D46,0)-OFFSET($AZ$2,D46,0))</f>
        <v/>
      </c>
      <c r="G52" s="2553"/>
      <c r="H52" s="2554" t="str">
        <f ca="1">IF(ISBLANK(OFFSET($AP$2,H46,0)),"",OFFSET($AT$2,H46,0))</f>
        <v/>
      </c>
      <c r="I52" s="2555"/>
      <c r="J52" s="2552" t="str">
        <f ca="1">IF(ISBLANK(OFFSET($AP$2,H46,0)),"",OFFSET($AT$2,H46,0)-OFFSET($AZ$2,H46,0))</f>
        <v/>
      </c>
      <c r="K52" s="2553"/>
      <c r="L52" s="2554" t="str">
        <f ca="1">IF(ISBLANK(OFFSET($AP$2,L46,0)),"",OFFSET($AT$2,L46,0))</f>
        <v/>
      </c>
      <c r="M52" s="2555"/>
      <c r="N52" s="2552" t="str">
        <f ca="1">IF(ISBLANK(OFFSET($AP$2,L46,0)),"",OFFSET($AT$2,L46,0)-OFFSET($AZ$2,L46,0))</f>
        <v/>
      </c>
      <c r="O52" s="2553"/>
      <c r="P52" s="2554" t="str">
        <f ca="1">IF(ISBLANK(OFFSET($AP$2,P46,0)),"",OFFSET($AT$2,P46,0))</f>
        <v/>
      </c>
      <c r="Q52" s="2555"/>
      <c r="R52" s="2552" t="str">
        <f ca="1">IF(ISBLANK(OFFSET($AP$2,P46,0)),"",OFFSET($AT$2,P46,0)-OFFSET($AZ$2,P46,0))</f>
        <v/>
      </c>
      <c r="S52" s="2553"/>
      <c r="T52" s="2554" t="str">
        <f ca="1">IF(ISBLANK(OFFSET($AP$2,T46,0)),"",OFFSET($AT$2,T46,0))</f>
        <v/>
      </c>
      <c r="U52" s="2555"/>
      <c r="V52" s="2552" t="str">
        <f ca="1">IF(ISBLANK(OFFSET($AP$2,T46,0)),"",OFFSET($AT$2,T46,0)-OFFSET($AZ$2,T46,0))</f>
        <v/>
      </c>
      <c r="W52" s="2553"/>
      <c r="X52" s="2554" t="str">
        <f ca="1">IF(ISBLANK(OFFSET($AP$2,X46,0)),"",OFFSET($AT$2,X46,0))</f>
        <v/>
      </c>
      <c r="Y52" s="2555"/>
      <c r="Z52" s="2552" t="str">
        <f ca="1">IF(ISBLANK(OFFSET($AP$2,X46,0)),"",OFFSET($AT$2,X46,0)-OFFSET($AZ$2,X46,0))</f>
        <v/>
      </c>
      <c r="AA52" s="2553"/>
      <c r="AB52" s="57"/>
      <c r="AC52" s="48"/>
      <c r="AD52" s="48"/>
      <c r="AE52" s="48"/>
      <c r="AF52" s="48"/>
      <c r="AG52" s="48"/>
      <c r="AH52" s="48"/>
      <c r="AI52" s="48"/>
      <c r="AJ52" s="48"/>
      <c r="AP52" s="54"/>
      <c r="AQ52" s="54"/>
      <c r="AR52" s="54"/>
      <c r="AS52" s="54"/>
      <c r="AT52" s="54"/>
      <c r="AU52" s="54"/>
      <c r="AV52" s="76"/>
      <c r="AW52" s="77"/>
      <c r="AX52" s="54"/>
      <c r="AY52" s="54"/>
      <c r="AZ52" s="54"/>
      <c r="BA52" s="54"/>
      <c r="BB52" s="54"/>
    </row>
    <row r="53" spans="1:54" ht="12.95" customHeight="1" thickBot="1" x14ac:dyDescent="0.25">
      <c r="A53" s="57"/>
      <c r="B53" s="2572" t="s">
        <v>439</v>
      </c>
      <c r="C53" s="2573"/>
      <c r="D53" s="2565" t="str">
        <f ca="1">IF(ISBLANK(OFFSET($AP$2,D46,0)),"",OFFSET($AV$2,D46,0))</f>
        <v/>
      </c>
      <c r="E53" s="2566"/>
      <c r="F53" s="2567" t="str">
        <f ca="1">IF(ISBLANK(OFFSET($AP$2,D46,0)),"",OFFSET($AV$2,D46,0)-OFFSET($BB$2,D46,0))</f>
        <v/>
      </c>
      <c r="G53" s="2568"/>
      <c r="H53" s="2565" t="str">
        <f ca="1">IF(ISBLANK(OFFSET($AP$2,H46,0)),"",OFFSET($AV$2,H46,0))</f>
        <v/>
      </c>
      <c r="I53" s="2566"/>
      <c r="J53" s="2567" t="str">
        <f ca="1">IF(ISBLANK(OFFSET($AP$2,H46,0)),"",OFFSET($AV$2,H46,0)-OFFSET($BB$2,H46,0))</f>
        <v/>
      </c>
      <c r="K53" s="2568"/>
      <c r="L53" s="2565" t="str">
        <f ca="1">IF(ISBLANK(OFFSET($AP$2,L46,0)),"",OFFSET($AV$2,L46,0))</f>
        <v/>
      </c>
      <c r="M53" s="2566"/>
      <c r="N53" s="2567" t="str">
        <f ca="1">IF(ISBLANK(OFFSET($AP$2,L46,0)),"",OFFSET($AV$2,L46,0)-OFFSET($BB$2,L46,0))</f>
        <v/>
      </c>
      <c r="O53" s="2568"/>
      <c r="P53" s="2565" t="str">
        <f ca="1">IF(ISBLANK(OFFSET($AP$2,P46,0)),"",OFFSET($AV$2,P46,0))</f>
        <v/>
      </c>
      <c r="Q53" s="2566"/>
      <c r="R53" s="2567" t="str">
        <f ca="1">IF(ISBLANK(OFFSET($AP$2,P46,0)),"",OFFSET($AV$2,P46,0)-OFFSET($BB$2,P46,0))</f>
        <v/>
      </c>
      <c r="S53" s="2568"/>
      <c r="T53" s="2565" t="str">
        <f ca="1">IF(ISBLANK(OFFSET($AP$2,T46,0)),"",OFFSET($AV$2,T46,0))</f>
        <v/>
      </c>
      <c r="U53" s="2566"/>
      <c r="V53" s="2567" t="str">
        <f ca="1">IF(ISBLANK(OFFSET($AP$2,T46,0)),"",OFFSET($AV$2,T46,0)-OFFSET($BB$2,T46,0))</f>
        <v/>
      </c>
      <c r="W53" s="2568"/>
      <c r="X53" s="2565" t="str">
        <f ca="1">IF(ISBLANK(OFFSET($AP$2,X46,0)),"",OFFSET($AV$2,X46,0))</f>
        <v/>
      </c>
      <c r="Y53" s="2566"/>
      <c r="Z53" s="2567" t="str">
        <f ca="1">IF(ISBLANK(OFFSET($AP$2,X46,0)),"",OFFSET($AV$2,X46,0)-OFFSET($BB$2,X46,0))</f>
        <v/>
      </c>
      <c r="AA53" s="2568"/>
      <c r="AB53" s="57"/>
      <c r="AC53" s="48"/>
      <c r="AD53" s="48"/>
      <c r="AE53" s="48"/>
      <c r="AF53" s="48"/>
      <c r="AG53" s="48"/>
      <c r="AH53" s="48"/>
      <c r="AI53" s="48"/>
      <c r="AJ53" s="48"/>
      <c r="AP53" s="54"/>
      <c r="AQ53" s="54"/>
      <c r="AR53" s="54"/>
      <c r="AS53" s="54"/>
      <c r="AT53" s="54"/>
      <c r="AU53" s="54"/>
      <c r="AV53" s="76"/>
      <c r="AW53" s="77"/>
      <c r="AX53" s="54"/>
      <c r="AY53" s="54"/>
      <c r="AZ53" s="54"/>
      <c r="BA53" s="54"/>
      <c r="BB53" s="54"/>
    </row>
    <row r="54" spans="1:54" ht="12.95" hidden="1" customHeight="1" x14ac:dyDescent="0.2">
      <c r="A54" s="57"/>
      <c r="B54" s="57"/>
      <c r="C54" s="57"/>
      <c r="D54" s="57"/>
      <c r="E54" s="57"/>
      <c r="F54" s="39"/>
      <c r="G54" s="57"/>
      <c r="H54" s="57"/>
      <c r="I54" s="57"/>
      <c r="J54" s="57"/>
      <c r="K54" s="57"/>
      <c r="L54" s="57"/>
      <c r="M54" s="57"/>
      <c r="N54" s="57"/>
      <c r="O54" s="57"/>
      <c r="P54" s="57"/>
      <c r="Q54" s="57"/>
      <c r="R54" s="39"/>
      <c r="S54" s="57"/>
      <c r="T54" s="57"/>
      <c r="U54" s="57"/>
      <c r="V54" s="57"/>
      <c r="W54" s="57"/>
      <c r="X54" s="57"/>
      <c r="Y54" s="57"/>
      <c r="Z54" s="57"/>
      <c r="AA54" s="57"/>
      <c r="AB54" s="57"/>
      <c r="AC54" s="48"/>
      <c r="AD54" s="48"/>
      <c r="AE54" s="48"/>
      <c r="AF54" s="48"/>
      <c r="AG54" s="48"/>
      <c r="AH54" s="48"/>
      <c r="AI54" s="48"/>
      <c r="AJ54" s="48"/>
      <c r="AP54" s="54"/>
      <c r="AQ54" s="54"/>
      <c r="AR54" s="54"/>
      <c r="AS54" s="54"/>
      <c r="AT54" s="54"/>
      <c r="AU54" s="54"/>
      <c r="AV54" s="76"/>
      <c r="AW54" s="77"/>
      <c r="AX54" s="54"/>
      <c r="AY54" s="54"/>
      <c r="AZ54" s="54"/>
      <c r="BA54" s="54"/>
      <c r="BB54" s="54"/>
    </row>
    <row r="55" spans="1:54" ht="15" hidden="1" customHeight="1" x14ac:dyDescent="0.25">
      <c r="A55"/>
      <c r="B55"/>
      <c r="C55"/>
      <c r="D55"/>
      <c r="E55"/>
      <c r="F55" s="39"/>
      <c r="G55"/>
      <c r="H55"/>
      <c r="I55"/>
      <c r="J55"/>
      <c r="K55" s="38"/>
      <c r="L55"/>
      <c r="M55"/>
      <c r="N55" s="36"/>
      <c r="O55" s="36"/>
      <c r="P55" s="36"/>
      <c r="Q55"/>
      <c r="R55"/>
      <c r="S55"/>
      <c r="T55"/>
      <c r="U55" s="47" t="s">
        <v>95</v>
      </c>
      <c r="V55"/>
      <c r="W55" s="38"/>
      <c r="X55" s="2587" t="str">
        <f ca="1">X1</f>
        <v>775-428-0600</v>
      </c>
      <c r="Y55" s="2587"/>
      <c r="Z55" s="2587"/>
      <c r="AA55" s="2587"/>
      <c r="AB55" s="2587"/>
      <c r="AE55" s="52"/>
      <c r="AF55" s="52"/>
      <c r="AG55" s="52"/>
      <c r="AH55" s="52"/>
      <c r="AI55" s="52"/>
      <c r="AJ55" s="52"/>
      <c r="AP55" s="54"/>
      <c r="AQ55" s="54"/>
      <c r="AR55" s="54"/>
      <c r="AS55" s="54"/>
      <c r="AT55" s="54"/>
      <c r="AU55" s="54"/>
      <c r="AV55" s="76"/>
      <c r="AW55" s="77"/>
      <c r="AX55" s="54"/>
      <c r="AY55" s="54"/>
      <c r="AZ55" s="54"/>
      <c r="BA55" s="54"/>
      <c r="BB55" s="54"/>
    </row>
    <row r="56" spans="1:54" ht="15" hidden="1" customHeight="1" x14ac:dyDescent="0.25">
      <c r="A56"/>
      <c r="B56"/>
      <c r="C56"/>
      <c r="D56"/>
      <c r="E56"/>
      <c r="F56" s="39"/>
      <c r="G56"/>
      <c r="H56"/>
      <c r="I56"/>
      <c r="J56"/>
      <c r="K56" s="38"/>
      <c r="L56"/>
      <c r="M56"/>
      <c r="N56" s="71"/>
      <c r="O56" s="71"/>
      <c r="P56" s="71"/>
      <c r="Q56"/>
      <c r="R56"/>
      <c r="S56"/>
      <c r="T56"/>
      <c r="U56" s="47" t="s">
        <v>96</v>
      </c>
      <c r="V56"/>
      <c r="W56" s="38"/>
      <c r="X56" s="2587" t="str">
        <f ca="1">X2</f>
        <v>775-867-2140</v>
      </c>
      <c r="Y56" s="2587"/>
      <c r="Z56" s="2587"/>
      <c r="AA56" s="2587"/>
      <c r="AB56" s="2587"/>
      <c r="AP56" s="54"/>
      <c r="AQ56" s="54"/>
      <c r="AR56" s="54"/>
      <c r="AS56" s="54"/>
      <c r="AT56" s="54"/>
      <c r="AU56" s="54"/>
      <c r="AV56" s="76"/>
      <c r="AW56" s="77"/>
      <c r="AX56" s="54"/>
      <c r="AY56" s="54"/>
      <c r="AZ56" s="54"/>
      <c r="BA56" s="54"/>
      <c r="BB56" s="54"/>
    </row>
    <row r="57" spans="1:54" ht="15" hidden="1" customHeight="1" x14ac:dyDescent="0.25">
      <c r="A57"/>
      <c r="B57"/>
      <c r="C57"/>
      <c r="D57"/>
      <c r="E57"/>
      <c r="F57" s="39"/>
      <c r="G57"/>
      <c r="H57"/>
      <c r="I57"/>
      <c r="J57"/>
      <c r="K57" s="38"/>
      <c r="L57"/>
      <c r="M57"/>
      <c r="N57" s="71"/>
      <c r="O57" s="71"/>
      <c r="P57" s="71"/>
      <c r="Q57"/>
      <c r="R57"/>
      <c r="S57"/>
      <c r="T57"/>
      <c r="U57" s="47" t="s">
        <v>98</v>
      </c>
      <c r="V57"/>
      <c r="W57" s="38"/>
      <c r="X57" s="2587" t="str">
        <f ca="1">X3</f>
        <v>775-867-2169</v>
      </c>
      <c r="Y57" s="2587"/>
      <c r="Z57" s="2587"/>
      <c r="AA57" s="2587"/>
      <c r="AB57" s="2587"/>
      <c r="AP57" s="54"/>
      <c r="AQ57" s="54"/>
      <c r="AR57" s="54"/>
      <c r="AS57" s="54"/>
      <c r="AT57" s="54"/>
      <c r="AU57" s="54"/>
      <c r="AV57" s="76"/>
      <c r="AW57" s="77"/>
      <c r="AX57" s="54"/>
      <c r="AY57" s="54"/>
      <c r="AZ57" s="54"/>
      <c r="BA57" s="54"/>
      <c r="BB57" s="54"/>
    </row>
    <row r="58" spans="1:54" ht="15" hidden="1" customHeight="1" x14ac:dyDescent="0.2">
      <c r="A58"/>
      <c r="B58"/>
      <c r="C58"/>
      <c r="D58"/>
      <c r="E58"/>
      <c r="F58" s="39"/>
      <c r="G58"/>
      <c r="H58"/>
      <c r="I58"/>
      <c r="J58"/>
      <c r="K58" s="38"/>
      <c r="L58"/>
      <c r="M58"/>
      <c r="N58"/>
      <c r="O58" s="94"/>
      <c r="P58"/>
      <c r="Q58"/>
      <c r="R58"/>
      <c r="S58"/>
      <c r="T58"/>
      <c r="U58" s="47" t="s">
        <v>97</v>
      </c>
      <c r="V58"/>
      <c r="W58" s="38"/>
      <c r="X58" s="2587" t="str">
        <f ca="1">X4</f>
        <v>775-867-2060</v>
      </c>
      <c r="Y58" s="2587"/>
      <c r="Z58" s="2587"/>
      <c r="AA58" s="2587"/>
      <c r="AB58" s="2587"/>
      <c r="AP58" s="54"/>
      <c r="AQ58" s="54"/>
      <c r="AR58" s="54"/>
      <c r="AS58" s="54"/>
      <c r="AT58" s="54"/>
      <c r="AU58" s="54"/>
      <c r="AV58" s="76"/>
      <c r="AW58" s="77"/>
      <c r="AX58" s="54"/>
      <c r="AY58" s="54"/>
      <c r="AZ58" s="54"/>
      <c r="BA58" s="54"/>
      <c r="BB58" s="54"/>
    </row>
    <row r="59" spans="1:54" ht="12.95" hidden="1" customHeight="1" x14ac:dyDescent="0.2">
      <c r="A59" s="1849" t="str">
        <f ca="1">A5</f>
        <v>8200 Woolery Way | Fallon, NV 89406 | www.newmill.com</v>
      </c>
      <c r="B59" s="1849"/>
      <c r="C59" s="1849"/>
      <c r="D59" s="1849"/>
      <c r="E59" s="1849"/>
      <c r="F59" s="1849"/>
      <c r="G59" s="1849"/>
      <c r="H59" s="1849"/>
      <c r="I59" s="1849"/>
      <c r="J59" s="1849"/>
      <c r="K59" s="1849"/>
      <c r="L59" s="1849"/>
      <c r="M59" s="1849"/>
      <c r="N59" s="1849"/>
      <c r="O59" s="1849"/>
      <c r="P59"/>
      <c r="Q59"/>
      <c r="R59" s="39"/>
      <c r="S59"/>
      <c r="T59"/>
      <c r="U59"/>
      <c r="V59"/>
      <c r="W59"/>
      <c r="X59" s="50" t="s">
        <v>421</v>
      </c>
      <c r="Y59" s="2580">
        <f>Y5</f>
        <v>45048.61509259259</v>
      </c>
      <c r="Z59" s="2581"/>
      <c r="AA59" s="2581"/>
      <c r="AB59"/>
      <c r="AP59" s="54"/>
      <c r="AQ59" s="54"/>
      <c r="AR59" s="54"/>
      <c r="AS59" s="54"/>
      <c r="AT59" s="54"/>
      <c r="AU59" s="54"/>
      <c r="AV59" s="76"/>
      <c r="AW59" s="77"/>
      <c r="AX59" s="54"/>
      <c r="AY59" s="54"/>
      <c r="AZ59" s="54"/>
      <c r="BA59" s="54"/>
      <c r="BB59" s="54"/>
    </row>
    <row r="60" spans="1:54" ht="12.95" hidden="1" customHeight="1" x14ac:dyDescent="0.2">
      <c r="A60"/>
      <c r="B60"/>
      <c r="C60"/>
      <c r="D60"/>
      <c r="E60"/>
      <c r="F60" s="39"/>
      <c r="G60"/>
      <c r="H60"/>
      <c r="I60"/>
      <c r="J60"/>
      <c r="K60"/>
      <c r="L60"/>
      <c r="M60"/>
      <c r="N60"/>
      <c r="O60" s="94"/>
      <c r="P60"/>
      <c r="Q60"/>
      <c r="R60"/>
      <c r="S60"/>
      <c r="T60"/>
      <c r="U60"/>
      <c r="V60"/>
      <c r="W60"/>
      <c r="X60" s="68"/>
      <c r="Y60" s="2582"/>
      <c r="Z60" s="2583"/>
      <c r="AA60" s="2583"/>
      <c r="AB60"/>
      <c r="AP60" s="54"/>
      <c r="AQ60" s="54"/>
      <c r="AR60" s="54"/>
      <c r="AS60" s="54"/>
      <c r="AT60" s="54"/>
      <c r="AU60" s="54"/>
      <c r="AV60" s="76"/>
      <c r="AW60" s="77"/>
      <c r="AX60" s="54"/>
      <c r="AY60" s="54"/>
      <c r="AZ60" s="54"/>
      <c r="BA60" s="54"/>
      <c r="BB60" s="54"/>
    </row>
    <row r="61" spans="1:54" ht="12.95" hidden="1" customHeight="1" x14ac:dyDescent="0.2">
      <c r="A61" s="1199" t="s">
        <v>1173</v>
      </c>
      <c r="B61" s="1200" t="s">
        <v>443</v>
      </c>
      <c r="C61"/>
      <c r="D61"/>
      <c r="E61"/>
      <c r="F61" s="39"/>
      <c r="G61"/>
      <c r="H61"/>
      <c r="I61"/>
      <c r="J61"/>
      <c r="K61"/>
      <c r="L61"/>
      <c r="M61"/>
      <c r="N61"/>
      <c r="O61" s="94"/>
      <c r="P61"/>
      <c r="Q61"/>
      <c r="R61"/>
      <c r="S61"/>
      <c r="T61"/>
      <c r="U61"/>
      <c r="V61"/>
      <c r="W61"/>
      <c r="X61" s="68"/>
      <c r="Y61" s="2584"/>
      <c r="Z61" s="1940"/>
      <c r="AA61" s="1940"/>
      <c r="AB61"/>
      <c r="AP61" s="54"/>
      <c r="AQ61" s="54"/>
      <c r="AR61" s="54"/>
      <c r="AS61" s="54"/>
      <c r="AT61" s="54"/>
      <c r="AU61" s="54"/>
      <c r="AV61" s="76"/>
      <c r="AW61" s="77"/>
      <c r="AX61" s="54"/>
      <c r="AY61" s="54"/>
      <c r="AZ61" s="54"/>
      <c r="BA61" s="54"/>
      <c r="BB61" s="54"/>
    </row>
    <row r="62" spans="1:54" ht="12.95" hidden="1" customHeight="1" x14ac:dyDescent="0.2">
      <c r="A62"/>
      <c r="B62"/>
      <c r="C62"/>
      <c r="D62"/>
      <c r="E62"/>
      <c r="F62" s="39"/>
      <c r="G62"/>
      <c r="H62"/>
      <c r="I62"/>
      <c r="J62"/>
      <c r="K62"/>
      <c r="L62"/>
      <c r="M62"/>
      <c r="N62"/>
      <c r="O62" s="95"/>
      <c r="P62"/>
      <c r="Q62"/>
      <c r="R62"/>
      <c r="S62"/>
      <c r="T62"/>
      <c r="U62"/>
      <c r="V62"/>
      <c r="W62" s="69"/>
      <c r="X62" s="70"/>
      <c r="Y62" s="2585"/>
      <c r="Z62" s="2586"/>
      <c r="AA62" s="2586"/>
      <c r="AB62"/>
      <c r="AP62" s="54"/>
      <c r="AQ62" s="54"/>
      <c r="AR62" s="54"/>
      <c r="AS62" s="54"/>
      <c r="AT62" s="54"/>
      <c r="AU62" s="54"/>
      <c r="AV62" s="76"/>
      <c r="AW62" s="77"/>
      <c r="AX62" s="54"/>
      <c r="AY62" s="54"/>
      <c r="AZ62" s="54"/>
      <c r="BA62" s="54"/>
      <c r="BB62" s="54"/>
    </row>
    <row r="63" spans="1:54" ht="12.95" hidden="1" customHeight="1" x14ac:dyDescent="0.2">
      <c r="A63" s="2575" t="s">
        <v>1</v>
      </c>
      <c r="B63" s="2307"/>
      <c r="C63" s="2307"/>
      <c r="D63" s="2561" t="str">
        <f>D9</f>
        <v>MINDEN UPS BLDG 1</v>
      </c>
      <c r="E63" s="2561"/>
      <c r="F63" s="2561"/>
      <c r="G63" s="2561"/>
      <c r="H63" s="2561"/>
      <c r="I63" s="2561"/>
      <c r="J63" s="2561"/>
      <c r="K63" s="2561"/>
      <c r="L63" s="2561"/>
      <c r="M63" s="2561"/>
      <c r="N63" s="2561"/>
      <c r="O63" s="2561"/>
      <c r="P63" s="2562"/>
      <c r="Q63" s="96"/>
      <c r="R63" s="20" t="s">
        <v>2</v>
      </c>
      <c r="S63" s="2574" t="str">
        <f>S9</f>
        <v>NN22-0071</v>
      </c>
      <c r="T63" s="2307"/>
      <c r="U63" s="2307"/>
      <c r="V63" s="2307"/>
      <c r="W63" s="2307"/>
      <c r="X63" s="96"/>
      <c r="Y63" s="96"/>
      <c r="Z63" s="96"/>
      <c r="AA63" s="96"/>
      <c r="AB63" s="97"/>
      <c r="AP63" s="54"/>
      <c r="AQ63" s="54"/>
      <c r="AR63" s="54"/>
      <c r="AS63" s="54"/>
      <c r="AT63" s="54"/>
      <c r="AU63" s="54"/>
      <c r="AV63" s="76"/>
      <c r="AW63" s="77"/>
      <c r="AX63" s="54"/>
      <c r="AY63" s="54"/>
      <c r="AZ63" s="54"/>
      <c r="BA63" s="54"/>
      <c r="BB63" s="54"/>
    </row>
    <row r="64" spans="1:54" ht="12.95" hidden="1" customHeight="1" x14ac:dyDescent="0.2">
      <c r="A64" s="2575" t="s">
        <v>3</v>
      </c>
      <c r="B64" s="2307"/>
      <c r="C64" s="2307"/>
      <c r="D64" s="2561" t="str">
        <f>D10</f>
        <v>MINDEN, NV</v>
      </c>
      <c r="E64" s="2561"/>
      <c r="F64" s="2561"/>
      <c r="G64" s="2561"/>
      <c r="H64" s="2561"/>
      <c r="I64" s="2561"/>
      <c r="J64" s="2561"/>
      <c r="K64" s="2561"/>
      <c r="L64" s="2561"/>
      <c r="M64" s="2561"/>
      <c r="N64" s="2561"/>
      <c r="O64" s="2561"/>
      <c r="P64" s="2562"/>
      <c r="Q64" s="96"/>
      <c r="R64" s="20" t="s">
        <v>428</v>
      </c>
      <c r="S64" s="2576" t="str">
        <f>S10</f>
        <v>JMM</v>
      </c>
      <c r="T64" s="2307"/>
      <c r="U64" s="96"/>
      <c r="V64" s="98"/>
      <c r="W64" s="20" t="s">
        <v>429</v>
      </c>
      <c r="X64" s="2577" t="str">
        <f>X10</f>
        <v>NR</v>
      </c>
      <c r="Y64" s="2577"/>
      <c r="Z64" s="96"/>
      <c r="AA64" s="96"/>
      <c r="AB64" s="97"/>
      <c r="AP64" s="54"/>
      <c r="AQ64" s="54"/>
      <c r="AR64" s="54"/>
      <c r="AS64" s="54"/>
      <c r="AT64" s="54"/>
      <c r="AU64" s="54"/>
      <c r="AV64" s="76"/>
      <c r="AW64" s="77"/>
      <c r="AX64" s="54"/>
      <c r="AY64" s="54"/>
      <c r="AZ64" s="54"/>
      <c r="BA64" s="54"/>
      <c r="BB64" s="54"/>
    </row>
    <row r="65" spans="1:54" ht="12.95" hidden="1" customHeight="1" thickBot="1" x14ac:dyDescent="0.25">
      <c r="A65"/>
      <c r="B65"/>
      <c r="C65"/>
      <c r="D65" s="100">
        <v>25</v>
      </c>
      <c r="E65" s="100"/>
      <c r="F65" s="100"/>
      <c r="G65" s="100"/>
      <c r="H65" s="100">
        <v>26</v>
      </c>
      <c r="I65" s="100"/>
      <c r="J65" s="100"/>
      <c r="K65" s="100"/>
      <c r="L65" s="100">
        <v>27</v>
      </c>
      <c r="M65" s="100"/>
      <c r="N65" s="100"/>
      <c r="O65" s="100"/>
      <c r="P65" s="100">
        <v>28</v>
      </c>
      <c r="Q65" s="100"/>
      <c r="R65" s="100"/>
      <c r="S65" s="100"/>
      <c r="T65" s="100">
        <v>29</v>
      </c>
      <c r="U65" s="100"/>
      <c r="V65" s="100"/>
      <c r="W65" s="100"/>
      <c r="X65" s="100">
        <v>30</v>
      </c>
      <c r="Y65" s="79"/>
      <c r="Z65" s="79"/>
      <c r="AA65" s="79"/>
      <c r="AB65"/>
      <c r="AP65" s="54"/>
      <c r="AQ65" s="54"/>
      <c r="AR65" s="54"/>
      <c r="AS65" s="54"/>
      <c r="AT65" s="54"/>
      <c r="AU65" s="54"/>
      <c r="AV65" s="76"/>
      <c r="AW65" s="77"/>
      <c r="AX65" s="54"/>
      <c r="AY65" s="54"/>
      <c r="AZ65" s="54"/>
      <c r="BA65" s="54"/>
      <c r="BB65" s="54"/>
    </row>
    <row r="66" spans="1:54" ht="12.95" hidden="1" customHeight="1" x14ac:dyDescent="0.2">
      <c r="A66" s="57"/>
      <c r="B66" s="41"/>
      <c r="C66" s="42"/>
      <c r="D66" s="2569" t="str">
        <f ca="1">IF(ISBLANK(OFFSET($AP$2,D65,0)),"",CONCATENATE("Seq. ",OFFSET($AP$2,D65,0)))</f>
        <v/>
      </c>
      <c r="E66" s="2570"/>
      <c r="F66" s="2570"/>
      <c r="G66" s="2571"/>
      <c r="H66" s="2569" t="str">
        <f ca="1">IF(ISBLANK(OFFSET($AP$2,H65,0)),"",CONCATENATE("Seq. ",OFFSET($AP$2,H65,0)))</f>
        <v/>
      </c>
      <c r="I66" s="2570"/>
      <c r="J66" s="2570"/>
      <c r="K66" s="2571"/>
      <c r="L66" s="2569" t="str">
        <f ca="1">IF(ISBLANK(OFFSET($AP$2,L65,0)),"",CONCATENATE("Seq. ",OFFSET($AP$2,L65,0)))</f>
        <v/>
      </c>
      <c r="M66" s="2570"/>
      <c r="N66" s="2570"/>
      <c r="O66" s="2571"/>
      <c r="P66" s="2569" t="str">
        <f ca="1">IF(ISBLANK(OFFSET($AP$2,P65,0)),"",CONCATENATE("Seq. ",OFFSET($AP$2,P65,0)))</f>
        <v/>
      </c>
      <c r="Q66" s="2570"/>
      <c r="R66" s="2570"/>
      <c r="S66" s="2571"/>
      <c r="T66" s="2569" t="str">
        <f ca="1">IF(ISBLANK(OFFSET($AP$2,T65,0)),"",CONCATENATE("Seq. ",OFFSET($AP$2,T65,0)))</f>
        <v/>
      </c>
      <c r="U66" s="2570"/>
      <c r="V66" s="2570"/>
      <c r="W66" s="2571"/>
      <c r="X66" s="2569" t="str">
        <f ca="1">IF(ISBLANK(OFFSET($AP$2,X65,0)),"",CONCATENATE("Seq. ",OFFSET($AP$2,X65,0)))</f>
        <v/>
      </c>
      <c r="Y66" s="2570"/>
      <c r="Z66" s="2570"/>
      <c r="AA66" s="2571"/>
      <c r="AB66" s="57"/>
      <c r="AP66" s="54"/>
      <c r="AQ66" s="54"/>
      <c r="AR66" s="54"/>
      <c r="AS66" s="54"/>
      <c r="AT66" s="54"/>
      <c r="AU66" s="54"/>
      <c r="AV66" s="76"/>
      <c r="AW66" s="77"/>
      <c r="AX66" s="54"/>
      <c r="AY66" s="54"/>
      <c r="AZ66" s="54"/>
      <c r="BA66" s="54"/>
      <c r="BB66" s="54"/>
    </row>
    <row r="67" spans="1:54" ht="12.95" hidden="1" customHeight="1" thickBot="1" x14ac:dyDescent="0.25">
      <c r="A67" s="57"/>
      <c r="B67" s="41"/>
      <c r="C67" s="42"/>
      <c r="D67" s="2558" t="s">
        <v>440</v>
      </c>
      <c r="E67" s="2559"/>
      <c r="F67" s="2559" t="s">
        <v>441</v>
      </c>
      <c r="G67" s="2560"/>
      <c r="H67" s="2558" t="s">
        <v>440</v>
      </c>
      <c r="I67" s="2559"/>
      <c r="J67" s="2559" t="s">
        <v>441</v>
      </c>
      <c r="K67" s="2560"/>
      <c r="L67" s="2558" t="s">
        <v>440</v>
      </c>
      <c r="M67" s="2559"/>
      <c r="N67" s="2559" t="s">
        <v>441</v>
      </c>
      <c r="O67" s="2560"/>
      <c r="P67" s="2558" t="s">
        <v>440</v>
      </c>
      <c r="Q67" s="2559"/>
      <c r="R67" s="2559" t="s">
        <v>441</v>
      </c>
      <c r="S67" s="2560"/>
      <c r="T67" s="2558" t="s">
        <v>440</v>
      </c>
      <c r="U67" s="2559"/>
      <c r="V67" s="2559" t="s">
        <v>441</v>
      </c>
      <c r="W67" s="2560"/>
      <c r="X67" s="2558" t="s">
        <v>440</v>
      </c>
      <c r="Y67" s="2559"/>
      <c r="Z67" s="2559" t="s">
        <v>441</v>
      </c>
      <c r="AA67" s="2560"/>
      <c r="AB67" s="57"/>
      <c r="AP67" s="54"/>
      <c r="AQ67" s="54"/>
      <c r="AR67" s="54"/>
      <c r="AS67" s="54"/>
      <c r="AT67" s="54"/>
      <c r="AU67" s="54"/>
      <c r="AV67" s="76"/>
      <c r="AW67" s="77"/>
      <c r="AX67" s="54"/>
      <c r="AY67" s="54"/>
      <c r="AZ67" s="54"/>
      <c r="BA67" s="54"/>
      <c r="BB67" s="54"/>
    </row>
    <row r="68" spans="1:54" ht="12.95" hidden="1" customHeight="1" x14ac:dyDescent="0.2">
      <c r="A68" s="57"/>
      <c r="B68" s="2563" t="s">
        <v>73</v>
      </c>
      <c r="C68" s="2564"/>
      <c r="D68" s="2554" t="str">
        <f ca="1">IF(ISBLANK(OFFSET($AP$2,D65,0)),"",OFFSET($AQ$2,D65,0)+OFFSET($AU$2,D65,0))</f>
        <v/>
      </c>
      <c r="E68" s="2555"/>
      <c r="F68" s="2552" t="str">
        <f ca="1">IF(ISBLANK(OFFSET($AP$2,D65,0)),"",(OFFSET($AQ$2,D65,0)+OFFSET($AU$2,D65,0))-(OFFSET($AW$2,D65,0)+OFFSET($BA$2,D65,0)))</f>
        <v/>
      </c>
      <c r="G68" s="2553"/>
      <c r="H68" s="2554" t="str">
        <f ca="1">IF(ISBLANK(OFFSET($AP$2,H65,0)),"",OFFSET($AQ$2,H65,0)+OFFSET($AU$2,H65,0))</f>
        <v/>
      </c>
      <c r="I68" s="2555"/>
      <c r="J68" s="2552" t="str">
        <f ca="1">IF(ISBLANK(OFFSET($AP$2,H65,0)),"",(OFFSET($AQ$2,H65,0)+OFFSET($AU$2,H65,0))-(OFFSET($AW$2,H65,0)+OFFSET($BA$2,H65,0)))</f>
        <v/>
      </c>
      <c r="K68" s="2553"/>
      <c r="L68" s="2554" t="str">
        <f ca="1">IF(ISBLANK(OFFSET($AP$2,L65,0)),"",OFFSET($AQ$2,L65,0)+OFFSET($AU$2,L65,0))</f>
        <v/>
      </c>
      <c r="M68" s="2555"/>
      <c r="N68" s="2552" t="str">
        <f ca="1">IF(ISBLANK(OFFSET($AP$2,L65,0)),"",(OFFSET($AQ$2,L65,0)+OFFSET($AU$2,L65,0))-(OFFSET($AW$2,L65,0)+OFFSET($BA$2,L65,0)))</f>
        <v/>
      </c>
      <c r="O68" s="2553"/>
      <c r="P68" s="2554" t="str">
        <f ca="1">IF(ISBLANK(OFFSET($AP$2,P65,0)),"",OFFSET($AQ$2,P65,0)+OFFSET($AU$2,P65,0))</f>
        <v/>
      </c>
      <c r="Q68" s="2555"/>
      <c r="R68" s="2552" t="str">
        <f ca="1">IF(ISBLANK(OFFSET($AP$2,P65,0)),"",(OFFSET($AQ$2,P65,0)+OFFSET($AU$2,P65,0))-(OFFSET($AW$2,P65,0)+OFFSET($BA$2,P65,0)))</f>
        <v/>
      </c>
      <c r="S68" s="2553"/>
      <c r="T68" s="2554" t="str">
        <f ca="1">IF(ISBLANK(OFFSET($AP$2,T65,0)),"",OFFSET($AQ$2,T65,0)+OFFSET($AU$2,T65,0))</f>
        <v/>
      </c>
      <c r="U68" s="2555"/>
      <c r="V68" s="2552" t="str">
        <f ca="1">IF(ISBLANK(OFFSET($AP$2,T65,0)),"",(OFFSET($AQ$2,T65,0)+OFFSET($AU$2,T65,0))-(OFFSET($AW$2,T65,0)+OFFSET($BA$2,T65,0)))</f>
        <v/>
      </c>
      <c r="W68" s="2553"/>
      <c r="X68" s="2554" t="str">
        <f ca="1">IF(ISBLANK(OFFSET($AP$2,X65,0)),"",OFFSET($AQ$2,X65,0)+OFFSET($AU$2,X65,0))</f>
        <v/>
      </c>
      <c r="Y68" s="2555"/>
      <c r="Z68" s="2552" t="str">
        <f ca="1">IF(ISBLANK(OFFSET($AP$2,X65,0)),"",(OFFSET($AQ$2,X65,0)+OFFSET($AU$2,X65,0))-(OFFSET($AW$2,X65,0)+OFFSET($BA$2,X65,0)))</f>
        <v/>
      </c>
      <c r="AA68" s="2553"/>
      <c r="AB68" s="57"/>
      <c r="AP68" s="54"/>
      <c r="AQ68" s="54"/>
      <c r="AR68" s="54"/>
      <c r="AS68" s="54"/>
      <c r="AT68" s="54"/>
      <c r="AU68" s="54"/>
      <c r="AV68" s="76"/>
      <c r="AW68" s="77"/>
      <c r="AX68" s="54"/>
      <c r="AY68" s="54"/>
      <c r="AZ68" s="54"/>
      <c r="BA68" s="54"/>
      <c r="BB68" s="54"/>
    </row>
    <row r="69" spans="1:54" ht="12.95" hidden="1" customHeight="1" x14ac:dyDescent="0.2">
      <c r="A69" s="57"/>
      <c r="B69" s="2556" t="s">
        <v>437</v>
      </c>
      <c r="C69" s="2557"/>
      <c r="D69" s="2554" t="str">
        <f ca="1">IF(ISBLANK(OFFSET($AP$2,D65,0)),"",OFFSET($AR$2,D65,0))</f>
        <v/>
      </c>
      <c r="E69" s="2555"/>
      <c r="F69" s="2552" t="str">
        <f ca="1">IF(ISBLANK(OFFSET($AP$2,D65,0)),"",OFFSET($AR$2,D65,0)-OFFSET($AX$2,D65,0))</f>
        <v/>
      </c>
      <c r="G69" s="2553"/>
      <c r="H69" s="2554" t="str">
        <f ca="1">IF(ISBLANK(OFFSET($AP$2,H65,0)),"",OFFSET($AR$2,H65,0))</f>
        <v/>
      </c>
      <c r="I69" s="2555"/>
      <c r="J69" s="2552" t="str">
        <f ca="1">IF(ISBLANK(OFFSET($AP$2,H65,0)),"",OFFSET($AR$2,H65,0)-OFFSET($AX$2,H65,0))</f>
        <v/>
      </c>
      <c r="K69" s="2553"/>
      <c r="L69" s="2554" t="str">
        <f ca="1">IF(ISBLANK(OFFSET($AP$2,L65,0)),"",OFFSET($AR$2,L65,0))</f>
        <v/>
      </c>
      <c r="M69" s="2555"/>
      <c r="N69" s="2552" t="str">
        <f ca="1">IF(ISBLANK(OFFSET($AP$2,L65,0)),"",OFFSET($AR$2,L65,0)-OFFSET($AX$2,L65,0))</f>
        <v/>
      </c>
      <c r="O69" s="2553"/>
      <c r="P69" s="2554" t="str">
        <f ca="1">IF(ISBLANK(OFFSET($AP$2,P65,0)),"",OFFSET($AR$2,P65,0))</f>
        <v/>
      </c>
      <c r="Q69" s="2555"/>
      <c r="R69" s="2552" t="str">
        <f ca="1">IF(ISBLANK(OFFSET($AP$2,P65,0)),"",OFFSET($AR$2,P65,0)-OFFSET($AX$2,P65,0))</f>
        <v/>
      </c>
      <c r="S69" s="2553"/>
      <c r="T69" s="2554" t="str">
        <f ca="1">IF(ISBLANK(OFFSET($AP$2,T65,0)),"",OFFSET($AR$2,T65,0))</f>
        <v/>
      </c>
      <c r="U69" s="2555"/>
      <c r="V69" s="2552" t="str">
        <f ca="1">IF(ISBLANK(OFFSET($AP$2,T65,0)),"",OFFSET($AR$2,T65,0)-OFFSET($AX$2,T65,0))</f>
        <v/>
      </c>
      <c r="W69" s="2553"/>
      <c r="X69" s="2554" t="str">
        <f ca="1">IF(ISBLANK(OFFSET($AP$2,X65,0)),"",OFFSET($AR$2,X65,0))</f>
        <v/>
      </c>
      <c r="Y69" s="2555"/>
      <c r="Z69" s="2552" t="str">
        <f ca="1">IF(ISBLANK(OFFSET($AP$2,X65,0)),"",OFFSET($AR$2,X65,0)-OFFSET($AX$2,X65,0))</f>
        <v/>
      </c>
      <c r="AA69" s="2553"/>
      <c r="AB69" s="57"/>
      <c r="AP69" s="54"/>
      <c r="AQ69" s="54"/>
      <c r="AR69" s="54"/>
      <c r="AS69" s="54"/>
      <c r="AT69" s="54"/>
      <c r="AU69" s="54"/>
      <c r="AV69" s="76"/>
      <c r="AW69" s="77"/>
      <c r="AX69" s="54"/>
      <c r="AY69" s="54"/>
      <c r="AZ69" s="54"/>
      <c r="BA69" s="54"/>
      <c r="BB69" s="54"/>
    </row>
    <row r="70" spans="1:54" ht="12.95" hidden="1" customHeight="1" x14ac:dyDescent="0.2">
      <c r="A70" s="57"/>
      <c r="B70" s="2556" t="s">
        <v>438</v>
      </c>
      <c r="C70" s="2557"/>
      <c r="D70" s="2554" t="str">
        <f ca="1">IF(ISBLANK(OFFSET($AP$2,D65,0)),"",OFFSET($AS$2,D65,0))</f>
        <v/>
      </c>
      <c r="E70" s="2555"/>
      <c r="F70" s="2552" t="str">
        <f ca="1">IF(ISBLANK(OFFSET($AP$2,D65,0)),"",OFFSET($AS$2,D65,0)-OFFSET($AY$2,D65,0))</f>
        <v/>
      </c>
      <c r="G70" s="2553"/>
      <c r="H70" s="2554" t="str">
        <f ca="1">IF(ISBLANK(OFFSET($AP$2,H65,0)),"",OFFSET($AS$2,H65,0))</f>
        <v/>
      </c>
      <c r="I70" s="2555"/>
      <c r="J70" s="2552" t="str">
        <f ca="1">IF(ISBLANK(OFFSET($AP$2,H65,0)),"",OFFSET($AS$2,H65,0)-OFFSET($AY$2,H65,0))</f>
        <v/>
      </c>
      <c r="K70" s="2553"/>
      <c r="L70" s="2554" t="str">
        <f ca="1">IF(ISBLANK(OFFSET($AP$2,L65,0)),"",OFFSET($AS$2,L65,0))</f>
        <v/>
      </c>
      <c r="M70" s="2555"/>
      <c r="N70" s="2552" t="str">
        <f ca="1">IF(ISBLANK(OFFSET($AP$2,L65,0)),"",OFFSET($AS$2,L65,0)-OFFSET($AY$2,L65,0))</f>
        <v/>
      </c>
      <c r="O70" s="2553"/>
      <c r="P70" s="2554" t="str">
        <f ca="1">IF(ISBLANK(OFFSET($AP$2,P65,0)),"",OFFSET($AS$2,P65,0))</f>
        <v/>
      </c>
      <c r="Q70" s="2555"/>
      <c r="R70" s="2552" t="str">
        <f ca="1">IF(ISBLANK(OFFSET($AP$2,P65,0)),"",OFFSET($AS$2,P65,0)-OFFSET($AY$2,P65,0))</f>
        <v/>
      </c>
      <c r="S70" s="2553"/>
      <c r="T70" s="2554" t="str">
        <f ca="1">IF(ISBLANK(OFFSET($AP$2,T65,0)),"",OFFSET($AS$2,T65,0))</f>
        <v/>
      </c>
      <c r="U70" s="2555"/>
      <c r="V70" s="2552" t="str">
        <f ca="1">IF(ISBLANK(OFFSET($AP$2,T65,0)),"",OFFSET($AS$2,T65,0)-OFFSET($AY$2,T65,0))</f>
        <v/>
      </c>
      <c r="W70" s="2553"/>
      <c r="X70" s="2554" t="str">
        <f ca="1">IF(ISBLANK(OFFSET($AP$2,X65,0)),"",OFFSET($AS$2,X65,0))</f>
        <v/>
      </c>
      <c r="Y70" s="2555"/>
      <c r="Z70" s="2552" t="str">
        <f ca="1">IF(ISBLANK(OFFSET($AP$2,X65,0)),"",OFFSET($AS$2,X65,0)-OFFSET($AY$2,X65,0))</f>
        <v/>
      </c>
      <c r="AA70" s="2553"/>
      <c r="AB70" s="57"/>
      <c r="AP70" s="54"/>
      <c r="AQ70" s="54"/>
      <c r="AR70" s="54"/>
      <c r="AS70" s="54"/>
      <c r="AT70" s="54"/>
      <c r="AU70" s="54"/>
      <c r="AV70" s="76"/>
      <c r="AW70" s="77"/>
      <c r="AX70" s="54"/>
      <c r="AY70" s="54"/>
      <c r="AZ70" s="54"/>
      <c r="BA70" s="54"/>
      <c r="BB70" s="54"/>
    </row>
    <row r="71" spans="1:54" ht="12.95" hidden="1" customHeight="1" x14ac:dyDescent="0.2">
      <c r="A71" s="57"/>
      <c r="B71" s="2556" t="s">
        <v>75</v>
      </c>
      <c r="C71" s="2557"/>
      <c r="D71" s="2554" t="str">
        <f ca="1">IF(ISBLANK(OFFSET($AP$2,D65,0)),"",OFFSET($AT$2,D65,0))</f>
        <v/>
      </c>
      <c r="E71" s="2555"/>
      <c r="F71" s="2552" t="str">
        <f ca="1">IF(ISBLANK(OFFSET($AP$2,D65,0)),"",OFFSET($AT$2,D65,0)-OFFSET($AZ$2,D65,0))</f>
        <v/>
      </c>
      <c r="G71" s="2553"/>
      <c r="H71" s="2554" t="str">
        <f ca="1">IF(ISBLANK(OFFSET($AP$2,H65,0)),"",OFFSET($AT$2,H65,0))</f>
        <v/>
      </c>
      <c r="I71" s="2555"/>
      <c r="J71" s="2552" t="str">
        <f ca="1">IF(ISBLANK(OFFSET($AP$2,H65,0)),"",OFFSET($AT$2,H65,0)-OFFSET($AZ$2,H65,0))</f>
        <v/>
      </c>
      <c r="K71" s="2553"/>
      <c r="L71" s="2554" t="str">
        <f ca="1">IF(ISBLANK(OFFSET($AP$2,L65,0)),"",OFFSET($AT$2,L65,0))</f>
        <v/>
      </c>
      <c r="M71" s="2555"/>
      <c r="N71" s="2552" t="str">
        <f ca="1">IF(ISBLANK(OFFSET($AP$2,L65,0)),"",OFFSET($AT$2,L65,0)-OFFSET($AZ$2,L65,0))</f>
        <v/>
      </c>
      <c r="O71" s="2553"/>
      <c r="P71" s="2554" t="str">
        <f ca="1">IF(ISBLANK(OFFSET($AP$2,P65,0)),"",OFFSET($AT$2,P65,0))</f>
        <v/>
      </c>
      <c r="Q71" s="2555"/>
      <c r="R71" s="2552" t="str">
        <f ca="1">IF(ISBLANK(OFFSET($AP$2,P65,0)),"",OFFSET($AT$2,P65,0)-OFFSET($AZ$2,P65,0))</f>
        <v/>
      </c>
      <c r="S71" s="2553"/>
      <c r="T71" s="2554" t="str">
        <f ca="1">IF(ISBLANK(OFFSET($AP$2,T65,0)),"",OFFSET($AT$2,T65,0))</f>
        <v/>
      </c>
      <c r="U71" s="2555"/>
      <c r="V71" s="2552" t="str">
        <f ca="1">IF(ISBLANK(OFFSET($AP$2,T65,0)),"",OFFSET($AT$2,T65,0)-OFFSET($AZ$2,T65,0))</f>
        <v/>
      </c>
      <c r="W71" s="2553"/>
      <c r="X71" s="2554" t="str">
        <f ca="1">IF(ISBLANK(OFFSET($AP$2,X65,0)),"",OFFSET($AT$2,X65,0))</f>
        <v/>
      </c>
      <c r="Y71" s="2555"/>
      <c r="Z71" s="2552" t="str">
        <f ca="1">IF(ISBLANK(OFFSET($AP$2,X65,0)),"",OFFSET($AT$2,X65,0)-OFFSET($AZ$2,X65,0))</f>
        <v/>
      </c>
      <c r="AA71" s="2553"/>
      <c r="AB71" s="57"/>
      <c r="AP71" s="54"/>
      <c r="AQ71" s="54"/>
      <c r="AR71" s="54"/>
      <c r="AS71" s="54"/>
      <c r="AT71" s="54"/>
      <c r="AU71" s="54"/>
      <c r="AV71" s="76"/>
      <c r="AW71" s="77"/>
      <c r="AX71" s="54"/>
      <c r="AY71" s="54"/>
      <c r="AZ71" s="54"/>
      <c r="BA71" s="54"/>
      <c r="BB71" s="54"/>
    </row>
    <row r="72" spans="1:54" ht="12.95" hidden="1" customHeight="1" thickBot="1" x14ac:dyDescent="0.25">
      <c r="A72" s="57"/>
      <c r="B72" s="2572" t="s">
        <v>439</v>
      </c>
      <c r="C72" s="2573"/>
      <c r="D72" s="2565" t="str">
        <f ca="1">IF(ISBLANK(OFFSET($AP$2,D65,0)),"",OFFSET($AV$2,D65,0))</f>
        <v/>
      </c>
      <c r="E72" s="2566"/>
      <c r="F72" s="2567" t="str">
        <f ca="1">IF(ISBLANK(OFFSET($AP$2,D65,0)),"",OFFSET($AV$2,D65,0)-OFFSET($BB$2,D65,0))</f>
        <v/>
      </c>
      <c r="G72" s="2568"/>
      <c r="H72" s="2565" t="str">
        <f ca="1">IF(ISBLANK(OFFSET($AP$2,H65,0)),"",OFFSET($AV$2,H65,0))</f>
        <v/>
      </c>
      <c r="I72" s="2566"/>
      <c r="J72" s="2567" t="str">
        <f ca="1">IF(ISBLANK(OFFSET($AP$2,H65,0)),"",OFFSET($AV$2,H65,0)-OFFSET($BB$2,H65,0))</f>
        <v/>
      </c>
      <c r="K72" s="2568"/>
      <c r="L72" s="2565" t="str">
        <f ca="1">IF(ISBLANK(OFFSET($AP$2,L65,0)),"",OFFSET($AV$2,L65,0))</f>
        <v/>
      </c>
      <c r="M72" s="2566"/>
      <c r="N72" s="2567" t="str">
        <f ca="1">IF(ISBLANK(OFFSET($AP$2,L65,0)),"",OFFSET($AV$2,L65,0)-OFFSET($BB$2,L65,0))</f>
        <v/>
      </c>
      <c r="O72" s="2568"/>
      <c r="P72" s="2565" t="str">
        <f ca="1">IF(ISBLANK(OFFSET($AP$2,P65,0)),"",OFFSET($AV$2,P65,0))</f>
        <v/>
      </c>
      <c r="Q72" s="2566"/>
      <c r="R72" s="2567" t="str">
        <f ca="1">IF(ISBLANK(OFFSET($AP$2,P65,0)),"",OFFSET($AV$2,P65,0)-OFFSET($BB$2,P65,0))</f>
        <v/>
      </c>
      <c r="S72" s="2568"/>
      <c r="T72" s="2565" t="str">
        <f ca="1">IF(ISBLANK(OFFSET($AP$2,T65,0)),"",OFFSET($AV$2,T65,0))</f>
        <v/>
      </c>
      <c r="U72" s="2566"/>
      <c r="V72" s="2567" t="str">
        <f ca="1">IF(ISBLANK(OFFSET($AP$2,T65,0)),"",OFFSET($AV$2,T65,0)-OFFSET($BB$2,T65,0))</f>
        <v/>
      </c>
      <c r="W72" s="2568"/>
      <c r="X72" s="2565" t="str">
        <f ca="1">IF(ISBLANK(OFFSET($AP$2,X65,0)),"",OFFSET($AV$2,X65,0))</f>
        <v/>
      </c>
      <c r="Y72" s="2566"/>
      <c r="Z72" s="2567" t="str">
        <f ca="1">IF(ISBLANK(OFFSET($AP$2,X65,0)),"",OFFSET($AV$2,X65,0)-OFFSET($BB$2,X65,0))</f>
        <v/>
      </c>
      <c r="AA72" s="2568"/>
      <c r="AB72" s="57"/>
      <c r="AP72" s="54"/>
      <c r="AQ72" s="54"/>
      <c r="AR72" s="54"/>
      <c r="AS72" s="54"/>
      <c r="AT72" s="54"/>
      <c r="AU72" s="54"/>
      <c r="AV72" s="76"/>
      <c r="AW72" s="77"/>
      <c r="AX72" s="54"/>
      <c r="AY72" s="54"/>
      <c r="AZ72" s="54"/>
      <c r="BA72" s="54"/>
      <c r="BB72" s="54"/>
    </row>
    <row r="73" spans="1:54" ht="12.95" hidden="1" customHeight="1" thickBot="1" x14ac:dyDescent="0.25">
      <c r="A73" s="57"/>
      <c r="B73"/>
      <c r="C73"/>
      <c r="D73" s="100">
        <v>31</v>
      </c>
      <c r="E73" s="100"/>
      <c r="F73" s="100"/>
      <c r="G73" s="100"/>
      <c r="H73" s="100">
        <v>32</v>
      </c>
      <c r="I73" s="100"/>
      <c r="J73" s="100"/>
      <c r="K73" s="100"/>
      <c r="L73" s="100">
        <v>33</v>
      </c>
      <c r="M73" s="100"/>
      <c r="N73" s="100"/>
      <c r="O73" s="100"/>
      <c r="P73" s="100">
        <v>34</v>
      </c>
      <c r="Q73" s="100"/>
      <c r="R73" s="100"/>
      <c r="S73" s="100"/>
      <c r="T73" s="100">
        <v>35</v>
      </c>
      <c r="U73" s="100"/>
      <c r="V73" s="100"/>
      <c r="W73" s="100"/>
      <c r="X73" s="100">
        <v>36</v>
      </c>
      <c r="Y73" s="79"/>
      <c r="Z73" s="79"/>
      <c r="AA73" s="79"/>
      <c r="AB73" s="79"/>
      <c r="AP73" s="54"/>
      <c r="AQ73" s="54"/>
      <c r="AR73" s="54"/>
      <c r="AS73" s="54"/>
      <c r="AT73" s="54"/>
      <c r="AU73" s="54"/>
      <c r="AV73" s="76"/>
      <c r="AW73" s="77"/>
      <c r="AX73" s="54"/>
      <c r="AY73" s="54"/>
      <c r="AZ73" s="54"/>
      <c r="BA73" s="54"/>
      <c r="BB73" s="54"/>
    </row>
    <row r="74" spans="1:54" ht="12.95" hidden="1" customHeight="1" x14ac:dyDescent="0.2">
      <c r="A74" s="57"/>
      <c r="B74" s="41"/>
      <c r="C74" s="42"/>
      <c r="D74" s="2569" t="str">
        <f ca="1">IF(ISBLANK(OFFSET($AP$2,D73,0)),"",CONCATENATE("Seq. ",OFFSET($AP$2,D73,0)))</f>
        <v/>
      </c>
      <c r="E74" s="2570"/>
      <c r="F74" s="2570"/>
      <c r="G74" s="2571"/>
      <c r="H74" s="2569" t="str">
        <f ca="1">IF(ISBLANK(OFFSET($AP$2,H73,0)),"",CONCATENATE("Seq. ",OFFSET($AP$2,H73,0)))</f>
        <v/>
      </c>
      <c r="I74" s="2570"/>
      <c r="J74" s="2570"/>
      <c r="K74" s="2571"/>
      <c r="L74" s="2569" t="str">
        <f ca="1">IF(ISBLANK(OFFSET($AP$2,L73,0)),"",CONCATENATE("Seq. ",OFFSET($AP$2,L73,0)))</f>
        <v/>
      </c>
      <c r="M74" s="2570"/>
      <c r="N74" s="2570"/>
      <c r="O74" s="2571"/>
      <c r="P74" s="2569" t="str">
        <f ca="1">IF(ISBLANK(OFFSET($AP$2,P73,0)),"",CONCATENATE("Seq. ",OFFSET($AP$2,P73,0)))</f>
        <v/>
      </c>
      <c r="Q74" s="2570"/>
      <c r="R74" s="2570"/>
      <c r="S74" s="2571"/>
      <c r="T74" s="2569" t="str">
        <f ca="1">IF(ISBLANK(OFFSET($AP$2,T73,0)),"",CONCATENATE("Seq. ",OFFSET($AP$2,T73,0)))</f>
        <v/>
      </c>
      <c r="U74" s="2570"/>
      <c r="V74" s="2570"/>
      <c r="W74" s="2571"/>
      <c r="X74" s="2569" t="str">
        <f ca="1">IF(ISBLANK(OFFSET($AP$2,X73,0)),"",CONCATENATE("Seq. ",OFFSET($AP$2,X73,0)))</f>
        <v/>
      </c>
      <c r="Y74" s="2570"/>
      <c r="Z74" s="2570"/>
      <c r="AA74" s="2571"/>
      <c r="AB74" s="57"/>
      <c r="AP74" s="54"/>
      <c r="AQ74" s="54"/>
      <c r="AR74" s="54"/>
      <c r="AS74" s="54"/>
      <c r="AT74" s="54"/>
      <c r="AU74" s="54"/>
      <c r="AV74" s="76"/>
      <c r="AW74" s="77"/>
      <c r="AX74" s="54"/>
      <c r="AY74" s="54"/>
      <c r="AZ74" s="54"/>
      <c r="BA74" s="54"/>
      <c r="BB74" s="54"/>
    </row>
    <row r="75" spans="1:54" ht="12.95" hidden="1" customHeight="1" thickBot="1" x14ac:dyDescent="0.25">
      <c r="A75" s="57"/>
      <c r="B75" s="41"/>
      <c r="C75" s="42"/>
      <c r="D75" s="2558" t="s">
        <v>440</v>
      </c>
      <c r="E75" s="2559"/>
      <c r="F75" s="2559" t="s">
        <v>441</v>
      </c>
      <c r="G75" s="2560"/>
      <c r="H75" s="2558" t="s">
        <v>440</v>
      </c>
      <c r="I75" s="2559"/>
      <c r="J75" s="2559" t="s">
        <v>441</v>
      </c>
      <c r="K75" s="2560"/>
      <c r="L75" s="2558" t="s">
        <v>440</v>
      </c>
      <c r="M75" s="2559"/>
      <c r="N75" s="2559" t="s">
        <v>441</v>
      </c>
      <c r="O75" s="2560"/>
      <c r="P75" s="2558" t="s">
        <v>440</v>
      </c>
      <c r="Q75" s="2559"/>
      <c r="R75" s="2559" t="s">
        <v>441</v>
      </c>
      <c r="S75" s="2560"/>
      <c r="T75" s="2558" t="s">
        <v>440</v>
      </c>
      <c r="U75" s="2559"/>
      <c r="V75" s="2559" t="s">
        <v>441</v>
      </c>
      <c r="W75" s="2560"/>
      <c r="X75" s="2558" t="s">
        <v>440</v>
      </c>
      <c r="Y75" s="2559"/>
      <c r="Z75" s="2559" t="s">
        <v>441</v>
      </c>
      <c r="AA75" s="2560"/>
      <c r="AB75" s="57"/>
      <c r="AP75" s="54"/>
      <c r="AQ75" s="54"/>
      <c r="AR75" s="54"/>
      <c r="AS75" s="54"/>
      <c r="AT75" s="54"/>
      <c r="AU75" s="54"/>
      <c r="AV75" s="76"/>
      <c r="AW75" s="77"/>
      <c r="AX75" s="54"/>
      <c r="AY75" s="54"/>
      <c r="AZ75" s="54"/>
      <c r="BA75" s="54"/>
      <c r="BB75" s="54"/>
    </row>
    <row r="76" spans="1:54" ht="12.95" hidden="1" customHeight="1" x14ac:dyDescent="0.2">
      <c r="A76" s="57"/>
      <c r="B76" s="2563" t="s">
        <v>73</v>
      </c>
      <c r="C76" s="2564"/>
      <c r="D76" s="2554" t="str">
        <f ca="1">IF(ISBLANK(OFFSET($AP$2,D73,0)),"",OFFSET($AQ$2,D73,0)+OFFSET($AU$2,D73,0))</f>
        <v/>
      </c>
      <c r="E76" s="2555"/>
      <c r="F76" s="2552" t="str">
        <f ca="1">IF(ISBLANK(OFFSET($AP$2,D73,0)),"",(OFFSET($AQ$2,D73,0)+OFFSET($AU$2,D73,0))-(OFFSET($AW$2,D73,0)+OFFSET($BA$2,D73,0)))</f>
        <v/>
      </c>
      <c r="G76" s="2553"/>
      <c r="H76" s="2554" t="str">
        <f ca="1">IF(ISBLANK(OFFSET($AP$2,H73,0)),"",OFFSET($AQ$2,H73,0)+OFFSET($AU$2,H73,0))</f>
        <v/>
      </c>
      <c r="I76" s="2555"/>
      <c r="J76" s="2552" t="str">
        <f ca="1">IF(ISBLANK(OFFSET($AP$2,H73,0)),"",(OFFSET($AQ$2,H73,0)+OFFSET($AU$2,H73,0))-(OFFSET($AW$2,H73,0)+OFFSET($BA$2,H73,0)))</f>
        <v/>
      </c>
      <c r="K76" s="2553"/>
      <c r="L76" s="2554" t="str">
        <f ca="1">IF(ISBLANK(OFFSET($AP$2,L73,0)),"",OFFSET($AQ$2,L73,0)+OFFSET($AU$2,L73,0))</f>
        <v/>
      </c>
      <c r="M76" s="2555"/>
      <c r="N76" s="2552" t="str">
        <f ca="1">IF(ISBLANK(OFFSET($AP$2,L73,0)),"",(OFFSET($AQ$2,L73,0)+OFFSET($AU$2,L73,0))-(OFFSET($AW$2,L73,0)+OFFSET($BA$2,L73,0)))</f>
        <v/>
      </c>
      <c r="O76" s="2553"/>
      <c r="P76" s="2554" t="str">
        <f ca="1">IF(ISBLANK(OFFSET($AP$2,P73,0)),"",OFFSET($AQ$2,P73,0)+OFFSET($AU$2,P73,0))</f>
        <v/>
      </c>
      <c r="Q76" s="2555"/>
      <c r="R76" s="2552" t="str">
        <f ca="1">IF(ISBLANK(OFFSET($AP$2,P73,0)),"",(OFFSET($AQ$2,P73,0)+OFFSET($AU$2,P73,0))-(OFFSET($AW$2,P73,0)+OFFSET($BA$2,P73,0)))</f>
        <v/>
      </c>
      <c r="S76" s="2553"/>
      <c r="T76" s="2554" t="str">
        <f ca="1">IF(ISBLANK(OFFSET($AP$2,T73,0)),"",OFFSET($AQ$2,T73,0)+OFFSET($AU$2,T73,0))</f>
        <v/>
      </c>
      <c r="U76" s="2555"/>
      <c r="V76" s="2552" t="str">
        <f ca="1">IF(ISBLANK(OFFSET($AP$2,T73,0)),"",(OFFSET($AQ$2,T73,0)+OFFSET($AU$2,T73,0))-(OFFSET($AW$2,T73,0)+OFFSET($BA$2,T73,0)))</f>
        <v/>
      </c>
      <c r="W76" s="2553"/>
      <c r="X76" s="2554" t="str">
        <f ca="1">IF(ISBLANK(OFFSET($AP$2,X73,0)),"",OFFSET($AQ$2,X73,0)+OFFSET($AU$2,X73,0))</f>
        <v/>
      </c>
      <c r="Y76" s="2555"/>
      <c r="Z76" s="2552" t="str">
        <f ca="1">IF(ISBLANK(OFFSET($AP$2,X73,0)),"",(OFFSET($AQ$2,X73,0)+OFFSET($AU$2,X73,0))-(OFFSET($AW$2,X73,0)+OFFSET($BA$2,X73,0)))</f>
        <v/>
      </c>
      <c r="AA76" s="2553"/>
      <c r="AB76" s="57"/>
      <c r="AP76" s="54"/>
      <c r="AQ76" s="54"/>
      <c r="AR76" s="54"/>
      <c r="AS76" s="54"/>
      <c r="AT76" s="54"/>
      <c r="AU76" s="54"/>
      <c r="AV76" s="76"/>
      <c r="AW76" s="77"/>
      <c r="AX76" s="54"/>
      <c r="AY76" s="54"/>
      <c r="AZ76" s="54"/>
      <c r="BA76" s="54"/>
      <c r="BB76" s="54"/>
    </row>
    <row r="77" spans="1:54" ht="12.95" hidden="1" customHeight="1" x14ac:dyDescent="0.2">
      <c r="A77" s="57"/>
      <c r="B77" s="2556" t="s">
        <v>437</v>
      </c>
      <c r="C77" s="2557"/>
      <c r="D77" s="2554" t="str">
        <f ca="1">IF(ISBLANK(OFFSET($AP$2,D73,0)),"",OFFSET($AR$2,D73,0))</f>
        <v/>
      </c>
      <c r="E77" s="2555"/>
      <c r="F77" s="2552" t="str">
        <f ca="1">IF(ISBLANK(OFFSET($AP$2,D73,0)),"",OFFSET($AR$2,D73,0)-OFFSET($AX$2,D73,0))</f>
        <v/>
      </c>
      <c r="G77" s="2553"/>
      <c r="H77" s="2554" t="str">
        <f ca="1">IF(ISBLANK(OFFSET($AP$2,H73,0)),"",OFFSET($AR$2,H73,0))</f>
        <v/>
      </c>
      <c r="I77" s="2555"/>
      <c r="J77" s="2552" t="str">
        <f ca="1">IF(ISBLANK(OFFSET($AP$2,H73,0)),"",OFFSET($AR$2,H73,0)-OFFSET($AX$2,H73,0))</f>
        <v/>
      </c>
      <c r="K77" s="2553"/>
      <c r="L77" s="2554" t="str">
        <f ca="1">IF(ISBLANK(OFFSET($AP$2,L73,0)),"",OFFSET($AR$2,L73,0))</f>
        <v/>
      </c>
      <c r="M77" s="2555"/>
      <c r="N77" s="2552" t="str">
        <f ca="1">IF(ISBLANK(OFFSET($AP$2,L73,0)),"",OFFSET($AR$2,L73,0)-OFFSET($AX$2,L73,0))</f>
        <v/>
      </c>
      <c r="O77" s="2553"/>
      <c r="P77" s="2554" t="str">
        <f ca="1">IF(ISBLANK(OFFSET($AP$2,P73,0)),"",OFFSET($AR$2,P73,0))</f>
        <v/>
      </c>
      <c r="Q77" s="2555"/>
      <c r="R77" s="2552" t="str">
        <f ca="1">IF(ISBLANK(OFFSET($AP$2,P73,0)),"",OFFSET($AR$2,P73,0)-OFFSET($AX$2,P73,0))</f>
        <v/>
      </c>
      <c r="S77" s="2553"/>
      <c r="T77" s="2554" t="str">
        <f ca="1">IF(ISBLANK(OFFSET($AP$2,T73,0)),"",OFFSET($AR$2,T73,0))</f>
        <v/>
      </c>
      <c r="U77" s="2555"/>
      <c r="V77" s="2552" t="str">
        <f ca="1">IF(ISBLANK(OFFSET($AP$2,T73,0)),"",OFFSET($AR$2,T73,0)-OFFSET($AX$2,T73,0))</f>
        <v/>
      </c>
      <c r="W77" s="2553"/>
      <c r="X77" s="2554" t="str">
        <f ca="1">IF(ISBLANK(OFFSET($AP$2,X73,0)),"",OFFSET($AR$2,X73,0))</f>
        <v/>
      </c>
      <c r="Y77" s="2555"/>
      <c r="Z77" s="2552" t="str">
        <f ca="1">IF(ISBLANK(OFFSET($AP$2,X73,0)),"",OFFSET($AR$2,X73,0)-OFFSET($AX$2,X73,0))</f>
        <v/>
      </c>
      <c r="AA77" s="2553"/>
      <c r="AB77" s="57"/>
      <c r="AP77" s="54"/>
      <c r="AQ77" s="54"/>
      <c r="AR77" s="54"/>
      <c r="AS77" s="54"/>
      <c r="AT77" s="54"/>
      <c r="AU77" s="54"/>
      <c r="AV77" s="76"/>
      <c r="AW77" s="77"/>
      <c r="AX77" s="54"/>
      <c r="AY77" s="54"/>
      <c r="AZ77" s="54"/>
      <c r="BA77" s="54"/>
      <c r="BB77" s="54"/>
    </row>
    <row r="78" spans="1:54" ht="12.95" hidden="1" customHeight="1" x14ac:dyDescent="0.2">
      <c r="A78" s="57"/>
      <c r="B78" s="2556" t="s">
        <v>438</v>
      </c>
      <c r="C78" s="2557"/>
      <c r="D78" s="2554" t="str">
        <f ca="1">IF(ISBLANK(OFFSET($AP$2,D73,0)),"",OFFSET($AS$2,D73,0))</f>
        <v/>
      </c>
      <c r="E78" s="2555"/>
      <c r="F78" s="2552" t="str">
        <f ca="1">IF(ISBLANK(OFFSET($AP$2,D73,0)),"",OFFSET($AS$2,D73,0)-OFFSET($AY$2,D73,0))</f>
        <v/>
      </c>
      <c r="G78" s="2553"/>
      <c r="H78" s="2554" t="str">
        <f ca="1">IF(ISBLANK(OFFSET($AP$2,H73,0)),"",OFFSET($AS$2,H73,0))</f>
        <v/>
      </c>
      <c r="I78" s="2555"/>
      <c r="J78" s="2552" t="str">
        <f ca="1">IF(ISBLANK(OFFSET($AP$2,H73,0)),"",OFFSET($AS$2,H73,0)-OFFSET($AY$2,H73,0))</f>
        <v/>
      </c>
      <c r="K78" s="2553"/>
      <c r="L78" s="2554" t="str">
        <f ca="1">IF(ISBLANK(OFFSET($AP$2,L73,0)),"",OFFSET($AS$2,L73,0))</f>
        <v/>
      </c>
      <c r="M78" s="2555"/>
      <c r="N78" s="2552" t="str">
        <f ca="1">IF(ISBLANK(OFFSET($AP$2,L73,0)),"",OFFSET($AS$2,L73,0)-OFFSET($AY$2,L73,0))</f>
        <v/>
      </c>
      <c r="O78" s="2553"/>
      <c r="P78" s="2554" t="str">
        <f ca="1">IF(ISBLANK(OFFSET($AP$2,P73,0)),"",OFFSET($AS$2,P73,0))</f>
        <v/>
      </c>
      <c r="Q78" s="2555"/>
      <c r="R78" s="2552" t="str">
        <f ca="1">IF(ISBLANK(OFFSET($AP$2,P73,0)),"",OFFSET($AS$2,P73,0)-OFFSET($AY$2,P73,0))</f>
        <v/>
      </c>
      <c r="S78" s="2553"/>
      <c r="T78" s="2554" t="str">
        <f ca="1">IF(ISBLANK(OFFSET($AP$2,T73,0)),"",OFFSET($AS$2,T73,0))</f>
        <v/>
      </c>
      <c r="U78" s="2555"/>
      <c r="V78" s="2552" t="str">
        <f ca="1">IF(ISBLANK(OFFSET($AP$2,T73,0)),"",OFFSET($AS$2,T73,0)-OFFSET($AY$2,T73,0))</f>
        <v/>
      </c>
      <c r="W78" s="2553"/>
      <c r="X78" s="2554" t="str">
        <f ca="1">IF(ISBLANK(OFFSET($AP$2,X73,0)),"",OFFSET($AS$2,X73,0))</f>
        <v/>
      </c>
      <c r="Y78" s="2555"/>
      <c r="Z78" s="2552" t="str">
        <f ca="1">IF(ISBLANK(OFFSET($AP$2,X73,0)),"",OFFSET($AS$2,X73,0)-OFFSET($AY$2,X73,0))</f>
        <v/>
      </c>
      <c r="AA78" s="2553"/>
      <c r="AB78" s="57"/>
      <c r="AP78" s="54"/>
      <c r="AQ78" s="54"/>
      <c r="AR78" s="54"/>
      <c r="AS78" s="54"/>
      <c r="AT78" s="54"/>
      <c r="AU78" s="54"/>
      <c r="AV78" s="76"/>
      <c r="AW78" s="77"/>
      <c r="AX78" s="54"/>
      <c r="AY78" s="54"/>
      <c r="AZ78" s="54"/>
      <c r="BA78" s="54"/>
      <c r="BB78" s="54"/>
    </row>
    <row r="79" spans="1:54" ht="12.95" hidden="1" customHeight="1" x14ac:dyDescent="0.2">
      <c r="A79" s="57"/>
      <c r="B79" s="2556" t="s">
        <v>75</v>
      </c>
      <c r="C79" s="2557"/>
      <c r="D79" s="2554" t="str">
        <f ca="1">IF(ISBLANK(OFFSET($AP$2,D73,0)),"",OFFSET($AT$2,D73,0))</f>
        <v/>
      </c>
      <c r="E79" s="2555"/>
      <c r="F79" s="2552" t="str">
        <f ca="1">IF(ISBLANK(OFFSET($AP$2,D73,0)),"",OFFSET($AT$2,D73,0)-OFFSET($AZ$2,D73,0))</f>
        <v/>
      </c>
      <c r="G79" s="2553"/>
      <c r="H79" s="2554" t="str">
        <f ca="1">IF(ISBLANK(OFFSET($AP$2,H73,0)),"",OFFSET($AT$2,H73,0))</f>
        <v/>
      </c>
      <c r="I79" s="2555"/>
      <c r="J79" s="2552" t="str">
        <f ca="1">IF(ISBLANK(OFFSET($AP$2,H73,0)),"",OFFSET($AT$2,H73,0)-OFFSET($AZ$2,H73,0))</f>
        <v/>
      </c>
      <c r="K79" s="2553"/>
      <c r="L79" s="2554" t="str">
        <f ca="1">IF(ISBLANK(OFFSET($AP$2,L73,0)),"",OFFSET($AT$2,L73,0))</f>
        <v/>
      </c>
      <c r="M79" s="2555"/>
      <c r="N79" s="2552" t="str">
        <f ca="1">IF(ISBLANK(OFFSET($AP$2,L73,0)),"",OFFSET($AT$2,L73,0)-OFFSET($AZ$2,L73,0))</f>
        <v/>
      </c>
      <c r="O79" s="2553"/>
      <c r="P79" s="2554" t="str">
        <f ca="1">IF(ISBLANK(OFFSET($AP$2,P73,0)),"",OFFSET($AT$2,P73,0))</f>
        <v/>
      </c>
      <c r="Q79" s="2555"/>
      <c r="R79" s="2552" t="str">
        <f ca="1">IF(ISBLANK(OFFSET($AP$2,P73,0)),"",OFFSET($AT$2,P73,0)-OFFSET($AZ$2,P73,0))</f>
        <v/>
      </c>
      <c r="S79" s="2553"/>
      <c r="T79" s="2554" t="str">
        <f ca="1">IF(ISBLANK(OFFSET($AP$2,T73,0)),"",OFFSET($AT$2,T73,0))</f>
        <v/>
      </c>
      <c r="U79" s="2555"/>
      <c r="V79" s="2552" t="str">
        <f ca="1">IF(ISBLANK(OFFSET($AP$2,T73,0)),"",OFFSET($AT$2,T73,0)-OFFSET($AZ$2,T73,0))</f>
        <v/>
      </c>
      <c r="W79" s="2553"/>
      <c r="X79" s="2554" t="str">
        <f ca="1">IF(ISBLANK(OFFSET($AP$2,X73,0)),"",OFFSET($AT$2,X73,0))</f>
        <v/>
      </c>
      <c r="Y79" s="2555"/>
      <c r="Z79" s="2552" t="str">
        <f ca="1">IF(ISBLANK(OFFSET($AP$2,X73,0)),"",OFFSET($AT$2,X73,0)-OFFSET($AZ$2,X73,0))</f>
        <v/>
      </c>
      <c r="AA79" s="2553"/>
      <c r="AB79" s="57"/>
      <c r="AP79" s="54"/>
      <c r="AQ79" s="54"/>
      <c r="AR79" s="54"/>
      <c r="AS79" s="54"/>
      <c r="AT79" s="54"/>
      <c r="AU79" s="54"/>
      <c r="AV79" s="76"/>
      <c r="AW79" s="77"/>
      <c r="AX79" s="54"/>
      <c r="AY79" s="54"/>
      <c r="AZ79" s="54"/>
      <c r="BA79" s="54"/>
      <c r="BB79" s="54"/>
    </row>
    <row r="80" spans="1:54" ht="12.95" hidden="1" customHeight="1" thickBot="1" x14ac:dyDescent="0.25">
      <c r="A80" s="57"/>
      <c r="B80" s="2572" t="s">
        <v>439</v>
      </c>
      <c r="C80" s="2573"/>
      <c r="D80" s="2565" t="str">
        <f ca="1">IF(ISBLANK(OFFSET($AP$2,D73,0)),"",OFFSET($AV$2,D73,0))</f>
        <v/>
      </c>
      <c r="E80" s="2566"/>
      <c r="F80" s="2567" t="str">
        <f ca="1">IF(ISBLANK(OFFSET($AP$2,D73,0)),"",OFFSET($AV$2,D73,0)-OFFSET($BB$2,D73,0))</f>
        <v/>
      </c>
      <c r="G80" s="2568"/>
      <c r="H80" s="2565" t="str">
        <f ca="1">IF(ISBLANK(OFFSET($AP$2,H73,0)),"",OFFSET($AV$2,H73,0))</f>
        <v/>
      </c>
      <c r="I80" s="2566"/>
      <c r="J80" s="2567" t="str">
        <f ca="1">IF(ISBLANK(OFFSET($AP$2,H73,0)),"",OFFSET($AV$2,H73,0)-OFFSET($BB$2,H73,0))</f>
        <v/>
      </c>
      <c r="K80" s="2568"/>
      <c r="L80" s="2565" t="str">
        <f ca="1">IF(ISBLANK(OFFSET($AP$2,L73,0)),"",OFFSET($AV$2,L73,0))</f>
        <v/>
      </c>
      <c r="M80" s="2566"/>
      <c r="N80" s="2567" t="str">
        <f ca="1">IF(ISBLANK(OFFSET($AP$2,L73,0)),"",OFFSET($AV$2,L73,0)-OFFSET($BB$2,L73,0))</f>
        <v/>
      </c>
      <c r="O80" s="2568"/>
      <c r="P80" s="2565" t="str">
        <f ca="1">IF(ISBLANK(OFFSET($AP$2,P73,0)),"",OFFSET($AV$2,P73,0))</f>
        <v/>
      </c>
      <c r="Q80" s="2566"/>
      <c r="R80" s="2567" t="str">
        <f ca="1">IF(ISBLANK(OFFSET($AP$2,P73,0)),"",OFFSET($AV$2,P73,0)-OFFSET($BB$2,P73,0))</f>
        <v/>
      </c>
      <c r="S80" s="2568"/>
      <c r="T80" s="2565" t="str">
        <f ca="1">IF(ISBLANK(OFFSET($AP$2,T73,0)),"",OFFSET($AV$2,T73,0))</f>
        <v/>
      </c>
      <c r="U80" s="2566"/>
      <c r="V80" s="2567" t="str">
        <f ca="1">IF(ISBLANK(OFFSET($AP$2,T73,0)),"",OFFSET($AV$2,T73,0)-OFFSET($BB$2,T73,0))</f>
        <v/>
      </c>
      <c r="W80" s="2568"/>
      <c r="X80" s="2565" t="str">
        <f ca="1">IF(ISBLANK(OFFSET($AP$2,X73,0)),"",OFFSET($AV$2,X73,0))</f>
        <v/>
      </c>
      <c r="Y80" s="2566"/>
      <c r="Z80" s="2567" t="str">
        <f ca="1">IF(ISBLANK(OFFSET($AP$2,X73,0)),"",OFFSET($AV$2,X73,0)-OFFSET($BB$2,X73,0))</f>
        <v/>
      </c>
      <c r="AA80" s="2568"/>
      <c r="AB80" s="57"/>
      <c r="AP80" s="54"/>
      <c r="AQ80" s="54"/>
      <c r="AR80" s="54"/>
      <c r="AS80" s="54"/>
      <c r="AT80" s="54"/>
      <c r="AU80" s="54"/>
      <c r="AV80" s="76"/>
      <c r="AW80" s="77"/>
      <c r="AX80" s="54"/>
      <c r="AY80" s="54"/>
      <c r="AZ80" s="54"/>
      <c r="BA80" s="54"/>
      <c r="BB80" s="54"/>
    </row>
    <row r="81" spans="1:54" ht="12.95" hidden="1" customHeight="1" thickBot="1" x14ac:dyDescent="0.25">
      <c r="A81" s="57"/>
      <c r="B81"/>
      <c r="C81"/>
      <c r="D81" s="100">
        <v>37</v>
      </c>
      <c r="E81" s="100"/>
      <c r="F81" s="100"/>
      <c r="G81" s="100"/>
      <c r="H81" s="100">
        <v>38</v>
      </c>
      <c r="I81" s="100"/>
      <c r="J81" s="100"/>
      <c r="K81" s="100"/>
      <c r="L81" s="100">
        <v>39</v>
      </c>
      <c r="M81" s="100"/>
      <c r="N81" s="100"/>
      <c r="O81" s="100"/>
      <c r="P81" s="100">
        <v>40</v>
      </c>
      <c r="Q81" s="100"/>
      <c r="R81" s="100"/>
      <c r="S81" s="100"/>
      <c r="T81" s="100">
        <v>41</v>
      </c>
      <c r="U81" s="100"/>
      <c r="V81" s="100"/>
      <c r="W81" s="100"/>
      <c r="X81" s="100">
        <v>42</v>
      </c>
      <c r="Y81" s="79"/>
      <c r="Z81" s="79"/>
      <c r="AA81" s="79"/>
      <c r="AB81" s="57"/>
      <c r="AP81" s="54"/>
      <c r="AQ81" s="54"/>
      <c r="AR81" s="54"/>
      <c r="AS81" s="54"/>
      <c r="AT81" s="54"/>
      <c r="AU81" s="54"/>
      <c r="AV81" s="76"/>
      <c r="AW81" s="77"/>
      <c r="AX81" s="54"/>
      <c r="AY81" s="54"/>
      <c r="AZ81" s="54"/>
      <c r="BA81" s="54"/>
      <c r="BB81" s="54"/>
    </row>
    <row r="82" spans="1:54" ht="12.95" hidden="1" customHeight="1" x14ac:dyDescent="0.2">
      <c r="A82" s="57"/>
      <c r="B82" s="41"/>
      <c r="C82" s="42"/>
      <c r="D82" s="2569" t="str">
        <f ca="1">IF(ISBLANK(OFFSET($AP$2,D81,0)),"",CONCATENATE("Seq. ",OFFSET($AP$2,D81,0)))</f>
        <v/>
      </c>
      <c r="E82" s="2570"/>
      <c r="F82" s="2570"/>
      <c r="G82" s="2571"/>
      <c r="H82" s="2569" t="str">
        <f ca="1">IF(ISBLANK(OFFSET($AP$2,H81,0)),"",CONCATENATE("Seq. ",OFFSET($AP$2,H81,0)))</f>
        <v/>
      </c>
      <c r="I82" s="2570"/>
      <c r="J82" s="2570"/>
      <c r="K82" s="2571"/>
      <c r="L82" s="2569" t="str">
        <f ca="1">IF(ISBLANK(OFFSET($AP$2,L81,0)),"",CONCATENATE("Seq. ",OFFSET($AP$2,L81,0)))</f>
        <v/>
      </c>
      <c r="M82" s="2570"/>
      <c r="N82" s="2570"/>
      <c r="O82" s="2571"/>
      <c r="P82" s="2569" t="str">
        <f ca="1">IF(ISBLANK(OFFSET($AP$2,P81,0)),"",CONCATENATE("Seq. ",OFFSET($AP$2,P81,0)))</f>
        <v/>
      </c>
      <c r="Q82" s="2570"/>
      <c r="R82" s="2570"/>
      <c r="S82" s="2571"/>
      <c r="T82" s="2569" t="str">
        <f ca="1">IF(ISBLANK(OFFSET($AP$2,T81,0)),"",CONCATENATE("Seq. ",OFFSET($AP$2,T81,0)))</f>
        <v/>
      </c>
      <c r="U82" s="2570"/>
      <c r="V82" s="2570"/>
      <c r="W82" s="2571"/>
      <c r="X82" s="2569" t="str">
        <f ca="1">IF(ISBLANK(OFFSET($AP$2,X81,0)),"",CONCATENATE("Seq. ",OFFSET($AP$2,X81,0)))</f>
        <v/>
      </c>
      <c r="Y82" s="2570"/>
      <c r="Z82" s="2570"/>
      <c r="AA82" s="2571"/>
      <c r="AB82" s="57"/>
      <c r="AP82" s="54"/>
      <c r="AQ82" s="54"/>
      <c r="AR82" s="54"/>
      <c r="AS82" s="54"/>
      <c r="AT82" s="54"/>
      <c r="AU82" s="54"/>
      <c r="AV82" s="76"/>
      <c r="AW82" s="77"/>
      <c r="AX82" s="54"/>
      <c r="AY82" s="54"/>
      <c r="AZ82" s="54"/>
      <c r="BA82" s="54"/>
      <c r="BB82" s="54"/>
    </row>
    <row r="83" spans="1:54" ht="12.95" hidden="1" customHeight="1" thickBot="1" x14ac:dyDescent="0.25">
      <c r="A83" s="57"/>
      <c r="B83" s="41"/>
      <c r="C83" s="42"/>
      <c r="D83" s="2558" t="s">
        <v>440</v>
      </c>
      <c r="E83" s="2559"/>
      <c r="F83" s="2559" t="s">
        <v>441</v>
      </c>
      <c r="G83" s="2560"/>
      <c r="H83" s="2558" t="s">
        <v>440</v>
      </c>
      <c r="I83" s="2559"/>
      <c r="J83" s="2559" t="s">
        <v>441</v>
      </c>
      <c r="K83" s="2560"/>
      <c r="L83" s="2558" t="s">
        <v>440</v>
      </c>
      <c r="M83" s="2559"/>
      <c r="N83" s="2559" t="s">
        <v>441</v>
      </c>
      <c r="O83" s="2560"/>
      <c r="P83" s="2558" t="s">
        <v>440</v>
      </c>
      <c r="Q83" s="2559"/>
      <c r="R83" s="2559" t="s">
        <v>441</v>
      </c>
      <c r="S83" s="2560"/>
      <c r="T83" s="2558" t="s">
        <v>440</v>
      </c>
      <c r="U83" s="2559"/>
      <c r="V83" s="2559" t="s">
        <v>441</v>
      </c>
      <c r="W83" s="2560"/>
      <c r="X83" s="2558" t="s">
        <v>440</v>
      </c>
      <c r="Y83" s="2559"/>
      <c r="Z83" s="2559" t="s">
        <v>441</v>
      </c>
      <c r="AA83" s="2560"/>
      <c r="AB83" s="57"/>
      <c r="AP83" s="54"/>
      <c r="AQ83" s="54"/>
      <c r="AR83" s="54"/>
      <c r="AS83" s="54"/>
      <c r="AT83" s="54"/>
      <c r="AU83" s="54"/>
      <c r="AV83" s="76"/>
      <c r="AW83" s="77"/>
      <c r="AX83" s="54"/>
      <c r="AY83" s="54"/>
      <c r="AZ83" s="54"/>
      <c r="BA83" s="54"/>
      <c r="BB83" s="54"/>
    </row>
    <row r="84" spans="1:54" ht="12.95" hidden="1" customHeight="1" x14ac:dyDescent="0.2">
      <c r="A84" s="57"/>
      <c r="B84" s="2563" t="s">
        <v>73</v>
      </c>
      <c r="C84" s="2564"/>
      <c r="D84" s="2554" t="str">
        <f ca="1">IF(ISBLANK(OFFSET($AP$2,D81,0)),"",OFFSET($AQ$2,D81,0)+OFFSET($AU$2,D81,0))</f>
        <v/>
      </c>
      <c r="E84" s="2555"/>
      <c r="F84" s="2552" t="str">
        <f ca="1">IF(ISBLANK(OFFSET($AP$2,D81,0)),"",(OFFSET($AQ$2,D81,0)+OFFSET($AU$2,D81,0))-(OFFSET($AW$2,D81,0)+OFFSET($BA$2,D81,0)))</f>
        <v/>
      </c>
      <c r="G84" s="2553"/>
      <c r="H84" s="2554" t="str">
        <f ca="1">IF(ISBLANK(OFFSET($AP$2,H81,0)),"",OFFSET($AQ$2,H81,0)+OFFSET($AU$2,H81,0))</f>
        <v/>
      </c>
      <c r="I84" s="2555"/>
      <c r="J84" s="2552" t="str">
        <f ca="1">IF(ISBLANK(OFFSET($AP$2,H81,0)),"",(OFFSET($AQ$2,H81,0)+OFFSET($AU$2,H81,0))-(OFFSET($AW$2,H81,0)+OFFSET($BA$2,H81,0)))</f>
        <v/>
      </c>
      <c r="K84" s="2553"/>
      <c r="L84" s="2554" t="str">
        <f ca="1">IF(ISBLANK(OFFSET($AP$2,L81,0)),"",OFFSET($AQ$2,L81,0)+OFFSET($AU$2,L81,0))</f>
        <v/>
      </c>
      <c r="M84" s="2555"/>
      <c r="N84" s="2552" t="str">
        <f ca="1">IF(ISBLANK(OFFSET($AP$2,L81,0)),"",(OFFSET($AQ$2,L81,0)+OFFSET($AU$2,L81,0))-(OFFSET($AW$2,L81,0)+OFFSET($BA$2,L81,0)))</f>
        <v/>
      </c>
      <c r="O84" s="2553"/>
      <c r="P84" s="2554" t="str">
        <f ca="1">IF(ISBLANK(OFFSET($AP$2,P81,0)),"",OFFSET($AQ$2,P81,0)+OFFSET($AU$2,P81,0))</f>
        <v/>
      </c>
      <c r="Q84" s="2555"/>
      <c r="R84" s="2552" t="str">
        <f ca="1">IF(ISBLANK(OFFSET($AP$2,P81,0)),"",(OFFSET($AQ$2,P81,0)+OFFSET($AU$2,P81,0))-(OFFSET($AW$2,P81,0)+OFFSET($BA$2,P81,0)))</f>
        <v/>
      </c>
      <c r="S84" s="2553"/>
      <c r="T84" s="2554" t="str">
        <f ca="1">IF(ISBLANK(OFFSET($AP$2,T81,0)),"",OFFSET($AQ$2,T81,0)+OFFSET($AU$2,T81,0))</f>
        <v/>
      </c>
      <c r="U84" s="2555"/>
      <c r="V84" s="2552" t="str">
        <f ca="1">IF(ISBLANK(OFFSET($AP$2,T81,0)),"",(OFFSET($AQ$2,T81,0)+OFFSET($AU$2,T81,0))-(OFFSET($AW$2,T81,0)+OFFSET($BA$2,T81,0)))</f>
        <v/>
      </c>
      <c r="W84" s="2553"/>
      <c r="X84" s="2554" t="str">
        <f ca="1">IF(ISBLANK(OFFSET($AP$2,X81,0)),"",OFFSET($AQ$2,X81,0)+OFFSET($AU$2,X81,0))</f>
        <v/>
      </c>
      <c r="Y84" s="2555"/>
      <c r="Z84" s="2552" t="str">
        <f ca="1">IF(ISBLANK(OFFSET($AP$2,X81,0)),"",(OFFSET($AQ$2,X81,0)+OFFSET($AU$2,X81,0))-(OFFSET($AW$2,X81,0)+OFFSET($BA$2,X81,0)))</f>
        <v/>
      </c>
      <c r="AA84" s="2553"/>
      <c r="AB84" s="57"/>
      <c r="AP84" s="54"/>
      <c r="AQ84" s="54"/>
      <c r="AR84" s="54"/>
      <c r="AS84" s="54"/>
      <c r="AT84" s="54"/>
      <c r="AU84" s="54"/>
      <c r="AV84" s="76"/>
      <c r="AW84" s="77"/>
      <c r="AX84" s="54"/>
      <c r="AY84" s="54"/>
      <c r="AZ84" s="54"/>
      <c r="BA84" s="54"/>
      <c r="BB84" s="54"/>
    </row>
    <row r="85" spans="1:54" ht="12.95" hidden="1" customHeight="1" x14ac:dyDescent="0.2">
      <c r="A85" s="57"/>
      <c r="B85" s="2556" t="s">
        <v>437</v>
      </c>
      <c r="C85" s="2557"/>
      <c r="D85" s="2554" t="str">
        <f ca="1">IF(ISBLANK(OFFSET($AP$2,D81,0)),"",OFFSET($AR$2,D81,0))</f>
        <v/>
      </c>
      <c r="E85" s="2555"/>
      <c r="F85" s="2552" t="str">
        <f ca="1">IF(ISBLANK(OFFSET($AP$2,D81,0)),"",OFFSET($AR$2,D81,0)-OFFSET($AX$2,D81,0))</f>
        <v/>
      </c>
      <c r="G85" s="2553"/>
      <c r="H85" s="2554" t="str">
        <f ca="1">IF(ISBLANK(OFFSET($AP$2,H81,0)),"",OFFSET($AR$2,H81,0))</f>
        <v/>
      </c>
      <c r="I85" s="2555"/>
      <c r="J85" s="2552" t="str">
        <f ca="1">IF(ISBLANK(OFFSET($AP$2,H81,0)),"",OFFSET($AR$2,H81,0)-OFFSET($AX$2,H81,0))</f>
        <v/>
      </c>
      <c r="K85" s="2553"/>
      <c r="L85" s="2554" t="str">
        <f ca="1">IF(ISBLANK(OFFSET($AP$2,L81,0)),"",OFFSET($AR$2,L81,0))</f>
        <v/>
      </c>
      <c r="M85" s="2555"/>
      <c r="N85" s="2552" t="str">
        <f ca="1">IF(ISBLANK(OFFSET($AP$2,L81,0)),"",OFFSET($AR$2,L81,0)-OFFSET($AX$2,L81,0))</f>
        <v/>
      </c>
      <c r="O85" s="2553"/>
      <c r="P85" s="2554" t="str">
        <f ca="1">IF(ISBLANK(OFFSET($AP$2,P81,0)),"",OFFSET($AR$2,P81,0))</f>
        <v/>
      </c>
      <c r="Q85" s="2555"/>
      <c r="R85" s="2552" t="str">
        <f ca="1">IF(ISBLANK(OFFSET($AP$2,P81,0)),"",OFFSET($AR$2,P81,0)-OFFSET($AX$2,P81,0))</f>
        <v/>
      </c>
      <c r="S85" s="2553"/>
      <c r="T85" s="2554" t="str">
        <f ca="1">IF(ISBLANK(OFFSET($AP$2,T81,0)),"",OFFSET($AR$2,T81,0))</f>
        <v/>
      </c>
      <c r="U85" s="2555"/>
      <c r="V85" s="2552" t="str">
        <f ca="1">IF(ISBLANK(OFFSET($AP$2,T81,0)),"",OFFSET($AR$2,T81,0)-OFFSET($AX$2,T81,0))</f>
        <v/>
      </c>
      <c r="W85" s="2553"/>
      <c r="X85" s="2554" t="str">
        <f ca="1">IF(ISBLANK(OFFSET($AP$2,X81,0)),"",OFFSET($AR$2,X81,0))</f>
        <v/>
      </c>
      <c r="Y85" s="2555"/>
      <c r="Z85" s="2552" t="str">
        <f ca="1">IF(ISBLANK(OFFSET($AP$2,X81,0)),"",OFFSET($AR$2,X81,0)-OFFSET($AX$2,X81,0))</f>
        <v/>
      </c>
      <c r="AA85" s="2553"/>
      <c r="AB85" s="57"/>
      <c r="AP85" s="54"/>
      <c r="AQ85" s="54"/>
      <c r="AR85" s="54"/>
      <c r="AS85" s="54"/>
      <c r="AT85" s="54"/>
      <c r="AU85" s="54"/>
      <c r="AV85" s="76"/>
      <c r="AW85" s="77"/>
      <c r="AX85" s="54"/>
      <c r="AY85" s="54"/>
      <c r="AZ85" s="54"/>
      <c r="BA85" s="54"/>
      <c r="BB85" s="54"/>
    </row>
    <row r="86" spans="1:54" ht="12.95" hidden="1" customHeight="1" x14ac:dyDescent="0.2">
      <c r="A86" s="57"/>
      <c r="B86" s="2556" t="s">
        <v>438</v>
      </c>
      <c r="C86" s="2557"/>
      <c r="D86" s="2554" t="str">
        <f ca="1">IF(ISBLANK(OFFSET($AP$2,D81,0)),"",OFFSET($AS$2,D81,0))</f>
        <v/>
      </c>
      <c r="E86" s="2555"/>
      <c r="F86" s="2552" t="str">
        <f ca="1">IF(ISBLANK(OFFSET($AP$2,D81,0)),"",OFFSET($AS$2,D81,0)-OFFSET($AY$2,D81,0))</f>
        <v/>
      </c>
      <c r="G86" s="2553"/>
      <c r="H86" s="2554" t="str">
        <f ca="1">IF(ISBLANK(OFFSET($AP$2,H81,0)),"",OFFSET($AS$2,H81,0))</f>
        <v/>
      </c>
      <c r="I86" s="2555"/>
      <c r="J86" s="2552" t="str">
        <f ca="1">IF(ISBLANK(OFFSET($AP$2,H81,0)),"",OFFSET($AS$2,H81,0)-OFFSET($AY$2,H81,0))</f>
        <v/>
      </c>
      <c r="K86" s="2553"/>
      <c r="L86" s="2554" t="str">
        <f ca="1">IF(ISBLANK(OFFSET($AP$2,L81,0)),"",OFFSET($AS$2,L81,0))</f>
        <v/>
      </c>
      <c r="M86" s="2555"/>
      <c r="N86" s="2552" t="str">
        <f ca="1">IF(ISBLANK(OFFSET($AP$2,L81,0)),"",OFFSET($AS$2,L81,0)-OFFSET($AY$2,L81,0))</f>
        <v/>
      </c>
      <c r="O86" s="2553"/>
      <c r="P86" s="2554" t="str">
        <f ca="1">IF(ISBLANK(OFFSET($AP$2,P81,0)),"",OFFSET($AS$2,P81,0))</f>
        <v/>
      </c>
      <c r="Q86" s="2555"/>
      <c r="R86" s="2552" t="str">
        <f ca="1">IF(ISBLANK(OFFSET($AP$2,P81,0)),"",OFFSET($AS$2,P81,0)-OFFSET($AY$2,P81,0))</f>
        <v/>
      </c>
      <c r="S86" s="2553"/>
      <c r="T86" s="2554" t="str">
        <f ca="1">IF(ISBLANK(OFFSET($AP$2,T81,0)),"",OFFSET($AS$2,T81,0))</f>
        <v/>
      </c>
      <c r="U86" s="2555"/>
      <c r="V86" s="2552" t="str">
        <f ca="1">IF(ISBLANK(OFFSET($AP$2,T81,0)),"",OFFSET($AS$2,T81,0)-OFFSET($AY$2,T81,0))</f>
        <v/>
      </c>
      <c r="W86" s="2553"/>
      <c r="X86" s="2554" t="str">
        <f ca="1">IF(ISBLANK(OFFSET($AP$2,X81,0)),"",OFFSET($AS$2,X81,0))</f>
        <v/>
      </c>
      <c r="Y86" s="2555"/>
      <c r="Z86" s="2552" t="str">
        <f ca="1">IF(ISBLANK(OFFSET($AP$2,X81,0)),"",OFFSET($AS$2,X81,0)-OFFSET($AY$2,X81,0))</f>
        <v/>
      </c>
      <c r="AA86" s="2553"/>
      <c r="AB86" s="57"/>
      <c r="AP86" s="54"/>
      <c r="AQ86" s="54"/>
      <c r="AR86" s="54"/>
      <c r="AS86" s="54"/>
      <c r="AT86" s="54"/>
      <c r="AU86" s="54"/>
      <c r="AV86" s="76"/>
      <c r="AW86" s="77"/>
      <c r="AX86" s="54"/>
      <c r="AY86" s="54"/>
      <c r="AZ86" s="54"/>
      <c r="BA86" s="54"/>
      <c r="BB86" s="54"/>
    </row>
    <row r="87" spans="1:54" ht="12.95" hidden="1" customHeight="1" x14ac:dyDescent="0.2">
      <c r="A87" s="57"/>
      <c r="B87" s="2556" t="s">
        <v>75</v>
      </c>
      <c r="C87" s="2557"/>
      <c r="D87" s="2554" t="str">
        <f ca="1">IF(ISBLANK(OFFSET($AP$2,D81,0)),"",OFFSET($AT$2,D81,0))</f>
        <v/>
      </c>
      <c r="E87" s="2555"/>
      <c r="F87" s="2552" t="str">
        <f ca="1">IF(ISBLANK(OFFSET($AP$2,D81,0)),"",OFFSET($AT$2,D81,0)-OFFSET($AZ$2,D81,0))</f>
        <v/>
      </c>
      <c r="G87" s="2553"/>
      <c r="H87" s="2554" t="str">
        <f ca="1">IF(ISBLANK(OFFSET($AP$2,H81,0)),"",OFFSET($AT$2,H81,0))</f>
        <v/>
      </c>
      <c r="I87" s="2555"/>
      <c r="J87" s="2552" t="str">
        <f ca="1">IF(ISBLANK(OFFSET($AP$2,H81,0)),"",OFFSET($AT$2,H81,0)-OFFSET($AZ$2,H81,0))</f>
        <v/>
      </c>
      <c r="K87" s="2553"/>
      <c r="L87" s="2554" t="str">
        <f ca="1">IF(ISBLANK(OFFSET($AP$2,L81,0)),"",OFFSET($AT$2,L81,0))</f>
        <v/>
      </c>
      <c r="M87" s="2555"/>
      <c r="N87" s="2552" t="str">
        <f ca="1">IF(ISBLANK(OFFSET($AP$2,L81,0)),"",OFFSET($AT$2,L81,0)-OFFSET($AZ$2,L81,0))</f>
        <v/>
      </c>
      <c r="O87" s="2553"/>
      <c r="P87" s="2554" t="str">
        <f ca="1">IF(ISBLANK(OFFSET($AP$2,P81,0)),"",OFFSET($AT$2,P81,0))</f>
        <v/>
      </c>
      <c r="Q87" s="2555"/>
      <c r="R87" s="2552" t="str">
        <f ca="1">IF(ISBLANK(OFFSET($AP$2,P81,0)),"",OFFSET($AT$2,P81,0)-OFFSET($AZ$2,P81,0))</f>
        <v/>
      </c>
      <c r="S87" s="2553"/>
      <c r="T87" s="2554" t="str">
        <f ca="1">IF(ISBLANK(OFFSET($AP$2,T81,0)),"",OFFSET($AT$2,T81,0))</f>
        <v/>
      </c>
      <c r="U87" s="2555"/>
      <c r="V87" s="2552" t="str">
        <f ca="1">IF(ISBLANK(OFFSET($AP$2,T81,0)),"",OFFSET($AT$2,T81,0)-OFFSET($AZ$2,T81,0))</f>
        <v/>
      </c>
      <c r="W87" s="2553"/>
      <c r="X87" s="2554" t="str">
        <f ca="1">IF(ISBLANK(OFFSET($AP$2,X81,0)),"",OFFSET($AT$2,X81,0))</f>
        <v/>
      </c>
      <c r="Y87" s="2555"/>
      <c r="Z87" s="2552" t="str">
        <f ca="1">IF(ISBLANK(OFFSET($AP$2,X81,0)),"",OFFSET($AT$2,X81,0)-OFFSET($AZ$2,X81,0))</f>
        <v/>
      </c>
      <c r="AA87" s="2553"/>
      <c r="AB87" s="57"/>
      <c r="AP87" s="54"/>
      <c r="AQ87" s="54"/>
      <c r="AR87" s="54"/>
      <c r="AS87" s="54"/>
      <c r="AT87" s="54"/>
      <c r="AU87" s="54"/>
      <c r="AV87" s="76"/>
      <c r="AW87" s="77"/>
      <c r="AX87" s="54"/>
      <c r="AY87" s="54"/>
      <c r="AZ87" s="54"/>
      <c r="BA87" s="54"/>
      <c r="BB87" s="54"/>
    </row>
    <row r="88" spans="1:54" ht="12.95" hidden="1" customHeight="1" thickBot="1" x14ac:dyDescent="0.25">
      <c r="A88" s="57"/>
      <c r="B88" s="2572" t="s">
        <v>439</v>
      </c>
      <c r="C88" s="2573"/>
      <c r="D88" s="2565" t="str">
        <f ca="1">IF(ISBLANK(OFFSET($AP$2,D81,0)),"",OFFSET($AV$2,D81,0))</f>
        <v/>
      </c>
      <c r="E88" s="2566"/>
      <c r="F88" s="2567" t="str">
        <f ca="1">IF(ISBLANK(OFFSET($AP$2,D81,0)),"",OFFSET($AV$2,D81,0)-OFFSET($BB$2,D81,0))</f>
        <v/>
      </c>
      <c r="G88" s="2568"/>
      <c r="H88" s="2565" t="str">
        <f ca="1">IF(ISBLANK(OFFSET($AP$2,H81,0)),"",OFFSET($AV$2,H81,0))</f>
        <v/>
      </c>
      <c r="I88" s="2566"/>
      <c r="J88" s="2567" t="str">
        <f ca="1">IF(ISBLANK(OFFSET($AP$2,H81,0)),"",OFFSET($AV$2,H81,0)-OFFSET($BB$2,H81,0))</f>
        <v/>
      </c>
      <c r="K88" s="2568"/>
      <c r="L88" s="2565" t="str">
        <f ca="1">IF(ISBLANK(OFFSET($AP$2,L81,0)),"",OFFSET($AV$2,L81,0))</f>
        <v/>
      </c>
      <c r="M88" s="2566"/>
      <c r="N88" s="2567" t="str">
        <f ca="1">IF(ISBLANK(OFFSET($AP$2,L81,0)),"",OFFSET($AV$2,L81,0)-OFFSET($BB$2,L81,0))</f>
        <v/>
      </c>
      <c r="O88" s="2568"/>
      <c r="P88" s="2565" t="str">
        <f ca="1">IF(ISBLANK(OFFSET($AP$2,P81,0)),"",OFFSET($AV$2,P81,0))</f>
        <v/>
      </c>
      <c r="Q88" s="2566"/>
      <c r="R88" s="2567" t="str">
        <f ca="1">IF(ISBLANK(OFFSET($AP$2,P81,0)),"",OFFSET($AV$2,P81,0)-OFFSET($BB$2,P81,0))</f>
        <v/>
      </c>
      <c r="S88" s="2568"/>
      <c r="T88" s="2565" t="str">
        <f ca="1">IF(ISBLANK(OFFSET($AP$2,T81,0)),"",OFFSET($AV$2,T81,0))</f>
        <v/>
      </c>
      <c r="U88" s="2566"/>
      <c r="V88" s="2567" t="str">
        <f ca="1">IF(ISBLANK(OFFSET($AP$2,T81,0)),"",OFFSET($AV$2,T81,0)-OFFSET($BB$2,T81,0))</f>
        <v/>
      </c>
      <c r="W88" s="2568"/>
      <c r="X88" s="2565" t="str">
        <f ca="1">IF(ISBLANK(OFFSET($AP$2,X81,0)),"",OFFSET($AV$2,X81,0))</f>
        <v/>
      </c>
      <c r="Y88" s="2566"/>
      <c r="Z88" s="2567" t="str">
        <f ca="1">IF(ISBLANK(OFFSET($AP$2,X81,0)),"",OFFSET($AV$2,X81,0)-OFFSET($BB$2,X81,0))</f>
        <v/>
      </c>
      <c r="AA88" s="2568"/>
      <c r="AB88" s="57"/>
      <c r="AP88" s="54"/>
      <c r="AQ88" s="54"/>
      <c r="AR88" s="54"/>
      <c r="AS88" s="54"/>
      <c r="AT88" s="54"/>
      <c r="AU88" s="54"/>
      <c r="AV88" s="76"/>
      <c r="AW88" s="77"/>
      <c r="AX88" s="54"/>
      <c r="AY88" s="54"/>
      <c r="AZ88" s="54"/>
      <c r="BA88" s="54"/>
      <c r="BB88" s="54"/>
    </row>
    <row r="89" spans="1:54" ht="12.95" hidden="1" customHeight="1" thickBot="1" x14ac:dyDescent="0.25">
      <c r="A89" s="57"/>
      <c r="B89"/>
      <c r="C89"/>
      <c r="D89" s="100">
        <v>43</v>
      </c>
      <c r="E89" s="100"/>
      <c r="F89" s="100"/>
      <c r="G89" s="100"/>
      <c r="H89" s="100">
        <v>44</v>
      </c>
      <c r="I89" s="100"/>
      <c r="J89" s="100"/>
      <c r="K89" s="100"/>
      <c r="L89" s="100">
        <v>45</v>
      </c>
      <c r="M89" s="100"/>
      <c r="N89" s="100"/>
      <c r="O89" s="100"/>
      <c r="P89" s="100">
        <v>46</v>
      </c>
      <c r="Q89" s="100"/>
      <c r="R89" s="100"/>
      <c r="S89" s="100"/>
      <c r="T89" s="100">
        <v>47</v>
      </c>
      <c r="U89" s="100"/>
      <c r="V89" s="100"/>
      <c r="W89" s="100"/>
      <c r="X89" s="100">
        <v>48</v>
      </c>
      <c r="Y89" s="79"/>
      <c r="Z89" s="79"/>
      <c r="AA89" s="79"/>
      <c r="AB89" s="57"/>
      <c r="AP89" s="54"/>
      <c r="AQ89" s="54"/>
      <c r="AR89" s="54"/>
      <c r="AS89" s="54"/>
      <c r="AT89" s="54"/>
      <c r="AU89" s="54"/>
      <c r="AV89" s="76"/>
      <c r="AW89" s="77"/>
      <c r="AX89" s="54"/>
      <c r="AY89" s="54"/>
      <c r="AZ89" s="54"/>
      <c r="BA89" s="54"/>
      <c r="BB89" s="54"/>
    </row>
    <row r="90" spans="1:54" ht="12.95" hidden="1" customHeight="1" x14ac:dyDescent="0.2">
      <c r="A90" s="57"/>
      <c r="B90" s="41"/>
      <c r="C90" s="42"/>
      <c r="D90" s="2569" t="str">
        <f ca="1">IF(ISBLANK(OFFSET($AP$2,D89,0)),"",CONCATENATE("Seq. ",OFFSET($AP$2,D89,0)))</f>
        <v/>
      </c>
      <c r="E90" s="2570"/>
      <c r="F90" s="2570"/>
      <c r="G90" s="2571"/>
      <c r="H90" s="2569" t="str">
        <f ca="1">IF(ISBLANK(OFFSET($AP$2,H89,0)),"",CONCATENATE("Seq. ",OFFSET($AP$2,H89,0)))</f>
        <v/>
      </c>
      <c r="I90" s="2570"/>
      <c r="J90" s="2570"/>
      <c r="K90" s="2571"/>
      <c r="L90" s="2569" t="str">
        <f ca="1">IF(ISBLANK(OFFSET($AP$2,L89,0)),"",CONCATENATE("Seq. ",OFFSET($AP$2,L89,0)))</f>
        <v/>
      </c>
      <c r="M90" s="2570"/>
      <c r="N90" s="2570"/>
      <c r="O90" s="2571"/>
      <c r="P90" s="2569" t="str">
        <f ca="1">IF(ISBLANK(OFFSET($AP$2,P89,0)),"",CONCATENATE("Seq. ",OFFSET($AP$2,P89,0)))</f>
        <v/>
      </c>
      <c r="Q90" s="2570"/>
      <c r="R90" s="2570"/>
      <c r="S90" s="2571"/>
      <c r="T90" s="2569" t="str">
        <f ca="1">IF(ISBLANK(OFFSET($AP$2,T89,0)),"",CONCATENATE("Seq. ",OFFSET($AP$2,T89,0)))</f>
        <v/>
      </c>
      <c r="U90" s="2570"/>
      <c r="V90" s="2570"/>
      <c r="W90" s="2571"/>
      <c r="X90" s="2569" t="str">
        <f ca="1">IF(ISBLANK(OFFSET($AP$2,X89,0)),"",CONCATENATE("Seq. ",OFFSET($AP$2,X89,0)))</f>
        <v/>
      </c>
      <c r="Y90" s="2570"/>
      <c r="Z90" s="2570"/>
      <c r="AA90" s="2571"/>
      <c r="AB90" s="57"/>
      <c r="AP90" s="54"/>
      <c r="AQ90" s="54"/>
      <c r="AR90" s="54"/>
      <c r="AS90" s="54"/>
      <c r="AT90" s="54"/>
      <c r="AU90" s="54"/>
      <c r="AV90" s="76"/>
      <c r="AW90" s="77"/>
      <c r="AX90" s="54"/>
      <c r="AY90" s="54"/>
      <c r="AZ90" s="54"/>
      <c r="BA90" s="54"/>
      <c r="BB90" s="54"/>
    </row>
    <row r="91" spans="1:54" ht="12.95" hidden="1" customHeight="1" thickBot="1" x14ac:dyDescent="0.25">
      <c r="A91" s="57"/>
      <c r="B91" s="41"/>
      <c r="C91" s="42"/>
      <c r="D91" s="2558" t="s">
        <v>440</v>
      </c>
      <c r="E91" s="2559"/>
      <c r="F91" s="2559" t="s">
        <v>441</v>
      </c>
      <c r="G91" s="2560"/>
      <c r="H91" s="2558" t="s">
        <v>440</v>
      </c>
      <c r="I91" s="2559"/>
      <c r="J91" s="2559" t="s">
        <v>441</v>
      </c>
      <c r="K91" s="2560"/>
      <c r="L91" s="2558" t="s">
        <v>440</v>
      </c>
      <c r="M91" s="2559"/>
      <c r="N91" s="2559" t="s">
        <v>441</v>
      </c>
      <c r="O91" s="2560"/>
      <c r="P91" s="2558" t="s">
        <v>440</v>
      </c>
      <c r="Q91" s="2559"/>
      <c r="R91" s="2559" t="s">
        <v>441</v>
      </c>
      <c r="S91" s="2560"/>
      <c r="T91" s="2558" t="s">
        <v>440</v>
      </c>
      <c r="U91" s="2559"/>
      <c r="V91" s="2559" t="s">
        <v>441</v>
      </c>
      <c r="W91" s="2560"/>
      <c r="X91" s="2558" t="s">
        <v>440</v>
      </c>
      <c r="Y91" s="2559"/>
      <c r="Z91" s="2559" t="s">
        <v>441</v>
      </c>
      <c r="AA91" s="2560"/>
      <c r="AB91" s="57"/>
      <c r="AP91" s="54"/>
      <c r="AQ91" s="54"/>
      <c r="AR91" s="54"/>
      <c r="AS91" s="54"/>
      <c r="AT91" s="54"/>
      <c r="AU91" s="54"/>
      <c r="AV91" s="76"/>
      <c r="AW91" s="77"/>
      <c r="AX91" s="54"/>
      <c r="AY91" s="54"/>
      <c r="AZ91" s="54"/>
      <c r="BA91" s="54"/>
      <c r="BB91" s="54"/>
    </row>
    <row r="92" spans="1:54" ht="12.95" hidden="1" customHeight="1" x14ac:dyDescent="0.2">
      <c r="A92" s="57"/>
      <c r="B92" s="2563" t="s">
        <v>73</v>
      </c>
      <c r="C92" s="2564"/>
      <c r="D92" s="2554" t="str">
        <f ca="1">IF(ISBLANK(OFFSET($AP$2,D89,0)),"",OFFSET($AQ$2,D89,0)+OFFSET($AU$2,D89,0))</f>
        <v/>
      </c>
      <c r="E92" s="2555"/>
      <c r="F92" s="2552" t="str">
        <f ca="1">IF(ISBLANK(OFFSET($AP$2,D89,0)),"",(OFFSET($AQ$2,D89,0)+OFFSET($AU$2,D89,0))-(OFFSET($AW$2,D89,0)+OFFSET($BA$2,D89,0)))</f>
        <v/>
      </c>
      <c r="G92" s="2553"/>
      <c r="H92" s="2554" t="str">
        <f ca="1">IF(ISBLANK(OFFSET($AP$2,H89,0)),"",OFFSET($AQ$2,H89,0)+OFFSET($AU$2,H89,0))</f>
        <v/>
      </c>
      <c r="I92" s="2555"/>
      <c r="J92" s="2552" t="str">
        <f ca="1">IF(ISBLANK(OFFSET($AP$2,H89,0)),"",(OFFSET($AQ$2,H89,0)+OFFSET($AU$2,H89,0))-(OFFSET($AW$2,H89,0)+OFFSET($BA$2,H89,0)))</f>
        <v/>
      </c>
      <c r="K92" s="2553"/>
      <c r="L92" s="2554" t="str">
        <f ca="1">IF(ISBLANK(OFFSET($AP$2,L89,0)),"",OFFSET($AQ$2,L89,0)+OFFSET($AU$2,L89,0))</f>
        <v/>
      </c>
      <c r="M92" s="2555"/>
      <c r="N92" s="2552" t="str">
        <f ca="1">IF(ISBLANK(OFFSET($AP$2,L89,0)),"",(OFFSET($AQ$2,L89,0)+OFFSET($AU$2,L89,0))-(OFFSET($AW$2,L89,0)+OFFSET($BA$2,L89,0)))</f>
        <v/>
      </c>
      <c r="O92" s="2553"/>
      <c r="P92" s="2554" t="str">
        <f ca="1">IF(ISBLANK(OFFSET($AP$2,P89,0)),"",OFFSET($AQ$2,P89,0)+OFFSET($AU$2,P89,0))</f>
        <v/>
      </c>
      <c r="Q92" s="2555"/>
      <c r="R92" s="2552" t="str">
        <f ca="1">IF(ISBLANK(OFFSET($AP$2,P89,0)),"",(OFFSET($AQ$2,P89,0)+OFFSET($AU$2,P89,0))-(OFFSET($AW$2,P89,0)+OFFSET($BA$2,P89,0)))</f>
        <v/>
      </c>
      <c r="S92" s="2553"/>
      <c r="T92" s="2554" t="str">
        <f ca="1">IF(ISBLANK(OFFSET($AP$2,T89,0)),"",OFFSET($AQ$2,T89,0)+OFFSET($AU$2,T89,0))</f>
        <v/>
      </c>
      <c r="U92" s="2555"/>
      <c r="V92" s="2552" t="str">
        <f ca="1">IF(ISBLANK(OFFSET($AP$2,T89,0)),"",(OFFSET($AQ$2,T89,0)+OFFSET($AU$2,T89,0))-(OFFSET($AW$2,T89,0)+OFFSET($BA$2,T89,0)))</f>
        <v/>
      </c>
      <c r="W92" s="2553"/>
      <c r="X92" s="2554" t="str">
        <f ca="1">IF(ISBLANK(OFFSET($AP$2,X89,0)),"",OFFSET($AQ$2,X89,0)+OFFSET($AU$2,X89,0))</f>
        <v/>
      </c>
      <c r="Y92" s="2555"/>
      <c r="Z92" s="2552" t="str">
        <f ca="1">IF(ISBLANK(OFFSET($AP$2,X89,0)),"",(OFFSET($AQ$2,X89,0)+OFFSET($AU$2,X89,0))-(OFFSET($AW$2,X89,0)+OFFSET($BA$2,X89,0)))</f>
        <v/>
      </c>
      <c r="AA92" s="2553"/>
      <c r="AB92" s="57"/>
      <c r="AP92" s="54"/>
      <c r="AQ92" s="54"/>
      <c r="AR92" s="54"/>
      <c r="AS92" s="54"/>
      <c r="AT92" s="54"/>
      <c r="AU92" s="54"/>
      <c r="AV92" s="76"/>
      <c r="AW92" s="77"/>
      <c r="AX92" s="54"/>
      <c r="AY92" s="54"/>
      <c r="AZ92" s="54"/>
      <c r="BA92" s="54"/>
      <c r="BB92" s="54"/>
    </row>
    <row r="93" spans="1:54" ht="12.95" hidden="1" customHeight="1" x14ac:dyDescent="0.2">
      <c r="A93" s="57"/>
      <c r="B93" s="2556" t="s">
        <v>437</v>
      </c>
      <c r="C93" s="2557"/>
      <c r="D93" s="2554" t="str">
        <f ca="1">IF(ISBLANK(OFFSET($AP$2,D89,0)),"",OFFSET($AR$2,D89,0))</f>
        <v/>
      </c>
      <c r="E93" s="2555"/>
      <c r="F93" s="2552" t="str">
        <f ca="1">IF(ISBLANK(OFFSET($AP$2,D89,0)),"",OFFSET($AR$2,D89,0)-OFFSET($AX$2,D89,0))</f>
        <v/>
      </c>
      <c r="G93" s="2553"/>
      <c r="H93" s="2554" t="str">
        <f ca="1">IF(ISBLANK(OFFSET($AP$2,H89,0)),"",OFFSET($AR$2,H89,0))</f>
        <v/>
      </c>
      <c r="I93" s="2555"/>
      <c r="J93" s="2552" t="str">
        <f ca="1">IF(ISBLANK(OFFSET($AP$2,H89,0)),"",OFFSET($AR$2,H89,0)-OFFSET($AX$2,H89,0))</f>
        <v/>
      </c>
      <c r="K93" s="2553"/>
      <c r="L93" s="2554" t="str">
        <f ca="1">IF(ISBLANK(OFFSET($AP$2,L89,0)),"",OFFSET($AR$2,L89,0))</f>
        <v/>
      </c>
      <c r="M93" s="2555"/>
      <c r="N93" s="2552" t="str">
        <f ca="1">IF(ISBLANK(OFFSET($AP$2,L89,0)),"",OFFSET($AR$2,L89,0)-OFFSET($AX$2,L89,0))</f>
        <v/>
      </c>
      <c r="O93" s="2553"/>
      <c r="P93" s="2554" t="str">
        <f ca="1">IF(ISBLANK(OFFSET($AP$2,P89,0)),"",OFFSET($AR$2,P89,0))</f>
        <v/>
      </c>
      <c r="Q93" s="2555"/>
      <c r="R93" s="2552" t="str">
        <f ca="1">IF(ISBLANK(OFFSET($AP$2,P89,0)),"",OFFSET($AR$2,P89,0)-OFFSET($AX$2,P89,0))</f>
        <v/>
      </c>
      <c r="S93" s="2553"/>
      <c r="T93" s="2554" t="str">
        <f ca="1">IF(ISBLANK(OFFSET($AP$2,T89,0)),"",OFFSET($AR$2,T89,0))</f>
        <v/>
      </c>
      <c r="U93" s="2555"/>
      <c r="V93" s="2552" t="str">
        <f ca="1">IF(ISBLANK(OFFSET($AP$2,T89,0)),"",OFFSET($AR$2,T89,0)-OFFSET($AX$2,T89,0))</f>
        <v/>
      </c>
      <c r="W93" s="2553"/>
      <c r="X93" s="2554" t="str">
        <f ca="1">IF(ISBLANK(OFFSET($AP$2,X89,0)),"",OFFSET($AR$2,X89,0))</f>
        <v/>
      </c>
      <c r="Y93" s="2555"/>
      <c r="Z93" s="2552" t="str">
        <f ca="1">IF(ISBLANK(OFFSET($AP$2,X89,0)),"",OFFSET($AR$2,X89,0)-OFFSET($AX$2,X89,0))</f>
        <v/>
      </c>
      <c r="AA93" s="2553"/>
      <c r="AB93" s="57"/>
      <c r="AP93" s="54"/>
      <c r="AQ93" s="54"/>
      <c r="AR93" s="54"/>
      <c r="AS93" s="54"/>
      <c r="AT93" s="54"/>
      <c r="AU93" s="54"/>
      <c r="AV93" s="76"/>
      <c r="AW93" s="77"/>
      <c r="AX93" s="54"/>
      <c r="AY93" s="54"/>
      <c r="AZ93" s="54"/>
      <c r="BA93" s="54"/>
      <c r="BB93" s="54"/>
    </row>
    <row r="94" spans="1:54" ht="12.95" hidden="1" customHeight="1" x14ac:dyDescent="0.2">
      <c r="A94" s="57"/>
      <c r="B94" s="2556" t="s">
        <v>438</v>
      </c>
      <c r="C94" s="2557"/>
      <c r="D94" s="2554" t="str">
        <f ca="1">IF(ISBLANK(OFFSET($AP$2,D89,0)),"",OFFSET($AS$2,D89,0))</f>
        <v/>
      </c>
      <c r="E94" s="2555"/>
      <c r="F94" s="2552" t="str">
        <f ca="1">IF(ISBLANK(OFFSET($AP$2,D89,0)),"",OFFSET($AS$2,D89,0)-OFFSET($AY$2,D89,0))</f>
        <v/>
      </c>
      <c r="G94" s="2553"/>
      <c r="H94" s="2554" t="str">
        <f ca="1">IF(ISBLANK(OFFSET($AP$2,H89,0)),"",OFFSET($AS$2,H89,0))</f>
        <v/>
      </c>
      <c r="I94" s="2555"/>
      <c r="J94" s="2552" t="str">
        <f ca="1">IF(ISBLANK(OFFSET($AP$2,H89,0)),"",OFFSET($AS$2,H89,0)-OFFSET($AY$2,H89,0))</f>
        <v/>
      </c>
      <c r="K94" s="2553"/>
      <c r="L94" s="2554" t="str">
        <f ca="1">IF(ISBLANK(OFFSET($AP$2,L89,0)),"",OFFSET($AS$2,L89,0))</f>
        <v/>
      </c>
      <c r="M94" s="2555"/>
      <c r="N94" s="2552" t="str">
        <f ca="1">IF(ISBLANK(OFFSET($AP$2,L89,0)),"",OFFSET($AS$2,L89,0)-OFFSET($AY$2,L89,0))</f>
        <v/>
      </c>
      <c r="O94" s="2553"/>
      <c r="P94" s="2554" t="str">
        <f ca="1">IF(ISBLANK(OFFSET($AP$2,P89,0)),"",OFFSET($AS$2,P89,0))</f>
        <v/>
      </c>
      <c r="Q94" s="2555"/>
      <c r="R94" s="2552" t="str">
        <f ca="1">IF(ISBLANK(OFFSET($AP$2,P89,0)),"",OFFSET($AS$2,P89,0)-OFFSET($AY$2,P89,0))</f>
        <v/>
      </c>
      <c r="S94" s="2553"/>
      <c r="T94" s="2554" t="str">
        <f ca="1">IF(ISBLANK(OFFSET($AP$2,T89,0)),"",OFFSET($AS$2,T89,0))</f>
        <v/>
      </c>
      <c r="U94" s="2555"/>
      <c r="V94" s="2552" t="str">
        <f ca="1">IF(ISBLANK(OFFSET($AP$2,T89,0)),"",OFFSET($AS$2,T89,0)-OFFSET($AY$2,T89,0))</f>
        <v/>
      </c>
      <c r="W94" s="2553"/>
      <c r="X94" s="2554" t="str">
        <f ca="1">IF(ISBLANK(OFFSET($AP$2,X89,0)),"",OFFSET($AS$2,X89,0))</f>
        <v/>
      </c>
      <c r="Y94" s="2555"/>
      <c r="Z94" s="2552" t="str">
        <f ca="1">IF(ISBLANK(OFFSET($AP$2,X89,0)),"",OFFSET($AS$2,X89,0)-OFFSET($AY$2,X89,0))</f>
        <v/>
      </c>
      <c r="AA94" s="2553"/>
      <c r="AB94" s="57"/>
      <c r="AP94" s="54"/>
      <c r="AQ94" s="54"/>
      <c r="AR94" s="54"/>
      <c r="AS94" s="54"/>
      <c r="AT94" s="54"/>
      <c r="AU94" s="54"/>
      <c r="AV94" s="76"/>
      <c r="AW94" s="77"/>
      <c r="AX94" s="54"/>
      <c r="AY94" s="54"/>
      <c r="AZ94" s="54"/>
      <c r="BA94" s="54"/>
      <c r="BB94" s="54"/>
    </row>
    <row r="95" spans="1:54" ht="12.95" hidden="1" customHeight="1" x14ac:dyDescent="0.2">
      <c r="A95" s="57"/>
      <c r="B95" s="2556" t="s">
        <v>75</v>
      </c>
      <c r="C95" s="2557"/>
      <c r="D95" s="2554" t="str">
        <f ca="1">IF(ISBLANK(OFFSET($AP$2,D89,0)),"",OFFSET($AT$2,D89,0))</f>
        <v/>
      </c>
      <c r="E95" s="2555"/>
      <c r="F95" s="2552" t="str">
        <f ca="1">IF(ISBLANK(OFFSET($AP$2,D89,0)),"",OFFSET($AT$2,D89,0)-OFFSET($AZ$2,D89,0))</f>
        <v/>
      </c>
      <c r="G95" s="2553"/>
      <c r="H95" s="2554" t="str">
        <f ca="1">IF(ISBLANK(OFFSET($AP$2,H89,0)),"",OFFSET($AT$2,H89,0))</f>
        <v/>
      </c>
      <c r="I95" s="2555"/>
      <c r="J95" s="2552" t="str">
        <f ca="1">IF(ISBLANK(OFFSET($AP$2,H89,0)),"",OFFSET($AT$2,H89,0)-OFFSET($AZ$2,H89,0))</f>
        <v/>
      </c>
      <c r="K95" s="2553"/>
      <c r="L95" s="2554" t="str">
        <f ca="1">IF(ISBLANK(OFFSET($AP$2,L89,0)),"",OFFSET($AT$2,L89,0))</f>
        <v/>
      </c>
      <c r="M95" s="2555"/>
      <c r="N95" s="2552" t="str">
        <f ca="1">IF(ISBLANK(OFFSET($AP$2,L89,0)),"",OFFSET($AT$2,L89,0)-OFFSET($AZ$2,L89,0))</f>
        <v/>
      </c>
      <c r="O95" s="2553"/>
      <c r="P95" s="2554" t="str">
        <f ca="1">IF(ISBLANK(OFFSET($AP$2,P89,0)),"",OFFSET($AT$2,P89,0))</f>
        <v/>
      </c>
      <c r="Q95" s="2555"/>
      <c r="R95" s="2552" t="str">
        <f ca="1">IF(ISBLANK(OFFSET($AP$2,P89,0)),"",OFFSET($AT$2,P89,0)-OFFSET($AZ$2,P89,0))</f>
        <v/>
      </c>
      <c r="S95" s="2553"/>
      <c r="T95" s="2554" t="str">
        <f ca="1">IF(ISBLANK(OFFSET($AP$2,T89,0)),"",OFFSET($AT$2,T89,0))</f>
        <v/>
      </c>
      <c r="U95" s="2555"/>
      <c r="V95" s="2552" t="str">
        <f ca="1">IF(ISBLANK(OFFSET($AP$2,T89,0)),"",OFFSET($AT$2,T89,0)-OFFSET($AZ$2,T89,0))</f>
        <v/>
      </c>
      <c r="W95" s="2553"/>
      <c r="X95" s="2554" t="str">
        <f ca="1">IF(ISBLANK(OFFSET($AP$2,X89,0)),"",OFFSET($AT$2,X89,0))</f>
        <v/>
      </c>
      <c r="Y95" s="2555"/>
      <c r="Z95" s="2552" t="str">
        <f ca="1">IF(ISBLANK(OFFSET($AP$2,X89,0)),"",OFFSET($AT$2,X89,0)-OFFSET($AZ$2,X89,0))</f>
        <v/>
      </c>
      <c r="AA95" s="2553"/>
      <c r="AB95" s="57"/>
      <c r="AP95" s="54"/>
      <c r="AQ95" s="54"/>
      <c r="AR95" s="54"/>
      <c r="AS95" s="54"/>
      <c r="AT95" s="54"/>
      <c r="AU95" s="54"/>
      <c r="AV95" s="76"/>
      <c r="AW95" s="77"/>
      <c r="AX95" s="54"/>
      <c r="AY95" s="54"/>
      <c r="AZ95" s="54"/>
      <c r="BA95" s="54"/>
      <c r="BB95" s="54"/>
    </row>
    <row r="96" spans="1:54" ht="12.95" hidden="1" customHeight="1" thickBot="1" x14ac:dyDescent="0.25">
      <c r="A96" s="57"/>
      <c r="B96" s="2572" t="s">
        <v>439</v>
      </c>
      <c r="C96" s="2573"/>
      <c r="D96" s="2565" t="str">
        <f ca="1">IF(ISBLANK(OFFSET($AP$2,D89,0)),"",OFFSET($AV$2,D89,0))</f>
        <v/>
      </c>
      <c r="E96" s="2566"/>
      <c r="F96" s="2567" t="str">
        <f ca="1">IF(ISBLANK(OFFSET($AP$2,D89,0)),"",OFFSET($AV$2,D89,0)-OFFSET($BB$2,D89,0))</f>
        <v/>
      </c>
      <c r="G96" s="2568"/>
      <c r="H96" s="2565" t="str">
        <f ca="1">IF(ISBLANK(OFFSET($AP$2,H89,0)),"",OFFSET($AV$2,H89,0))</f>
        <v/>
      </c>
      <c r="I96" s="2566"/>
      <c r="J96" s="2567" t="str">
        <f ca="1">IF(ISBLANK(OFFSET($AP$2,H89,0)),"",OFFSET($AV$2,H89,0)-OFFSET($BB$2,H89,0))</f>
        <v/>
      </c>
      <c r="K96" s="2568"/>
      <c r="L96" s="2565" t="str">
        <f ca="1">IF(ISBLANK(OFFSET($AP$2,L89,0)),"",OFFSET($AV$2,L89,0))</f>
        <v/>
      </c>
      <c r="M96" s="2566"/>
      <c r="N96" s="2567" t="str">
        <f ca="1">IF(ISBLANK(OFFSET($AP$2,L89,0)),"",OFFSET($AV$2,L89,0)-OFFSET($BB$2,L89,0))</f>
        <v/>
      </c>
      <c r="O96" s="2568"/>
      <c r="P96" s="2565" t="str">
        <f ca="1">IF(ISBLANK(OFFSET($AP$2,P89,0)),"",OFFSET($AV$2,P89,0))</f>
        <v/>
      </c>
      <c r="Q96" s="2566"/>
      <c r="R96" s="2567" t="str">
        <f ca="1">IF(ISBLANK(OFFSET($AP$2,P89,0)),"",OFFSET($AV$2,P89,0)-OFFSET($BB$2,P89,0))</f>
        <v/>
      </c>
      <c r="S96" s="2568"/>
      <c r="T96" s="2565" t="str">
        <f ca="1">IF(ISBLANK(OFFSET($AP$2,T89,0)),"",OFFSET($AV$2,T89,0))</f>
        <v/>
      </c>
      <c r="U96" s="2566"/>
      <c r="V96" s="2567" t="str">
        <f ca="1">IF(ISBLANK(OFFSET($AP$2,T89,0)),"",OFFSET($AV$2,T89,0)-OFFSET($BB$2,T89,0))</f>
        <v/>
      </c>
      <c r="W96" s="2568"/>
      <c r="X96" s="2565" t="str">
        <f ca="1">IF(ISBLANK(OFFSET($AP$2,X89,0)),"",OFFSET($AV$2,X89,0))</f>
        <v/>
      </c>
      <c r="Y96" s="2566"/>
      <c r="Z96" s="2567" t="str">
        <f ca="1">IF(ISBLANK(OFFSET($AP$2,X89,0)),"",OFFSET($AV$2,X89,0)-OFFSET($BB$2,X89,0))</f>
        <v/>
      </c>
      <c r="AA96" s="2568"/>
      <c r="AB96" s="57"/>
      <c r="AP96" s="54"/>
      <c r="AQ96" s="54"/>
      <c r="AR96" s="54"/>
      <c r="AS96" s="54"/>
      <c r="AT96" s="54"/>
      <c r="AU96" s="54"/>
      <c r="AV96" s="76"/>
      <c r="AW96" s="77"/>
      <c r="AX96" s="54"/>
      <c r="AY96" s="54"/>
      <c r="AZ96" s="54"/>
      <c r="BA96" s="54"/>
      <c r="BB96" s="54"/>
    </row>
    <row r="97" spans="1:54" ht="12.95" hidden="1" customHeight="1" thickBot="1" x14ac:dyDescent="0.25">
      <c r="A97" s="57"/>
      <c r="B97"/>
      <c r="C97"/>
      <c r="D97" s="100">
        <v>49</v>
      </c>
      <c r="E97" s="100"/>
      <c r="F97" s="100"/>
      <c r="G97" s="100"/>
      <c r="H97" s="100">
        <v>50</v>
      </c>
      <c r="I97" s="100"/>
      <c r="J97" s="100"/>
      <c r="K97" s="100"/>
      <c r="L97" s="100">
        <v>51</v>
      </c>
      <c r="M97" s="100"/>
      <c r="N97" s="100"/>
      <c r="O97" s="100"/>
      <c r="P97" s="100">
        <v>52</v>
      </c>
      <c r="Q97" s="100"/>
      <c r="R97" s="100"/>
      <c r="S97" s="100"/>
      <c r="T97" s="100">
        <v>53</v>
      </c>
      <c r="U97" s="100"/>
      <c r="V97" s="100"/>
      <c r="W97" s="100"/>
      <c r="X97" s="100">
        <v>54</v>
      </c>
      <c r="Y97" s="79"/>
      <c r="Z97" s="79"/>
      <c r="AA97" s="79"/>
      <c r="AB97" s="57"/>
      <c r="AP97" s="54"/>
      <c r="AQ97" s="54"/>
      <c r="AR97" s="54"/>
      <c r="AS97" s="54"/>
      <c r="AT97" s="54"/>
      <c r="AU97" s="54"/>
      <c r="AV97" s="76"/>
      <c r="AW97" s="77"/>
      <c r="AX97" s="54"/>
      <c r="AY97" s="54"/>
      <c r="AZ97" s="54"/>
      <c r="BA97" s="54"/>
      <c r="BB97" s="54"/>
    </row>
    <row r="98" spans="1:54" ht="12.95" hidden="1" customHeight="1" x14ac:dyDescent="0.2">
      <c r="A98" s="57"/>
      <c r="B98" s="41"/>
      <c r="C98" s="42"/>
      <c r="D98" s="2569" t="str">
        <f ca="1">IF(ISBLANK(OFFSET($AP$2,D97,0)),"",CONCATENATE("Seq. ",OFFSET($AP$2,D97,0)))</f>
        <v/>
      </c>
      <c r="E98" s="2570"/>
      <c r="F98" s="2570"/>
      <c r="G98" s="2571"/>
      <c r="H98" s="2569" t="str">
        <f ca="1">IF(ISBLANK(OFFSET($AP$2,H97,0)),"",CONCATENATE("Seq. ",OFFSET($AP$2,H97,0)))</f>
        <v/>
      </c>
      <c r="I98" s="2570"/>
      <c r="J98" s="2570"/>
      <c r="K98" s="2571"/>
      <c r="L98" s="2569" t="str">
        <f ca="1">IF(ISBLANK(OFFSET($AP$2,L97,0)),"",CONCATENATE("Seq. ",OFFSET($AP$2,L97,0)))</f>
        <v/>
      </c>
      <c r="M98" s="2570"/>
      <c r="N98" s="2570"/>
      <c r="O98" s="2571"/>
      <c r="P98" s="2569" t="str">
        <f ca="1">IF(ISBLANK(OFFSET($AP$2,P97,0)),"",CONCATENATE("Seq. ",OFFSET($AP$2,P97,0)))</f>
        <v/>
      </c>
      <c r="Q98" s="2570"/>
      <c r="R98" s="2570"/>
      <c r="S98" s="2571"/>
      <c r="T98" s="2569" t="str">
        <f ca="1">IF(ISBLANK(OFFSET($AP$2,T97,0)),"",CONCATENATE("Seq. ",OFFSET($AP$2,T97,0)))</f>
        <v/>
      </c>
      <c r="U98" s="2570"/>
      <c r="V98" s="2570"/>
      <c r="W98" s="2571"/>
      <c r="X98" s="2569" t="str">
        <f ca="1">IF(ISBLANK(OFFSET($AP$2,X97,0)),"",CONCATENATE("Seq. ",OFFSET($AP$2,X97,0)))</f>
        <v/>
      </c>
      <c r="Y98" s="2570"/>
      <c r="Z98" s="2570"/>
      <c r="AA98" s="2571"/>
      <c r="AB98" s="57"/>
      <c r="AP98" s="54"/>
      <c r="AQ98" s="54"/>
      <c r="AR98" s="54"/>
      <c r="AS98" s="54"/>
      <c r="AT98" s="54"/>
      <c r="AU98" s="54"/>
      <c r="AV98" s="76"/>
      <c r="AW98" s="77"/>
      <c r="AX98" s="54"/>
      <c r="AY98" s="54"/>
      <c r="AZ98" s="54"/>
      <c r="BA98" s="54"/>
      <c r="BB98" s="54"/>
    </row>
    <row r="99" spans="1:54" ht="12.95" hidden="1" customHeight="1" thickBot="1" x14ac:dyDescent="0.25">
      <c r="A99" s="57"/>
      <c r="B99" s="41"/>
      <c r="C99" s="42"/>
      <c r="D99" s="2558" t="s">
        <v>440</v>
      </c>
      <c r="E99" s="2559"/>
      <c r="F99" s="2559" t="s">
        <v>441</v>
      </c>
      <c r="G99" s="2560"/>
      <c r="H99" s="2558" t="s">
        <v>440</v>
      </c>
      <c r="I99" s="2559"/>
      <c r="J99" s="2559" t="s">
        <v>441</v>
      </c>
      <c r="K99" s="2560"/>
      <c r="L99" s="2558" t="s">
        <v>440</v>
      </c>
      <c r="M99" s="2559"/>
      <c r="N99" s="2559" t="s">
        <v>441</v>
      </c>
      <c r="O99" s="2560"/>
      <c r="P99" s="2558" t="s">
        <v>440</v>
      </c>
      <c r="Q99" s="2559"/>
      <c r="R99" s="2559" t="s">
        <v>441</v>
      </c>
      <c r="S99" s="2560"/>
      <c r="T99" s="2558" t="s">
        <v>440</v>
      </c>
      <c r="U99" s="2559"/>
      <c r="V99" s="2559" t="s">
        <v>441</v>
      </c>
      <c r="W99" s="2560"/>
      <c r="X99" s="2558" t="s">
        <v>440</v>
      </c>
      <c r="Y99" s="2559"/>
      <c r="Z99" s="2559" t="s">
        <v>441</v>
      </c>
      <c r="AA99" s="2560"/>
      <c r="AB99" s="57"/>
    </row>
    <row r="100" spans="1:54" ht="12.95" hidden="1" customHeight="1" x14ac:dyDescent="0.2">
      <c r="A100" s="57"/>
      <c r="B100" s="2563" t="s">
        <v>73</v>
      </c>
      <c r="C100" s="2564"/>
      <c r="D100" s="2554" t="str">
        <f ca="1">IF(ISBLANK(OFFSET($AP$2,D97,0)),"",OFFSET($AQ$2,D97,0)+OFFSET($AU$2,D97,0))</f>
        <v/>
      </c>
      <c r="E100" s="2555"/>
      <c r="F100" s="2552" t="str">
        <f ca="1">IF(ISBLANK(OFFSET($AP$2,D97,0)),"",(OFFSET($AQ$2,D97,0)+OFFSET($AU$2,D97,0))-(OFFSET($AW$2,D97,0)+OFFSET($BA$2,D97,0)))</f>
        <v/>
      </c>
      <c r="G100" s="2553"/>
      <c r="H100" s="2554" t="str">
        <f ca="1">IF(ISBLANK(OFFSET($AP$2,H97,0)),"",OFFSET($AQ$2,H97,0)+OFFSET($AU$2,H97,0))</f>
        <v/>
      </c>
      <c r="I100" s="2555"/>
      <c r="J100" s="2552" t="str">
        <f ca="1">IF(ISBLANK(OFFSET($AP$2,H97,0)),"",(OFFSET($AQ$2,H97,0)+OFFSET($AU$2,H97,0))-(OFFSET($AW$2,H97,0)+OFFSET($BA$2,H97,0)))</f>
        <v/>
      </c>
      <c r="K100" s="2553"/>
      <c r="L100" s="2554" t="str">
        <f ca="1">IF(ISBLANK(OFFSET($AP$2,L97,0)),"",OFFSET($AQ$2,L97,0)+OFFSET($AU$2,L97,0))</f>
        <v/>
      </c>
      <c r="M100" s="2555"/>
      <c r="N100" s="2552" t="str">
        <f ca="1">IF(ISBLANK(OFFSET($AP$2,L97,0)),"",(OFFSET($AQ$2,L97,0)+OFFSET($AU$2,L97,0))-(OFFSET($AW$2,L97,0)+OFFSET($BA$2,L97,0)))</f>
        <v/>
      </c>
      <c r="O100" s="2553"/>
      <c r="P100" s="2554" t="str">
        <f ca="1">IF(ISBLANK(OFFSET($AP$2,P97,0)),"",OFFSET($AQ$2,P97,0)+OFFSET($AU$2,P97,0))</f>
        <v/>
      </c>
      <c r="Q100" s="2555"/>
      <c r="R100" s="2552" t="str">
        <f ca="1">IF(ISBLANK(OFFSET($AP$2,P97,0)),"",(OFFSET($AQ$2,P97,0)+OFFSET($AU$2,P97,0))-(OFFSET($AW$2,P97,0)+OFFSET($BA$2,P97,0)))</f>
        <v/>
      </c>
      <c r="S100" s="2553"/>
      <c r="T100" s="2554" t="str">
        <f ca="1">IF(ISBLANK(OFFSET($AP$2,T97,0)),"",OFFSET($AQ$2,T97,0)+OFFSET($AU$2,T97,0))</f>
        <v/>
      </c>
      <c r="U100" s="2555"/>
      <c r="V100" s="2552" t="str">
        <f ca="1">IF(ISBLANK(OFFSET($AP$2,T97,0)),"",(OFFSET($AQ$2,T97,0)+OFFSET($AU$2,T97,0))-(OFFSET($AW$2,T97,0)+OFFSET($BA$2,T97,0)))</f>
        <v/>
      </c>
      <c r="W100" s="2553"/>
      <c r="X100" s="2554" t="str">
        <f ca="1">IF(ISBLANK(OFFSET($AP$2,X97,0)),"",OFFSET($AQ$2,X97,0)+OFFSET($AU$2,X97,0))</f>
        <v/>
      </c>
      <c r="Y100" s="2555"/>
      <c r="Z100" s="2552" t="str">
        <f ca="1">IF(ISBLANK(OFFSET($AP$2,X97,0)),"",(OFFSET($AQ$2,X97,0)+OFFSET($AU$2,X97,0))-(OFFSET($AW$2,X97,0)+OFFSET($BA$2,X97,0)))</f>
        <v/>
      </c>
      <c r="AA100" s="2553"/>
      <c r="AB100" s="57"/>
    </row>
    <row r="101" spans="1:54" ht="12.95" hidden="1" customHeight="1" x14ac:dyDescent="0.2">
      <c r="A101" s="57"/>
      <c r="B101" s="2556" t="s">
        <v>437</v>
      </c>
      <c r="C101" s="2557"/>
      <c r="D101" s="2554" t="str">
        <f ca="1">IF(ISBLANK(OFFSET($AP$2,D97,0)),"",OFFSET($AR$2,D97,0))</f>
        <v/>
      </c>
      <c r="E101" s="2555"/>
      <c r="F101" s="2552" t="str">
        <f ca="1">IF(ISBLANK(OFFSET($AP$2,D97,0)),"",OFFSET($AR$2,D97,0)-OFFSET($AX$2,D97,0))</f>
        <v/>
      </c>
      <c r="G101" s="2553"/>
      <c r="H101" s="2554" t="str">
        <f ca="1">IF(ISBLANK(OFFSET($AP$2,H97,0)),"",OFFSET($AR$2,H97,0))</f>
        <v/>
      </c>
      <c r="I101" s="2555"/>
      <c r="J101" s="2552" t="str">
        <f ca="1">IF(ISBLANK(OFFSET($AP$2,H97,0)),"",OFFSET($AR$2,H97,0)-OFFSET($AX$2,H97,0))</f>
        <v/>
      </c>
      <c r="K101" s="2553"/>
      <c r="L101" s="2554" t="str">
        <f ca="1">IF(ISBLANK(OFFSET($AP$2,L97,0)),"",OFFSET($AR$2,L97,0))</f>
        <v/>
      </c>
      <c r="M101" s="2555"/>
      <c r="N101" s="2552" t="str">
        <f ca="1">IF(ISBLANK(OFFSET($AP$2,L97,0)),"",OFFSET($AR$2,L97,0)-OFFSET($AX$2,L97,0))</f>
        <v/>
      </c>
      <c r="O101" s="2553"/>
      <c r="P101" s="2554" t="str">
        <f ca="1">IF(ISBLANK(OFFSET($AP$2,P97,0)),"",OFFSET($AR$2,P97,0))</f>
        <v/>
      </c>
      <c r="Q101" s="2555"/>
      <c r="R101" s="2552" t="str">
        <f ca="1">IF(ISBLANK(OFFSET($AP$2,P97,0)),"",OFFSET($AR$2,P97,0)-OFFSET($AX$2,P97,0))</f>
        <v/>
      </c>
      <c r="S101" s="2553"/>
      <c r="T101" s="2554" t="str">
        <f ca="1">IF(ISBLANK(OFFSET($AP$2,T97,0)),"",OFFSET($AR$2,T97,0))</f>
        <v/>
      </c>
      <c r="U101" s="2555"/>
      <c r="V101" s="2552" t="str">
        <f ca="1">IF(ISBLANK(OFFSET($AP$2,T97,0)),"",OFFSET($AR$2,T97,0)-OFFSET($AX$2,T97,0))</f>
        <v/>
      </c>
      <c r="W101" s="2553"/>
      <c r="X101" s="2554" t="str">
        <f ca="1">IF(ISBLANK(OFFSET($AP$2,X97,0)),"",OFFSET($AR$2,X97,0))</f>
        <v/>
      </c>
      <c r="Y101" s="2555"/>
      <c r="Z101" s="2552" t="str">
        <f ca="1">IF(ISBLANK(OFFSET($AP$2,X97,0)),"",OFFSET($AR$2,X97,0)-OFFSET($AX$2,X97,0))</f>
        <v/>
      </c>
      <c r="AA101" s="2553"/>
      <c r="AB101" s="57"/>
    </row>
    <row r="102" spans="1:54" ht="12.95" hidden="1" customHeight="1" x14ac:dyDescent="0.2">
      <c r="A102" s="57"/>
      <c r="B102" s="2556" t="s">
        <v>438</v>
      </c>
      <c r="C102" s="2557"/>
      <c r="D102" s="2554" t="str">
        <f ca="1">IF(ISBLANK(OFFSET($AP$2,D97,0)),"",OFFSET($AS$2,D97,0))</f>
        <v/>
      </c>
      <c r="E102" s="2555"/>
      <c r="F102" s="2552" t="str">
        <f ca="1">IF(ISBLANK(OFFSET($AP$2,D97,0)),"",OFFSET($AS$2,D97,0)-OFFSET($AY$2,D97,0))</f>
        <v/>
      </c>
      <c r="G102" s="2553"/>
      <c r="H102" s="2554" t="str">
        <f ca="1">IF(ISBLANK(OFFSET($AP$2,H97,0)),"",OFFSET($AS$2,H97,0))</f>
        <v/>
      </c>
      <c r="I102" s="2555"/>
      <c r="J102" s="2552" t="str">
        <f ca="1">IF(ISBLANK(OFFSET($AP$2,H97,0)),"",OFFSET($AS$2,H97,0)-OFFSET($AY$2,H97,0))</f>
        <v/>
      </c>
      <c r="K102" s="2553"/>
      <c r="L102" s="2554" t="str">
        <f ca="1">IF(ISBLANK(OFFSET($AP$2,L97,0)),"",OFFSET($AS$2,L97,0))</f>
        <v/>
      </c>
      <c r="M102" s="2555"/>
      <c r="N102" s="2552" t="str">
        <f ca="1">IF(ISBLANK(OFFSET($AP$2,L97,0)),"",OFFSET($AS$2,L97,0)-OFFSET($AY$2,L97,0))</f>
        <v/>
      </c>
      <c r="O102" s="2553"/>
      <c r="P102" s="2554" t="str">
        <f ca="1">IF(ISBLANK(OFFSET($AP$2,P97,0)),"",OFFSET($AS$2,P97,0))</f>
        <v/>
      </c>
      <c r="Q102" s="2555"/>
      <c r="R102" s="2552" t="str">
        <f ca="1">IF(ISBLANK(OFFSET($AP$2,P97,0)),"",OFFSET($AS$2,P97,0)-OFFSET($AY$2,P97,0))</f>
        <v/>
      </c>
      <c r="S102" s="2553"/>
      <c r="T102" s="2554" t="str">
        <f ca="1">IF(ISBLANK(OFFSET($AP$2,T97,0)),"",OFFSET($AS$2,T97,0))</f>
        <v/>
      </c>
      <c r="U102" s="2555"/>
      <c r="V102" s="2552" t="str">
        <f ca="1">IF(ISBLANK(OFFSET($AP$2,T97,0)),"",OFFSET($AS$2,T97,0)-OFFSET($AY$2,T97,0))</f>
        <v/>
      </c>
      <c r="W102" s="2553"/>
      <c r="X102" s="2554" t="str">
        <f ca="1">IF(ISBLANK(OFFSET($AP$2,X97,0)),"",OFFSET($AS$2,X97,0))</f>
        <v/>
      </c>
      <c r="Y102" s="2555"/>
      <c r="Z102" s="2552" t="str">
        <f ca="1">IF(ISBLANK(OFFSET($AP$2,X97,0)),"",OFFSET($AS$2,X97,0)-OFFSET($AY$2,X97,0))</f>
        <v/>
      </c>
      <c r="AA102" s="2553"/>
      <c r="AB102" s="57"/>
    </row>
    <row r="103" spans="1:54" ht="12.95" hidden="1" customHeight="1" x14ac:dyDescent="0.2">
      <c r="A103" s="57"/>
      <c r="B103" s="2556" t="s">
        <v>75</v>
      </c>
      <c r="C103" s="2557"/>
      <c r="D103" s="2554" t="str">
        <f ca="1">IF(ISBLANK(OFFSET($AP$2,D97,0)),"",OFFSET($AT$2,D97,0))</f>
        <v/>
      </c>
      <c r="E103" s="2555"/>
      <c r="F103" s="2552" t="str">
        <f ca="1">IF(ISBLANK(OFFSET($AP$2,D97,0)),"",OFFSET($AT$2,D97,0)-OFFSET($AZ$2,D97,0))</f>
        <v/>
      </c>
      <c r="G103" s="2553"/>
      <c r="H103" s="2554" t="str">
        <f ca="1">IF(ISBLANK(OFFSET($AP$2,H97,0)),"",OFFSET($AT$2,H97,0))</f>
        <v/>
      </c>
      <c r="I103" s="2555"/>
      <c r="J103" s="2552" t="str">
        <f ca="1">IF(ISBLANK(OFFSET($AP$2,H97,0)),"",OFFSET($AT$2,H97,0)-OFFSET($AZ$2,H97,0))</f>
        <v/>
      </c>
      <c r="K103" s="2553"/>
      <c r="L103" s="2554" t="str">
        <f ca="1">IF(ISBLANK(OFFSET($AP$2,L97,0)),"",OFFSET($AT$2,L97,0))</f>
        <v/>
      </c>
      <c r="M103" s="2555"/>
      <c r="N103" s="2552" t="str">
        <f ca="1">IF(ISBLANK(OFFSET($AP$2,L97,0)),"",OFFSET($AT$2,L97,0)-OFFSET($AZ$2,L97,0))</f>
        <v/>
      </c>
      <c r="O103" s="2553"/>
      <c r="P103" s="2554" t="str">
        <f ca="1">IF(ISBLANK(OFFSET($AP$2,P97,0)),"",OFFSET($AT$2,P97,0))</f>
        <v/>
      </c>
      <c r="Q103" s="2555"/>
      <c r="R103" s="2552" t="str">
        <f ca="1">IF(ISBLANK(OFFSET($AP$2,P97,0)),"",OFFSET($AT$2,P97,0)-OFFSET($AZ$2,P97,0))</f>
        <v/>
      </c>
      <c r="S103" s="2553"/>
      <c r="T103" s="2554" t="str">
        <f ca="1">IF(ISBLANK(OFFSET($AP$2,T97,0)),"",OFFSET($AT$2,T97,0))</f>
        <v/>
      </c>
      <c r="U103" s="2555"/>
      <c r="V103" s="2552" t="str">
        <f ca="1">IF(ISBLANK(OFFSET($AP$2,T97,0)),"",OFFSET($AT$2,T97,0)-OFFSET($AZ$2,T97,0))</f>
        <v/>
      </c>
      <c r="W103" s="2553"/>
      <c r="X103" s="2554" t="str">
        <f ca="1">IF(ISBLANK(OFFSET($AP$2,X97,0)),"",OFFSET($AT$2,X97,0))</f>
        <v/>
      </c>
      <c r="Y103" s="2555"/>
      <c r="Z103" s="2552" t="str">
        <f ca="1">IF(ISBLANK(OFFSET($AP$2,X97,0)),"",OFFSET($AT$2,X97,0)-OFFSET($AZ$2,X97,0))</f>
        <v/>
      </c>
      <c r="AA103" s="2553"/>
      <c r="AB103" s="57"/>
    </row>
    <row r="104" spans="1:54" ht="12.95" hidden="1" customHeight="1" thickBot="1" x14ac:dyDescent="0.25">
      <c r="A104" s="57"/>
      <c r="B104" s="2572" t="s">
        <v>439</v>
      </c>
      <c r="C104" s="2573"/>
      <c r="D104" s="2565" t="str">
        <f ca="1">IF(ISBLANK(OFFSET($AP$2,D97,0)),"",OFFSET($AV$2,D97,0))</f>
        <v/>
      </c>
      <c r="E104" s="2566"/>
      <c r="F104" s="2567" t="str">
        <f ca="1">IF(ISBLANK(OFFSET($AP$2,D97,0)),"",OFFSET($AV$2,D97,0)-OFFSET($BB$2,D97,0))</f>
        <v/>
      </c>
      <c r="G104" s="2568"/>
      <c r="H104" s="2565" t="str">
        <f ca="1">IF(ISBLANK(OFFSET($AP$2,H97,0)),"",OFFSET($AV$2,H97,0))</f>
        <v/>
      </c>
      <c r="I104" s="2566"/>
      <c r="J104" s="2567" t="str">
        <f ca="1">IF(ISBLANK(OFFSET($AP$2,H97,0)),"",OFFSET($AV$2,H97,0)-OFFSET($BB$2,H97,0))</f>
        <v/>
      </c>
      <c r="K104" s="2568"/>
      <c r="L104" s="2565" t="str">
        <f ca="1">IF(ISBLANK(OFFSET($AP$2,L97,0)),"",OFFSET($AV$2,L97,0))</f>
        <v/>
      </c>
      <c r="M104" s="2566"/>
      <c r="N104" s="2567" t="str">
        <f ca="1">IF(ISBLANK(OFFSET($AP$2,L97,0)),"",OFFSET($AV$2,L97,0)-OFFSET($BB$2,L97,0))</f>
        <v/>
      </c>
      <c r="O104" s="2568"/>
      <c r="P104" s="2565" t="str">
        <f ca="1">IF(ISBLANK(OFFSET($AP$2,P97,0)),"",OFFSET($AV$2,P97,0))</f>
        <v/>
      </c>
      <c r="Q104" s="2566"/>
      <c r="R104" s="2567" t="str">
        <f ca="1">IF(ISBLANK(OFFSET($AP$2,P97,0)),"",OFFSET($AV$2,P97,0)-OFFSET($BB$2,P97,0))</f>
        <v/>
      </c>
      <c r="S104" s="2568"/>
      <c r="T104" s="2565" t="str">
        <f ca="1">IF(ISBLANK(OFFSET($AP$2,T97,0)),"",OFFSET($AV$2,T97,0))</f>
        <v/>
      </c>
      <c r="U104" s="2566"/>
      <c r="V104" s="2567" t="str">
        <f ca="1">IF(ISBLANK(OFFSET($AP$2,T97,0)),"",OFFSET($AV$2,T97,0)-OFFSET($BB$2,T97,0))</f>
        <v/>
      </c>
      <c r="W104" s="2568"/>
      <c r="X104" s="2565" t="str">
        <f ca="1">IF(ISBLANK(OFFSET($AP$2,X97,0)),"",OFFSET($AV$2,X97,0))</f>
        <v/>
      </c>
      <c r="Y104" s="2566"/>
      <c r="Z104" s="2567" t="str">
        <f ca="1">IF(ISBLANK(OFFSET($AP$2,X97,0)),"",OFFSET($AV$2,X97,0)-OFFSET($BB$2,X97,0))</f>
        <v/>
      </c>
      <c r="AA104" s="2568"/>
      <c r="AB104" s="57"/>
    </row>
    <row r="105" spans="1:54" ht="12.95" hidden="1" customHeight="1" thickBot="1" x14ac:dyDescent="0.25">
      <c r="A105" s="57"/>
      <c r="B105"/>
      <c r="C105"/>
      <c r="D105" s="100">
        <v>55</v>
      </c>
      <c r="E105" s="100"/>
      <c r="F105" s="100"/>
      <c r="G105" s="100"/>
      <c r="H105" s="100">
        <v>56</v>
      </c>
      <c r="I105" s="100"/>
      <c r="J105" s="100"/>
      <c r="K105" s="100"/>
      <c r="L105" s="100">
        <v>57</v>
      </c>
      <c r="M105" s="100"/>
      <c r="N105" s="100"/>
      <c r="O105" s="100"/>
      <c r="P105" s="100">
        <v>58</v>
      </c>
      <c r="Q105" s="100"/>
      <c r="R105" s="100"/>
      <c r="S105" s="100"/>
      <c r="T105" s="100">
        <v>59</v>
      </c>
      <c r="U105" s="100"/>
      <c r="V105" s="100"/>
      <c r="W105" s="100"/>
      <c r="X105" s="100">
        <v>60</v>
      </c>
      <c r="Y105" s="79"/>
      <c r="Z105" s="79"/>
      <c r="AA105" s="79"/>
      <c r="AB105" s="57"/>
    </row>
    <row r="106" spans="1:54" ht="12.95" hidden="1" customHeight="1" x14ac:dyDescent="0.2">
      <c r="A106" s="57"/>
      <c r="B106" s="41"/>
      <c r="C106" s="42"/>
      <c r="D106" s="2569" t="str">
        <f ca="1">IF(ISBLANK(OFFSET($AP$2,D105,0)),"",CONCATENATE("Seq. ",OFFSET($AP$2,D105,0)))</f>
        <v/>
      </c>
      <c r="E106" s="2570"/>
      <c r="F106" s="2570"/>
      <c r="G106" s="2571"/>
      <c r="H106" s="2569" t="str">
        <f ca="1">IF(ISBLANK(OFFSET($AP$2,H105,0)),"",CONCATENATE("Seq. ",OFFSET($AP$2,H105,0)))</f>
        <v/>
      </c>
      <c r="I106" s="2570"/>
      <c r="J106" s="2570"/>
      <c r="K106" s="2571"/>
      <c r="L106" s="2569" t="str">
        <f ca="1">IF(ISBLANK(OFFSET($AP$2,L105,0)),"",CONCATENATE("Seq. ",OFFSET($AP$2,L105,0)))</f>
        <v/>
      </c>
      <c r="M106" s="2570"/>
      <c r="N106" s="2570"/>
      <c r="O106" s="2571"/>
      <c r="P106" s="2569" t="str">
        <f ca="1">IF(ISBLANK(OFFSET($AP$2,P105,0)),"",CONCATENATE("Seq. ",OFFSET($AP$2,P105,0)))</f>
        <v/>
      </c>
      <c r="Q106" s="2570"/>
      <c r="R106" s="2570"/>
      <c r="S106" s="2571"/>
      <c r="T106" s="2569" t="str">
        <f ca="1">IF(ISBLANK(OFFSET($AP$2,T105,0)),"",CONCATENATE("Seq. ",OFFSET($AP$2,T105,0)))</f>
        <v/>
      </c>
      <c r="U106" s="2570"/>
      <c r="V106" s="2570"/>
      <c r="W106" s="2571"/>
      <c r="X106" s="2569" t="str">
        <f ca="1">IF(ISBLANK(OFFSET($AP$2,X105,0)),"",CONCATENATE("Seq. ",OFFSET($AP$2,X105,0)))</f>
        <v/>
      </c>
      <c r="Y106" s="2570"/>
      <c r="Z106" s="2570"/>
      <c r="AA106" s="2571"/>
      <c r="AB106" s="57"/>
    </row>
    <row r="107" spans="1:54" ht="12.95" hidden="1" customHeight="1" thickBot="1" x14ac:dyDescent="0.25">
      <c r="A107" s="57"/>
      <c r="B107" s="41"/>
      <c r="C107" s="42"/>
      <c r="D107" s="2558" t="s">
        <v>440</v>
      </c>
      <c r="E107" s="2559"/>
      <c r="F107" s="2559" t="s">
        <v>441</v>
      </c>
      <c r="G107" s="2560"/>
      <c r="H107" s="2558" t="s">
        <v>440</v>
      </c>
      <c r="I107" s="2559"/>
      <c r="J107" s="2559" t="s">
        <v>441</v>
      </c>
      <c r="K107" s="2560"/>
      <c r="L107" s="2558" t="s">
        <v>440</v>
      </c>
      <c r="M107" s="2559"/>
      <c r="N107" s="2559" t="s">
        <v>441</v>
      </c>
      <c r="O107" s="2560"/>
      <c r="P107" s="2558" t="s">
        <v>440</v>
      </c>
      <c r="Q107" s="2559"/>
      <c r="R107" s="2559" t="s">
        <v>441</v>
      </c>
      <c r="S107" s="2560"/>
      <c r="T107" s="2558" t="s">
        <v>440</v>
      </c>
      <c r="U107" s="2559"/>
      <c r="V107" s="2559" t="s">
        <v>441</v>
      </c>
      <c r="W107" s="2560"/>
      <c r="X107" s="2558" t="s">
        <v>440</v>
      </c>
      <c r="Y107" s="2559"/>
      <c r="Z107" s="2559" t="s">
        <v>441</v>
      </c>
      <c r="AA107" s="2560"/>
      <c r="AB107" s="57"/>
    </row>
    <row r="108" spans="1:54" ht="12.95" hidden="1" customHeight="1" x14ac:dyDescent="0.2">
      <c r="A108" s="57"/>
      <c r="B108" s="2563" t="s">
        <v>73</v>
      </c>
      <c r="C108" s="2564"/>
      <c r="D108" s="2554" t="str">
        <f ca="1">IF(ISBLANK(OFFSET($AP$2,D105,0)),"",OFFSET($AQ$2,D105,0)+OFFSET($AU$2,D105,0))</f>
        <v/>
      </c>
      <c r="E108" s="2555"/>
      <c r="F108" s="2552" t="str">
        <f ca="1">IF(ISBLANK(OFFSET($AP$2,D105,0)),"",(OFFSET($AQ$2,D105,0)+OFFSET($AU$2,D105,0))-(OFFSET($AW$2,D105,0)+OFFSET($BA$2,D105,0)))</f>
        <v/>
      </c>
      <c r="G108" s="2553"/>
      <c r="H108" s="2554" t="str">
        <f ca="1">IF(ISBLANK(OFFSET($AP$2,H105,0)),"",OFFSET($AQ$2,H105,0)+OFFSET($AU$2,H105,0))</f>
        <v/>
      </c>
      <c r="I108" s="2555"/>
      <c r="J108" s="2552" t="str">
        <f ca="1">IF(ISBLANK(OFFSET($AP$2,H105,0)),"",(OFFSET($AQ$2,H105,0)+OFFSET($AU$2,H105,0))-(OFFSET($AW$2,H105,0)+OFFSET($BA$2,H105,0)))</f>
        <v/>
      </c>
      <c r="K108" s="2553"/>
      <c r="L108" s="2554" t="str">
        <f ca="1">IF(ISBLANK(OFFSET($AP$2,L105,0)),"",OFFSET($AQ$2,L105,0)+OFFSET($AU$2,L105,0))</f>
        <v/>
      </c>
      <c r="M108" s="2555"/>
      <c r="N108" s="2552" t="str">
        <f ca="1">IF(ISBLANK(OFFSET($AP$2,L105,0)),"",(OFFSET($AQ$2,L105,0)+OFFSET($AU$2,L105,0))-(OFFSET($AW$2,L105,0)+OFFSET($BA$2,L105,0)))</f>
        <v/>
      </c>
      <c r="O108" s="2553"/>
      <c r="P108" s="2554" t="str">
        <f ca="1">IF(ISBLANK(OFFSET($AP$2,P105,0)),"",OFFSET($AQ$2,P105,0)+OFFSET($AU$2,P105,0))</f>
        <v/>
      </c>
      <c r="Q108" s="2555"/>
      <c r="R108" s="2552" t="str">
        <f ca="1">IF(ISBLANK(OFFSET($AP$2,P105,0)),"",(OFFSET($AQ$2,P105,0)+OFFSET($AU$2,P105,0))-(OFFSET($AW$2,P105,0)+OFFSET($BA$2,P105,0)))</f>
        <v/>
      </c>
      <c r="S108" s="2553"/>
      <c r="T108" s="2554" t="str">
        <f ca="1">IF(ISBLANK(OFFSET($AP$2,T105,0)),"",OFFSET($AQ$2,T105,0)+OFFSET($AU$2,T105,0))</f>
        <v/>
      </c>
      <c r="U108" s="2555"/>
      <c r="V108" s="2552" t="str">
        <f ca="1">IF(ISBLANK(OFFSET($AP$2,T105,0)),"",(OFFSET($AQ$2,T105,0)+OFFSET($AU$2,T105,0))-(OFFSET($AW$2,T105,0)+OFFSET($BA$2,T105,0)))</f>
        <v/>
      </c>
      <c r="W108" s="2553"/>
      <c r="X108" s="2554" t="str">
        <f ca="1">IF(ISBLANK(OFFSET($AP$2,X105,0)),"",OFFSET($AQ$2,X105,0)+OFFSET($AU$2,X105,0))</f>
        <v/>
      </c>
      <c r="Y108" s="2555"/>
      <c r="Z108" s="2552" t="str">
        <f ca="1">IF(ISBLANK(OFFSET($AP$2,X105,0)),"",(OFFSET($AQ$2,X105,0)+OFFSET($AU$2,X105,0))-(OFFSET($AW$2,X105,0)+OFFSET($BA$2,X105,0)))</f>
        <v/>
      </c>
      <c r="AA108" s="2553"/>
      <c r="AB108" s="57"/>
    </row>
    <row r="109" spans="1:54" ht="12.95" hidden="1" customHeight="1" x14ac:dyDescent="0.2">
      <c r="A109" s="57"/>
      <c r="B109" s="2556" t="s">
        <v>437</v>
      </c>
      <c r="C109" s="2557"/>
      <c r="D109" s="2554" t="str">
        <f ca="1">IF(ISBLANK(OFFSET($AP$2,D105,0)),"",OFFSET($AR$2,D105,0))</f>
        <v/>
      </c>
      <c r="E109" s="2555"/>
      <c r="F109" s="2552" t="str">
        <f ca="1">IF(ISBLANK(OFFSET($AP$2,D105,0)),"",OFFSET($AR$2,D105,0)-OFFSET($AX$2,D105,0))</f>
        <v/>
      </c>
      <c r="G109" s="2553"/>
      <c r="H109" s="2554" t="str">
        <f ca="1">IF(ISBLANK(OFFSET($AP$2,H105,0)),"",OFFSET($AR$2,H105,0))</f>
        <v/>
      </c>
      <c r="I109" s="2555"/>
      <c r="J109" s="2552" t="str">
        <f ca="1">IF(ISBLANK(OFFSET($AP$2,H105,0)),"",OFFSET($AR$2,H105,0)-OFFSET($AX$2,H105,0))</f>
        <v/>
      </c>
      <c r="K109" s="2553"/>
      <c r="L109" s="2554" t="str">
        <f ca="1">IF(ISBLANK(OFFSET($AP$2,L105,0)),"",OFFSET($AR$2,L105,0))</f>
        <v/>
      </c>
      <c r="M109" s="2555"/>
      <c r="N109" s="2552" t="str">
        <f ca="1">IF(ISBLANK(OFFSET($AP$2,L105,0)),"",OFFSET($AR$2,L105,0)-OFFSET($AX$2,L105,0))</f>
        <v/>
      </c>
      <c r="O109" s="2553"/>
      <c r="P109" s="2554" t="str">
        <f ca="1">IF(ISBLANK(OFFSET($AP$2,P105,0)),"",OFFSET($AR$2,P105,0))</f>
        <v/>
      </c>
      <c r="Q109" s="2555"/>
      <c r="R109" s="2552" t="str">
        <f ca="1">IF(ISBLANK(OFFSET($AP$2,P105,0)),"",OFFSET($AR$2,P105,0)-OFFSET($AX$2,P105,0))</f>
        <v/>
      </c>
      <c r="S109" s="2553"/>
      <c r="T109" s="2554" t="str">
        <f ca="1">IF(ISBLANK(OFFSET($AP$2,T105,0)),"",OFFSET($AR$2,T105,0))</f>
        <v/>
      </c>
      <c r="U109" s="2555"/>
      <c r="V109" s="2552" t="str">
        <f ca="1">IF(ISBLANK(OFFSET($AP$2,T105,0)),"",OFFSET($AR$2,T105,0)-OFFSET($AX$2,T105,0))</f>
        <v/>
      </c>
      <c r="W109" s="2553"/>
      <c r="X109" s="2554" t="str">
        <f ca="1">IF(ISBLANK(OFFSET($AP$2,X105,0)),"",OFFSET($AR$2,X105,0))</f>
        <v/>
      </c>
      <c r="Y109" s="2555"/>
      <c r="Z109" s="2552" t="str">
        <f ca="1">IF(ISBLANK(OFFSET($AP$2,X105,0)),"",OFFSET($AR$2,X105,0)-OFFSET($AX$2,X105,0))</f>
        <v/>
      </c>
      <c r="AA109" s="2553"/>
      <c r="AB109" s="57"/>
    </row>
    <row r="110" spans="1:54" ht="12.95" hidden="1" customHeight="1" x14ac:dyDescent="0.2">
      <c r="A110" s="57"/>
      <c r="B110" s="2556" t="s">
        <v>438</v>
      </c>
      <c r="C110" s="2557"/>
      <c r="D110" s="2554" t="str">
        <f ca="1">IF(ISBLANK(OFFSET($AP$2,D105,0)),"",OFFSET($AS$2,D105,0))</f>
        <v/>
      </c>
      <c r="E110" s="2555"/>
      <c r="F110" s="2552" t="str">
        <f ca="1">IF(ISBLANK(OFFSET($AP$2,D105,0)),"",OFFSET($AS$2,D105,0)-OFFSET($AY$2,D105,0))</f>
        <v/>
      </c>
      <c r="G110" s="2553"/>
      <c r="H110" s="2554" t="str">
        <f ca="1">IF(ISBLANK(OFFSET($AP$2,H105,0)),"",OFFSET($AS$2,H105,0))</f>
        <v/>
      </c>
      <c r="I110" s="2555"/>
      <c r="J110" s="2552" t="str">
        <f ca="1">IF(ISBLANK(OFFSET($AP$2,H105,0)),"",OFFSET($AS$2,H105,0)-OFFSET($AY$2,H105,0))</f>
        <v/>
      </c>
      <c r="K110" s="2553"/>
      <c r="L110" s="2554" t="str">
        <f ca="1">IF(ISBLANK(OFFSET($AP$2,L105,0)),"",OFFSET($AS$2,L105,0))</f>
        <v/>
      </c>
      <c r="M110" s="2555"/>
      <c r="N110" s="2552" t="str">
        <f ca="1">IF(ISBLANK(OFFSET($AP$2,L105,0)),"",OFFSET($AS$2,L105,0)-OFFSET($AY$2,L105,0))</f>
        <v/>
      </c>
      <c r="O110" s="2553"/>
      <c r="P110" s="2554" t="str">
        <f ca="1">IF(ISBLANK(OFFSET($AP$2,P105,0)),"",OFFSET($AS$2,P105,0))</f>
        <v/>
      </c>
      <c r="Q110" s="2555"/>
      <c r="R110" s="2552" t="str">
        <f ca="1">IF(ISBLANK(OFFSET($AP$2,P105,0)),"",OFFSET($AS$2,P105,0)-OFFSET($AY$2,P105,0))</f>
        <v/>
      </c>
      <c r="S110" s="2553"/>
      <c r="T110" s="2554" t="str">
        <f ca="1">IF(ISBLANK(OFFSET($AP$2,T105,0)),"",OFFSET($AS$2,T105,0))</f>
        <v/>
      </c>
      <c r="U110" s="2555"/>
      <c r="V110" s="2552" t="str">
        <f ca="1">IF(ISBLANK(OFFSET($AP$2,T105,0)),"",OFFSET($AS$2,T105,0)-OFFSET($AY$2,T105,0))</f>
        <v/>
      </c>
      <c r="W110" s="2553"/>
      <c r="X110" s="2554" t="str">
        <f ca="1">IF(ISBLANK(OFFSET($AP$2,X105,0)),"",OFFSET($AS$2,X105,0))</f>
        <v/>
      </c>
      <c r="Y110" s="2555"/>
      <c r="Z110" s="2552" t="str">
        <f ca="1">IF(ISBLANK(OFFSET($AP$2,X105,0)),"",OFFSET($AS$2,X105,0)-OFFSET($AY$2,X105,0))</f>
        <v/>
      </c>
      <c r="AA110" s="2553"/>
      <c r="AB110" s="57"/>
    </row>
    <row r="111" spans="1:54" ht="12.95" hidden="1" customHeight="1" x14ac:dyDescent="0.2">
      <c r="A111" s="57"/>
      <c r="B111" s="2556" t="s">
        <v>75</v>
      </c>
      <c r="C111" s="2557"/>
      <c r="D111" s="2554" t="str">
        <f ca="1">IF(ISBLANK(OFFSET($AP$2,D105,0)),"",OFFSET($AT$2,D105,0))</f>
        <v/>
      </c>
      <c r="E111" s="2555"/>
      <c r="F111" s="2552" t="str">
        <f ca="1">IF(ISBLANK(OFFSET($AP$2,D105,0)),"",OFFSET($AT$2,D105,0)-OFFSET($AZ$2,D105,0))</f>
        <v/>
      </c>
      <c r="G111" s="2553"/>
      <c r="H111" s="2554" t="str">
        <f ca="1">IF(ISBLANK(OFFSET($AP$2,H105,0)),"",OFFSET($AT$2,H105,0))</f>
        <v/>
      </c>
      <c r="I111" s="2555"/>
      <c r="J111" s="2552" t="str">
        <f ca="1">IF(ISBLANK(OFFSET($AP$2,H105,0)),"",OFFSET($AT$2,H105,0)-OFFSET($AZ$2,H105,0))</f>
        <v/>
      </c>
      <c r="K111" s="2553"/>
      <c r="L111" s="2554" t="str">
        <f ca="1">IF(ISBLANK(OFFSET($AP$2,L105,0)),"",OFFSET($AT$2,L105,0))</f>
        <v/>
      </c>
      <c r="M111" s="2555"/>
      <c r="N111" s="2552" t="str">
        <f ca="1">IF(ISBLANK(OFFSET($AP$2,L105,0)),"",OFFSET($AT$2,L105,0)-OFFSET($AZ$2,L105,0))</f>
        <v/>
      </c>
      <c r="O111" s="2553"/>
      <c r="P111" s="2554" t="str">
        <f ca="1">IF(ISBLANK(OFFSET($AP$2,P105,0)),"",OFFSET($AT$2,P105,0))</f>
        <v/>
      </c>
      <c r="Q111" s="2555"/>
      <c r="R111" s="2552" t="str">
        <f ca="1">IF(ISBLANK(OFFSET($AP$2,P105,0)),"",OFFSET($AT$2,P105,0)-OFFSET($AZ$2,P105,0))</f>
        <v/>
      </c>
      <c r="S111" s="2553"/>
      <c r="T111" s="2554" t="str">
        <f ca="1">IF(ISBLANK(OFFSET($AP$2,T105,0)),"",OFFSET($AT$2,T105,0))</f>
        <v/>
      </c>
      <c r="U111" s="2555"/>
      <c r="V111" s="2552" t="str">
        <f ca="1">IF(ISBLANK(OFFSET($AP$2,T105,0)),"",OFFSET($AT$2,T105,0)-OFFSET($AZ$2,T105,0))</f>
        <v/>
      </c>
      <c r="W111" s="2553"/>
      <c r="X111" s="2554" t="str">
        <f ca="1">IF(ISBLANK(OFFSET($AP$2,X105,0)),"",OFFSET($AT$2,X105,0))</f>
        <v/>
      </c>
      <c r="Y111" s="2555"/>
      <c r="Z111" s="2552" t="str">
        <f ca="1">IF(ISBLANK(OFFSET($AP$2,X105,0)),"",OFFSET($AT$2,X105,0)-OFFSET($AZ$2,X105,0))</f>
        <v/>
      </c>
      <c r="AA111" s="2553"/>
      <c r="AB111" s="57"/>
    </row>
    <row r="112" spans="1:54" ht="12.95" hidden="1" customHeight="1" thickBot="1" x14ac:dyDescent="0.25">
      <c r="A112" s="57"/>
      <c r="B112" s="2572" t="s">
        <v>439</v>
      </c>
      <c r="C112" s="2573"/>
      <c r="D112" s="2565" t="str">
        <f ca="1">IF(ISBLANK(OFFSET($AP$2,D105,0)),"",OFFSET($AV$2,D105,0))</f>
        <v/>
      </c>
      <c r="E112" s="2566"/>
      <c r="F112" s="2567" t="str">
        <f ca="1">IF(ISBLANK(OFFSET($AP$2,D105,0)),"",OFFSET($AV$2,D105,0)-OFFSET($BB$2,D105,0))</f>
        <v/>
      </c>
      <c r="G112" s="2568"/>
      <c r="H112" s="2565" t="str">
        <f ca="1">IF(ISBLANK(OFFSET($AP$2,H105,0)),"",OFFSET($AV$2,H105,0))</f>
        <v/>
      </c>
      <c r="I112" s="2566"/>
      <c r="J112" s="2567" t="str">
        <f ca="1">IF(ISBLANK(OFFSET($AP$2,H105,0)),"",OFFSET($AV$2,H105,0)-OFFSET($BB$2,H105,0))</f>
        <v/>
      </c>
      <c r="K112" s="2568"/>
      <c r="L112" s="2565" t="str">
        <f ca="1">IF(ISBLANK(OFFSET($AP$2,L105,0)),"",OFFSET($AV$2,L105,0))</f>
        <v/>
      </c>
      <c r="M112" s="2566"/>
      <c r="N112" s="2567" t="str">
        <f ca="1">IF(ISBLANK(OFFSET($AP$2,L105,0)),"",OFFSET($AV$2,L105,0)-OFFSET($BB$2,L105,0))</f>
        <v/>
      </c>
      <c r="O112" s="2568"/>
      <c r="P112" s="2565" t="str">
        <f ca="1">IF(ISBLANK(OFFSET($AP$2,P105,0)),"",OFFSET($AV$2,P105,0))</f>
        <v/>
      </c>
      <c r="Q112" s="2566"/>
      <c r="R112" s="2567" t="str">
        <f ca="1">IF(ISBLANK(OFFSET($AP$2,P105,0)),"",OFFSET($AV$2,P105,0)-OFFSET($BB$2,P105,0))</f>
        <v/>
      </c>
      <c r="S112" s="2568"/>
      <c r="T112" s="2565" t="str">
        <f ca="1">IF(ISBLANK(OFFSET($AP$2,T105,0)),"",OFFSET($AV$2,T105,0))</f>
        <v/>
      </c>
      <c r="U112" s="2566"/>
      <c r="V112" s="2567" t="str">
        <f ca="1">IF(ISBLANK(OFFSET($AP$2,T105,0)),"",OFFSET($AV$2,T105,0)-OFFSET($BB$2,T105,0))</f>
        <v/>
      </c>
      <c r="W112" s="2568"/>
      <c r="X112" s="2565" t="str">
        <f ca="1">IF(ISBLANK(OFFSET($AP$2,X105,0)),"",OFFSET($AV$2,X105,0))</f>
        <v/>
      </c>
      <c r="Y112" s="2566"/>
      <c r="Z112" s="2567" t="str">
        <f ca="1">IF(ISBLANK(OFFSET($AP$2,X105,0)),"",OFFSET($AV$2,X105,0)-OFFSET($BB$2,X105,0))</f>
        <v/>
      </c>
      <c r="AA112" s="2568"/>
      <c r="AB112" s="57"/>
    </row>
    <row r="113" spans="1:28" ht="15" hidden="1" customHeight="1" x14ac:dyDescent="0.25">
      <c r="A113"/>
      <c r="B113"/>
      <c r="C113"/>
      <c r="D113"/>
      <c r="E113"/>
      <c r="F113" s="39"/>
      <c r="G113"/>
      <c r="H113"/>
      <c r="I113"/>
      <c r="J113"/>
      <c r="K113" s="38"/>
      <c r="L113"/>
      <c r="M113"/>
      <c r="N113" s="36"/>
      <c r="O113" s="36"/>
      <c r="P113" s="36"/>
      <c r="Q113"/>
      <c r="R113"/>
      <c r="S113"/>
      <c r="T113"/>
      <c r="U113" s="47" t="s">
        <v>95</v>
      </c>
      <c r="V113"/>
      <c r="W113" s="38"/>
      <c r="X113" s="2587" t="str">
        <f ca="1">X1</f>
        <v>775-428-0600</v>
      </c>
      <c r="Y113" s="2587"/>
      <c r="Z113" s="2587"/>
      <c r="AA113" s="2587"/>
      <c r="AB113" s="2587"/>
    </row>
    <row r="114" spans="1:28" ht="15" hidden="1" customHeight="1" x14ac:dyDescent="0.25">
      <c r="A114"/>
      <c r="B114"/>
      <c r="C114"/>
      <c r="D114"/>
      <c r="E114"/>
      <c r="F114" s="39"/>
      <c r="G114"/>
      <c r="H114"/>
      <c r="I114"/>
      <c r="J114"/>
      <c r="K114" s="38"/>
      <c r="L114"/>
      <c r="M114"/>
      <c r="N114" s="71"/>
      <c r="O114" s="71"/>
      <c r="P114" s="71"/>
      <c r="Q114"/>
      <c r="R114"/>
      <c r="S114"/>
      <c r="T114"/>
      <c r="U114" s="47" t="s">
        <v>96</v>
      </c>
      <c r="V114"/>
      <c r="W114" s="38"/>
      <c r="X114" s="2587" t="str">
        <f ca="1">X2</f>
        <v>775-867-2140</v>
      </c>
      <c r="Y114" s="2587"/>
      <c r="Z114" s="2587"/>
      <c r="AA114" s="2587"/>
      <c r="AB114" s="2587"/>
    </row>
    <row r="115" spans="1:28" ht="15" hidden="1" customHeight="1" x14ac:dyDescent="0.25">
      <c r="A115"/>
      <c r="B115"/>
      <c r="C115"/>
      <c r="D115"/>
      <c r="E115"/>
      <c r="F115" s="39"/>
      <c r="G115"/>
      <c r="H115"/>
      <c r="I115"/>
      <c r="J115"/>
      <c r="K115" s="38"/>
      <c r="L115"/>
      <c r="M115"/>
      <c r="N115" s="71"/>
      <c r="O115" s="71"/>
      <c r="P115" s="71"/>
      <c r="Q115"/>
      <c r="R115"/>
      <c r="S115"/>
      <c r="T115"/>
      <c r="U115" s="47" t="s">
        <v>98</v>
      </c>
      <c r="V115"/>
      <c r="W115" s="38"/>
      <c r="X115" s="2587" t="str">
        <f ca="1">X3</f>
        <v>775-867-2169</v>
      </c>
      <c r="Y115" s="2587"/>
      <c r="Z115" s="2587"/>
      <c r="AA115" s="2587"/>
      <c r="AB115" s="2587"/>
    </row>
    <row r="116" spans="1:28" ht="15" hidden="1" customHeight="1" x14ac:dyDescent="0.2">
      <c r="A116"/>
      <c r="B116"/>
      <c r="C116"/>
      <c r="D116"/>
      <c r="E116"/>
      <c r="F116" s="39"/>
      <c r="G116"/>
      <c r="H116"/>
      <c r="I116"/>
      <c r="J116"/>
      <c r="K116" s="38"/>
      <c r="L116"/>
      <c r="M116"/>
      <c r="N116"/>
      <c r="O116" s="94"/>
      <c r="P116"/>
      <c r="Q116"/>
      <c r="R116"/>
      <c r="S116"/>
      <c r="T116"/>
      <c r="U116" s="47" t="s">
        <v>97</v>
      </c>
      <c r="V116"/>
      <c r="W116" s="38"/>
      <c r="X116" s="2587" t="str">
        <f ca="1">X4</f>
        <v>775-867-2060</v>
      </c>
      <c r="Y116" s="2587"/>
      <c r="Z116" s="2587"/>
      <c r="AA116" s="2587"/>
      <c r="AB116" s="2587"/>
    </row>
    <row r="117" spans="1:28" ht="12.95" hidden="1" customHeight="1" x14ac:dyDescent="0.2">
      <c r="A117" s="1849" t="str">
        <f ca="1">A5</f>
        <v>8200 Woolery Way | Fallon, NV 89406 | www.newmill.com</v>
      </c>
      <c r="B117" s="1849"/>
      <c r="C117" s="1849"/>
      <c r="D117" s="1849"/>
      <c r="E117" s="1849"/>
      <c r="F117" s="1849"/>
      <c r="G117" s="1849"/>
      <c r="H117" s="1849"/>
      <c r="I117" s="1849"/>
      <c r="J117" s="1849"/>
      <c r="K117" s="1849"/>
      <c r="L117" s="1849"/>
      <c r="M117" s="1849"/>
      <c r="N117" s="1849"/>
      <c r="O117" s="1849"/>
      <c r="P117"/>
      <c r="Q117"/>
      <c r="R117" s="39"/>
      <c r="S117"/>
      <c r="T117"/>
      <c r="U117"/>
      <c r="V117"/>
      <c r="W117"/>
      <c r="X117" s="50" t="s">
        <v>421</v>
      </c>
      <c r="Y117" s="2580">
        <f>Y5</f>
        <v>45048.61509259259</v>
      </c>
      <c r="Z117" s="2581"/>
      <c r="AA117" s="2581"/>
      <c r="AB117"/>
    </row>
    <row r="118" spans="1:28" ht="12.95" hidden="1" customHeight="1" x14ac:dyDescent="0.2">
      <c r="A118"/>
      <c r="B118"/>
      <c r="C118"/>
      <c r="D118"/>
      <c r="E118"/>
      <c r="F118" s="39"/>
      <c r="G118"/>
      <c r="H118"/>
      <c r="I118"/>
      <c r="J118"/>
      <c r="K118"/>
      <c r="L118"/>
      <c r="M118"/>
      <c r="N118"/>
      <c r="O118" s="94"/>
      <c r="P118"/>
      <c r="Q118"/>
      <c r="R118"/>
      <c r="S118"/>
      <c r="T118"/>
      <c r="U118"/>
      <c r="V118"/>
      <c r="W118"/>
      <c r="X118" s="68"/>
      <c r="Y118" s="2582"/>
      <c r="Z118" s="2583"/>
      <c r="AA118" s="2583"/>
      <c r="AB118"/>
    </row>
    <row r="119" spans="1:28" ht="12.95" hidden="1" customHeight="1" x14ac:dyDescent="0.2">
      <c r="A119" s="51" t="s">
        <v>449</v>
      </c>
      <c r="B119"/>
      <c r="C119"/>
      <c r="D119"/>
      <c r="E119"/>
      <c r="F119" s="39"/>
      <c r="G119"/>
      <c r="H119"/>
      <c r="I119"/>
      <c r="J119"/>
      <c r="K119"/>
      <c r="L119"/>
      <c r="M119"/>
      <c r="N119"/>
      <c r="O119" s="94"/>
      <c r="P119"/>
      <c r="Q119"/>
      <c r="R119"/>
      <c r="S119"/>
      <c r="T119"/>
      <c r="U119"/>
      <c r="V119"/>
      <c r="W119"/>
      <c r="X119" s="68"/>
      <c r="Y119" s="2584"/>
      <c r="Z119" s="1940"/>
      <c r="AA119" s="1940"/>
      <c r="AB119"/>
    </row>
    <row r="120" spans="1:28" ht="12.95" hidden="1" customHeight="1" x14ac:dyDescent="0.2">
      <c r="A120"/>
      <c r="B120"/>
      <c r="C120"/>
      <c r="D120"/>
      <c r="E120"/>
      <c r="F120" s="39"/>
      <c r="G120"/>
      <c r="H120"/>
      <c r="I120"/>
      <c r="J120"/>
      <c r="K120"/>
      <c r="L120"/>
      <c r="M120"/>
      <c r="N120"/>
      <c r="O120" s="95"/>
      <c r="P120"/>
      <c r="Q120"/>
      <c r="R120"/>
      <c r="S120"/>
      <c r="T120"/>
      <c r="U120"/>
      <c r="V120"/>
      <c r="W120" s="69"/>
      <c r="X120" s="70"/>
      <c r="Y120" s="2585"/>
      <c r="Z120" s="2586"/>
      <c r="AA120" s="2586"/>
      <c r="AB120"/>
    </row>
    <row r="121" spans="1:28" ht="12.95" hidden="1" customHeight="1" x14ac:dyDescent="0.2">
      <c r="A121" s="2575" t="s">
        <v>1</v>
      </c>
      <c r="B121" s="2307"/>
      <c r="C121" s="2307"/>
      <c r="D121" s="2561" t="str">
        <f>D9</f>
        <v>MINDEN UPS BLDG 1</v>
      </c>
      <c r="E121" s="2561"/>
      <c r="F121" s="2561"/>
      <c r="G121" s="2561"/>
      <c r="H121" s="2561"/>
      <c r="I121" s="2561"/>
      <c r="J121" s="2561"/>
      <c r="K121" s="2561"/>
      <c r="L121" s="2561"/>
      <c r="M121" s="2561"/>
      <c r="N121" s="2561"/>
      <c r="O121" s="2561"/>
      <c r="P121" s="2562"/>
      <c r="Q121" s="96"/>
      <c r="R121" s="20" t="s">
        <v>2</v>
      </c>
      <c r="S121" s="2574" t="str">
        <f>S9</f>
        <v>NN22-0071</v>
      </c>
      <c r="T121" s="2307"/>
      <c r="U121" s="2307"/>
      <c r="V121" s="2307"/>
      <c r="W121" s="2307"/>
      <c r="X121" s="96"/>
      <c r="Y121" s="96"/>
      <c r="Z121" s="96"/>
      <c r="AA121" s="96"/>
      <c r="AB121" s="97"/>
    </row>
    <row r="122" spans="1:28" ht="12.95" hidden="1" customHeight="1" x14ac:dyDescent="0.2">
      <c r="A122" s="2575" t="s">
        <v>3</v>
      </c>
      <c r="B122" s="2307"/>
      <c r="C122" s="2307"/>
      <c r="D122" s="2561" t="str">
        <f>D10</f>
        <v>MINDEN, NV</v>
      </c>
      <c r="E122" s="2561"/>
      <c r="F122" s="2561"/>
      <c r="G122" s="2561"/>
      <c r="H122" s="2561"/>
      <c r="I122" s="2561"/>
      <c r="J122" s="2561"/>
      <c r="K122" s="2561"/>
      <c r="L122" s="2561"/>
      <c r="M122" s="2561"/>
      <c r="N122" s="2561"/>
      <c r="O122" s="2561"/>
      <c r="P122" s="2562"/>
      <c r="Q122" s="96"/>
      <c r="R122" s="20" t="s">
        <v>428</v>
      </c>
      <c r="S122" s="2576" t="str">
        <f>S10</f>
        <v>JMM</v>
      </c>
      <c r="T122" s="2307"/>
      <c r="U122" s="96"/>
      <c r="V122" s="98"/>
      <c r="W122" s="20" t="s">
        <v>429</v>
      </c>
      <c r="X122" s="2577" t="str">
        <f>X10</f>
        <v>NR</v>
      </c>
      <c r="Y122" s="2577"/>
      <c r="Z122" s="96"/>
      <c r="AA122" s="96"/>
      <c r="AB122" s="97"/>
    </row>
    <row r="123" spans="1:28" ht="12.95" hidden="1" customHeight="1" thickBot="1" x14ac:dyDescent="0.25">
      <c r="A123"/>
      <c r="B123"/>
      <c r="C123"/>
      <c r="D123" s="100">
        <v>61</v>
      </c>
      <c r="E123" s="100"/>
      <c r="F123" s="100"/>
      <c r="G123" s="100"/>
      <c r="H123" s="100">
        <v>62</v>
      </c>
      <c r="I123" s="100"/>
      <c r="J123" s="100"/>
      <c r="K123" s="100"/>
      <c r="L123" s="100">
        <v>63</v>
      </c>
      <c r="M123" s="100"/>
      <c r="N123" s="100"/>
      <c r="O123" s="100"/>
      <c r="P123" s="100">
        <v>64</v>
      </c>
      <c r="Q123" s="100"/>
      <c r="R123" s="100"/>
      <c r="S123" s="100"/>
      <c r="T123" s="100">
        <v>65</v>
      </c>
      <c r="U123" s="100"/>
      <c r="V123" s="100"/>
      <c r="W123" s="100"/>
      <c r="X123" s="100">
        <v>66</v>
      </c>
      <c r="Y123" s="79"/>
      <c r="Z123" s="79"/>
      <c r="AA123" s="79"/>
      <c r="AB123"/>
    </row>
    <row r="124" spans="1:28" ht="12.95" hidden="1" customHeight="1" x14ac:dyDescent="0.2">
      <c r="A124" s="57"/>
      <c r="B124" s="41"/>
      <c r="C124" s="42"/>
      <c r="D124" s="2569" t="str">
        <f ca="1">IF(ISBLANK(OFFSET($AP$2,D123,0)),"",CONCATENATE("Seq. ",OFFSET($AP$2,D123,0)))</f>
        <v/>
      </c>
      <c r="E124" s="2570"/>
      <c r="F124" s="2570"/>
      <c r="G124" s="2571"/>
      <c r="H124" s="2569" t="str">
        <f ca="1">IF(ISBLANK(OFFSET($AP$2,H123,0)),"",CONCATENATE("Seq. ",OFFSET($AP$2,H123,0)))</f>
        <v/>
      </c>
      <c r="I124" s="2570"/>
      <c r="J124" s="2570"/>
      <c r="K124" s="2571"/>
      <c r="L124" s="2569" t="str">
        <f ca="1">IF(ISBLANK(OFFSET($AP$2,L123,0)),"",CONCATENATE("Seq. ",OFFSET($AP$2,L123,0)))</f>
        <v/>
      </c>
      <c r="M124" s="2570"/>
      <c r="N124" s="2570"/>
      <c r="O124" s="2571"/>
      <c r="P124" s="2569" t="str">
        <f ca="1">IF(ISBLANK(OFFSET($AP$2,P123,0)),"",CONCATENATE("Seq. ",OFFSET($AP$2,P123,0)))</f>
        <v/>
      </c>
      <c r="Q124" s="2570"/>
      <c r="R124" s="2570"/>
      <c r="S124" s="2571"/>
      <c r="T124" s="2569" t="str">
        <f ca="1">IF(ISBLANK(OFFSET($AP$2,T123,0)),"",CONCATENATE("Seq. ",OFFSET($AP$2,T123,0)))</f>
        <v/>
      </c>
      <c r="U124" s="2570"/>
      <c r="V124" s="2570"/>
      <c r="W124" s="2571"/>
      <c r="X124" s="2569" t="str">
        <f ca="1">IF(ISBLANK(OFFSET($AP$2,X123,0)),"",CONCATENATE("Seq. ",OFFSET($AP$2,X123,0)))</f>
        <v/>
      </c>
      <c r="Y124" s="2570"/>
      <c r="Z124" s="2570"/>
      <c r="AA124" s="2571"/>
      <c r="AB124" s="57"/>
    </row>
    <row r="125" spans="1:28" ht="12.95" hidden="1" customHeight="1" thickBot="1" x14ac:dyDescent="0.25">
      <c r="A125" s="57"/>
      <c r="B125" s="41"/>
      <c r="C125" s="42"/>
      <c r="D125" s="2558" t="s">
        <v>440</v>
      </c>
      <c r="E125" s="2559"/>
      <c r="F125" s="2559" t="s">
        <v>441</v>
      </c>
      <c r="G125" s="2560"/>
      <c r="H125" s="2558" t="s">
        <v>440</v>
      </c>
      <c r="I125" s="2559"/>
      <c r="J125" s="2559" t="s">
        <v>441</v>
      </c>
      <c r="K125" s="2560"/>
      <c r="L125" s="2558" t="s">
        <v>440</v>
      </c>
      <c r="M125" s="2559"/>
      <c r="N125" s="2559" t="s">
        <v>441</v>
      </c>
      <c r="O125" s="2560"/>
      <c r="P125" s="2558" t="s">
        <v>440</v>
      </c>
      <c r="Q125" s="2559"/>
      <c r="R125" s="2559" t="s">
        <v>441</v>
      </c>
      <c r="S125" s="2560"/>
      <c r="T125" s="2558" t="s">
        <v>440</v>
      </c>
      <c r="U125" s="2559"/>
      <c r="V125" s="2559" t="s">
        <v>441</v>
      </c>
      <c r="W125" s="2560"/>
      <c r="X125" s="2558" t="s">
        <v>440</v>
      </c>
      <c r="Y125" s="2559"/>
      <c r="Z125" s="2559" t="s">
        <v>441</v>
      </c>
      <c r="AA125" s="2560"/>
      <c r="AB125" s="57"/>
    </row>
    <row r="126" spans="1:28" ht="12.95" hidden="1" customHeight="1" x14ac:dyDescent="0.2">
      <c r="A126" s="57"/>
      <c r="B126" s="2563" t="s">
        <v>73</v>
      </c>
      <c r="C126" s="2564"/>
      <c r="D126" s="2554" t="str">
        <f ca="1">IF(ISBLANK(OFFSET($AP$2,D123,0)),"",OFFSET($AQ$2,D123,0)+OFFSET($AU$2,D123,0))</f>
        <v/>
      </c>
      <c r="E126" s="2555"/>
      <c r="F126" s="2552" t="str">
        <f ca="1">IF(ISBLANK(OFFSET($AP$2,D123,0)),"",(OFFSET($AQ$2,D123,0)+OFFSET($AU$2,D123,0))-(OFFSET($AW$2,D123,0)+OFFSET($BA$2,D123,0)))</f>
        <v/>
      </c>
      <c r="G126" s="2553"/>
      <c r="H126" s="2554" t="str">
        <f ca="1">IF(ISBLANK(OFFSET($AP$2,H123,0)),"",OFFSET($AQ$2,H123,0)+OFFSET($AU$2,H123,0))</f>
        <v/>
      </c>
      <c r="I126" s="2555"/>
      <c r="J126" s="2552" t="str">
        <f ca="1">IF(ISBLANK(OFFSET($AP$2,H123,0)),"",(OFFSET($AQ$2,H123,0)+OFFSET($AU$2,H123,0))-(OFFSET($AW$2,H123,0)+OFFSET($BA$2,H123,0)))</f>
        <v/>
      </c>
      <c r="K126" s="2553"/>
      <c r="L126" s="2554" t="str">
        <f ca="1">IF(ISBLANK(OFFSET($AP$2,L123,0)),"",OFFSET($AQ$2,L123,0)+OFFSET($AU$2,L123,0))</f>
        <v/>
      </c>
      <c r="M126" s="2555"/>
      <c r="N126" s="2552" t="str">
        <f ca="1">IF(ISBLANK(OFFSET($AP$2,L123,0)),"",(OFFSET($AQ$2,L123,0)+OFFSET($AU$2,L123,0))-(OFFSET($AW$2,L123,0)+OFFSET($BA$2,L123,0)))</f>
        <v/>
      </c>
      <c r="O126" s="2553"/>
      <c r="P126" s="2554" t="str">
        <f ca="1">IF(ISBLANK(OFFSET($AP$2,P123,0)),"",OFFSET($AQ$2,P123,0)+OFFSET($AU$2,P123,0))</f>
        <v/>
      </c>
      <c r="Q126" s="2555"/>
      <c r="R126" s="2552" t="str">
        <f ca="1">IF(ISBLANK(OFFSET($AP$2,P123,0)),"",(OFFSET($AQ$2,P123,0)+OFFSET($AU$2,P123,0))-(OFFSET($AW$2,P123,0)+OFFSET($BA$2,P123,0)))</f>
        <v/>
      </c>
      <c r="S126" s="2553"/>
      <c r="T126" s="2554" t="str">
        <f ca="1">IF(ISBLANK(OFFSET($AP$2,T123,0)),"",OFFSET($AQ$2,T123,0)+OFFSET($AU$2,T123,0))</f>
        <v/>
      </c>
      <c r="U126" s="2555"/>
      <c r="V126" s="2552" t="str">
        <f ca="1">IF(ISBLANK(OFFSET($AP$2,T123,0)),"",(OFFSET($AQ$2,T123,0)+OFFSET($AU$2,T123,0))-(OFFSET($AW$2,T123,0)+OFFSET($BA$2,T123,0)))</f>
        <v/>
      </c>
      <c r="W126" s="2553"/>
      <c r="X126" s="2554" t="str">
        <f ca="1">IF(ISBLANK(OFFSET($AP$2,X123,0)),"",OFFSET($AQ$2,X123,0)+OFFSET($AU$2,X123,0))</f>
        <v/>
      </c>
      <c r="Y126" s="2555"/>
      <c r="Z126" s="2552" t="str">
        <f ca="1">IF(ISBLANK(OFFSET($AP$2,X123,0)),"",(OFFSET($AQ$2,X123,0)+OFFSET($AU$2,X123,0))-(OFFSET($AW$2,X123,0)+OFFSET($BA$2,X123,0)))</f>
        <v/>
      </c>
      <c r="AA126" s="2553"/>
      <c r="AB126" s="57"/>
    </row>
    <row r="127" spans="1:28" ht="12.95" hidden="1" customHeight="1" x14ac:dyDescent="0.2">
      <c r="A127" s="57"/>
      <c r="B127" s="2556" t="s">
        <v>437</v>
      </c>
      <c r="C127" s="2557"/>
      <c r="D127" s="2554" t="str">
        <f ca="1">IF(ISBLANK(OFFSET($AP$2,D123,0)),"",OFFSET($AR$2,D123,0))</f>
        <v/>
      </c>
      <c r="E127" s="2555"/>
      <c r="F127" s="2552" t="str">
        <f ca="1">IF(ISBLANK(OFFSET($AP$2,D123,0)),"",OFFSET($AR$2,D123,0)-OFFSET($AX$2,D123,0))</f>
        <v/>
      </c>
      <c r="G127" s="2553"/>
      <c r="H127" s="2554" t="str">
        <f ca="1">IF(ISBLANK(OFFSET($AP$2,H123,0)),"",OFFSET($AR$2,H123,0))</f>
        <v/>
      </c>
      <c r="I127" s="2555"/>
      <c r="J127" s="2552" t="str">
        <f ca="1">IF(ISBLANK(OFFSET($AP$2,H123,0)),"",OFFSET($AR$2,H123,0)-OFFSET($AX$2,H123,0))</f>
        <v/>
      </c>
      <c r="K127" s="2553"/>
      <c r="L127" s="2554" t="str">
        <f ca="1">IF(ISBLANK(OFFSET($AP$2,L123,0)),"",OFFSET($AR$2,L123,0))</f>
        <v/>
      </c>
      <c r="M127" s="2555"/>
      <c r="N127" s="2552" t="str">
        <f ca="1">IF(ISBLANK(OFFSET($AP$2,L123,0)),"",OFFSET($AR$2,L123,0)-OFFSET($AX$2,L123,0))</f>
        <v/>
      </c>
      <c r="O127" s="2553"/>
      <c r="P127" s="2554" t="str">
        <f ca="1">IF(ISBLANK(OFFSET($AP$2,P123,0)),"",OFFSET($AR$2,P123,0))</f>
        <v/>
      </c>
      <c r="Q127" s="2555"/>
      <c r="R127" s="2552" t="str">
        <f ca="1">IF(ISBLANK(OFFSET($AP$2,P123,0)),"",OFFSET($AR$2,P123,0)-OFFSET($AX$2,P123,0))</f>
        <v/>
      </c>
      <c r="S127" s="2553"/>
      <c r="T127" s="2554" t="str">
        <f ca="1">IF(ISBLANK(OFFSET($AP$2,T123,0)),"",OFFSET($AR$2,T123,0))</f>
        <v/>
      </c>
      <c r="U127" s="2555"/>
      <c r="V127" s="2552" t="str">
        <f ca="1">IF(ISBLANK(OFFSET($AP$2,T123,0)),"",OFFSET($AR$2,T123,0)-OFFSET($AX$2,T123,0))</f>
        <v/>
      </c>
      <c r="W127" s="2553"/>
      <c r="X127" s="2554" t="str">
        <f ca="1">IF(ISBLANK(OFFSET($AP$2,X123,0)),"",OFFSET($AR$2,X123,0))</f>
        <v/>
      </c>
      <c r="Y127" s="2555"/>
      <c r="Z127" s="2552" t="str">
        <f ca="1">IF(ISBLANK(OFFSET($AP$2,X123,0)),"",OFFSET($AR$2,X123,0)-OFFSET($AX$2,X123,0))</f>
        <v/>
      </c>
      <c r="AA127" s="2553"/>
      <c r="AB127" s="57"/>
    </row>
    <row r="128" spans="1:28" ht="12.95" hidden="1" customHeight="1" x14ac:dyDescent="0.2">
      <c r="A128" s="57"/>
      <c r="B128" s="2556" t="s">
        <v>438</v>
      </c>
      <c r="C128" s="2557"/>
      <c r="D128" s="2554" t="str">
        <f ca="1">IF(ISBLANK(OFFSET($AP$2,D123,0)),"",OFFSET($AS$2,D123,0))</f>
        <v/>
      </c>
      <c r="E128" s="2555"/>
      <c r="F128" s="2552" t="str">
        <f ca="1">IF(ISBLANK(OFFSET($AP$2,D123,0)),"",OFFSET($AS$2,D123,0)-OFFSET($AY$2,D123,0))</f>
        <v/>
      </c>
      <c r="G128" s="2553"/>
      <c r="H128" s="2554" t="str">
        <f ca="1">IF(ISBLANK(OFFSET($AP$2,H123,0)),"",OFFSET($AS$2,H123,0))</f>
        <v/>
      </c>
      <c r="I128" s="2555"/>
      <c r="J128" s="2552" t="str">
        <f ca="1">IF(ISBLANK(OFFSET($AP$2,H123,0)),"",OFFSET($AS$2,H123,0)-OFFSET($AY$2,H123,0))</f>
        <v/>
      </c>
      <c r="K128" s="2553"/>
      <c r="L128" s="2554" t="str">
        <f ca="1">IF(ISBLANK(OFFSET($AP$2,L123,0)),"",OFFSET($AS$2,L123,0))</f>
        <v/>
      </c>
      <c r="M128" s="2555"/>
      <c r="N128" s="2552" t="str">
        <f ca="1">IF(ISBLANK(OFFSET($AP$2,L123,0)),"",OFFSET($AS$2,L123,0)-OFFSET($AY$2,L123,0))</f>
        <v/>
      </c>
      <c r="O128" s="2553"/>
      <c r="P128" s="2554" t="str">
        <f ca="1">IF(ISBLANK(OFFSET($AP$2,P123,0)),"",OFFSET($AS$2,P123,0))</f>
        <v/>
      </c>
      <c r="Q128" s="2555"/>
      <c r="R128" s="2552" t="str">
        <f ca="1">IF(ISBLANK(OFFSET($AP$2,P123,0)),"",OFFSET($AS$2,P123,0)-OFFSET($AY$2,P123,0))</f>
        <v/>
      </c>
      <c r="S128" s="2553"/>
      <c r="T128" s="2554" t="str">
        <f ca="1">IF(ISBLANK(OFFSET($AP$2,T123,0)),"",OFFSET($AS$2,T123,0))</f>
        <v/>
      </c>
      <c r="U128" s="2555"/>
      <c r="V128" s="2552" t="str">
        <f ca="1">IF(ISBLANK(OFFSET($AP$2,T123,0)),"",OFFSET($AS$2,T123,0)-OFFSET($AY$2,T123,0))</f>
        <v/>
      </c>
      <c r="W128" s="2553"/>
      <c r="X128" s="2554" t="str">
        <f ca="1">IF(ISBLANK(OFFSET($AP$2,X123,0)),"",OFFSET($AS$2,X123,0))</f>
        <v/>
      </c>
      <c r="Y128" s="2555"/>
      <c r="Z128" s="2552" t="str">
        <f ca="1">IF(ISBLANK(OFFSET($AP$2,X123,0)),"",OFFSET($AS$2,X123,0)-OFFSET($AY$2,X123,0))</f>
        <v/>
      </c>
      <c r="AA128" s="2553"/>
      <c r="AB128" s="57"/>
    </row>
    <row r="129" spans="1:28" ht="12.95" hidden="1" customHeight="1" x14ac:dyDescent="0.2">
      <c r="A129" s="57"/>
      <c r="B129" s="2556" t="s">
        <v>75</v>
      </c>
      <c r="C129" s="2557"/>
      <c r="D129" s="2554" t="str">
        <f ca="1">IF(ISBLANK(OFFSET($AP$2,D123,0)),"",OFFSET($AT$2,D123,0))</f>
        <v/>
      </c>
      <c r="E129" s="2555"/>
      <c r="F129" s="2552" t="str">
        <f ca="1">IF(ISBLANK(OFFSET($AP$2,D123,0)),"",OFFSET($AT$2,D123,0)-OFFSET($AZ$2,D123,0))</f>
        <v/>
      </c>
      <c r="G129" s="2553"/>
      <c r="H129" s="2554" t="str">
        <f ca="1">IF(ISBLANK(OFFSET($AP$2,H123,0)),"",OFFSET($AT$2,H123,0))</f>
        <v/>
      </c>
      <c r="I129" s="2555"/>
      <c r="J129" s="2552" t="str">
        <f ca="1">IF(ISBLANK(OFFSET($AP$2,H123,0)),"",OFFSET($AT$2,H123,0)-OFFSET($AZ$2,H123,0))</f>
        <v/>
      </c>
      <c r="K129" s="2553"/>
      <c r="L129" s="2554" t="str">
        <f ca="1">IF(ISBLANK(OFFSET($AP$2,L123,0)),"",OFFSET($AT$2,L123,0))</f>
        <v/>
      </c>
      <c r="M129" s="2555"/>
      <c r="N129" s="2552" t="str">
        <f ca="1">IF(ISBLANK(OFFSET($AP$2,L123,0)),"",OFFSET($AT$2,L123,0)-OFFSET($AZ$2,L123,0))</f>
        <v/>
      </c>
      <c r="O129" s="2553"/>
      <c r="P129" s="2554" t="str">
        <f ca="1">IF(ISBLANK(OFFSET($AP$2,P123,0)),"",OFFSET($AT$2,P123,0))</f>
        <v/>
      </c>
      <c r="Q129" s="2555"/>
      <c r="R129" s="2552" t="str">
        <f ca="1">IF(ISBLANK(OFFSET($AP$2,P123,0)),"",OFFSET($AT$2,P123,0)-OFFSET($AZ$2,P123,0))</f>
        <v/>
      </c>
      <c r="S129" s="2553"/>
      <c r="T129" s="2554" t="str">
        <f ca="1">IF(ISBLANK(OFFSET($AP$2,T123,0)),"",OFFSET($AT$2,T123,0))</f>
        <v/>
      </c>
      <c r="U129" s="2555"/>
      <c r="V129" s="2552" t="str">
        <f ca="1">IF(ISBLANK(OFFSET($AP$2,T123,0)),"",OFFSET($AT$2,T123,0)-OFFSET($AZ$2,T123,0))</f>
        <v/>
      </c>
      <c r="W129" s="2553"/>
      <c r="X129" s="2554" t="str">
        <f ca="1">IF(ISBLANK(OFFSET($AP$2,X123,0)),"",OFFSET($AT$2,X123,0))</f>
        <v/>
      </c>
      <c r="Y129" s="2555"/>
      <c r="Z129" s="2552" t="str">
        <f ca="1">IF(ISBLANK(OFFSET($AP$2,X123,0)),"",OFFSET($AT$2,X123,0)-OFFSET($AZ$2,X123,0))</f>
        <v/>
      </c>
      <c r="AA129" s="2553"/>
      <c r="AB129" s="57"/>
    </row>
    <row r="130" spans="1:28" ht="12.95" hidden="1" customHeight="1" thickBot="1" x14ac:dyDescent="0.25">
      <c r="A130" s="57"/>
      <c r="B130" s="2572" t="s">
        <v>439</v>
      </c>
      <c r="C130" s="2573"/>
      <c r="D130" s="2565" t="str">
        <f ca="1">IF(ISBLANK(OFFSET($AP$2,D123,0)),"",OFFSET($AV$2,D123,0))</f>
        <v/>
      </c>
      <c r="E130" s="2566"/>
      <c r="F130" s="2567" t="str">
        <f ca="1">IF(ISBLANK(OFFSET($AP$2,D123,0)),"",OFFSET($AV$2,D123,0)-OFFSET($BB$2,D123,0))</f>
        <v/>
      </c>
      <c r="G130" s="2568"/>
      <c r="H130" s="2565" t="str">
        <f ca="1">IF(ISBLANK(OFFSET($AP$2,H123,0)),"",OFFSET($AV$2,H123,0))</f>
        <v/>
      </c>
      <c r="I130" s="2566"/>
      <c r="J130" s="2567" t="str">
        <f ca="1">IF(ISBLANK(OFFSET($AP$2,H123,0)),"",OFFSET($AV$2,H123,0)-OFFSET($BB$2,H123,0))</f>
        <v/>
      </c>
      <c r="K130" s="2568"/>
      <c r="L130" s="2565" t="str">
        <f ca="1">IF(ISBLANK(OFFSET($AP$2,L123,0)),"",OFFSET($AV$2,L123,0))</f>
        <v/>
      </c>
      <c r="M130" s="2566"/>
      <c r="N130" s="2567" t="str">
        <f ca="1">IF(ISBLANK(OFFSET($AP$2,L123,0)),"",OFFSET($AV$2,L123,0)-OFFSET($BB$2,L123,0))</f>
        <v/>
      </c>
      <c r="O130" s="2568"/>
      <c r="P130" s="2565" t="str">
        <f ca="1">IF(ISBLANK(OFFSET($AP$2,P123,0)),"",OFFSET($AV$2,P123,0))</f>
        <v/>
      </c>
      <c r="Q130" s="2566"/>
      <c r="R130" s="2567" t="str">
        <f ca="1">IF(ISBLANK(OFFSET($AP$2,P123,0)),"",OFFSET($AV$2,P123,0)-OFFSET($BB$2,P123,0))</f>
        <v/>
      </c>
      <c r="S130" s="2568"/>
      <c r="T130" s="2565" t="str">
        <f ca="1">IF(ISBLANK(OFFSET($AP$2,T123,0)),"",OFFSET($AV$2,T123,0))</f>
        <v/>
      </c>
      <c r="U130" s="2566"/>
      <c r="V130" s="2567" t="str">
        <f ca="1">IF(ISBLANK(OFFSET($AP$2,T123,0)),"",OFFSET($AV$2,T123,0)-OFFSET($BB$2,T123,0))</f>
        <v/>
      </c>
      <c r="W130" s="2568"/>
      <c r="X130" s="2565" t="str">
        <f ca="1">IF(ISBLANK(OFFSET($AP$2,X123,0)),"",OFFSET($AV$2,X123,0))</f>
        <v/>
      </c>
      <c r="Y130" s="2566"/>
      <c r="Z130" s="2567" t="str">
        <f ca="1">IF(ISBLANK(OFFSET($AP$2,X123,0)),"",OFFSET($AV$2,X123,0)-OFFSET($BB$2,X123,0))</f>
        <v/>
      </c>
      <c r="AA130" s="2568"/>
      <c r="AB130" s="57"/>
    </row>
    <row r="131" spans="1:28" ht="12.95" hidden="1" customHeight="1" thickBot="1" x14ac:dyDescent="0.25">
      <c r="A131" s="57"/>
      <c r="B131"/>
      <c r="C131"/>
      <c r="D131" s="100">
        <v>67</v>
      </c>
      <c r="E131" s="100"/>
      <c r="F131" s="100"/>
      <c r="G131" s="100"/>
      <c r="H131" s="100">
        <v>68</v>
      </c>
      <c r="I131" s="100"/>
      <c r="J131" s="100"/>
      <c r="K131" s="100"/>
      <c r="L131" s="100">
        <v>69</v>
      </c>
      <c r="M131" s="100"/>
      <c r="N131" s="100"/>
      <c r="O131" s="100"/>
      <c r="P131" s="100">
        <v>70</v>
      </c>
      <c r="Q131" s="100"/>
      <c r="R131" s="100"/>
      <c r="S131" s="100"/>
      <c r="T131" s="100">
        <v>71</v>
      </c>
      <c r="U131" s="100"/>
      <c r="V131" s="100"/>
      <c r="W131" s="100"/>
      <c r="X131" s="100">
        <v>72</v>
      </c>
      <c r="Y131" s="79"/>
      <c r="Z131" s="79"/>
      <c r="AA131" s="79"/>
      <c r="AB131" s="79"/>
    </row>
    <row r="132" spans="1:28" ht="12.95" hidden="1" customHeight="1" x14ac:dyDescent="0.2">
      <c r="A132" s="57"/>
      <c r="B132" s="41"/>
      <c r="C132" s="42"/>
      <c r="D132" s="2569" t="str">
        <f ca="1">IF(ISBLANK(OFFSET($AP$2,D131,0)),"",CONCATENATE("Seq. ",OFFSET($AP$2,D131,0)))</f>
        <v/>
      </c>
      <c r="E132" s="2570"/>
      <c r="F132" s="2570"/>
      <c r="G132" s="2571"/>
      <c r="H132" s="2569" t="str">
        <f ca="1">IF(ISBLANK(OFFSET($AP$2,H131,0)),"",CONCATENATE("Seq. ",OFFSET($AP$2,H131,0)))</f>
        <v/>
      </c>
      <c r="I132" s="2570"/>
      <c r="J132" s="2570"/>
      <c r="K132" s="2571"/>
      <c r="L132" s="2569" t="str">
        <f ca="1">IF(ISBLANK(OFFSET($AP$2,L131,0)),"",CONCATENATE("Seq. ",OFFSET($AP$2,L131,0)))</f>
        <v/>
      </c>
      <c r="M132" s="2570"/>
      <c r="N132" s="2570"/>
      <c r="O132" s="2571"/>
      <c r="P132" s="2569" t="str">
        <f ca="1">IF(ISBLANK(OFFSET($AP$2,P131,0)),"",CONCATENATE("Seq. ",OFFSET($AP$2,P131,0)))</f>
        <v/>
      </c>
      <c r="Q132" s="2570"/>
      <c r="R132" s="2570"/>
      <c r="S132" s="2571"/>
      <c r="T132" s="2569" t="str">
        <f ca="1">IF(ISBLANK(OFFSET($AP$2,T131,0)),"",CONCATENATE("Seq. ",OFFSET($AP$2,T131,0)))</f>
        <v/>
      </c>
      <c r="U132" s="2570"/>
      <c r="V132" s="2570"/>
      <c r="W132" s="2571"/>
      <c r="X132" s="2569" t="str">
        <f ca="1">IF(ISBLANK(OFFSET($AP$2,X131,0)),"",CONCATENATE("Seq. ",OFFSET($AP$2,X131,0)))</f>
        <v/>
      </c>
      <c r="Y132" s="2570"/>
      <c r="Z132" s="2570"/>
      <c r="AA132" s="2571"/>
      <c r="AB132" s="57"/>
    </row>
    <row r="133" spans="1:28" ht="12.95" hidden="1" customHeight="1" thickBot="1" x14ac:dyDescent="0.25">
      <c r="A133" s="57"/>
      <c r="B133" s="41"/>
      <c r="C133" s="42"/>
      <c r="D133" s="2558" t="s">
        <v>440</v>
      </c>
      <c r="E133" s="2559"/>
      <c r="F133" s="2559" t="s">
        <v>441</v>
      </c>
      <c r="G133" s="2560"/>
      <c r="H133" s="2558" t="s">
        <v>440</v>
      </c>
      <c r="I133" s="2559"/>
      <c r="J133" s="2559" t="s">
        <v>441</v>
      </c>
      <c r="K133" s="2560"/>
      <c r="L133" s="2558" t="s">
        <v>440</v>
      </c>
      <c r="M133" s="2559"/>
      <c r="N133" s="2559" t="s">
        <v>441</v>
      </c>
      <c r="O133" s="2560"/>
      <c r="P133" s="2558" t="s">
        <v>440</v>
      </c>
      <c r="Q133" s="2559"/>
      <c r="R133" s="2559" t="s">
        <v>441</v>
      </c>
      <c r="S133" s="2560"/>
      <c r="T133" s="2558" t="s">
        <v>440</v>
      </c>
      <c r="U133" s="2559"/>
      <c r="V133" s="2559" t="s">
        <v>441</v>
      </c>
      <c r="W133" s="2560"/>
      <c r="X133" s="2558" t="s">
        <v>440</v>
      </c>
      <c r="Y133" s="2559"/>
      <c r="Z133" s="2559" t="s">
        <v>441</v>
      </c>
      <c r="AA133" s="2560"/>
      <c r="AB133" s="57"/>
    </row>
    <row r="134" spans="1:28" ht="12.95" hidden="1" customHeight="1" x14ac:dyDescent="0.2">
      <c r="A134" s="57"/>
      <c r="B134" s="2563" t="s">
        <v>73</v>
      </c>
      <c r="C134" s="2564"/>
      <c r="D134" s="2554" t="str">
        <f ca="1">IF(ISBLANK(OFFSET($AP$2,D131,0)),"",OFFSET($AQ$2,D131,0)+OFFSET($AU$2,D131,0))</f>
        <v/>
      </c>
      <c r="E134" s="2555"/>
      <c r="F134" s="2552" t="str">
        <f ca="1">IF(ISBLANK(OFFSET($AP$2,D131,0)),"",(OFFSET($AQ$2,D131,0)+OFFSET($AU$2,D131,0))-(OFFSET($AW$2,D131,0)+OFFSET($BA$2,D131,0)))</f>
        <v/>
      </c>
      <c r="G134" s="2553"/>
      <c r="H134" s="2554" t="str">
        <f ca="1">IF(ISBLANK(OFFSET($AP$2,H131,0)),"",OFFSET($AQ$2,H131,0)+OFFSET($AU$2,H131,0))</f>
        <v/>
      </c>
      <c r="I134" s="2555"/>
      <c r="J134" s="2552" t="str">
        <f ca="1">IF(ISBLANK(OFFSET($AP$2,H131,0)),"",(OFFSET($AQ$2,H131,0)+OFFSET($AU$2,H131,0))-(OFFSET($AW$2,H131,0)+OFFSET($BA$2,H131,0)))</f>
        <v/>
      </c>
      <c r="K134" s="2553"/>
      <c r="L134" s="2554" t="str">
        <f ca="1">IF(ISBLANK(OFFSET($AP$2,L131,0)),"",OFFSET($AQ$2,L131,0)+OFFSET($AU$2,L131,0))</f>
        <v/>
      </c>
      <c r="M134" s="2555"/>
      <c r="N134" s="2552" t="str">
        <f ca="1">IF(ISBLANK(OFFSET($AP$2,L131,0)),"",(OFFSET($AQ$2,L131,0)+OFFSET($AU$2,L131,0))-(OFFSET($AW$2,L131,0)+OFFSET($BA$2,L131,0)))</f>
        <v/>
      </c>
      <c r="O134" s="2553"/>
      <c r="P134" s="2554" t="str">
        <f ca="1">IF(ISBLANK(OFFSET($AP$2,P131,0)),"",OFFSET($AQ$2,P131,0)+OFFSET($AU$2,P131,0))</f>
        <v/>
      </c>
      <c r="Q134" s="2555"/>
      <c r="R134" s="2552" t="str">
        <f ca="1">IF(ISBLANK(OFFSET($AP$2,P131,0)),"",(OFFSET($AQ$2,P131,0)+OFFSET($AU$2,P131,0))-(OFFSET($AW$2,P131,0)+OFFSET($BA$2,P131,0)))</f>
        <v/>
      </c>
      <c r="S134" s="2553"/>
      <c r="T134" s="2554" t="str">
        <f ca="1">IF(ISBLANK(OFFSET($AP$2,T131,0)),"",OFFSET($AQ$2,T131,0)+OFFSET($AU$2,T131,0))</f>
        <v/>
      </c>
      <c r="U134" s="2555"/>
      <c r="V134" s="2552" t="str">
        <f ca="1">IF(ISBLANK(OFFSET($AP$2,T131,0)),"",(OFFSET($AQ$2,T131,0)+OFFSET($AU$2,T131,0))-(OFFSET($AW$2,T131,0)+OFFSET($BA$2,T131,0)))</f>
        <v/>
      </c>
      <c r="W134" s="2553"/>
      <c r="X134" s="2554" t="str">
        <f ca="1">IF(ISBLANK(OFFSET($AP$2,X131,0)),"",OFFSET($AQ$2,X131,0)+OFFSET($AU$2,X131,0))</f>
        <v/>
      </c>
      <c r="Y134" s="2555"/>
      <c r="Z134" s="2552" t="str">
        <f ca="1">IF(ISBLANK(OFFSET($AP$2,X131,0)),"",(OFFSET($AQ$2,X131,0)+OFFSET($AU$2,X131,0))-(OFFSET($AW$2,X131,0)+OFFSET($BA$2,X131,0)))</f>
        <v/>
      </c>
      <c r="AA134" s="2553"/>
      <c r="AB134" s="57"/>
    </row>
    <row r="135" spans="1:28" ht="12.95" hidden="1" customHeight="1" x14ac:dyDescent="0.2">
      <c r="A135" s="57"/>
      <c r="B135" s="2556" t="s">
        <v>437</v>
      </c>
      <c r="C135" s="2557"/>
      <c r="D135" s="2554" t="str">
        <f ca="1">IF(ISBLANK(OFFSET($AP$2,D131,0)),"",OFFSET($AR$2,D131,0))</f>
        <v/>
      </c>
      <c r="E135" s="2555"/>
      <c r="F135" s="2552" t="str">
        <f ca="1">IF(ISBLANK(OFFSET($AP$2,D131,0)),"",OFFSET($AR$2,D131,0)-OFFSET($AX$2,D131,0))</f>
        <v/>
      </c>
      <c r="G135" s="2553"/>
      <c r="H135" s="2554" t="str">
        <f ca="1">IF(ISBLANK(OFFSET($AP$2,H131,0)),"",OFFSET($AR$2,H131,0))</f>
        <v/>
      </c>
      <c r="I135" s="2555"/>
      <c r="J135" s="2552" t="str">
        <f ca="1">IF(ISBLANK(OFFSET($AP$2,H131,0)),"",OFFSET($AR$2,H131,0)-OFFSET($AX$2,H131,0))</f>
        <v/>
      </c>
      <c r="K135" s="2553"/>
      <c r="L135" s="2554" t="str">
        <f ca="1">IF(ISBLANK(OFFSET($AP$2,L131,0)),"",OFFSET($AR$2,L131,0))</f>
        <v/>
      </c>
      <c r="M135" s="2555"/>
      <c r="N135" s="2552" t="str">
        <f ca="1">IF(ISBLANK(OFFSET($AP$2,L131,0)),"",OFFSET($AR$2,L131,0)-OFFSET($AX$2,L131,0))</f>
        <v/>
      </c>
      <c r="O135" s="2553"/>
      <c r="P135" s="2554" t="str">
        <f ca="1">IF(ISBLANK(OFFSET($AP$2,P131,0)),"",OFFSET($AR$2,P131,0))</f>
        <v/>
      </c>
      <c r="Q135" s="2555"/>
      <c r="R135" s="2552" t="str">
        <f ca="1">IF(ISBLANK(OFFSET($AP$2,P131,0)),"",OFFSET($AR$2,P131,0)-OFFSET($AX$2,P131,0))</f>
        <v/>
      </c>
      <c r="S135" s="2553"/>
      <c r="T135" s="2554" t="str">
        <f ca="1">IF(ISBLANK(OFFSET($AP$2,T131,0)),"",OFFSET($AR$2,T131,0))</f>
        <v/>
      </c>
      <c r="U135" s="2555"/>
      <c r="V135" s="2552" t="str">
        <f ca="1">IF(ISBLANK(OFFSET($AP$2,T131,0)),"",OFFSET($AR$2,T131,0)-OFFSET($AX$2,T131,0))</f>
        <v/>
      </c>
      <c r="W135" s="2553"/>
      <c r="X135" s="2554" t="str">
        <f ca="1">IF(ISBLANK(OFFSET($AP$2,X131,0)),"",OFFSET($AR$2,X131,0))</f>
        <v/>
      </c>
      <c r="Y135" s="2555"/>
      <c r="Z135" s="2552" t="str">
        <f ca="1">IF(ISBLANK(OFFSET($AP$2,X131,0)),"",OFFSET($AR$2,X131,0)-OFFSET($AX$2,X131,0))</f>
        <v/>
      </c>
      <c r="AA135" s="2553"/>
      <c r="AB135" s="57"/>
    </row>
    <row r="136" spans="1:28" ht="12.95" hidden="1" customHeight="1" x14ac:dyDescent="0.2">
      <c r="A136" s="57"/>
      <c r="B136" s="2556" t="s">
        <v>438</v>
      </c>
      <c r="C136" s="2557"/>
      <c r="D136" s="2554" t="str">
        <f ca="1">IF(ISBLANK(OFFSET($AP$2,D131,0)),"",OFFSET($AS$2,D131,0))</f>
        <v/>
      </c>
      <c r="E136" s="2555"/>
      <c r="F136" s="2552" t="str">
        <f ca="1">IF(ISBLANK(OFFSET($AP$2,D131,0)),"",OFFSET($AS$2,D131,0)-OFFSET($AY$2,D131,0))</f>
        <v/>
      </c>
      <c r="G136" s="2553"/>
      <c r="H136" s="2554" t="str">
        <f ca="1">IF(ISBLANK(OFFSET($AP$2,H131,0)),"",OFFSET($AS$2,H131,0))</f>
        <v/>
      </c>
      <c r="I136" s="2555"/>
      <c r="J136" s="2552" t="str">
        <f ca="1">IF(ISBLANK(OFFSET($AP$2,H131,0)),"",OFFSET($AS$2,H131,0)-OFFSET($AY$2,H131,0))</f>
        <v/>
      </c>
      <c r="K136" s="2553"/>
      <c r="L136" s="2554" t="str">
        <f ca="1">IF(ISBLANK(OFFSET($AP$2,L131,0)),"",OFFSET($AS$2,L131,0))</f>
        <v/>
      </c>
      <c r="M136" s="2555"/>
      <c r="N136" s="2552" t="str">
        <f ca="1">IF(ISBLANK(OFFSET($AP$2,L131,0)),"",OFFSET($AS$2,L131,0)-OFFSET($AY$2,L131,0))</f>
        <v/>
      </c>
      <c r="O136" s="2553"/>
      <c r="P136" s="2554" t="str">
        <f ca="1">IF(ISBLANK(OFFSET($AP$2,P131,0)),"",OFFSET($AS$2,P131,0))</f>
        <v/>
      </c>
      <c r="Q136" s="2555"/>
      <c r="R136" s="2552" t="str">
        <f ca="1">IF(ISBLANK(OFFSET($AP$2,P131,0)),"",OFFSET($AS$2,P131,0)-OFFSET($AY$2,P131,0))</f>
        <v/>
      </c>
      <c r="S136" s="2553"/>
      <c r="T136" s="2554" t="str">
        <f ca="1">IF(ISBLANK(OFFSET($AP$2,T131,0)),"",OFFSET($AS$2,T131,0))</f>
        <v/>
      </c>
      <c r="U136" s="2555"/>
      <c r="V136" s="2552" t="str">
        <f ca="1">IF(ISBLANK(OFFSET($AP$2,T131,0)),"",OFFSET($AS$2,T131,0)-OFFSET($AY$2,T131,0))</f>
        <v/>
      </c>
      <c r="W136" s="2553"/>
      <c r="X136" s="2554" t="str">
        <f ca="1">IF(ISBLANK(OFFSET($AP$2,X131,0)),"",OFFSET($AS$2,X131,0))</f>
        <v/>
      </c>
      <c r="Y136" s="2555"/>
      <c r="Z136" s="2552" t="str">
        <f ca="1">IF(ISBLANK(OFFSET($AP$2,X131,0)),"",OFFSET($AS$2,X131,0)-OFFSET($AY$2,X131,0))</f>
        <v/>
      </c>
      <c r="AA136" s="2553"/>
      <c r="AB136" s="57"/>
    </row>
    <row r="137" spans="1:28" ht="12.95" hidden="1" customHeight="1" x14ac:dyDescent="0.2">
      <c r="A137" s="57"/>
      <c r="B137" s="2556" t="s">
        <v>75</v>
      </c>
      <c r="C137" s="2557"/>
      <c r="D137" s="2554" t="str">
        <f ca="1">IF(ISBLANK(OFFSET($AP$2,D131,0)),"",OFFSET($AT$2,D131,0))</f>
        <v/>
      </c>
      <c r="E137" s="2555"/>
      <c r="F137" s="2552" t="str">
        <f ca="1">IF(ISBLANK(OFFSET($AP$2,D131,0)),"",OFFSET($AT$2,D131,0)-OFFSET($AZ$2,D131,0))</f>
        <v/>
      </c>
      <c r="G137" s="2553"/>
      <c r="H137" s="2554" t="str">
        <f ca="1">IF(ISBLANK(OFFSET($AP$2,H131,0)),"",OFFSET($AT$2,H131,0))</f>
        <v/>
      </c>
      <c r="I137" s="2555"/>
      <c r="J137" s="2552" t="str">
        <f ca="1">IF(ISBLANK(OFFSET($AP$2,H131,0)),"",OFFSET($AT$2,H131,0)-OFFSET($AZ$2,H131,0))</f>
        <v/>
      </c>
      <c r="K137" s="2553"/>
      <c r="L137" s="2554" t="str">
        <f ca="1">IF(ISBLANK(OFFSET($AP$2,L131,0)),"",OFFSET($AT$2,L131,0))</f>
        <v/>
      </c>
      <c r="M137" s="2555"/>
      <c r="N137" s="2552" t="str">
        <f ca="1">IF(ISBLANK(OFFSET($AP$2,L131,0)),"",OFFSET($AT$2,L131,0)-OFFSET($AZ$2,L131,0))</f>
        <v/>
      </c>
      <c r="O137" s="2553"/>
      <c r="P137" s="2554" t="str">
        <f ca="1">IF(ISBLANK(OFFSET($AP$2,P131,0)),"",OFFSET($AT$2,P131,0))</f>
        <v/>
      </c>
      <c r="Q137" s="2555"/>
      <c r="R137" s="2552" t="str">
        <f ca="1">IF(ISBLANK(OFFSET($AP$2,P131,0)),"",OFFSET($AT$2,P131,0)-OFFSET($AZ$2,P131,0))</f>
        <v/>
      </c>
      <c r="S137" s="2553"/>
      <c r="T137" s="2554" t="str">
        <f ca="1">IF(ISBLANK(OFFSET($AP$2,T131,0)),"",OFFSET($AT$2,T131,0))</f>
        <v/>
      </c>
      <c r="U137" s="2555"/>
      <c r="V137" s="2552" t="str">
        <f ca="1">IF(ISBLANK(OFFSET($AP$2,T131,0)),"",OFFSET($AT$2,T131,0)-OFFSET($AZ$2,T131,0))</f>
        <v/>
      </c>
      <c r="W137" s="2553"/>
      <c r="X137" s="2554" t="str">
        <f ca="1">IF(ISBLANK(OFFSET($AP$2,X131,0)),"",OFFSET($AT$2,X131,0))</f>
        <v/>
      </c>
      <c r="Y137" s="2555"/>
      <c r="Z137" s="2552" t="str">
        <f ca="1">IF(ISBLANK(OFFSET($AP$2,X131,0)),"",OFFSET($AT$2,X131,0)-OFFSET($AZ$2,X131,0))</f>
        <v/>
      </c>
      <c r="AA137" s="2553"/>
      <c r="AB137" s="57"/>
    </row>
    <row r="138" spans="1:28" ht="12.95" hidden="1" customHeight="1" thickBot="1" x14ac:dyDescent="0.25">
      <c r="A138" s="57"/>
      <c r="B138" s="2572" t="s">
        <v>439</v>
      </c>
      <c r="C138" s="2573"/>
      <c r="D138" s="2565" t="str">
        <f ca="1">IF(ISBLANK(OFFSET($AP$2,D131,0)),"",OFFSET($AV$2,D131,0))</f>
        <v/>
      </c>
      <c r="E138" s="2566"/>
      <c r="F138" s="2567" t="str">
        <f ca="1">IF(ISBLANK(OFFSET($AP$2,D131,0)),"",OFFSET($AV$2,D131,0)-OFFSET($BB$2,D131,0))</f>
        <v/>
      </c>
      <c r="G138" s="2568"/>
      <c r="H138" s="2565" t="str">
        <f ca="1">IF(ISBLANK(OFFSET($AP$2,H131,0)),"",OFFSET($AV$2,H131,0))</f>
        <v/>
      </c>
      <c r="I138" s="2566"/>
      <c r="J138" s="2567" t="str">
        <f ca="1">IF(ISBLANK(OFFSET($AP$2,H131,0)),"",OFFSET($AV$2,H131,0)-OFFSET($BB$2,H131,0))</f>
        <v/>
      </c>
      <c r="K138" s="2568"/>
      <c r="L138" s="2565" t="str">
        <f ca="1">IF(ISBLANK(OFFSET($AP$2,L131,0)),"",OFFSET($AV$2,L131,0))</f>
        <v/>
      </c>
      <c r="M138" s="2566"/>
      <c r="N138" s="2567" t="str">
        <f ca="1">IF(ISBLANK(OFFSET($AP$2,L131,0)),"",OFFSET($AV$2,L131,0)-OFFSET($BB$2,L131,0))</f>
        <v/>
      </c>
      <c r="O138" s="2568"/>
      <c r="P138" s="2565" t="str">
        <f ca="1">IF(ISBLANK(OFFSET($AP$2,P131,0)),"",OFFSET($AV$2,P131,0))</f>
        <v/>
      </c>
      <c r="Q138" s="2566"/>
      <c r="R138" s="2567" t="str">
        <f ca="1">IF(ISBLANK(OFFSET($AP$2,P131,0)),"",OFFSET($AV$2,P131,0)-OFFSET($BB$2,P131,0))</f>
        <v/>
      </c>
      <c r="S138" s="2568"/>
      <c r="T138" s="2565" t="str">
        <f ca="1">IF(ISBLANK(OFFSET($AP$2,T131,0)),"",OFFSET($AV$2,T131,0))</f>
        <v/>
      </c>
      <c r="U138" s="2566"/>
      <c r="V138" s="2567" t="str">
        <f ca="1">IF(ISBLANK(OFFSET($AP$2,T131,0)),"",OFFSET($AV$2,T131,0)-OFFSET($BB$2,T131,0))</f>
        <v/>
      </c>
      <c r="W138" s="2568"/>
      <c r="X138" s="2565" t="str">
        <f ca="1">IF(ISBLANK(OFFSET($AP$2,X131,0)),"",OFFSET($AV$2,X131,0))</f>
        <v/>
      </c>
      <c r="Y138" s="2566"/>
      <c r="Z138" s="2567" t="str">
        <f ca="1">IF(ISBLANK(OFFSET($AP$2,X131,0)),"",OFFSET($AV$2,X131,0)-OFFSET($BB$2,X131,0))</f>
        <v/>
      </c>
      <c r="AA138" s="2568"/>
      <c r="AB138" s="57"/>
    </row>
    <row r="139" spans="1:28" ht="12.95" hidden="1" customHeight="1" thickBot="1" x14ac:dyDescent="0.25">
      <c r="A139" s="57"/>
      <c r="B139"/>
      <c r="C139"/>
      <c r="D139" s="100">
        <v>73</v>
      </c>
      <c r="E139" s="100"/>
      <c r="F139" s="100"/>
      <c r="G139" s="100"/>
      <c r="H139" s="100">
        <v>74</v>
      </c>
      <c r="I139" s="100"/>
      <c r="J139" s="100"/>
      <c r="K139" s="100"/>
      <c r="L139" s="100">
        <v>75</v>
      </c>
      <c r="M139" s="100"/>
      <c r="N139" s="100"/>
      <c r="O139" s="100"/>
      <c r="P139" s="100">
        <v>76</v>
      </c>
      <c r="Q139" s="100"/>
      <c r="R139" s="100"/>
      <c r="S139" s="100"/>
      <c r="T139" s="100">
        <v>77</v>
      </c>
      <c r="U139" s="100"/>
      <c r="V139" s="100"/>
      <c r="W139" s="100"/>
      <c r="X139" s="100">
        <v>78</v>
      </c>
      <c r="Y139" s="79"/>
      <c r="Z139" s="79"/>
      <c r="AA139" s="79"/>
      <c r="AB139" s="57"/>
    </row>
    <row r="140" spans="1:28" ht="12.95" hidden="1" customHeight="1" x14ac:dyDescent="0.2">
      <c r="A140" s="57"/>
      <c r="B140" s="41"/>
      <c r="C140" s="42"/>
      <c r="D140" s="2569" t="str">
        <f ca="1">IF(ISBLANK(OFFSET($AP$2,D139,0)),"",CONCATENATE("Seq. ",OFFSET($AP$2,D139,0)))</f>
        <v/>
      </c>
      <c r="E140" s="2570"/>
      <c r="F140" s="2570"/>
      <c r="G140" s="2571"/>
      <c r="H140" s="2569" t="str">
        <f ca="1">IF(ISBLANK(OFFSET($AP$2,H139,0)),"",CONCATENATE("Seq. ",OFFSET($AP$2,H139,0)))</f>
        <v/>
      </c>
      <c r="I140" s="2570"/>
      <c r="J140" s="2570"/>
      <c r="K140" s="2571"/>
      <c r="L140" s="2569" t="str">
        <f ca="1">IF(ISBLANK(OFFSET($AP$2,L139,0)),"",CONCATENATE("Seq. ",OFFSET($AP$2,L139,0)))</f>
        <v/>
      </c>
      <c r="M140" s="2570"/>
      <c r="N140" s="2570"/>
      <c r="O140" s="2571"/>
      <c r="P140" s="2569" t="str">
        <f ca="1">IF(ISBLANK(OFFSET($AP$2,P139,0)),"",CONCATENATE("Seq. ",OFFSET($AP$2,P139,0)))</f>
        <v/>
      </c>
      <c r="Q140" s="2570"/>
      <c r="R140" s="2570"/>
      <c r="S140" s="2571"/>
      <c r="T140" s="2569" t="str">
        <f ca="1">IF(ISBLANK(OFFSET($AP$2,T139,0)),"",CONCATENATE("Seq. ",OFFSET($AP$2,T139,0)))</f>
        <v/>
      </c>
      <c r="U140" s="2570"/>
      <c r="V140" s="2570"/>
      <c r="W140" s="2571"/>
      <c r="X140" s="2569" t="str">
        <f ca="1">IF(ISBLANK(OFFSET($AP$2,X139,0)),"",CONCATENATE("Seq. ",OFFSET($AP$2,X139,0)))</f>
        <v/>
      </c>
      <c r="Y140" s="2570"/>
      <c r="Z140" s="2570"/>
      <c r="AA140" s="2571"/>
      <c r="AB140" s="57"/>
    </row>
    <row r="141" spans="1:28" ht="12.95" hidden="1" customHeight="1" thickBot="1" x14ac:dyDescent="0.25">
      <c r="A141" s="57"/>
      <c r="B141" s="41"/>
      <c r="C141" s="42"/>
      <c r="D141" s="2558" t="s">
        <v>440</v>
      </c>
      <c r="E141" s="2559"/>
      <c r="F141" s="2559" t="s">
        <v>441</v>
      </c>
      <c r="G141" s="2560"/>
      <c r="H141" s="2558" t="s">
        <v>440</v>
      </c>
      <c r="I141" s="2559"/>
      <c r="J141" s="2559" t="s">
        <v>441</v>
      </c>
      <c r="K141" s="2560"/>
      <c r="L141" s="2558" t="s">
        <v>440</v>
      </c>
      <c r="M141" s="2559"/>
      <c r="N141" s="2559" t="s">
        <v>441</v>
      </c>
      <c r="O141" s="2560"/>
      <c r="P141" s="2558" t="s">
        <v>440</v>
      </c>
      <c r="Q141" s="2559"/>
      <c r="R141" s="2559" t="s">
        <v>441</v>
      </c>
      <c r="S141" s="2560"/>
      <c r="T141" s="2558" t="s">
        <v>440</v>
      </c>
      <c r="U141" s="2559"/>
      <c r="V141" s="2559" t="s">
        <v>441</v>
      </c>
      <c r="W141" s="2560"/>
      <c r="X141" s="2558" t="s">
        <v>440</v>
      </c>
      <c r="Y141" s="2559"/>
      <c r="Z141" s="2559" t="s">
        <v>441</v>
      </c>
      <c r="AA141" s="2560"/>
      <c r="AB141" s="57"/>
    </row>
    <row r="142" spans="1:28" ht="12.95" hidden="1" customHeight="1" x14ac:dyDescent="0.2">
      <c r="A142" s="57"/>
      <c r="B142" s="2563" t="s">
        <v>73</v>
      </c>
      <c r="C142" s="2564"/>
      <c r="D142" s="2554" t="str">
        <f ca="1">IF(ISBLANK(OFFSET($AP$2,D139,0)),"",OFFSET($AQ$2,D139,0)+OFFSET($AU$2,D139,0))</f>
        <v/>
      </c>
      <c r="E142" s="2555"/>
      <c r="F142" s="2552" t="str">
        <f ca="1">IF(ISBLANK(OFFSET($AP$2,D139,0)),"",(OFFSET($AQ$2,D139,0)+OFFSET($AU$2,D139,0))-(OFFSET($AW$2,D139,0)+OFFSET($BA$2,D139,0)))</f>
        <v/>
      </c>
      <c r="G142" s="2553"/>
      <c r="H142" s="2554" t="str">
        <f ca="1">IF(ISBLANK(OFFSET($AP$2,H139,0)),"",OFFSET($AQ$2,H139,0)+OFFSET($AU$2,H139,0))</f>
        <v/>
      </c>
      <c r="I142" s="2555"/>
      <c r="J142" s="2552" t="str">
        <f ca="1">IF(ISBLANK(OFFSET($AP$2,H139,0)),"",(OFFSET($AQ$2,H139,0)+OFFSET($AU$2,H139,0))-(OFFSET($AW$2,H139,0)+OFFSET($BA$2,H139,0)))</f>
        <v/>
      </c>
      <c r="K142" s="2553"/>
      <c r="L142" s="2554" t="str">
        <f ca="1">IF(ISBLANK(OFFSET($AP$2,L139,0)),"",OFFSET($AQ$2,L139,0)+OFFSET($AU$2,L139,0))</f>
        <v/>
      </c>
      <c r="M142" s="2555"/>
      <c r="N142" s="2552" t="str">
        <f ca="1">IF(ISBLANK(OFFSET($AP$2,L139,0)),"",(OFFSET($AQ$2,L139,0)+OFFSET($AU$2,L139,0))-(OFFSET($AW$2,L139,0)+OFFSET($BA$2,L139,0)))</f>
        <v/>
      </c>
      <c r="O142" s="2553"/>
      <c r="P142" s="2554" t="str">
        <f ca="1">IF(ISBLANK(OFFSET($AP$2,P139,0)),"",OFFSET($AQ$2,P139,0)+OFFSET($AU$2,P139,0))</f>
        <v/>
      </c>
      <c r="Q142" s="2555"/>
      <c r="R142" s="2552" t="str">
        <f ca="1">IF(ISBLANK(OFFSET($AP$2,P139,0)),"",(OFFSET($AQ$2,P139,0)+OFFSET($AU$2,P139,0))-(OFFSET($AW$2,P139,0)+OFFSET($BA$2,P139,0)))</f>
        <v/>
      </c>
      <c r="S142" s="2553"/>
      <c r="T142" s="2554" t="str">
        <f ca="1">IF(ISBLANK(OFFSET($AP$2,T139,0)),"",OFFSET($AQ$2,T139,0)+OFFSET($AU$2,T139,0))</f>
        <v/>
      </c>
      <c r="U142" s="2555"/>
      <c r="V142" s="2552" t="str">
        <f ca="1">IF(ISBLANK(OFFSET($AP$2,T139,0)),"",(OFFSET($AQ$2,T139,0)+OFFSET($AU$2,T139,0))-(OFFSET($AW$2,T139,0)+OFFSET($BA$2,T139,0)))</f>
        <v/>
      </c>
      <c r="W142" s="2553"/>
      <c r="X142" s="2554" t="str">
        <f ca="1">IF(ISBLANK(OFFSET($AP$2,X139,0)),"",OFFSET($AQ$2,X139,0)+OFFSET($AU$2,X139,0))</f>
        <v/>
      </c>
      <c r="Y142" s="2555"/>
      <c r="Z142" s="2552" t="str">
        <f ca="1">IF(ISBLANK(OFFSET($AP$2,X139,0)),"",(OFFSET($AQ$2,X139,0)+OFFSET($AU$2,X139,0))-(OFFSET($AW$2,X139,0)+OFFSET($BA$2,X139,0)))</f>
        <v/>
      </c>
      <c r="AA142" s="2553"/>
      <c r="AB142" s="57"/>
    </row>
    <row r="143" spans="1:28" ht="12.95" hidden="1" customHeight="1" x14ac:dyDescent="0.2">
      <c r="A143" s="57"/>
      <c r="B143" s="2556" t="s">
        <v>437</v>
      </c>
      <c r="C143" s="2557"/>
      <c r="D143" s="2554" t="str">
        <f ca="1">IF(ISBLANK(OFFSET($AP$2,D139,0)),"",OFFSET($AR$2,D139,0))</f>
        <v/>
      </c>
      <c r="E143" s="2555"/>
      <c r="F143" s="2552" t="str">
        <f ca="1">IF(ISBLANK(OFFSET($AP$2,D139,0)),"",OFFSET($AR$2,D139,0)-OFFSET($AX$2,D139,0))</f>
        <v/>
      </c>
      <c r="G143" s="2553"/>
      <c r="H143" s="2554" t="str">
        <f ca="1">IF(ISBLANK(OFFSET($AP$2,H139,0)),"",OFFSET($AR$2,H139,0))</f>
        <v/>
      </c>
      <c r="I143" s="2555"/>
      <c r="J143" s="2552" t="str">
        <f ca="1">IF(ISBLANK(OFFSET($AP$2,H139,0)),"",OFFSET($AR$2,H139,0)-OFFSET($AX$2,H139,0))</f>
        <v/>
      </c>
      <c r="K143" s="2553"/>
      <c r="L143" s="2554" t="str">
        <f ca="1">IF(ISBLANK(OFFSET($AP$2,L139,0)),"",OFFSET($AR$2,L139,0))</f>
        <v/>
      </c>
      <c r="M143" s="2555"/>
      <c r="N143" s="2552" t="str">
        <f ca="1">IF(ISBLANK(OFFSET($AP$2,L139,0)),"",OFFSET($AR$2,L139,0)-OFFSET($AX$2,L139,0))</f>
        <v/>
      </c>
      <c r="O143" s="2553"/>
      <c r="P143" s="2554" t="str">
        <f ca="1">IF(ISBLANK(OFFSET($AP$2,P139,0)),"",OFFSET($AR$2,P139,0))</f>
        <v/>
      </c>
      <c r="Q143" s="2555"/>
      <c r="R143" s="2552" t="str">
        <f ca="1">IF(ISBLANK(OFFSET($AP$2,P139,0)),"",OFFSET($AR$2,P139,0)-OFFSET($AX$2,P139,0))</f>
        <v/>
      </c>
      <c r="S143" s="2553"/>
      <c r="T143" s="2554" t="str">
        <f ca="1">IF(ISBLANK(OFFSET($AP$2,T139,0)),"",OFFSET($AR$2,T139,0))</f>
        <v/>
      </c>
      <c r="U143" s="2555"/>
      <c r="V143" s="2552" t="str">
        <f ca="1">IF(ISBLANK(OFFSET($AP$2,T139,0)),"",OFFSET($AR$2,T139,0)-OFFSET($AX$2,T139,0))</f>
        <v/>
      </c>
      <c r="W143" s="2553"/>
      <c r="X143" s="2554" t="str">
        <f ca="1">IF(ISBLANK(OFFSET($AP$2,X139,0)),"",OFFSET($AR$2,X139,0))</f>
        <v/>
      </c>
      <c r="Y143" s="2555"/>
      <c r="Z143" s="2552" t="str">
        <f ca="1">IF(ISBLANK(OFFSET($AP$2,X139,0)),"",OFFSET($AR$2,X139,0)-OFFSET($AX$2,X139,0))</f>
        <v/>
      </c>
      <c r="AA143" s="2553"/>
      <c r="AB143" s="57"/>
    </row>
    <row r="144" spans="1:28" ht="12.95" hidden="1" customHeight="1" x14ac:dyDescent="0.2">
      <c r="A144" s="57"/>
      <c r="B144" s="2556" t="s">
        <v>438</v>
      </c>
      <c r="C144" s="2557"/>
      <c r="D144" s="2554" t="str">
        <f ca="1">IF(ISBLANK(OFFSET($AP$2,D139,0)),"",OFFSET($AS$2,D139,0))</f>
        <v/>
      </c>
      <c r="E144" s="2555"/>
      <c r="F144" s="2552" t="str">
        <f ca="1">IF(ISBLANK(OFFSET($AP$2,D139,0)),"",OFFSET($AS$2,D139,0)-OFFSET($AY$2,D139,0))</f>
        <v/>
      </c>
      <c r="G144" s="2553"/>
      <c r="H144" s="2554" t="str">
        <f ca="1">IF(ISBLANK(OFFSET($AP$2,H139,0)),"",OFFSET($AS$2,H139,0))</f>
        <v/>
      </c>
      <c r="I144" s="2555"/>
      <c r="J144" s="2552" t="str">
        <f ca="1">IF(ISBLANK(OFFSET($AP$2,H139,0)),"",OFFSET($AS$2,H139,0)-OFFSET($AY$2,H139,0))</f>
        <v/>
      </c>
      <c r="K144" s="2553"/>
      <c r="L144" s="2554" t="str">
        <f ca="1">IF(ISBLANK(OFFSET($AP$2,L139,0)),"",OFFSET($AS$2,L139,0))</f>
        <v/>
      </c>
      <c r="M144" s="2555"/>
      <c r="N144" s="2552" t="str">
        <f ca="1">IF(ISBLANK(OFFSET($AP$2,L139,0)),"",OFFSET($AS$2,L139,0)-OFFSET($AY$2,L139,0))</f>
        <v/>
      </c>
      <c r="O144" s="2553"/>
      <c r="P144" s="2554" t="str">
        <f ca="1">IF(ISBLANK(OFFSET($AP$2,P139,0)),"",OFFSET($AS$2,P139,0))</f>
        <v/>
      </c>
      <c r="Q144" s="2555"/>
      <c r="R144" s="2552" t="str">
        <f ca="1">IF(ISBLANK(OFFSET($AP$2,P139,0)),"",OFFSET($AS$2,P139,0)-OFFSET($AY$2,P139,0))</f>
        <v/>
      </c>
      <c r="S144" s="2553"/>
      <c r="T144" s="2554" t="str">
        <f ca="1">IF(ISBLANK(OFFSET($AP$2,T139,0)),"",OFFSET($AS$2,T139,0))</f>
        <v/>
      </c>
      <c r="U144" s="2555"/>
      <c r="V144" s="2552" t="str">
        <f ca="1">IF(ISBLANK(OFFSET($AP$2,T139,0)),"",OFFSET($AS$2,T139,0)-OFFSET($AY$2,T139,0))</f>
        <v/>
      </c>
      <c r="W144" s="2553"/>
      <c r="X144" s="2554" t="str">
        <f ca="1">IF(ISBLANK(OFFSET($AP$2,X139,0)),"",OFFSET($AS$2,X139,0))</f>
        <v/>
      </c>
      <c r="Y144" s="2555"/>
      <c r="Z144" s="2552" t="str">
        <f ca="1">IF(ISBLANK(OFFSET($AP$2,X139,0)),"",OFFSET($AS$2,X139,0)-OFFSET($AY$2,X139,0))</f>
        <v/>
      </c>
      <c r="AA144" s="2553"/>
      <c r="AB144" s="57"/>
    </row>
    <row r="145" spans="1:28" ht="12.95" hidden="1" customHeight="1" x14ac:dyDescent="0.2">
      <c r="A145" s="57"/>
      <c r="B145" s="2556" t="s">
        <v>75</v>
      </c>
      <c r="C145" s="2557"/>
      <c r="D145" s="2554" t="str">
        <f ca="1">IF(ISBLANK(OFFSET($AP$2,D139,0)),"",OFFSET($AT$2,D139,0))</f>
        <v/>
      </c>
      <c r="E145" s="2555"/>
      <c r="F145" s="2552" t="str">
        <f ca="1">IF(ISBLANK(OFFSET($AP$2,D139,0)),"",OFFSET($AT$2,D139,0)-OFFSET($AZ$2,D139,0))</f>
        <v/>
      </c>
      <c r="G145" s="2553"/>
      <c r="H145" s="2554" t="str">
        <f ca="1">IF(ISBLANK(OFFSET($AP$2,H139,0)),"",OFFSET($AT$2,H139,0))</f>
        <v/>
      </c>
      <c r="I145" s="2555"/>
      <c r="J145" s="2552" t="str">
        <f ca="1">IF(ISBLANK(OFFSET($AP$2,H139,0)),"",OFFSET($AT$2,H139,0)-OFFSET($AZ$2,H139,0))</f>
        <v/>
      </c>
      <c r="K145" s="2553"/>
      <c r="L145" s="2554" t="str">
        <f ca="1">IF(ISBLANK(OFFSET($AP$2,L139,0)),"",OFFSET($AT$2,L139,0))</f>
        <v/>
      </c>
      <c r="M145" s="2555"/>
      <c r="N145" s="2552" t="str">
        <f ca="1">IF(ISBLANK(OFFSET($AP$2,L139,0)),"",OFFSET($AT$2,L139,0)-OFFSET($AZ$2,L139,0))</f>
        <v/>
      </c>
      <c r="O145" s="2553"/>
      <c r="P145" s="2554" t="str">
        <f ca="1">IF(ISBLANK(OFFSET($AP$2,P139,0)),"",OFFSET($AT$2,P139,0))</f>
        <v/>
      </c>
      <c r="Q145" s="2555"/>
      <c r="R145" s="2552" t="str">
        <f ca="1">IF(ISBLANK(OFFSET($AP$2,P139,0)),"",OFFSET($AT$2,P139,0)-OFFSET($AZ$2,P139,0))</f>
        <v/>
      </c>
      <c r="S145" s="2553"/>
      <c r="T145" s="2554" t="str">
        <f ca="1">IF(ISBLANK(OFFSET($AP$2,T139,0)),"",OFFSET($AT$2,T139,0))</f>
        <v/>
      </c>
      <c r="U145" s="2555"/>
      <c r="V145" s="2552" t="str">
        <f ca="1">IF(ISBLANK(OFFSET($AP$2,T139,0)),"",OFFSET($AT$2,T139,0)-OFFSET($AZ$2,T139,0))</f>
        <v/>
      </c>
      <c r="W145" s="2553"/>
      <c r="X145" s="2554" t="str">
        <f ca="1">IF(ISBLANK(OFFSET($AP$2,X139,0)),"",OFFSET($AT$2,X139,0))</f>
        <v/>
      </c>
      <c r="Y145" s="2555"/>
      <c r="Z145" s="2552" t="str">
        <f ca="1">IF(ISBLANK(OFFSET($AP$2,X139,0)),"",OFFSET($AT$2,X139,0)-OFFSET($AZ$2,X139,0))</f>
        <v/>
      </c>
      <c r="AA145" s="2553"/>
      <c r="AB145" s="57"/>
    </row>
    <row r="146" spans="1:28" ht="12.95" hidden="1" customHeight="1" thickBot="1" x14ac:dyDescent="0.25">
      <c r="A146" s="57"/>
      <c r="B146" s="2572" t="s">
        <v>439</v>
      </c>
      <c r="C146" s="2573"/>
      <c r="D146" s="2565" t="str">
        <f ca="1">IF(ISBLANK(OFFSET($AP$2,D139,0)),"",OFFSET($AV$2,D139,0))</f>
        <v/>
      </c>
      <c r="E146" s="2566"/>
      <c r="F146" s="2567" t="str">
        <f ca="1">IF(ISBLANK(OFFSET($AP$2,D139,0)),"",OFFSET($AV$2,D139,0)-OFFSET($BB$2,D139,0))</f>
        <v/>
      </c>
      <c r="G146" s="2568"/>
      <c r="H146" s="2565" t="str">
        <f ca="1">IF(ISBLANK(OFFSET($AP$2,H139,0)),"",OFFSET($AV$2,H139,0))</f>
        <v/>
      </c>
      <c r="I146" s="2566"/>
      <c r="J146" s="2567" t="str">
        <f ca="1">IF(ISBLANK(OFFSET($AP$2,H139,0)),"",OFFSET($AV$2,H139,0)-OFFSET($BB$2,H139,0))</f>
        <v/>
      </c>
      <c r="K146" s="2568"/>
      <c r="L146" s="2565" t="str">
        <f ca="1">IF(ISBLANK(OFFSET($AP$2,L139,0)),"",OFFSET($AV$2,L139,0))</f>
        <v/>
      </c>
      <c r="M146" s="2566"/>
      <c r="N146" s="2567" t="str">
        <f ca="1">IF(ISBLANK(OFFSET($AP$2,L139,0)),"",OFFSET($AV$2,L139,0)-OFFSET($BB$2,L139,0))</f>
        <v/>
      </c>
      <c r="O146" s="2568"/>
      <c r="P146" s="2565" t="str">
        <f ca="1">IF(ISBLANK(OFFSET($AP$2,P139,0)),"",OFFSET($AV$2,P139,0))</f>
        <v/>
      </c>
      <c r="Q146" s="2566"/>
      <c r="R146" s="2567" t="str">
        <f ca="1">IF(ISBLANK(OFFSET($AP$2,P139,0)),"",OFFSET($AV$2,P139,0)-OFFSET($BB$2,P139,0))</f>
        <v/>
      </c>
      <c r="S146" s="2568"/>
      <c r="T146" s="2565" t="str">
        <f ca="1">IF(ISBLANK(OFFSET($AP$2,T139,0)),"",OFFSET($AV$2,T139,0))</f>
        <v/>
      </c>
      <c r="U146" s="2566"/>
      <c r="V146" s="2567" t="str">
        <f ca="1">IF(ISBLANK(OFFSET($AP$2,T139,0)),"",OFFSET($AV$2,T139,0)-OFFSET($BB$2,T139,0))</f>
        <v/>
      </c>
      <c r="W146" s="2568"/>
      <c r="X146" s="2565" t="str">
        <f ca="1">IF(ISBLANK(OFFSET($AP$2,X139,0)),"",OFFSET($AV$2,X139,0))</f>
        <v/>
      </c>
      <c r="Y146" s="2566"/>
      <c r="Z146" s="2567" t="str">
        <f ca="1">IF(ISBLANK(OFFSET($AP$2,X139,0)),"",OFFSET($AV$2,X139,0)-OFFSET($BB$2,X139,0))</f>
        <v/>
      </c>
      <c r="AA146" s="2568"/>
      <c r="AB146" s="57"/>
    </row>
    <row r="147" spans="1:28" ht="12.95" hidden="1" customHeight="1" thickBot="1" x14ac:dyDescent="0.25">
      <c r="A147" s="57"/>
      <c r="B147"/>
      <c r="C147"/>
      <c r="D147" s="100">
        <v>79</v>
      </c>
      <c r="E147" s="100"/>
      <c r="F147" s="100"/>
      <c r="G147" s="100"/>
      <c r="H147" s="100">
        <v>80</v>
      </c>
      <c r="I147" s="100"/>
      <c r="J147" s="100"/>
      <c r="K147" s="100"/>
      <c r="L147" s="100">
        <v>81</v>
      </c>
      <c r="M147" s="100"/>
      <c r="N147" s="100"/>
      <c r="O147" s="100"/>
      <c r="P147" s="100">
        <v>82</v>
      </c>
      <c r="Q147" s="100"/>
      <c r="R147" s="100"/>
      <c r="S147" s="100"/>
      <c r="T147" s="100">
        <v>83</v>
      </c>
      <c r="U147" s="100"/>
      <c r="V147" s="100"/>
      <c r="W147" s="100"/>
      <c r="X147" s="100">
        <v>84</v>
      </c>
      <c r="Y147" s="79"/>
      <c r="Z147" s="79"/>
      <c r="AA147" s="79"/>
      <c r="AB147" s="57"/>
    </row>
    <row r="148" spans="1:28" ht="12.95" hidden="1" customHeight="1" x14ac:dyDescent="0.2">
      <c r="A148" s="57"/>
      <c r="B148" s="41"/>
      <c r="C148" s="42"/>
      <c r="D148" s="2569" t="str">
        <f ca="1">IF(ISBLANK(OFFSET($AP$2,D147,0)),"",CONCATENATE("Seq. ",OFFSET($AP$2,D147,0)))</f>
        <v/>
      </c>
      <c r="E148" s="2570"/>
      <c r="F148" s="2570"/>
      <c r="G148" s="2571"/>
      <c r="H148" s="2569" t="str">
        <f ca="1">IF(ISBLANK(OFFSET($AP$2,H147,0)),"",CONCATENATE("Seq. ",OFFSET($AP$2,H147,0)))</f>
        <v/>
      </c>
      <c r="I148" s="2570"/>
      <c r="J148" s="2570"/>
      <c r="K148" s="2571"/>
      <c r="L148" s="2569" t="str">
        <f ca="1">IF(ISBLANK(OFFSET($AP$2,L147,0)),"",CONCATENATE("Seq. ",OFFSET($AP$2,L147,0)))</f>
        <v/>
      </c>
      <c r="M148" s="2570"/>
      <c r="N148" s="2570"/>
      <c r="O148" s="2571"/>
      <c r="P148" s="2569" t="str">
        <f ca="1">IF(ISBLANK(OFFSET($AP$2,P147,0)),"",CONCATENATE("Seq. ",OFFSET($AP$2,P147,0)))</f>
        <v/>
      </c>
      <c r="Q148" s="2570"/>
      <c r="R148" s="2570"/>
      <c r="S148" s="2571"/>
      <c r="T148" s="2569" t="str">
        <f ca="1">IF(ISBLANK(OFFSET($AP$2,T147,0)),"",CONCATENATE("Seq. ",OFFSET($AP$2,T147,0)))</f>
        <v/>
      </c>
      <c r="U148" s="2570"/>
      <c r="V148" s="2570"/>
      <c r="W148" s="2571"/>
      <c r="X148" s="2569" t="str">
        <f ca="1">IF(ISBLANK(OFFSET($AP$2,X147,0)),"",CONCATENATE("Seq. ",OFFSET($AP$2,X147,0)))</f>
        <v/>
      </c>
      <c r="Y148" s="2570"/>
      <c r="Z148" s="2570"/>
      <c r="AA148" s="2571"/>
      <c r="AB148" s="57"/>
    </row>
    <row r="149" spans="1:28" ht="12.95" hidden="1" customHeight="1" thickBot="1" x14ac:dyDescent="0.25">
      <c r="A149" s="57"/>
      <c r="B149" s="41"/>
      <c r="C149" s="42"/>
      <c r="D149" s="2558" t="s">
        <v>440</v>
      </c>
      <c r="E149" s="2559"/>
      <c r="F149" s="2559" t="s">
        <v>441</v>
      </c>
      <c r="G149" s="2560"/>
      <c r="H149" s="2558" t="s">
        <v>440</v>
      </c>
      <c r="I149" s="2559"/>
      <c r="J149" s="2559" t="s">
        <v>441</v>
      </c>
      <c r="K149" s="2560"/>
      <c r="L149" s="2558" t="s">
        <v>440</v>
      </c>
      <c r="M149" s="2559"/>
      <c r="N149" s="2559" t="s">
        <v>441</v>
      </c>
      <c r="O149" s="2560"/>
      <c r="P149" s="2558" t="s">
        <v>440</v>
      </c>
      <c r="Q149" s="2559"/>
      <c r="R149" s="2559" t="s">
        <v>441</v>
      </c>
      <c r="S149" s="2560"/>
      <c r="T149" s="2558" t="s">
        <v>440</v>
      </c>
      <c r="U149" s="2559"/>
      <c r="V149" s="2559" t="s">
        <v>441</v>
      </c>
      <c r="W149" s="2560"/>
      <c r="X149" s="2558" t="s">
        <v>440</v>
      </c>
      <c r="Y149" s="2559"/>
      <c r="Z149" s="2559" t="s">
        <v>441</v>
      </c>
      <c r="AA149" s="2560"/>
      <c r="AB149" s="57"/>
    </row>
    <row r="150" spans="1:28" ht="12.95" hidden="1" customHeight="1" x14ac:dyDescent="0.2">
      <c r="A150" s="57"/>
      <c r="B150" s="2563" t="s">
        <v>73</v>
      </c>
      <c r="C150" s="2564"/>
      <c r="D150" s="2554" t="str">
        <f ca="1">IF(ISBLANK(OFFSET($AP$2,D147,0)),"",OFFSET($AQ$2,D147,0)+OFFSET($AU$2,D147,0))</f>
        <v/>
      </c>
      <c r="E150" s="2555"/>
      <c r="F150" s="2552" t="str">
        <f ca="1">IF(ISBLANK(OFFSET($AP$2,D147,0)),"",(OFFSET($AQ$2,D147,0)+OFFSET($AU$2,D147,0))-(OFFSET($AW$2,D147,0)+OFFSET($BA$2,D147,0)))</f>
        <v/>
      </c>
      <c r="G150" s="2553"/>
      <c r="H150" s="2554" t="str">
        <f ca="1">IF(ISBLANK(OFFSET($AP$2,H147,0)),"",OFFSET($AQ$2,H147,0)+OFFSET($AU$2,H147,0))</f>
        <v/>
      </c>
      <c r="I150" s="2555"/>
      <c r="J150" s="2552" t="str">
        <f ca="1">IF(ISBLANK(OFFSET($AP$2,H147,0)),"",(OFFSET($AQ$2,H147,0)+OFFSET($AU$2,H147,0))-(OFFSET($AW$2,H147,0)+OFFSET($BA$2,H147,0)))</f>
        <v/>
      </c>
      <c r="K150" s="2553"/>
      <c r="L150" s="2554" t="str">
        <f ca="1">IF(ISBLANK(OFFSET($AP$2,L147,0)),"",OFFSET($AQ$2,L147,0)+OFFSET($AU$2,L147,0))</f>
        <v/>
      </c>
      <c r="M150" s="2555"/>
      <c r="N150" s="2552" t="str">
        <f ca="1">IF(ISBLANK(OFFSET($AP$2,L147,0)),"",(OFFSET($AQ$2,L147,0)+OFFSET($AU$2,L147,0))-(OFFSET($AW$2,L147,0)+OFFSET($BA$2,L147,0)))</f>
        <v/>
      </c>
      <c r="O150" s="2553"/>
      <c r="P150" s="2554" t="str">
        <f ca="1">IF(ISBLANK(OFFSET($AP$2,P147,0)),"",OFFSET($AQ$2,P147,0)+OFFSET($AU$2,P147,0))</f>
        <v/>
      </c>
      <c r="Q150" s="2555"/>
      <c r="R150" s="2552" t="str">
        <f ca="1">IF(ISBLANK(OFFSET($AP$2,P147,0)),"",(OFFSET($AQ$2,P147,0)+OFFSET($AU$2,P147,0))-(OFFSET($AW$2,P147,0)+OFFSET($BA$2,P147,0)))</f>
        <v/>
      </c>
      <c r="S150" s="2553"/>
      <c r="T150" s="2554" t="str">
        <f ca="1">IF(ISBLANK(OFFSET($AP$2,T147,0)),"",OFFSET($AQ$2,T147,0)+OFFSET($AU$2,T147,0))</f>
        <v/>
      </c>
      <c r="U150" s="2555"/>
      <c r="V150" s="2552" t="str">
        <f ca="1">IF(ISBLANK(OFFSET($AP$2,T147,0)),"",(OFFSET($AQ$2,T147,0)+OFFSET($AU$2,T147,0))-(OFFSET($AW$2,T147,0)+OFFSET($BA$2,T147,0)))</f>
        <v/>
      </c>
      <c r="W150" s="2553"/>
      <c r="X150" s="2554" t="str">
        <f ca="1">IF(ISBLANK(OFFSET($AP$2,X147,0)),"",OFFSET($AQ$2,X147,0)+OFFSET($AU$2,X147,0))</f>
        <v/>
      </c>
      <c r="Y150" s="2555"/>
      <c r="Z150" s="2552" t="str">
        <f ca="1">IF(ISBLANK(OFFSET($AP$2,X147,0)),"",(OFFSET($AQ$2,X147,0)+OFFSET($AU$2,X147,0))-(OFFSET($AW$2,X147,0)+OFFSET($BA$2,X147,0)))</f>
        <v/>
      </c>
      <c r="AA150" s="2553"/>
      <c r="AB150" s="57"/>
    </row>
    <row r="151" spans="1:28" ht="12.95" hidden="1" customHeight="1" x14ac:dyDescent="0.2">
      <c r="A151" s="57"/>
      <c r="B151" s="2556" t="s">
        <v>437</v>
      </c>
      <c r="C151" s="2557"/>
      <c r="D151" s="2554" t="str">
        <f ca="1">IF(ISBLANK(OFFSET($AP$2,D147,0)),"",OFFSET($AR$2,D147,0))</f>
        <v/>
      </c>
      <c r="E151" s="2555"/>
      <c r="F151" s="2552" t="str">
        <f ca="1">IF(ISBLANK(OFFSET($AP$2,D147,0)),"",OFFSET($AR$2,D147,0)-OFFSET($AX$2,D147,0))</f>
        <v/>
      </c>
      <c r="G151" s="2553"/>
      <c r="H151" s="2554" t="str">
        <f ca="1">IF(ISBLANK(OFFSET($AP$2,H147,0)),"",OFFSET($AR$2,H147,0))</f>
        <v/>
      </c>
      <c r="I151" s="2555"/>
      <c r="J151" s="2552" t="str">
        <f ca="1">IF(ISBLANK(OFFSET($AP$2,H147,0)),"",OFFSET($AR$2,H147,0)-OFFSET($AX$2,H147,0))</f>
        <v/>
      </c>
      <c r="K151" s="2553"/>
      <c r="L151" s="2554" t="str">
        <f ca="1">IF(ISBLANK(OFFSET($AP$2,L147,0)),"",OFFSET($AR$2,L147,0))</f>
        <v/>
      </c>
      <c r="M151" s="2555"/>
      <c r="N151" s="2552" t="str">
        <f ca="1">IF(ISBLANK(OFFSET($AP$2,L147,0)),"",OFFSET($AR$2,L147,0)-OFFSET($AX$2,L147,0))</f>
        <v/>
      </c>
      <c r="O151" s="2553"/>
      <c r="P151" s="2554" t="str">
        <f ca="1">IF(ISBLANK(OFFSET($AP$2,P147,0)),"",OFFSET($AR$2,P147,0))</f>
        <v/>
      </c>
      <c r="Q151" s="2555"/>
      <c r="R151" s="2552" t="str">
        <f ca="1">IF(ISBLANK(OFFSET($AP$2,P147,0)),"",OFFSET($AR$2,P147,0)-OFFSET($AX$2,P147,0))</f>
        <v/>
      </c>
      <c r="S151" s="2553"/>
      <c r="T151" s="2554" t="str">
        <f ca="1">IF(ISBLANK(OFFSET($AP$2,T147,0)),"",OFFSET($AR$2,T147,0))</f>
        <v/>
      </c>
      <c r="U151" s="2555"/>
      <c r="V151" s="2552" t="str">
        <f ca="1">IF(ISBLANK(OFFSET($AP$2,T147,0)),"",OFFSET($AR$2,T147,0)-OFFSET($AX$2,T147,0))</f>
        <v/>
      </c>
      <c r="W151" s="2553"/>
      <c r="X151" s="2554" t="str">
        <f ca="1">IF(ISBLANK(OFFSET($AP$2,X147,0)),"",OFFSET($AR$2,X147,0))</f>
        <v/>
      </c>
      <c r="Y151" s="2555"/>
      <c r="Z151" s="2552" t="str">
        <f ca="1">IF(ISBLANK(OFFSET($AP$2,X147,0)),"",OFFSET($AR$2,X147,0)-OFFSET($AX$2,X147,0))</f>
        <v/>
      </c>
      <c r="AA151" s="2553"/>
      <c r="AB151" s="57"/>
    </row>
    <row r="152" spans="1:28" ht="12.95" hidden="1" customHeight="1" x14ac:dyDescent="0.2">
      <c r="A152" s="57"/>
      <c r="B152" s="2556" t="s">
        <v>438</v>
      </c>
      <c r="C152" s="2557"/>
      <c r="D152" s="2554" t="str">
        <f ca="1">IF(ISBLANK(OFFSET($AP$2,D147,0)),"",OFFSET($AS$2,D147,0))</f>
        <v/>
      </c>
      <c r="E152" s="2555"/>
      <c r="F152" s="2552" t="str">
        <f ca="1">IF(ISBLANK(OFFSET($AP$2,D147,0)),"",OFFSET($AS$2,D147,0)-OFFSET($AY$2,D147,0))</f>
        <v/>
      </c>
      <c r="G152" s="2553"/>
      <c r="H152" s="2554" t="str">
        <f ca="1">IF(ISBLANK(OFFSET($AP$2,H147,0)),"",OFFSET($AS$2,H147,0))</f>
        <v/>
      </c>
      <c r="I152" s="2555"/>
      <c r="J152" s="2552" t="str">
        <f ca="1">IF(ISBLANK(OFFSET($AP$2,H147,0)),"",OFFSET($AS$2,H147,0)-OFFSET($AY$2,H147,0))</f>
        <v/>
      </c>
      <c r="K152" s="2553"/>
      <c r="L152" s="2554" t="str">
        <f ca="1">IF(ISBLANK(OFFSET($AP$2,L147,0)),"",OFFSET($AS$2,L147,0))</f>
        <v/>
      </c>
      <c r="M152" s="2555"/>
      <c r="N152" s="2552" t="str">
        <f ca="1">IF(ISBLANK(OFFSET($AP$2,L147,0)),"",OFFSET($AS$2,L147,0)-OFFSET($AY$2,L147,0))</f>
        <v/>
      </c>
      <c r="O152" s="2553"/>
      <c r="P152" s="2554" t="str">
        <f ca="1">IF(ISBLANK(OFFSET($AP$2,P147,0)),"",OFFSET($AS$2,P147,0))</f>
        <v/>
      </c>
      <c r="Q152" s="2555"/>
      <c r="R152" s="2552" t="str">
        <f ca="1">IF(ISBLANK(OFFSET($AP$2,P147,0)),"",OFFSET($AS$2,P147,0)-OFFSET($AY$2,P147,0))</f>
        <v/>
      </c>
      <c r="S152" s="2553"/>
      <c r="T152" s="2554" t="str">
        <f ca="1">IF(ISBLANK(OFFSET($AP$2,T147,0)),"",OFFSET($AS$2,T147,0))</f>
        <v/>
      </c>
      <c r="U152" s="2555"/>
      <c r="V152" s="2552" t="str">
        <f ca="1">IF(ISBLANK(OFFSET($AP$2,T147,0)),"",OFFSET($AS$2,T147,0)-OFFSET($AY$2,T147,0))</f>
        <v/>
      </c>
      <c r="W152" s="2553"/>
      <c r="X152" s="2554" t="str">
        <f ca="1">IF(ISBLANK(OFFSET($AP$2,X147,0)),"",OFFSET($AS$2,X147,0))</f>
        <v/>
      </c>
      <c r="Y152" s="2555"/>
      <c r="Z152" s="2552" t="str">
        <f ca="1">IF(ISBLANK(OFFSET($AP$2,X147,0)),"",OFFSET($AS$2,X147,0)-OFFSET($AY$2,X147,0))</f>
        <v/>
      </c>
      <c r="AA152" s="2553"/>
      <c r="AB152" s="57"/>
    </row>
    <row r="153" spans="1:28" ht="12.95" hidden="1" customHeight="1" x14ac:dyDescent="0.2">
      <c r="A153" s="57"/>
      <c r="B153" s="2556" t="s">
        <v>75</v>
      </c>
      <c r="C153" s="2557"/>
      <c r="D153" s="2554" t="str">
        <f ca="1">IF(ISBLANK(OFFSET($AP$2,D147,0)),"",OFFSET($AT$2,D147,0))</f>
        <v/>
      </c>
      <c r="E153" s="2555"/>
      <c r="F153" s="2552" t="str">
        <f ca="1">IF(ISBLANK(OFFSET($AP$2,D147,0)),"",OFFSET($AT$2,D147,0)-OFFSET($AZ$2,D147,0))</f>
        <v/>
      </c>
      <c r="G153" s="2553"/>
      <c r="H153" s="2554" t="str">
        <f ca="1">IF(ISBLANK(OFFSET($AP$2,H147,0)),"",OFFSET($AT$2,H147,0))</f>
        <v/>
      </c>
      <c r="I153" s="2555"/>
      <c r="J153" s="2552" t="str">
        <f ca="1">IF(ISBLANK(OFFSET($AP$2,H147,0)),"",OFFSET($AT$2,H147,0)-OFFSET($AZ$2,H147,0))</f>
        <v/>
      </c>
      <c r="K153" s="2553"/>
      <c r="L153" s="2554" t="str">
        <f ca="1">IF(ISBLANK(OFFSET($AP$2,L147,0)),"",OFFSET($AT$2,L147,0))</f>
        <v/>
      </c>
      <c r="M153" s="2555"/>
      <c r="N153" s="2552" t="str">
        <f ca="1">IF(ISBLANK(OFFSET($AP$2,L147,0)),"",OFFSET($AT$2,L147,0)-OFFSET($AZ$2,L147,0))</f>
        <v/>
      </c>
      <c r="O153" s="2553"/>
      <c r="P153" s="2554" t="str">
        <f ca="1">IF(ISBLANK(OFFSET($AP$2,P147,0)),"",OFFSET($AT$2,P147,0))</f>
        <v/>
      </c>
      <c r="Q153" s="2555"/>
      <c r="R153" s="2552" t="str">
        <f ca="1">IF(ISBLANK(OFFSET($AP$2,P147,0)),"",OFFSET($AT$2,P147,0)-OFFSET($AZ$2,P147,0))</f>
        <v/>
      </c>
      <c r="S153" s="2553"/>
      <c r="T153" s="2554" t="str">
        <f ca="1">IF(ISBLANK(OFFSET($AP$2,T147,0)),"",OFFSET($AT$2,T147,0))</f>
        <v/>
      </c>
      <c r="U153" s="2555"/>
      <c r="V153" s="2552" t="str">
        <f ca="1">IF(ISBLANK(OFFSET($AP$2,T147,0)),"",OFFSET($AT$2,T147,0)-OFFSET($AZ$2,T147,0))</f>
        <v/>
      </c>
      <c r="W153" s="2553"/>
      <c r="X153" s="2554" t="str">
        <f ca="1">IF(ISBLANK(OFFSET($AP$2,X147,0)),"",OFFSET($AT$2,X147,0))</f>
        <v/>
      </c>
      <c r="Y153" s="2555"/>
      <c r="Z153" s="2552" t="str">
        <f ca="1">IF(ISBLANK(OFFSET($AP$2,X147,0)),"",OFFSET($AT$2,X147,0)-OFFSET($AZ$2,X147,0))</f>
        <v/>
      </c>
      <c r="AA153" s="2553"/>
      <c r="AB153" s="57"/>
    </row>
    <row r="154" spans="1:28" ht="12.95" hidden="1" customHeight="1" thickBot="1" x14ac:dyDescent="0.25">
      <c r="A154" s="57"/>
      <c r="B154" s="2572" t="s">
        <v>439</v>
      </c>
      <c r="C154" s="2573"/>
      <c r="D154" s="2565" t="str">
        <f ca="1">IF(ISBLANK(OFFSET($AP$2,D147,0)),"",OFFSET($AV$2,D147,0))</f>
        <v/>
      </c>
      <c r="E154" s="2566"/>
      <c r="F154" s="2567" t="str">
        <f ca="1">IF(ISBLANK(OFFSET($AP$2,D147,0)),"",OFFSET($AV$2,D147,0)-OFFSET($BB$2,D147,0))</f>
        <v/>
      </c>
      <c r="G154" s="2568"/>
      <c r="H154" s="2565" t="str">
        <f ca="1">IF(ISBLANK(OFFSET($AP$2,H147,0)),"",OFFSET($AV$2,H147,0))</f>
        <v/>
      </c>
      <c r="I154" s="2566"/>
      <c r="J154" s="2567" t="str">
        <f ca="1">IF(ISBLANK(OFFSET($AP$2,H147,0)),"",OFFSET($AV$2,H147,0)-OFFSET($BB$2,H147,0))</f>
        <v/>
      </c>
      <c r="K154" s="2568"/>
      <c r="L154" s="2565" t="str">
        <f ca="1">IF(ISBLANK(OFFSET($AP$2,L147,0)),"",OFFSET($AV$2,L147,0))</f>
        <v/>
      </c>
      <c r="M154" s="2566"/>
      <c r="N154" s="2567" t="str">
        <f ca="1">IF(ISBLANK(OFFSET($AP$2,L147,0)),"",OFFSET($AV$2,L147,0)-OFFSET($BB$2,L147,0))</f>
        <v/>
      </c>
      <c r="O154" s="2568"/>
      <c r="P154" s="2565" t="str">
        <f ca="1">IF(ISBLANK(OFFSET($AP$2,P147,0)),"",OFFSET($AV$2,P147,0))</f>
        <v/>
      </c>
      <c r="Q154" s="2566"/>
      <c r="R154" s="2567" t="str">
        <f ca="1">IF(ISBLANK(OFFSET($AP$2,P147,0)),"",OFFSET($AV$2,P147,0)-OFFSET($BB$2,P147,0))</f>
        <v/>
      </c>
      <c r="S154" s="2568"/>
      <c r="T154" s="2565" t="str">
        <f ca="1">IF(ISBLANK(OFFSET($AP$2,T147,0)),"",OFFSET($AV$2,T147,0))</f>
        <v/>
      </c>
      <c r="U154" s="2566"/>
      <c r="V154" s="2567" t="str">
        <f ca="1">IF(ISBLANK(OFFSET($AP$2,T147,0)),"",OFFSET($AV$2,T147,0)-OFFSET($BB$2,T147,0))</f>
        <v/>
      </c>
      <c r="W154" s="2568"/>
      <c r="X154" s="2565" t="str">
        <f ca="1">IF(ISBLANK(OFFSET($AP$2,X147,0)),"",OFFSET($AV$2,X147,0))</f>
        <v/>
      </c>
      <c r="Y154" s="2566"/>
      <c r="Z154" s="2567" t="str">
        <f ca="1">IF(ISBLANK(OFFSET($AP$2,X147,0)),"",OFFSET($AV$2,X147,0)-OFFSET($BB$2,X147,0))</f>
        <v/>
      </c>
      <c r="AA154" s="2568"/>
      <c r="AB154" s="57"/>
    </row>
    <row r="155" spans="1:28" ht="12.95" hidden="1" customHeight="1" thickBot="1" x14ac:dyDescent="0.25">
      <c r="A155" s="57"/>
      <c r="B155"/>
      <c r="C155"/>
      <c r="D155" s="100">
        <v>85</v>
      </c>
      <c r="E155" s="100"/>
      <c r="F155" s="100"/>
      <c r="G155" s="100"/>
      <c r="H155" s="100">
        <v>86</v>
      </c>
      <c r="I155" s="100"/>
      <c r="J155" s="100"/>
      <c r="K155" s="100"/>
      <c r="L155" s="100">
        <v>87</v>
      </c>
      <c r="M155" s="100"/>
      <c r="N155" s="100"/>
      <c r="O155" s="100"/>
      <c r="P155" s="100">
        <v>88</v>
      </c>
      <c r="Q155" s="100"/>
      <c r="R155" s="100"/>
      <c r="S155" s="100"/>
      <c r="T155" s="100">
        <v>89</v>
      </c>
      <c r="U155" s="100"/>
      <c r="V155" s="100"/>
      <c r="W155" s="100"/>
      <c r="X155" s="100">
        <v>90</v>
      </c>
      <c r="Y155" s="79"/>
      <c r="Z155" s="79"/>
      <c r="AA155" s="79"/>
      <c r="AB155" s="57"/>
    </row>
    <row r="156" spans="1:28" ht="12.95" hidden="1" customHeight="1" x14ac:dyDescent="0.2">
      <c r="A156" s="57"/>
      <c r="B156" s="41"/>
      <c r="C156" s="42"/>
      <c r="D156" s="2569" t="str">
        <f ca="1">IF(ISBLANK(OFFSET($AP$2,D155,0)),"",CONCATENATE("Seq. ",OFFSET($AP$2,D155,0)))</f>
        <v/>
      </c>
      <c r="E156" s="2570"/>
      <c r="F156" s="2570"/>
      <c r="G156" s="2571"/>
      <c r="H156" s="2569" t="str">
        <f ca="1">IF(ISBLANK(OFFSET($AP$2,H155,0)),"",CONCATENATE("Seq. ",OFFSET($AP$2,H155,0)))</f>
        <v/>
      </c>
      <c r="I156" s="2570"/>
      <c r="J156" s="2570"/>
      <c r="K156" s="2571"/>
      <c r="L156" s="2569" t="str">
        <f ca="1">IF(ISBLANK(OFFSET($AP$2,L155,0)),"",CONCATENATE("Seq. ",OFFSET($AP$2,L155,0)))</f>
        <v/>
      </c>
      <c r="M156" s="2570"/>
      <c r="N156" s="2570"/>
      <c r="O156" s="2571"/>
      <c r="P156" s="2569" t="str">
        <f ca="1">IF(ISBLANK(OFFSET($AP$2,P155,0)),"",CONCATENATE("Seq. ",OFFSET($AP$2,P155,0)))</f>
        <v/>
      </c>
      <c r="Q156" s="2570"/>
      <c r="R156" s="2570"/>
      <c r="S156" s="2571"/>
      <c r="T156" s="2569" t="str">
        <f ca="1">IF(ISBLANK(OFFSET($AP$2,T155,0)),"",CONCATENATE("Seq. ",OFFSET($AP$2,T155,0)))</f>
        <v/>
      </c>
      <c r="U156" s="2570"/>
      <c r="V156" s="2570"/>
      <c r="W156" s="2571"/>
      <c r="X156" s="2569" t="str">
        <f ca="1">IF(ISBLANK(OFFSET($AP$2,X155,0)),"",CONCATENATE("Seq. ",OFFSET($AP$2,X155,0)))</f>
        <v/>
      </c>
      <c r="Y156" s="2570"/>
      <c r="Z156" s="2570"/>
      <c r="AA156" s="2571"/>
      <c r="AB156" s="57"/>
    </row>
    <row r="157" spans="1:28" ht="12.95" hidden="1" customHeight="1" thickBot="1" x14ac:dyDescent="0.25">
      <c r="A157" s="57"/>
      <c r="B157" s="41"/>
      <c r="C157" s="42"/>
      <c r="D157" s="2558" t="s">
        <v>440</v>
      </c>
      <c r="E157" s="2559"/>
      <c r="F157" s="2559" t="s">
        <v>441</v>
      </c>
      <c r="G157" s="2560"/>
      <c r="H157" s="2558" t="s">
        <v>440</v>
      </c>
      <c r="I157" s="2559"/>
      <c r="J157" s="2559" t="s">
        <v>441</v>
      </c>
      <c r="K157" s="2560"/>
      <c r="L157" s="2558" t="s">
        <v>440</v>
      </c>
      <c r="M157" s="2559"/>
      <c r="N157" s="2559" t="s">
        <v>441</v>
      </c>
      <c r="O157" s="2560"/>
      <c r="P157" s="2558" t="s">
        <v>440</v>
      </c>
      <c r="Q157" s="2559"/>
      <c r="R157" s="2559" t="s">
        <v>441</v>
      </c>
      <c r="S157" s="2560"/>
      <c r="T157" s="2558" t="s">
        <v>440</v>
      </c>
      <c r="U157" s="2559"/>
      <c r="V157" s="2559" t="s">
        <v>441</v>
      </c>
      <c r="W157" s="2560"/>
      <c r="X157" s="2558" t="s">
        <v>440</v>
      </c>
      <c r="Y157" s="2559"/>
      <c r="Z157" s="2559" t="s">
        <v>441</v>
      </c>
      <c r="AA157" s="2560"/>
      <c r="AB157" s="57"/>
    </row>
    <row r="158" spans="1:28" ht="12.95" hidden="1" customHeight="1" x14ac:dyDescent="0.2">
      <c r="A158" s="57"/>
      <c r="B158" s="2563" t="s">
        <v>73</v>
      </c>
      <c r="C158" s="2564"/>
      <c r="D158" s="2554" t="str">
        <f ca="1">IF(ISBLANK(OFFSET($AP$2,D155,0)),"",OFFSET($AQ$2,D155,0)+OFFSET($AU$2,D155,0))</f>
        <v/>
      </c>
      <c r="E158" s="2555"/>
      <c r="F158" s="2552" t="str">
        <f ca="1">IF(ISBLANK(OFFSET($AP$2,D155,0)),"",(OFFSET($AQ$2,D155,0)+OFFSET($AU$2,D155,0))-(OFFSET($AW$2,D155,0)+OFFSET($BA$2,D155,0)))</f>
        <v/>
      </c>
      <c r="G158" s="2553"/>
      <c r="H158" s="2554" t="str">
        <f ca="1">IF(ISBLANK(OFFSET($AP$2,H155,0)),"",OFFSET($AQ$2,H155,0)+OFFSET($AU$2,H155,0))</f>
        <v/>
      </c>
      <c r="I158" s="2555"/>
      <c r="J158" s="2552" t="str">
        <f ca="1">IF(ISBLANK(OFFSET($AP$2,H155,0)),"",(OFFSET($AQ$2,H155,0)+OFFSET($AU$2,H155,0))-(OFFSET($AW$2,H155,0)+OFFSET($BA$2,H155,0)))</f>
        <v/>
      </c>
      <c r="K158" s="2553"/>
      <c r="L158" s="2554" t="str">
        <f ca="1">IF(ISBLANK(OFFSET($AP$2,L155,0)),"",OFFSET($AQ$2,L155,0)+OFFSET($AU$2,L155,0))</f>
        <v/>
      </c>
      <c r="M158" s="2555"/>
      <c r="N158" s="2552" t="str">
        <f ca="1">IF(ISBLANK(OFFSET($AP$2,L155,0)),"",(OFFSET($AQ$2,L155,0)+OFFSET($AU$2,L155,0))-(OFFSET($AW$2,L155,0)+OFFSET($BA$2,L155,0)))</f>
        <v/>
      </c>
      <c r="O158" s="2553"/>
      <c r="P158" s="2554" t="str">
        <f ca="1">IF(ISBLANK(OFFSET($AP$2,P155,0)),"",OFFSET($AQ$2,P155,0)+OFFSET($AU$2,P155,0))</f>
        <v/>
      </c>
      <c r="Q158" s="2555"/>
      <c r="R158" s="2552" t="str">
        <f ca="1">IF(ISBLANK(OFFSET($AP$2,P155,0)),"",(OFFSET($AQ$2,P155,0)+OFFSET($AU$2,P155,0))-(OFFSET($AW$2,P155,0)+OFFSET($BA$2,P155,0)))</f>
        <v/>
      </c>
      <c r="S158" s="2553"/>
      <c r="T158" s="2554" t="str">
        <f ca="1">IF(ISBLANK(OFFSET($AP$2,T155,0)),"",OFFSET($AQ$2,T155,0)+OFFSET($AU$2,T155,0))</f>
        <v/>
      </c>
      <c r="U158" s="2555"/>
      <c r="V158" s="2552" t="str">
        <f ca="1">IF(ISBLANK(OFFSET($AP$2,T155,0)),"",(OFFSET($AQ$2,T155,0)+OFFSET($AU$2,T155,0))-(OFFSET($AW$2,T155,0)+OFFSET($BA$2,T155,0)))</f>
        <v/>
      </c>
      <c r="W158" s="2553"/>
      <c r="X158" s="2554" t="str">
        <f ca="1">IF(ISBLANK(OFFSET($AP$2,X155,0)),"",OFFSET($AQ$2,X155,0)+OFFSET($AU$2,X155,0))</f>
        <v/>
      </c>
      <c r="Y158" s="2555"/>
      <c r="Z158" s="2552" t="str">
        <f ca="1">IF(ISBLANK(OFFSET($AP$2,X155,0)),"",(OFFSET($AQ$2,X155,0)+OFFSET($AU$2,X155,0))-(OFFSET($AW$2,X155,0)+OFFSET($BA$2,X155,0)))</f>
        <v/>
      </c>
      <c r="AA158" s="2553"/>
      <c r="AB158" s="57"/>
    </row>
    <row r="159" spans="1:28" ht="12.95" hidden="1" customHeight="1" x14ac:dyDescent="0.2">
      <c r="A159" s="57"/>
      <c r="B159" s="2556" t="s">
        <v>437</v>
      </c>
      <c r="C159" s="2557"/>
      <c r="D159" s="2554" t="str">
        <f ca="1">IF(ISBLANK(OFFSET($AP$2,D155,0)),"",OFFSET($AR$2,D155,0))</f>
        <v/>
      </c>
      <c r="E159" s="2555"/>
      <c r="F159" s="2552" t="str">
        <f ca="1">IF(ISBLANK(OFFSET($AP$2,D155,0)),"",OFFSET($AR$2,D155,0)-OFFSET($AX$2,D155,0))</f>
        <v/>
      </c>
      <c r="G159" s="2553"/>
      <c r="H159" s="2554" t="str">
        <f ca="1">IF(ISBLANK(OFFSET($AP$2,H155,0)),"",OFFSET($AR$2,H155,0))</f>
        <v/>
      </c>
      <c r="I159" s="2555"/>
      <c r="J159" s="2552" t="str">
        <f ca="1">IF(ISBLANK(OFFSET($AP$2,H155,0)),"",OFFSET($AR$2,H155,0)-OFFSET($AX$2,H155,0))</f>
        <v/>
      </c>
      <c r="K159" s="2553"/>
      <c r="L159" s="2554" t="str">
        <f ca="1">IF(ISBLANK(OFFSET($AP$2,L155,0)),"",OFFSET($AR$2,L155,0))</f>
        <v/>
      </c>
      <c r="M159" s="2555"/>
      <c r="N159" s="2552" t="str">
        <f ca="1">IF(ISBLANK(OFFSET($AP$2,L155,0)),"",OFFSET($AR$2,L155,0)-OFFSET($AX$2,L155,0))</f>
        <v/>
      </c>
      <c r="O159" s="2553"/>
      <c r="P159" s="2554" t="str">
        <f ca="1">IF(ISBLANK(OFFSET($AP$2,P155,0)),"",OFFSET($AR$2,P155,0))</f>
        <v/>
      </c>
      <c r="Q159" s="2555"/>
      <c r="R159" s="2552" t="str">
        <f ca="1">IF(ISBLANK(OFFSET($AP$2,P155,0)),"",OFFSET($AR$2,P155,0)-OFFSET($AX$2,P155,0))</f>
        <v/>
      </c>
      <c r="S159" s="2553"/>
      <c r="T159" s="2554" t="str">
        <f ca="1">IF(ISBLANK(OFFSET($AP$2,T155,0)),"",OFFSET($AR$2,T155,0))</f>
        <v/>
      </c>
      <c r="U159" s="2555"/>
      <c r="V159" s="2552" t="str">
        <f ca="1">IF(ISBLANK(OFFSET($AP$2,T155,0)),"",OFFSET($AR$2,T155,0)-OFFSET($AX$2,T155,0))</f>
        <v/>
      </c>
      <c r="W159" s="2553"/>
      <c r="X159" s="2554" t="str">
        <f ca="1">IF(ISBLANK(OFFSET($AP$2,X155,0)),"",OFFSET($AR$2,X155,0))</f>
        <v/>
      </c>
      <c r="Y159" s="2555"/>
      <c r="Z159" s="2552" t="str">
        <f ca="1">IF(ISBLANK(OFFSET($AP$2,X155,0)),"",OFFSET($AR$2,X155,0)-OFFSET($AX$2,X155,0))</f>
        <v/>
      </c>
      <c r="AA159" s="2553"/>
      <c r="AB159" s="57"/>
    </row>
    <row r="160" spans="1:28" ht="12.95" hidden="1" customHeight="1" x14ac:dyDescent="0.2">
      <c r="A160" s="57"/>
      <c r="B160" s="2556" t="s">
        <v>438</v>
      </c>
      <c r="C160" s="2557"/>
      <c r="D160" s="2554" t="str">
        <f ca="1">IF(ISBLANK(OFFSET($AP$2,D155,0)),"",OFFSET($AS$2,D155,0))</f>
        <v/>
      </c>
      <c r="E160" s="2555"/>
      <c r="F160" s="2552" t="str">
        <f ca="1">IF(ISBLANK(OFFSET($AP$2,D155,0)),"",OFFSET($AS$2,D155,0)-OFFSET($AY$2,D155,0))</f>
        <v/>
      </c>
      <c r="G160" s="2553"/>
      <c r="H160" s="2554" t="str">
        <f ca="1">IF(ISBLANK(OFFSET($AP$2,H155,0)),"",OFFSET($AS$2,H155,0))</f>
        <v/>
      </c>
      <c r="I160" s="2555"/>
      <c r="J160" s="2552" t="str">
        <f ca="1">IF(ISBLANK(OFFSET($AP$2,H155,0)),"",OFFSET($AS$2,H155,0)-OFFSET($AY$2,H155,0))</f>
        <v/>
      </c>
      <c r="K160" s="2553"/>
      <c r="L160" s="2554" t="str">
        <f ca="1">IF(ISBLANK(OFFSET($AP$2,L155,0)),"",OFFSET($AS$2,L155,0))</f>
        <v/>
      </c>
      <c r="M160" s="2555"/>
      <c r="N160" s="2552" t="str">
        <f ca="1">IF(ISBLANK(OFFSET($AP$2,L155,0)),"",OFFSET($AS$2,L155,0)-OFFSET($AY$2,L155,0))</f>
        <v/>
      </c>
      <c r="O160" s="2553"/>
      <c r="P160" s="2554" t="str">
        <f ca="1">IF(ISBLANK(OFFSET($AP$2,P155,0)),"",OFFSET($AS$2,P155,0))</f>
        <v/>
      </c>
      <c r="Q160" s="2555"/>
      <c r="R160" s="2552" t="str">
        <f ca="1">IF(ISBLANK(OFFSET($AP$2,P155,0)),"",OFFSET($AS$2,P155,0)-OFFSET($AY$2,P155,0))</f>
        <v/>
      </c>
      <c r="S160" s="2553"/>
      <c r="T160" s="2554" t="str">
        <f ca="1">IF(ISBLANK(OFFSET($AP$2,T155,0)),"",OFFSET($AS$2,T155,0))</f>
        <v/>
      </c>
      <c r="U160" s="2555"/>
      <c r="V160" s="2552" t="str">
        <f ca="1">IF(ISBLANK(OFFSET($AP$2,T155,0)),"",OFFSET($AS$2,T155,0)-OFFSET($AY$2,T155,0))</f>
        <v/>
      </c>
      <c r="W160" s="2553"/>
      <c r="X160" s="2554" t="str">
        <f ca="1">IF(ISBLANK(OFFSET($AP$2,X155,0)),"",OFFSET($AS$2,X155,0))</f>
        <v/>
      </c>
      <c r="Y160" s="2555"/>
      <c r="Z160" s="2552" t="str">
        <f ca="1">IF(ISBLANK(OFFSET($AP$2,X155,0)),"",OFFSET($AS$2,X155,0)-OFFSET($AY$2,X155,0))</f>
        <v/>
      </c>
      <c r="AA160" s="2553"/>
      <c r="AB160" s="57"/>
    </row>
    <row r="161" spans="1:28" ht="12.95" hidden="1" customHeight="1" x14ac:dyDescent="0.2">
      <c r="A161" s="57"/>
      <c r="B161" s="2556" t="s">
        <v>75</v>
      </c>
      <c r="C161" s="2557"/>
      <c r="D161" s="2554" t="str">
        <f ca="1">IF(ISBLANK(OFFSET($AP$2,D155,0)),"",OFFSET($AT$2,D155,0))</f>
        <v/>
      </c>
      <c r="E161" s="2555"/>
      <c r="F161" s="2552" t="str">
        <f ca="1">IF(ISBLANK(OFFSET($AP$2,D155,0)),"",OFFSET($AT$2,D155,0)-OFFSET($AZ$2,D155,0))</f>
        <v/>
      </c>
      <c r="G161" s="2553"/>
      <c r="H161" s="2554" t="str">
        <f ca="1">IF(ISBLANK(OFFSET($AP$2,H155,0)),"",OFFSET($AT$2,H155,0))</f>
        <v/>
      </c>
      <c r="I161" s="2555"/>
      <c r="J161" s="2552" t="str">
        <f ca="1">IF(ISBLANK(OFFSET($AP$2,H155,0)),"",OFFSET($AT$2,H155,0)-OFFSET($AZ$2,H155,0))</f>
        <v/>
      </c>
      <c r="K161" s="2553"/>
      <c r="L161" s="2554" t="str">
        <f ca="1">IF(ISBLANK(OFFSET($AP$2,L155,0)),"",OFFSET($AT$2,L155,0))</f>
        <v/>
      </c>
      <c r="M161" s="2555"/>
      <c r="N161" s="2552" t="str">
        <f ca="1">IF(ISBLANK(OFFSET($AP$2,L155,0)),"",OFFSET($AT$2,L155,0)-OFFSET($AZ$2,L155,0))</f>
        <v/>
      </c>
      <c r="O161" s="2553"/>
      <c r="P161" s="2554" t="str">
        <f ca="1">IF(ISBLANK(OFFSET($AP$2,P155,0)),"",OFFSET($AT$2,P155,0))</f>
        <v/>
      </c>
      <c r="Q161" s="2555"/>
      <c r="R161" s="2552" t="str">
        <f ca="1">IF(ISBLANK(OFFSET($AP$2,P155,0)),"",OFFSET($AT$2,P155,0)-OFFSET($AZ$2,P155,0))</f>
        <v/>
      </c>
      <c r="S161" s="2553"/>
      <c r="T161" s="2554" t="str">
        <f ca="1">IF(ISBLANK(OFFSET($AP$2,T155,0)),"",OFFSET($AT$2,T155,0))</f>
        <v/>
      </c>
      <c r="U161" s="2555"/>
      <c r="V161" s="2552" t="str">
        <f ca="1">IF(ISBLANK(OFFSET($AP$2,T155,0)),"",OFFSET($AT$2,T155,0)-OFFSET($AZ$2,T155,0))</f>
        <v/>
      </c>
      <c r="W161" s="2553"/>
      <c r="X161" s="2554" t="str">
        <f ca="1">IF(ISBLANK(OFFSET($AP$2,X155,0)),"",OFFSET($AT$2,X155,0))</f>
        <v/>
      </c>
      <c r="Y161" s="2555"/>
      <c r="Z161" s="2552" t="str">
        <f ca="1">IF(ISBLANK(OFFSET($AP$2,X155,0)),"",OFFSET($AT$2,X155,0)-OFFSET($AZ$2,X155,0))</f>
        <v/>
      </c>
      <c r="AA161" s="2553"/>
      <c r="AB161" s="57"/>
    </row>
    <row r="162" spans="1:28" ht="12.95" hidden="1" customHeight="1" thickBot="1" x14ac:dyDescent="0.25">
      <c r="A162" s="57"/>
      <c r="B162" s="2572" t="s">
        <v>439</v>
      </c>
      <c r="C162" s="2573"/>
      <c r="D162" s="2565" t="str">
        <f ca="1">IF(ISBLANK(OFFSET($AP$2,D155,0)),"",OFFSET($AV$2,D155,0))</f>
        <v/>
      </c>
      <c r="E162" s="2566"/>
      <c r="F162" s="2567" t="str">
        <f ca="1">IF(ISBLANK(OFFSET($AP$2,D155,0)),"",OFFSET($AV$2,D155,0)-OFFSET($BB$2,D155,0))</f>
        <v/>
      </c>
      <c r="G162" s="2568"/>
      <c r="H162" s="2565" t="str">
        <f ca="1">IF(ISBLANK(OFFSET($AP$2,H155,0)),"",OFFSET($AV$2,H155,0))</f>
        <v/>
      </c>
      <c r="I162" s="2566"/>
      <c r="J162" s="2567" t="str">
        <f ca="1">IF(ISBLANK(OFFSET($AP$2,H155,0)),"",OFFSET($AV$2,H155,0)-OFFSET($BB$2,H155,0))</f>
        <v/>
      </c>
      <c r="K162" s="2568"/>
      <c r="L162" s="2565" t="str">
        <f ca="1">IF(ISBLANK(OFFSET($AP$2,L155,0)),"",OFFSET($AV$2,L155,0))</f>
        <v/>
      </c>
      <c r="M162" s="2566"/>
      <c r="N162" s="2567" t="str">
        <f ca="1">IF(ISBLANK(OFFSET($AP$2,L155,0)),"",OFFSET($AV$2,L155,0)-OFFSET($BB$2,L155,0))</f>
        <v/>
      </c>
      <c r="O162" s="2568"/>
      <c r="P162" s="2565" t="str">
        <f ca="1">IF(ISBLANK(OFFSET($AP$2,P155,0)),"",OFFSET($AV$2,P155,0))</f>
        <v/>
      </c>
      <c r="Q162" s="2566"/>
      <c r="R162" s="2567" t="str">
        <f ca="1">IF(ISBLANK(OFFSET($AP$2,P155,0)),"",OFFSET($AV$2,P155,0)-OFFSET($BB$2,P155,0))</f>
        <v/>
      </c>
      <c r="S162" s="2568"/>
      <c r="T162" s="2565" t="str">
        <f ca="1">IF(ISBLANK(OFFSET($AP$2,T155,0)),"",OFFSET($AV$2,T155,0))</f>
        <v/>
      </c>
      <c r="U162" s="2566"/>
      <c r="V162" s="2567" t="str">
        <f ca="1">IF(ISBLANK(OFFSET($AP$2,T155,0)),"",OFFSET($AV$2,T155,0)-OFFSET($BB$2,T155,0))</f>
        <v/>
      </c>
      <c r="W162" s="2568"/>
      <c r="X162" s="2565" t="str">
        <f ca="1">IF(ISBLANK(OFFSET($AP$2,X155,0)),"",OFFSET($AV$2,X155,0))</f>
        <v/>
      </c>
      <c r="Y162" s="2566"/>
      <c r="Z162" s="2567" t="str">
        <f ca="1">IF(ISBLANK(OFFSET($AP$2,X155,0)),"",OFFSET($AV$2,X155,0)-OFFSET($BB$2,X155,0))</f>
        <v/>
      </c>
      <c r="AA162" s="2568"/>
      <c r="AB162" s="57"/>
    </row>
    <row r="163" spans="1:28" ht="12.95" hidden="1" customHeight="1" thickBot="1" x14ac:dyDescent="0.25">
      <c r="A163" s="57"/>
      <c r="B163"/>
      <c r="C163"/>
      <c r="D163" s="100">
        <v>91</v>
      </c>
      <c r="E163" s="100"/>
      <c r="F163" s="100"/>
      <c r="G163" s="100"/>
      <c r="H163" s="100">
        <v>92</v>
      </c>
      <c r="I163" s="100"/>
      <c r="J163" s="100"/>
      <c r="K163" s="100"/>
      <c r="L163" s="100">
        <v>93</v>
      </c>
      <c r="M163" s="100"/>
      <c r="N163" s="100"/>
      <c r="O163" s="100"/>
      <c r="P163" s="100">
        <v>94</v>
      </c>
      <c r="Q163" s="100"/>
      <c r="R163" s="100"/>
      <c r="S163" s="100"/>
      <c r="T163" s="100">
        <v>95</v>
      </c>
      <c r="U163" s="100"/>
      <c r="V163" s="100"/>
      <c r="W163" s="100"/>
      <c r="X163" s="100">
        <v>96</v>
      </c>
      <c r="Y163" s="79"/>
      <c r="Z163" s="79"/>
      <c r="AA163" s="79"/>
      <c r="AB163" s="57"/>
    </row>
    <row r="164" spans="1:28" ht="12.95" hidden="1" customHeight="1" x14ac:dyDescent="0.2">
      <c r="A164" s="57"/>
      <c r="B164" s="41"/>
      <c r="C164" s="42"/>
      <c r="D164" s="2569" t="str">
        <f ca="1">IF(ISBLANK(OFFSET($AP$2,D163,0)),"",CONCATENATE("Seq. ",OFFSET($AP$2,D163,0)))</f>
        <v/>
      </c>
      <c r="E164" s="2570"/>
      <c r="F164" s="2570"/>
      <c r="G164" s="2571"/>
      <c r="H164" s="2569" t="str">
        <f ca="1">IF(ISBLANK(OFFSET($AP$2,H163,0)),"",CONCATENATE("Seq. ",OFFSET($AP$2,H163,0)))</f>
        <v/>
      </c>
      <c r="I164" s="2570"/>
      <c r="J164" s="2570"/>
      <c r="K164" s="2571"/>
      <c r="L164" s="2569" t="str">
        <f ca="1">IF(ISBLANK(OFFSET($AP$2,L163,0)),"",CONCATENATE("Seq. ",OFFSET($AP$2,L163,0)))</f>
        <v/>
      </c>
      <c r="M164" s="2570"/>
      <c r="N164" s="2570"/>
      <c r="O164" s="2571"/>
      <c r="P164" s="2569" t="str">
        <f ca="1">IF(ISBLANK(OFFSET($AP$2,P163,0)),"",CONCATENATE("Seq. ",OFFSET($AP$2,P163,0)))</f>
        <v/>
      </c>
      <c r="Q164" s="2570"/>
      <c r="R164" s="2570"/>
      <c r="S164" s="2571"/>
      <c r="T164" s="2569" t="str">
        <f ca="1">IF(ISBLANK(OFFSET($AP$2,T163,0)),"",CONCATENATE("Seq. ",OFFSET($AP$2,T163,0)))</f>
        <v/>
      </c>
      <c r="U164" s="2570"/>
      <c r="V164" s="2570"/>
      <c r="W164" s="2571"/>
      <c r="X164" s="2569" t="str">
        <f ca="1">IF(ISBLANK(OFFSET($AP$2,X163,0)),"",CONCATENATE("Seq. ",OFFSET($AP$2,X163,0)))</f>
        <v/>
      </c>
      <c r="Y164" s="2570"/>
      <c r="Z164" s="2570"/>
      <c r="AA164" s="2571"/>
      <c r="AB164" s="57"/>
    </row>
    <row r="165" spans="1:28" ht="12.95" hidden="1" customHeight="1" thickBot="1" x14ac:dyDescent="0.25">
      <c r="A165" s="57"/>
      <c r="B165" s="41"/>
      <c r="C165" s="42"/>
      <c r="D165" s="2558" t="s">
        <v>440</v>
      </c>
      <c r="E165" s="2559"/>
      <c r="F165" s="2559" t="s">
        <v>441</v>
      </c>
      <c r="G165" s="2560"/>
      <c r="H165" s="2558" t="s">
        <v>440</v>
      </c>
      <c r="I165" s="2559"/>
      <c r="J165" s="2559" t="s">
        <v>441</v>
      </c>
      <c r="K165" s="2560"/>
      <c r="L165" s="2558" t="s">
        <v>440</v>
      </c>
      <c r="M165" s="2559"/>
      <c r="N165" s="2559" t="s">
        <v>441</v>
      </c>
      <c r="O165" s="2560"/>
      <c r="P165" s="2558" t="s">
        <v>440</v>
      </c>
      <c r="Q165" s="2559"/>
      <c r="R165" s="2559" t="s">
        <v>441</v>
      </c>
      <c r="S165" s="2560"/>
      <c r="T165" s="2558" t="s">
        <v>440</v>
      </c>
      <c r="U165" s="2559"/>
      <c r="V165" s="2559" t="s">
        <v>441</v>
      </c>
      <c r="W165" s="2560"/>
      <c r="X165" s="2558" t="s">
        <v>440</v>
      </c>
      <c r="Y165" s="2559"/>
      <c r="Z165" s="2559" t="s">
        <v>441</v>
      </c>
      <c r="AA165" s="2560"/>
      <c r="AB165" s="57"/>
    </row>
    <row r="166" spans="1:28" ht="12.95" hidden="1" customHeight="1" x14ac:dyDescent="0.2">
      <c r="A166" s="57"/>
      <c r="B166" s="2563" t="s">
        <v>73</v>
      </c>
      <c r="C166" s="2564"/>
      <c r="D166" s="2554" t="str">
        <f ca="1">IF(ISBLANK(OFFSET($AP$2,D163,0)),"",OFFSET($AQ$2,D163,0)+OFFSET($AU$2,D163,0))</f>
        <v/>
      </c>
      <c r="E166" s="2555"/>
      <c r="F166" s="2552" t="str">
        <f ca="1">IF(ISBLANK(OFFSET($AP$2,D163,0)),"",(OFFSET($AQ$2,D163,0)+OFFSET($AU$2,D163,0))-(OFFSET($AW$2,D163,0)+OFFSET($BA$2,D163,0)))</f>
        <v/>
      </c>
      <c r="G166" s="2553"/>
      <c r="H166" s="2554" t="str">
        <f ca="1">IF(ISBLANK(OFFSET($AP$2,H163,0)),"",OFFSET($AQ$2,H163,0)+OFFSET($AU$2,H163,0))</f>
        <v/>
      </c>
      <c r="I166" s="2555"/>
      <c r="J166" s="2552" t="str">
        <f ca="1">IF(ISBLANK(OFFSET($AP$2,H163,0)),"",(OFFSET($AQ$2,H163,0)+OFFSET($AU$2,H163,0))-(OFFSET($AW$2,H163,0)+OFFSET($BA$2,H163,0)))</f>
        <v/>
      </c>
      <c r="K166" s="2553"/>
      <c r="L166" s="2554" t="str">
        <f ca="1">IF(ISBLANK(OFFSET($AP$2,L163,0)),"",OFFSET($AQ$2,L163,0)+OFFSET($AU$2,L163,0))</f>
        <v/>
      </c>
      <c r="M166" s="2555"/>
      <c r="N166" s="2552" t="str">
        <f ca="1">IF(ISBLANK(OFFSET($AP$2,L163,0)),"",(OFFSET($AQ$2,L163,0)+OFFSET($AU$2,L163,0))-(OFFSET($AW$2,L163,0)+OFFSET($BA$2,L163,0)))</f>
        <v/>
      </c>
      <c r="O166" s="2553"/>
      <c r="P166" s="2554" t="str">
        <f ca="1">IF(ISBLANK(OFFSET($AP$2,P163,0)),"",OFFSET($AQ$2,P163,0)+OFFSET($AU$2,P163,0))</f>
        <v/>
      </c>
      <c r="Q166" s="2555"/>
      <c r="R166" s="2552" t="str">
        <f ca="1">IF(ISBLANK(OFFSET($AP$2,P163,0)),"",(OFFSET($AQ$2,P163,0)+OFFSET($AU$2,P163,0))-(OFFSET($AW$2,P163,0)+OFFSET($BA$2,P163,0)))</f>
        <v/>
      </c>
      <c r="S166" s="2553"/>
      <c r="T166" s="2554" t="str">
        <f ca="1">IF(ISBLANK(OFFSET($AP$2,T163,0)),"",OFFSET($AQ$2,T163,0)+OFFSET($AU$2,T163,0))</f>
        <v/>
      </c>
      <c r="U166" s="2555"/>
      <c r="V166" s="2552" t="str">
        <f ca="1">IF(ISBLANK(OFFSET($AP$2,T163,0)),"",(OFFSET($AQ$2,T163,0)+OFFSET($AU$2,T163,0))-(OFFSET($AW$2,T163,0)+OFFSET($BA$2,T163,0)))</f>
        <v/>
      </c>
      <c r="W166" s="2553"/>
      <c r="X166" s="2554" t="str">
        <f ca="1">IF(ISBLANK(OFFSET($AP$2,X163,0)),"",OFFSET($AQ$2,X163,0)+OFFSET($AU$2,X163,0))</f>
        <v/>
      </c>
      <c r="Y166" s="2555"/>
      <c r="Z166" s="2552" t="str">
        <f ca="1">IF(ISBLANK(OFFSET($AP$2,X163,0)),"",(OFFSET($AQ$2,X163,0)+OFFSET($AU$2,X163,0))-(OFFSET($AW$2,X163,0)+OFFSET($BA$2,X163,0)))</f>
        <v/>
      </c>
      <c r="AA166" s="2553"/>
      <c r="AB166" s="57"/>
    </row>
    <row r="167" spans="1:28" ht="12.95" hidden="1" customHeight="1" x14ac:dyDescent="0.2">
      <c r="A167" s="57"/>
      <c r="B167" s="2556" t="s">
        <v>437</v>
      </c>
      <c r="C167" s="2557"/>
      <c r="D167" s="2554" t="str">
        <f ca="1">IF(ISBLANK(OFFSET($AP$2,D163,0)),"",OFFSET($AR$2,D163,0))</f>
        <v/>
      </c>
      <c r="E167" s="2555"/>
      <c r="F167" s="2552" t="str">
        <f ca="1">IF(ISBLANK(OFFSET($AP$2,D163,0)),"",OFFSET($AR$2,D163,0)-OFFSET($AX$2,D163,0))</f>
        <v/>
      </c>
      <c r="G167" s="2553"/>
      <c r="H167" s="2554" t="str">
        <f ca="1">IF(ISBLANK(OFFSET($AP$2,H163,0)),"",OFFSET($AR$2,H163,0))</f>
        <v/>
      </c>
      <c r="I167" s="2555"/>
      <c r="J167" s="2552" t="str">
        <f ca="1">IF(ISBLANK(OFFSET($AP$2,H163,0)),"",OFFSET($AR$2,H163,0)-OFFSET($AX$2,H163,0))</f>
        <v/>
      </c>
      <c r="K167" s="2553"/>
      <c r="L167" s="2554" t="str">
        <f ca="1">IF(ISBLANK(OFFSET($AP$2,L163,0)),"",OFFSET($AR$2,L163,0))</f>
        <v/>
      </c>
      <c r="M167" s="2555"/>
      <c r="N167" s="2552" t="str">
        <f ca="1">IF(ISBLANK(OFFSET($AP$2,L163,0)),"",OFFSET($AR$2,L163,0)-OFFSET($AX$2,L163,0))</f>
        <v/>
      </c>
      <c r="O167" s="2553"/>
      <c r="P167" s="2554" t="str">
        <f ca="1">IF(ISBLANK(OFFSET($AP$2,P163,0)),"",OFFSET($AR$2,P163,0))</f>
        <v/>
      </c>
      <c r="Q167" s="2555"/>
      <c r="R167" s="2552" t="str">
        <f ca="1">IF(ISBLANK(OFFSET($AP$2,P163,0)),"",OFFSET($AR$2,P163,0)-OFFSET($AX$2,P163,0))</f>
        <v/>
      </c>
      <c r="S167" s="2553"/>
      <c r="T167" s="2554" t="str">
        <f ca="1">IF(ISBLANK(OFFSET($AP$2,T163,0)),"",OFFSET($AR$2,T163,0))</f>
        <v/>
      </c>
      <c r="U167" s="2555"/>
      <c r="V167" s="2552" t="str">
        <f ca="1">IF(ISBLANK(OFFSET($AP$2,T163,0)),"",OFFSET($AR$2,T163,0)-OFFSET($AX$2,T163,0))</f>
        <v/>
      </c>
      <c r="W167" s="2553"/>
      <c r="X167" s="2554" t="str">
        <f ca="1">IF(ISBLANK(OFFSET($AP$2,X163,0)),"",OFFSET($AR$2,X163,0))</f>
        <v/>
      </c>
      <c r="Y167" s="2555"/>
      <c r="Z167" s="2552" t="str">
        <f ca="1">IF(ISBLANK(OFFSET($AP$2,X163,0)),"",OFFSET($AR$2,X163,0)-OFFSET($AX$2,X163,0))</f>
        <v/>
      </c>
      <c r="AA167" s="2553"/>
      <c r="AB167" s="57"/>
    </row>
    <row r="168" spans="1:28" ht="12.95" hidden="1" customHeight="1" x14ac:dyDescent="0.2">
      <c r="A168" s="57"/>
      <c r="B168" s="2556" t="s">
        <v>438</v>
      </c>
      <c r="C168" s="2557"/>
      <c r="D168" s="2554" t="str">
        <f ca="1">IF(ISBLANK(OFFSET($AP$2,D163,0)),"",OFFSET($AS$2,D163,0))</f>
        <v/>
      </c>
      <c r="E168" s="2555"/>
      <c r="F168" s="2552" t="str">
        <f ca="1">IF(ISBLANK(OFFSET($AP$2,D163,0)),"",OFFSET($AS$2,D163,0)-OFFSET($AY$2,D163,0))</f>
        <v/>
      </c>
      <c r="G168" s="2553"/>
      <c r="H168" s="2554" t="str">
        <f ca="1">IF(ISBLANK(OFFSET($AP$2,H163,0)),"",OFFSET($AS$2,H163,0))</f>
        <v/>
      </c>
      <c r="I168" s="2555"/>
      <c r="J168" s="2552" t="str">
        <f ca="1">IF(ISBLANK(OFFSET($AP$2,H163,0)),"",OFFSET($AS$2,H163,0)-OFFSET($AY$2,H163,0))</f>
        <v/>
      </c>
      <c r="K168" s="2553"/>
      <c r="L168" s="2554" t="str">
        <f ca="1">IF(ISBLANK(OFFSET($AP$2,L163,0)),"",OFFSET($AS$2,L163,0))</f>
        <v/>
      </c>
      <c r="M168" s="2555"/>
      <c r="N168" s="2552" t="str">
        <f ca="1">IF(ISBLANK(OFFSET($AP$2,L163,0)),"",OFFSET($AS$2,L163,0)-OFFSET($AY$2,L163,0))</f>
        <v/>
      </c>
      <c r="O168" s="2553"/>
      <c r="P168" s="2554" t="str">
        <f ca="1">IF(ISBLANK(OFFSET($AP$2,P163,0)),"",OFFSET($AS$2,P163,0))</f>
        <v/>
      </c>
      <c r="Q168" s="2555"/>
      <c r="R168" s="2552" t="str">
        <f ca="1">IF(ISBLANK(OFFSET($AP$2,P163,0)),"",OFFSET($AS$2,P163,0)-OFFSET($AY$2,P163,0))</f>
        <v/>
      </c>
      <c r="S168" s="2553"/>
      <c r="T168" s="2554" t="str">
        <f ca="1">IF(ISBLANK(OFFSET($AP$2,T163,0)),"",OFFSET($AS$2,T163,0))</f>
        <v/>
      </c>
      <c r="U168" s="2555"/>
      <c r="V168" s="2552" t="str">
        <f ca="1">IF(ISBLANK(OFFSET($AP$2,T163,0)),"",OFFSET($AS$2,T163,0)-OFFSET($AY$2,T163,0))</f>
        <v/>
      </c>
      <c r="W168" s="2553"/>
      <c r="X168" s="2554" t="str">
        <f ca="1">IF(ISBLANK(OFFSET($AP$2,X163,0)),"",OFFSET($AS$2,X163,0))</f>
        <v/>
      </c>
      <c r="Y168" s="2555"/>
      <c r="Z168" s="2552" t="str">
        <f ca="1">IF(ISBLANK(OFFSET($AP$2,X163,0)),"",OFFSET($AS$2,X163,0)-OFFSET($AY$2,X163,0))</f>
        <v/>
      </c>
      <c r="AA168" s="2553"/>
      <c r="AB168" s="57"/>
    </row>
    <row r="169" spans="1:28" ht="12.95" hidden="1" customHeight="1" x14ac:dyDescent="0.2">
      <c r="A169" s="57"/>
      <c r="B169" s="2556" t="s">
        <v>75</v>
      </c>
      <c r="C169" s="2557"/>
      <c r="D169" s="2554" t="str">
        <f ca="1">IF(ISBLANK(OFFSET($AP$2,D163,0)),"",OFFSET($AT$2,D163,0))</f>
        <v/>
      </c>
      <c r="E169" s="2555"/>
      <c r="F169" s="2552" t="str">
        <f ca="1">IF(ISBLANK(OFFSET($AP$2,D163,0)),"",OFFSET($AT$2,D163,0)-OFFSET($AZ$2,D163,0))</f>
        <v/>
      </c>
      <c r="G169" s="2553"/>
      <c r="H169" s="2554" t="str">
        <f ca="1">IF(ISBLANK(OFFSET($AP$2,H163,0)),"",OFFSET($AT$2,H163,0))</f>
        <v/>
      </c>
      <c r="I169" s="2555"/>
      <c r="J169" s="2552" t="str">
        <f ca="1">IF(ISBLANK(OFFSET($AP$2,H163,0)),"",OFFSET($AT$2,H163,0)-OFFSET($AZ$2,H163,0))</f>
        <v/>
      </c>
      <c r="K169" s="2553"/>
      <c r="L169" s="2554" t="str">
        <f ca="1">IF(ISBLANK(OFFSET($AP$2,L163,0)),"",OFFSET($AT$2,L163,0))</f>
        <v/>
      </c>
      <c r="M169" s="2555"/>
      <c r="N169" s="2552" t="str">
        <f ca="1">IF(ISBLANK(OFFSET($AP$2,L163,0)),"",OFFSET($AT$2,L163,0)-OFFSET($AZ$2,L163,0))</f>
        <v/>
      </c>
      <c r="O169" s="2553"/>
      <c r="P169" s="2554" t="str">
        <f ca="1">IF(ISBLANK(OFFSET($AP$2,P163,0)),"",OFFSET($AT$2,P163,0))</f>
        <v/>
      </c>
      <c r="Q169" s="2555"/>
      <c r="R169" s="2552" t="str">
        <f ca="1">IF(ISBLANK(OFFSET($AP$2,P163,0)),"",OFFSET($AT$2,P163,0)-OFFSET($AZ$2,P163,0))</f>
        <v/>
      </c>
      <c r="S169" s="2553"/>
      <c r="T169" s="2554" t="str">
        <f ca="1">IF(ISBLANK(OFFSET($AP$2,T163,0)),"",OFFSET($AT$2,T163,0))</f>
        <v/>
      </c>
      <c r="U169" s="2555"/>
      <c r="V169" s="2552" t="str">
        <f ca="1">IF(ISBLANK(OFFSET($AP$2,T163,0)),"",OFFSET($AT$2,T163,0)-OFFSET($AZ$2,T163,0))</f>
        <v/>
      </c>
      <c r="W169" s="2553"/>
      <c r="X169" s="2554" t="str">
        <f ca="1">IF(ISBLANK(OFFSET($AP$2,X163,0)),"",OFFSET($AT$2,X163,0))</f>
        <v/>
      </c>
      <c r="Y169" s="2555"/>
      <c r="Z169" s="2552" t="str">
        <f ca="1">IF(ISBLANK(OFFSET($AP$2,X163,0)),"",OFFSET($AT$2,X163,0)-OFFSET($AZ$2,X163,0))</f>
        <v/>
      </c>
      <c r="AA169" s="2553"/>
      <c r="AB169" s="57"/>
    </row>
    <row r="170" spans="1:28" ht="12.95" hidden="1" customHeight="1" thickBot="1" x14ac:dyDescent="0.25">
      <c r="A170" s="57"/>
      <c r="B170" s="2572" t="s">
        <v>439</v>
      </c>
      <c r="C170" s="2573"/>
      <c r="D170" s="2565" t="str">
        <f ca="1">IF(ISBLANK(OFFSET($AP$2,D163,0)),"",OFFSET($AV$2,D163,0))</f>
        <v/>
      </c>
      <c r="E170" s="2566"/>
      <c r="F170" s="2567" t="str">
        <f ca="1">IF(ISBLANK(OFFSET($AP$2,D163,0)),"",OFFSET($AV$2,D163,0)-OFFSET($BB$2,D163,0))</f>
        <v/>
      </c>
      <c r="G170" s="2568"/>
      <c r="H170" s="2565" t="str">
        <f ca="1">IF(ISBLANK(OFFSET($AP$2,H163,0)),"",OFFSET($AV$2,H163,0))</f>
        <v/>
      </c>
      <c r="I170" s="2566"/>
      <c r="J170" s="2567" t="str">
        <f ca="1">IF(ISBLANK(OFFSET($AP$2,H163,0)),"",OFFSET($AV$2,H163,0)-OFFSET($BB$2,H163,0))</f>
        <v/>
      </c>
      <c r="K170" s="2568"/>
      <c r="L170" s="2565" t="str">
        <f ca="1">IF(ISBLANK(OFFSET($AP$2,L163,0)),"",OFFSET($AV$2,L163,0))</f>
        <v/>
      </c>
      <c r="M170" s="2566"/>
      <c r="N170" s="2567" t="str">
        <f ca="1">IF(ISBLANK(OFFSET($AP$2,L163,0)),"",OFFSET($AV$2,L163,0)-OFFSET($BB$2,L163,0))</f>
        <v/>
      </c>
      <c r="O170" s="2568"/>
      <c r="P170" s="2565" t="str">
        <f ca="1">IF(ISBLANK(OFFSET($AP$2,P163,0)),"",OFFSET($AV$2,P163,0))</f>
        <v/>
      </c>
      <c r="Q170" s="2566"/>
      <c r="R170" s="2567" t="str">
        <f ca="1">IF(ISBLANK(OFFSET($AP$2,P163,0)),"",OFFSET($AV$2,P163,0)-OFFSET($BB$2,P163,0))</f>
        <v/>
      </c>
      <c r="S170" s="2568"/>
      <c r="T170" s="2565" t="str">
        <f ca="1">IF(ISBLANK(OFFSET($AP$2,T163,0)),"",OFFSET($AV$2,T163,0))</f>
        <v/>
      </c>
      <c r="U170" s="2566"/>
      <c r="V170" s="2567" t="str">
        <f ca="1">IF(ISBLANK(OFFSET($AP$2,T163,0)),"",OFFSET($AV$2,T163,0)-OFFSET($BB$2,T163,0))</f>
        <v/>
      </c>
      <c r="W170" s="2568"/>
      <c r="X170" s="2565" t="str">
        <f ca="1">IF(ISBLANK(OFFSET($AP$2,X163,0)),"",OFFSET($AV$2,X163,0))</f>
        <v/>
      </c>
      <c r="Y170" s="2566"/>
      <c r="Z170" s="2567" t="str">
        <f ca="1">IF(ISBLANK(OFFSET($AP$2,X163,0)),"",OFFSET($AV$2,X163,0)-OFFSET($BB$2,X163,0))</f>
        <v/>
      </c>
      <c r="AA170" s="2568"/>
      <c r="AB170" s="57"/>
    </row>
    <row r="179" ht="12.95" customHeight="1" x14ac:dyDescent="0.2"/>
    <row r="180" ht="12.95" customHeight="1" x14ac:dyDescent="0.2"/>
    <row r="181" ht="12.95" customHeight="1" x14ac:dyDescent="0.2"/>
    <row r="182" ht="12.95" customHeight="1" x14ac:dyDescent="0.2"/>
  </sheetData>
  <sheetProtection algorithmName="SHA-512" hashValue="Ht6HZf+0/qGpB1S8/uto7S8gSk+MGaWkkfuEmz/k42c7kMyhctx30UAE8wJmG4YOMW8GWZkwQBR5RyXJ+lCyvA==" saltValue="tae253lshQ8vkh8GP44hkQ==" spinCount="100000" sheet="1" objects="1" scenarios="1" selectLockedCells="1"/>
  <mergeCells count="1408">
    <mergeCell ref="X169:Y169"/>
    <mergeCell ref="Z169:AA169"/>
    <mergeCell ref="Z168:AA168"/>
    <mergeCell ref="B169:C169"/>
    <mergeCell ref="D169:E169"/>
    <mergeCell ref="F169:G169"/>
    <mergeCell ref="H169:I169"/>
    <mergeCell ref="J169:K169"/>
    <mergeCell ref="L169:M169"/>
    <mergeCell ref="N169:O169"/>
    <mergeCell ref="B170:C170"/>
    <mergeCell ref="D170:E170"/>
    <mergeCell ref="F170:G170"/>
    <mergeCell ref="H170:I170"/>
    <mergeCell ref="T169:U169"/>
    <mergeCell ref="V169:W169"/>
    <mergeCell ref="P169:Q169"/>
    <mergeCell ref="R169:S169"/>
    <mergeCell ref="Z170:AA170"/>
    <mergeCell ref="R170:S170"/>
    <mergeCell ref="T170:U170"/>
    <mergeCell ref="V170:W170"/>
    <mergeCell ref="X170:Y170"/>
    <mergeCell ref="J170:K170"/>
    <mergeCell ref="L170:M170"/>
    <mergeCell ref="N170:O170"/>
    <mergeCell ref="P170:Q170"/>
    <mergeCell ref="P166:Q166"/>
    <mergeCell ref="X167:Y167"/>
    <mergeCell ref="Z167:AA167"/>
    <mergeCell ref="Z166:AA166"/>
    <mergeCell ref="B167:C167"/>
    <mergeCell ref="D167:E167"/>
    <mergeCell ref="F167:G167"/>
    <mergeCell ref="H167:I167"/>
    <mergeCell ref="J167:K167"/>
    <mergeCell ref="L167:M167"/>
    <mergeCell ref="N167:O167"/>
    <mergeCell ref="B168:C168"/>
    <mergeCell ref="D168:E168"/>
    <mergeCell ref="F168:G168"/>
    <mergeCell ref="H168:I168"/>
    <mergeCell ref="T167:U167"/>
    <mergeCell ref="V167:W167"/>
    <mergeCell ref="P167:Q167"/>
    <mergeCell ref="R167:S167"/>
    <mergeCell ref="R168:S168"/>
    <mergeCell ref="T168:U168"/>
    <mergeCell ref="V168:W168"/>
    <mergeCell ref="X168:Y168"/>
    <mergeCell ref="J168:K168"/>
    <mergeCell ref="L168:M168"/>
    <mergeCell ref="N168:O168"/>
    <mergeCell ref="P168:Q168"/>
    <mergeCell ref="D164:G164"/>
    <mergeCell ref="H164:K164"/>
    <mergeCell ref="L164:O164"/>
    <mergeCell ref="P164:S164"/>
    <mergeCell ref="T164:W164"/>
    <mergeCell ref="X164:AA164"/>
    <mergeCell ref="R162:S162"/>
    <mergeCell ref="T162:U162"/>
    <mergeCell ref="V162:W162"/>
    <mergeCell ref="X165:Y165"/>
    <mergeCell ref="Z165:AA165"/>
    <mergeCell ref="L165:M165"/>
    <mergeCell ref="N165:O165"/>
    <mergeCell ref="P165:Q165"/>
    <mergeCell ref="R165:S165"/>
    <mergeCell ref="B166:C166"/>
    <mergeCell ref="D166:E166"/>
    <mergeCell ref="F166:G166"/>
    <mergeCell ref="H166:I166"/>
    <mergeCell ref="T165:U165"/>
    <mergeCell ref="V165:W165"/>
    <mergeCell ref="D165:E165"/>
    <mergeCell ref="F165:G165"/>
    <mergeCell ref="H165:I165"/>
    <mergeCell ref="J165:K165"/>
    <mergeCell ref="R166:S166"/>
    <mergeCell ref="T166:U166"/>
    <mergeCell ref="V166:W166"/>
    <mergeCell ref="X166:Y166"/>
    <mergeCell ref="J166:K166"/>
    <mergeCell ref="L166:M166"/>
    <mergeCell ref="N166:O166"/>
    <mergeCell ref="L161:M161"/>
    <mergeCell ref="N161:O161"/>
    <mergeCell ref="P161:Q161"/>
    <mergeCell ref="R161:S161"/>
    <mergeCell ref="R160:S160"/>
    <mergeCell ref="T160:U160"/>
    <mergeCell ref="T161:U161"/>
    <mergeCell ref="V161:W161"/>
    <mergeCell ref="X161:Y161"/>
    <mergeCell ref="Z161:AA161"/>
    <mergeCell ref="Z160:AA160"/>
    <mergeCell ref="B161:C161"/>
    <mergeCell ref="D161:E161"/>
    <mergeCell ref="F161:G161"/>
    <mergeCell ref="H161:I161"/>
    <mergeCell ref="J161:K161"/>
    <mergeCell ref="X162:Y162"/>
    <mergeCell ref="J162:K162"/>
    <mergeCell ref="L162:M162"/>
    <mergeCell ref="N162:O162"/>
    <mergeCell ref="P162:Q162"/>
    <mergeCell ref="B162:C162"/>
    <mergeCell ref="D162:E162"/>
    <mergeCell ref="F162:G162"/>
    <mergeCell ref="H162:I162"/>
    <mergeCell ref="Z162:AA162"/>
    <mergeCell ref="P158:Q158"/>
    <mergeCell ref="X159:Y159"/>
    <mergeCell ref="Z159:AA159"/>
    <mergeCell ref="Z158:AA158"/>
    <mergeCell ref="B159:C159"/>
    <mergeCell ref="D159:E159"/>
    <mergeCell ref="F159:G159"/>
    <mergeCell ref="H159:I159"/>
    <mergeCell ref="J159:K159"/>
    <mergeCell ref="L159:M159"/>
    <mergeCell ref="N159:O159"/>
    <mergeCell ref="B160:C160"/>
    <mergeCell ref="D160:E160"/>
    <mergeCell ref="F160:G160"/>
    <mergeCell ref="H160:I160"/>
    <mergeCell ref="T159:U159"/>
    <mergeCell ref="V159:W159"/>
    <mergeCell ref="P159:Q159"/>
    <mergeCell ref="R159:S159"/>
    <mergeCell ref="V160:W160"/>
    <mergeCell ref="X160:Y160"/>
    <mergeCell ref="J160:K160"/>
    <mergeCell ref="L160:M160"/>
    <mergeCell ref="N160:O160"/>
    <mergeCell ref="P160:Q160"/>
    <mergeCell ref="D156:G156"/>
    <mergeCell ref="H156:K156"/>
    <mergeCell ref="L156:O156"/>
    <mergeCell ref="P156:S156"/>
    <mergeCell ref="T156:W156"/>
    <mergeCell ref="X156:AA156"/>
    <mergeCell ref="R154:S154"/>
    <mergeCell ref="T154:U154"/>
    <mergeCell ref="V154:W154"/>
    <mergeCell ref="X157:Y157"/>
    <mergeCell ref="Z157:AA157"/>
    <mergeCell ref="L157:M157"/>
    <mergeCell ref="N157:O157"/>
    <mergeCell ref="P157:Q157"/>
    <mergeCell ref="R157:S157"/>
    <mergeCell ref="B158:C158"/>
    <mergeCell ref="D158:E158"/>
    <mergeCell ref="F158:G158"/>
    <mergeCell ref="H158:I158"/>
    <mergeCell ref="T157:U157"/>
    <mergeCell ref="V157:W157"/>
    <mergeCell ref="D157:E157"/>
    <mergeCell ref="F157:G157"/>
    <mergeCell ref="H157:I157"/>
    <mergeCell ref="J157:K157"/>
    <mergeCell ref="R158:S158"/>
    <mergeCell ref="T158:U158"/>
    <mergeCell ref="V158:W158"/>
    <mergeCell ref="X158:Y158"/>
    <mergeCell ref="J158:K158"/>
    <mergeCell ref="L158:M158"/>
    <mergeCell ref="N158:O158"/>
    <mergeCell ref="L153:M153"/>
    <mergeCell ref="N153:O153"/>
    <mergeCell ref="P153:Q153"/>
    <mergeCell ref="R153:S153"/>
    <mergeCell ref="R152:S152"/>
    <mergeCell ref="T152:U152"/>
    <mergeCell ref="T153:U153"/>
    <mergeCell ref="V153:W153"/>
    <mergeCell ref="X153:Y153"/>
    <mergeCell ref="Z153:AA153"/>
    <mergeCell ref="Z152:AA152"/>
    <mergeCell ref="B153:C153"/>
    <mergeCell ref="D153:E153"/>
    <mergeCell ref="F153:G153"/>
    <mergeCell ref="H153:I153"/>
    <mergeCell ref="J153:K153"/>
    <mergeCell ref="X154:Y154"/>
    <mergeCell ref="J154:K154"/>
    <mergeCell ref="L154:M154"/>
    <mergeCell ref="N154:O154"/>
    <mergeCell ref="P154:Q154"/>
    <mergeCell ref="B154:C154"/>
    <mergeCell ref="D154:E154"/>
    <mergeCell ref="F154:G154"/>
    <mergeCell ref="H154:I154"/>
    <mergeCell ref="Z154:AA154"/>
    <mergeCell ref="P150:Q150"/>
    <mergeCell ref="X151:Y151"/>
    <mergeCell ref="Z151:AA151"/>
    <mergeCell ref="Z150:AA150"/>
    <mergeCell ref="B151:C151"/>
    <mergeCell ref="D151:E151"/>
    <mergeCell ref="F151:G151"/>
    <mergeCell ref="H151:I151"/>
    <mergeCell ref="J151:K151"/>
    <mergeCell ref="L151:M151"/>
    <mergeCell ref="N151:O151"/>
    <mergeCell ref="B152:C152"/>
    <mergeCell ref="D152:E152"/>
    <mergeCell ref="F152:G152"/>
    <mergeCell ref="H152:I152"/>
    <mergeCell ref="T151:U151"/>
    <mergeCell ref="V151:W151"/>
    <mergeCell ref="P151:Q151"/>
    <mergeCell ref="R151:S151"/>
    <mergeCell ref="V152:W152"/>
    <mergeCell ref="X152:Y152"/>
    <mergeCell ref="J152:K152"/>
    <mergeCell ref="L152:M152"/>
    <mergeCell ref="N152:O152"/>
    <mergeCell ref="P152:Q152"/>
    <mergeCell ref="D148:G148"/>
    <mergeCell ref="H148:K148"/>
    <mergeCell ref="L148:O148"/>
    <mergeCell ref="P148:S148"/>
    <mergeCell ref="T148:W148"/>
    <mergeCell ref="X148:AA148"/>
    <mergeCell ref="R146:S146"/>
    <mergeCell ref="T146:U146"/>
    <mergeCell ref="V146:W146"/>
    <mergeCell ref="X149:Y149"/>
    <mergeCell ref="Z149:AA149"/>
    <mergeCell ref="L149:M149"/>
    <mergeCell ref="N149:O149"/>
    <mergeCell ref="P149:Q149"/>
    <mergeCell ref="R149:S149"/>
    <mergeCell ref="B150:C150"/>
    <mergeCell ref="D150:E150"/>
    <mergeCell ref="F150:G150"/>
    <mergeCell ref="H150:I150"/>
    <mergeCell ref="T149:U149"/>
    <mergeCell ref="V149:W149"/>
    <mergeCell ref="D149:E149"/>
    <mergeCell ref="F149:G149"/>
    <mergeCell ref="H149:I149"/>
    <mergeCell ref="J149:K149"/>
    <mergeCell ref="R150:S150"/>
    <mergeCell ref="T150:U150"/>
    <mergeCell ref="V150:W150"/>
    <mergeCell ref="X150:Y150"/>
    <mergeCell ref="J150:K150"/>
    <mergeCell ref="L150:M150"/>
    <mergeCell ref="N150:O150"/>
    <mergeCell ref="L145:M145"/>
    <mergeCell ref="N145:O145"/>
    <mergeCell ref="P145:Q145"/>
    <mergeCell ref="R145:S145"/>
    <mergeCell ref="R144:S144"/>
    <mergeCell ref="T144:U144"/>
    <mergeCell ref="T145:U145"/>
    <mergeCell ref="V145:W145"/>
    <mergeCell ref="X145:Y145"/>
    <mergeCell ref="Z145:AA145"/>
    <mergeCell ref="Z144:AA144"/>
    <mergeCell ref="B145:C145"/>
    <mergeCell ref="D145:E145"/>
    <mergeCell ref="F145:G145"/>
    <mergeCell ref="H145:I145"/>
    <mergeCell ref="J145:K145"/>
    <mergeCell ref="X146:Y146"/>
    <mergeCell ref="J146:K146"/>
    <mergeCell ref="L146:M146"/>
    <mergeCell ref="N146:O146"/>
    <mergeCell ref="P146:Q146"/>
    <mergeCell ref="B146:C146"/>
    <mergeCell ref="D146:E146"/>
    <mergeCell ref="F146:G146"/>
    <mergeCell ref="H146:I146"/>
    <mergeCell ref="Z146:AA146"/>
    <mergeCell ref="P142:Q142"/>
    <mergeCell ref="X143:Y143"/>
    <mergeCell ref="Z143:AA143"/>
    <mergeCell ref="Z142:AA142"/>
    <mergeCell ref="B143:C143"/>
    <mergeCell ref="D143:E143"/>
    <mergeCell ref="F143:G143"/>
    <mergeCell ref="H143:I143"/>
    <mergeCell ref="J143:K143"/>
    <mergeCell ref="L143:M143"/>
    <mergeCell ref="N143:O143"/>
    <mergeCell ref="B144:C144"/>
    <mergeCell ref="D144:E144"/>
    <mergeCell ref="F144:G144"/>
    <mergeCell ref="H144:I144"/>
    <mergeCell ref="T143:U143"/>
    <mergeCell ref="V143:W143"/>
    <mergeCell ref="P143:Q143"/>
    <mergeCell ref="R143:S143"/>
    <mergeCell ref="V144:W144"/>
    <mergeCell ref="X144:Y144"/>
    <mergeCell ref="J144:K144"/>
    <mergeCell ref="L144:M144"/>
    <mergeCell ref="N144:O144"/>
    <mergeCell ref="P144:Q144"/>
    <mergeCell ref="D140:G140"/>
    <mergeCell ref="H140:K140"/>
    <mergeCell ref="L140:O140"/>
    <mergeCell ref="P140:S140"/>
    <mergeCell ref="T140:W140"/>
    <mergeCell ref="X140:AA140"/>
    <mergeCell ref="R138:S138"/>
    <mergeCell ref="T138:U138"/>
    <mergeCell ref="V138:W138"/>
    <mergeCell ref="X141:Y141"/>
    <mergeCell ref="Z141:AA141"/>
    <mergeCell ref="L141:M141"/>
    <mergeCell ref="N141:O141"/>
    <mergeCell ref="P141:Q141"/>
    <mergeCell ref="R141:S141"/>
    <mergeCell ref="B142:C142"/>
    <mergeCell ref="D142:E142"/>
    <mergeCell ref="F142:G142"/>
    <mergeCell ref="H142:I142"/>
    <mergeCell ref="T141:U141"/>
    <mergeCell ref="V141:W141"/>
    <mergeCell ref="D141:E141"/>
    <mergeCell ref="F141:G141"/>
    <mergeCell ref="H141:I141"/>
    <mergeCell ref="J141:K141"/>
    <mergeCell ref="R142:S142"/>
    <mergeCell ref="T142:U142"/>
    <mergeCell ref="V142:W142"/>
    <mergeCell ref="X142:Y142"/>
    <mergeCell ref="J142:K142"/>
    <mergeCell ref="L142:M142"/>
    <mergeCell ref="N142:O142"/>
    <mergeCell ref="L137:M137"/>
    <mergeCell ref="N137:O137"/>
    <mergeCell ref="P137:Q137"/>
    <mergeCell ref="R137:S137"/>
    <mergeCell ref="R136:S136"/>
    <mergeCell ref="T136:U136"/>
    <mergeCell ref="T137:U137"/>
    <mergeCell ref="V137:W137"/>
    <mergeCell ref="X137:Y137"/>
    <mergeCell ref="Z137:AA137"/>
    <mergeCell ref="Z136:AA136"/>
    <mergeCell ref="B137:C137"/>
    <mergeCell ref="D137:E137"/>
    <mergeCell ref="F137:G137"/>
    <mergeCell ref="H137:I137"/>
    <mergeCell ref="J137:K137"/>
    <mergeCell ref="X138:Y138"/>
    <mergeCell ref="J138:K138"/>
    <mergeCell ref="L138:M138"/>
    <mergeCell ref="N138:O138"/>
    <mergeCell ref="P138:Q138"/>
    <mergeCell ref="B138:C138"/>
    <mergeCell ref="D138:E138"/>
    <mergeCell ref="F138:G138"/>
    <mergeCell ref="H138:I138"/>
    <mergeCell ref="Z138:AA138"/>
    <mergeCell ref="P134:Q134"/>
    <mergeCell ref="X135:Y135"/>
    <mergeCell ref="Z135:AA135"/>
    <mergeCell ref="Z134:AA134"/>
    <mergeCell ref="B135:C135"/>
    <mergeCell ref="D135:E135"/>
    <mergeCell ref="F135:G135"/>
    <mergeCell ref="H135:I135"/>
    <mergeCell ref="J135:K135"/>
    <mergeCell ref="L135:M135"/>
    <mergeCell ref="N135:O135"/>
    <mergeCell ref="B136:C136"/>
    <mergeCell ref="D136:E136"/>
    <mergeCell ref="F136:G136"/>
    <mergeCell ref="H136:I136"/>
    <mergeCell ref="T135:U135"/>
    <mergeCell ref="V135:W135"/>
    <mergeCell ref="P135:Q135"/>
    <mergeCell ref="R135:S135"/>
    <mergeCell ref="V136:W136"/>
    <mergeCell ref="X136:Y136"/>
    <mergeCell ref="J136:K136"/>
    <mergeCell ref="L136:M136"/>
    <mergeCell ref="N136:O136"/>
    <mergeCell ref="P136:Q136"/>
    <mergeCell ref="D132:G132"/>
    <mergeCell ref="H132:K132"/>
    <mergeCell ref="L132:O132"/>
    <mergeCell ref="P132:S132"/>
    <mergeCell ref="T132:W132"/>
    <mergeCell ref="X132:AA132"/>
    <mergeCell ref="R130:S130"/>
    <mergeCell ref="T130:U130"/>
    <mergeCell ref="V130:W130"/>
    <mergeCell ref="X133:Y133"/>
    <mergeCell ref="Z133:AA133"/>
    <mergeCell ref="L133:M133"/>
    <mergeCell ref="N133:O133"/>
    <mergeCell ref="P133:Q133"/>
    <mergeCell ref="R133:S133"/>
    <mergeCell ref="B134:C134"/>
    <mergeCell ref="D134:E134"/>
    <mergeCell ref="F134:G134"/>
    <mergeCell ref="H134:I134"/>
    <mergeCell ref="T133:U133"/>
    <mergeCell ref="V133:W133"/>
    <mergeCell ref="D133:E133"/>
    <mergeCell ref="F133:G133"/>
    <mergeCell ref="H133:I133"/>
    <mergeCell ref="J133:K133"/>
    <mergeCell ref="R134:S134"/>
    <mergeCell ref="T134:U134"/>
    <mergeCell ref="V134:W134"/>
    <mergeCell ref="X134:Y134"/>
    <mergeCell ref="J134:K134"/>
    <mergeCell ref="L134:M134"/>
    <mergeCell ref="N134:O134"/>
    <mergeCell ref="L129:M129"/>
    <mergeCell ref="N129:O129"/>
    <mergeCell ref="P129:Q129"/>
    <mergeCell ref="R129:S129"/>
    <mergeCell ref="R128:S128"/>
    <mergeCell ref="T128:U128"/>
    <mergeCell ref="T129:U129"/>
    <mergeCell ref="V129:W129"/>
    <mergeCell ref="X129:Y129"/>
    <mergeCell ref="Z129:AA129"/>
    <mergeCell ref="Z128:AA128"/>
    <mergeCell ref="B129:C129"/>
    <mergeCell ref="D129:E129"/>
    <mergeCell ref="F129:G129"/>
    <mergeCell ref="H129:I129"/>
    <mergeCell ref="J129:K129"/>
    <mergeCell ref="X130:Y130"/>
    <mergeCell ref="J130:K130"/>
    <mergeCell ref="L130:M130"/>
    <mergeCell ref="N130:O130"/>
    <mergeCell ref="P130:Q130"/>
    <mergeCell ref="B130:C130"/>
    <mergeCell ref="D130:E130"/>
    <mergeCell ref="F130:G130"/>
    <mergeCell ref="H130:I130"/>
    <mergeCell ref="Z130:AA130"/>
    <mergeCell ref="Z127:AA127"/>
    <mergeCell ref="Z126:AA126"/>
    <mergeCell ref="B127:C127"/>
    <mergeCell ref="D127:E127"/>
    <mergeCell ref="F127:G127"/>
    <mergeCell ref="H127:I127"/>
    <mergeCell ref="J127:K127"/>
    <mergeCell ref="L127:M127"/>
    <mergeCell ref="N127:O127"/>
    <mergeCell ref="B128:C128"/>
    <mergeCell ref="D128:E128"/>
    <mergeCell ref="F128:G128"/>
    <mergeCell ref="H128:I128"/>
    <mergeCell ref="T127:U127"/>
    <mergeCell ref="V127:W127"/>
    <mergeCell ref="P127:Q127"/>
    <mergeCell ref="R127:S127"/>
    <mergeCell ref="V128:W128"/>
    <mergeCell ref="X128:Y128"/>
    <mergeCell ref="J128:K128"/>
    <mergeCell ref="L128:M128"/>
    <mergeCell ref="N128:O128"/>
    <mergeCell ref="P128:Q128"/>
    <mergeCell ref="B126:C126"/>
    <mergeCell ref="D126:E126"/>
    <mergeCell ref="F126:G126"/>
    <mergeCell ref="H126:I126"/>
    <mergeCell ref="T125:U125"/>
    <mergeCell ref="V125:W125"/>
    <mergeCell ref="P125:Q125"/>
    <mergeCell ref="R125:S125"/>
    <mergeCell ref="R126:S126"/>
    <mergeCell ref="T126:U126"/>
    <mergeCell ref="V126:W126"/>
    <mergeCell ref="X126:Y126"/>
    <mergeCell ref="J126:K126"/>
    <mergeCell ref="L126:M126"/>
    <mergeCell ref="N126:O126"/>
    <mergeCell ref="P126:Q126"/>
    <mergeCell ref="X127:Y127"/>
    <mergeCell ref="D124:G124"/>
    <mergeCell ref="H124:K124"/>
    <mergeCell ref="L124:O124"/>
    <mergeCell ref="P124:S124"/>
    <mergeCell ref="A122:C122"/>
    <mergeCell ref="D122:P122"/>
    <mergeCell ref="S122:T122"/>
    <mergeCell ref="X125:Y125"/>
    <mergeCell ref="Z125:AA125"/>
    <mergeCell ref="T124:W124"/>
    <mergeCell ref="X124:AA124"/>
    <mergeCell ref="D125:E125"/>
    <mergeCell ref="F125:G125"/>
    <mergeCell ref="H125:I125"/>
    <mergeCell ref="J125:K125"/>
    <mergeCell ref="L125:M125"/>
    <mergeCell ref="N125:O125"/>
    <mergeCell ref="J107:K107"/>
    <mergeCell ref="P106:S106"/>
    <mergeCell ref="X113:AB113"/>
    <mergeCell ref="X114:AB114"/>
    <mergeCell ref="X115:AB115"/>
    <mergeCell ref="X116:AB116"/>
    <mergeCell ref="L107:M107"/>
    <mergeCell ref="N107:O107"/>
    <mergeCell ref="P107:Q107"/>
    <mergeCell ref="Z107:AA107"/>
    <mergeCell ref="V109:W109"/>
    <mergeCell ref="X109:Y109"/>
    <mergeCell ref="X122:Y122"/>
    <mergeCell ref="Y120:AA120"/>
    <mergeCell ref="A121:C121"/>
    <mergeCell ref="D121:P121"/>
    <mergeCell ref="S121:W121"/>
    <mergeCell ref="A117:O117"/>
    <mergeCell ref="Y117:AA117"/>
    <mergeCell ref="Y118:AA118"/>
    <mergeCell ref="Y119:AA119"/>
    <mergeCell ref="X66:AA66"/>
    <mergeCell ref="D67:E67"/>
    <mergeCell ref="F67:G67"/>
    <mergeCell ref="N67:O67"/>
    <mergeCell ref="P67:Q67"/>
    <mergeCell ref="R67:S67"/>
    <mergeCell ref="D66:G66"/>
    <mergeCell ref="H66:K66"/>
    <mergeCell ref="L66:O66"/>
    <mergeCell ref="P66:S66"/>
    <mergeCell ref="T67:U67"/>
    <mergeCell ref="V67:W67"/>
    <mergeCell ref="V96:W96"/>
    <mergeCell ref="T66:W66"/>
    <mergeCell ref="V88:W88"/>
    <mergeCell ref="R79:S79"/>
    <mergeCell ref="T79:U79"/>
    <mergeCell ref="V79:W79"/>
    <mergeCell ref="X67:Y67"/>
    <mergeCell ref="Z67:AA67"/>
    <mergeCell ref="D74:G74"/>
    <mergeCell ref="H74:K74"/>
    <mergeCell ref="L74:O74"/>
    <mergeCell ref="N71:O71"/>
    <mergeCell ref="D72:E72"/>
    <mergeCell ref="F72:G72"/>
    <mergeCell ref="H72:I72"/>
    <mergeCell ref="J72:K72"/>
    <mergeCell ref="L72:M72"/>
    <mergeCell ref="D90:G90"/>
    <mergeCell ref="H90:K90"/>
    <mergeCell ref="L90:O90"/>
    <mergeCell ref="B88:C88"/>
    <mergeCell ref="D88:E88"/>
    <mergeCell ref="F88:G88"/>
    <mergeCell ref="H88:I88"/>
    <mergeCell ref="J88:K88"/>
    <mergeCell ref="L88:M88"/>
    <mergeCell ref="N88:O88"/>
    <mergeCell ref="Z88:AA88"/>
    <mergeCell ref="P88:Q88"/>
    <mergeCell ref="B96:C96"/>
    <mergeCell ref="D96:E96"/>
    <mergeCell ref="F96:G96"/>
    <mergeCell ref="H96:I96"/>
    <mergeCell ref="X88:Y88"/>
    <mergeCell ref="P90:S90"/>
    <mergeCell ref="T90:W90"/>
    <mergeCell ref="X90:AA90"/>
    <mergeCell ref="R88:S88"/>
    <mergeCell ref="T88:U88"/>
    <mergeCell ref="P91:Q91"/>
    <mergeCell ref="R91:S91"/>
    <mergeCell ref="T91:U91"/>
    <mergeCell ref="V91:W91"/>
    <mergeCell ref="X91:Y91"/>
    <mergeCell ref="Z91:AA91"/>
    <mergeCell ref="D91:E91"/>
    <mergeCell ref="F91:G91"/>
    <mergeCell ref="H91:I91"/>
    <mergeCell ref="J91:K91"/>
    <mergeCell ref="L91:M91"/>
    <mergeCell ref="H83:I83"/>
    <mergeCell ref="J83:K83"/>
    <mergeCell ref="L83:M83"/>
    <mergeCell ref="N83:O83"/>
    <mergeCell ref="T80:U80"/>
    <mergeCell ref="V80:W80"/>
    <mergeCell ref="P80:Q80"/>
    <mergeCell ref="R80:S80"/>
    <mergeCell ref="B87:C87"/>
    <mergeCell ref="D87:E87"/>
    <mergeCell ref="F87:G87"/>
    <mergeCell ref="H87:I87"/>
    <mergeCell ref="N87:O87"/>
    <mergeCell ref="D82:G82"/>
    <mergeCell ref="H82:K82"/>
    <mergeCell ref="L82:O82"/>
    <mergeCell ref="D83:E83"/>
    <mergeCell ref="F83:G83"/>
    <mergeCell ref="J87:K87"/>
    <mergeCell ref="L87:M87"/>
    <mergeCell ref="X79:Y79"/>
    <mergeCell ref="J79:K79"/>
    <mergeCell ref="L79:M79"/>
    <mergeCell ref="N79:O79"/>
    <mergeCell ref="P79:Q79"/>
    <mergeCell ref="B79:C79"/>
    <mergeCell ref="D79:E79"/>
    <mergeCell ref="F79:G79"/>
    <mergeCell ref="H79:I79"/>
    <mergeCell ref="X80:Y80"/>
    <mergeCell ref="Z80:AA80"/>
    <mergeCell ref="Z79:AA79"/>
    <mergeCell ref="B80:C80"/>
    <mergeCell ref="D80:E80"/>
    <mergeCell ref="F80:G80"/>
    <mergeCell ref="H80:I80"/>
    <mergeCell ref="J80:K80"/>
    <mergeCell ref="L80:M80"/>
    <mergeCell ref="N80:O80"/>
    <mergeCell ref="N78:O78"/>
    <mergeCell ref="Z71:AA71"/>
    <mergeCell ref="B72:C72"/>
    <mergeCell ref="P74:S74"/>
    <mergeCell ref="T74:W74"/>
    <mergeCell ref="R71:S71"/>
    <mergeCell ref="T71:U71"/>
    <mergeCell ref="V71:W71"/>
    <mergeCell ref="X71:Y71"/>
    <mergeCell ref="J71:K71"/>
    <mergeCell ref="B78:C78"/>
    <mergeCell ref="D78:E78"/>
    <mergeCell ref="F78:G78"/>
    <mergeCell ref="H78:I78"/>
    <mergeCell ref="J78:K78"/>
    <mergeCell ref="L78:M78"/>
    <mergeCell ref="T78:U78"/>
    <mergeCell ref="V78:W78"/>
    <mergeCell ref="X78:Y78"/>
    <mergeCell ref="Z78:AA78"/>
    <mergeCell ref="T76:U76"/>
    <mergeCell ref="V76:W76"/>
    <mergeCell ref="X76:Y76"/>
    <mergeCell ref="N72:O72"/>
    <mergeCell ref="P72:Q72"/>
    <mergeCell ref="R72:S72"/>
    <mergeCell ref="T72:U72"/>
    <mergeCell ref="V72:W72"/>
    <mergeCell ref="X72:Y72"/>
    <mergeCell ref="R76:S76"/>
    <mergeCell ref="T75:U75"/>
    <mergeCell ref="V75:W75"/>
    <mergeCell ref="C18:D18"/>
    <mergeCell ref="D31:G31"/>
    <mergeCell ref="H31:K31"/>
    <mergeCell ref="L31:O31"/>
    <mergeCell ref="L26:M26"/>
    <mergeCell ref="L27:M27"/>
    <mergeCell ref="L28:M28"/>
    <mergeCell ref="J26:K26"/>
    <mergeCell ref="J27:K27"/>
    <mergeCell ref="J28:K28"/>
    <mergeCell ref="L71:M71"/>
    <mergeCell ref="P71:Q71"/>
    <mergeCell ref="B71:C71"/>
    <mergeCell ref="D71:E71"/>
    <mergeCell ref="F71:G71"/>
    <mergeCell ref="H71:I71"/>
    <mergeCell ref="B68:C68"/>
    <mergeCell ref="C19:G19"/>
    <mergeCell ref="N33:O33"/>
    <mergeCell ref="L34:M34"/>
    <mergeCell ref="N34:O34"/>
    <mergeCell ref="N26:O26"/>
    <mergeCell ref="N27:O27"/>
    <mergeCell ref="N28:O28"/>
    <mergeCell ref="F26:G26"/>
    <mergeCell ref="F27:G27"/>
    <mergeCell ref="F28:G28"/>
    <mergeCell ref="L33:M33"/>
    <mergeCell ref="B26:C26"/>
    <mergeCell ref="B27:C27"/>
    <mergeCell ref="B28:C28"/>
    <mergeCell ref="D26:E26"/>
    <mergeCell ref="X31:AA31"/>
    <mergeCell ref="L32:M32"/>
    <mergeCell ref="N32:O32"/>
    <mergeCell ref="P32:Q32"/>
    <mergeCell ref="V32:W32"/>
    <mergeCell ref="X32:Y32"/>
    <mergeCell ref="T32:U32"/>
    <mergeCell ref="T31:W31"/>
    <mergeCell ref="R27:S27"/>
    <mergeCell ref="R28:S28"/>
    <mergeCell ref="P25:Q25"/>
    <mergeCell ref="P26:Q26"/>
    <mergeCell ref="P27:Q27"/>
    <mergeCell ref="P28:Q28"/>
    <mergeCell ref="P29:Q29"/>
    <mergeCell ref="V27:W27"/>
    <mergeCell ref="V28:W28"/>
    <mergeCell ref="T25:U25"/>
    <mergeCell ref="T26:U26"/>
    <mergeCell ref="T27:U27"/>
    <mergeCell ref="T28:U28"/>
    <mergeCell ref="T29:U29"/>
    <mergeCell ref="R25:S25"/>
    <mergeCell ref="R26:S26"/>
    <mergeCell ref="R29:S29"/>
    <mergeCell ref="N29:O29"/>
    <mergeCell ref="L29:M29"/>
    <mergeCell ref="Z27:AA27"/>
    <mergeCell ref="Z28:AA28"/>
    <mergeCell ref="P31:S31"/>
    <mergeCell ref="D27:E27"/>
    <mergeCell ref="D28:E28"/>
    <mergeCell ref="B34:C34"/>
    <mergeCell ref="B33:C33"/>
    <mergeCell ref="B29:C29"/>
    <mergeCell ref="D29:E29"/>
    <mergeCell ref="D33:E33"/>
    <mergeCell ref="J33:K33"/>
    <mergeCell ref="F33:G33"/>
    <mergeCell ref="H33:I33"/>
    <mergeCell ref="F34:G34"/>
    <mergeCell ref="J34:K34"/>
    <mergeCell ref="H34:I34"/>
    <mergeCell ref="H26:I26"/>
    <mergeCell ref="H27:I27"/>
    <mergeCell ref="H28:I28"/>
    <mergeCell ref="H29:I29"/>
    <mergeCell ref="D32:E32"/>
    <mergeCell ref="F32:G32"/>
    <mergeCell ref="H32:I32"/>
    <mergeCell ref="J29:K29"/>
    <mergeCell ref="J32:K32"/>
    <mergeCell ref="F29:G29"/>
    <mergeCell ref="Y5:AA5"/>
    <mergeCell ref="Y6:AA6"/>
    <mergeCell ref="Y7:AA7"/>
    <mergeCell ref="Y8:AA8"/>
    <mergeCell ref="X1:AB1"/>
    <mergeCell ref="X2:AB2"/>
    <mergeCell ref="X3:AB3"/>
    <mergeCell ref="X4:AB4"/>
    <mergeCell ref="N2:R3"/>
    <mergeCell ref="N4:R4"/>
    <mergeCell ref="N1:R1"/>
    <mergeCell ref="B25:C25"/>
    <mergeCell ref="D25:E25"/>
    <mergeCell ref="F25:G25"/>
    <mergeCell ref="H25:I25"/>
    <mergeCell ref="J25:K25"/>
    <mergeCell ref="L25:M25"/>
    <mergeCell ref="N25:O25"/>
    <mergeCell ref="L7:R7"/>
    <mergeCell ref="A5:O5"/>
    <mergeCell ref="D9:P9"/>
    <mergeCell ref="D10:P10"/>
    <mergeCell ref="A9:C9"/>
    <mergeCell ref="A10:C10"/>
    <mergeCell ref="X10:Y10"/>
    <mergeCell ref="A13:B13"/>
    <mergeCell ref="C12:D12"/>
    <mergeCell ref="C13:D13"/>
    <mergeCell ref="E12:F12"/>
    <mergeCell ref="E13:F13"/>
    <mergeCell ref="L12:AA12"/>
    <mergeCell ref="E15:F15"/>
    <mergeCell ref="Z33:AA33"/>
    <mergeCell ref="S9:W9"/>
    <mergeCell ref="S10:T10"/>
    <mergeCell ref="V29:W29"/>
    <mergeCell ref="X25:Y25"/>
    <mergeCell ref="X26:Y26"/>
    <mergeCell ref="X27:Y27"/>
    <mergeCell ref="X28:Y28"/>
    <mergeCell ref="X29:Y29"/>
    <mergeCell ref="V25:W25"/>
    <mergeCell ref="V26:W26"/>
    <mergeCell ref="A14:B14"/>
    <mergeCell ref="A15:B15"/>
    <mergeCell ref="A16:B16"/>
    <mergeCell ref="N24:O24"/>
    <mergeCell ref="A17:B17"/>
    <mergeCell ref="C14:D14"/>
    <mergeCell ref="C15:D15"/>
    <mergeCell ref="C16:D16"/>
    <mergeCell ref="C17:D17"/>
    <mergeCell ref="E14:F14"/>
    <mergeCell ref="E16:F16"/>
    <mergeCell ref="R32:S32"/>
    <mergeCell ref="P24:Q24"/>
    <mergeCell ref="R24:S24"/>
    <mergeCell ref="D23:G23"/>
    <mergeCell ref="H23:K23"/>
    <mergeCell ref="L23:O23"/>
    <mergeCell ref="P23:S23"/>
    <mergeCell ref="E17:F17"/>
    <mergeCell ref="G13:J13"/>
    <mergeCell ref="G14:J14"/>
    <mergeCell ref="P34:Q34"/>
    <mergeCell ref="R34:S34"/>
    <mergeCell ref="T34:U34"/>
    <mergeCell ref="V34:W34"/>
    <mergeCell ref="X34:Y34"/>
    <mergeCell ref="B35:C35"/>
    <mergeCell ref="D35:E35"/>
    <mergeCell ref="F35:G35"/>
    <mergeCell ref="H35:I35"/>
    <mergeCell ref="J35:K35"/>
    <mergeCell ref="T23:W23"/>
    <mergeCell ref="X23:AA23"/>
    <mergeCell ref="T24:U24"/>
    <mergeCell ref="V24:W24"/>
    <mergeCell ref="P33:Q33"/>
    <mergeCell ref="R33:S33"/>
    <mergeCell ref="T33:U33"/>
    <mergeCell ref="V33:W33"/>
    <mergeCell ref="X33:Y33"/>
    <mergeCell ref="Z34:AA34"/>
    <mergeCell ref="Z32:AA32"/>
    <mergeCell ref="D24:E24"/>
    <mergeCell ref="F24:G24"/>
    <mergeCell ref="H24:I24"/>
    <mergeCell ref="J24:K24"/>
    <mergeCell ref="X24:Y24"/>
    <mergeCell ref="Z24:AA24"/>
    <mergeCell ref="L24:M24"/>
    <mergeCell ref="D34:E34"/>
    <mergeCell ref="Z29:AA29"/>
    <mergeCell ref="Z25:AA25"/>
    <mergeCell ref="Z26:AA26"/>
    <mergeCell ref="R36:S36"/>
    <mergeCell ref="T36:U36"/>
    <mergeCell ref="V36:W36"/>
    <mergeCell ref="X36:Y36"/>
    <mergeCell ref="Z36:AA36"/>
    <mergeCell ref="B37:C37"/>
    <mergeCell ref="D37:E37"/>
    <mergeCell ref="F37:G37"/>
    <mergeCell ref="H37:I37"/>
    <mergeCell ref="J37:K37"/>
    <mergeCell ref="X35:Y35"/>
    <mergeCell ref="Z35:AA35"/>
    <mergeCell ref="B36:C36"/>
    <mergeCell ref="D36:E36"/>
    <mergeCell ref="F36:G36"/>
    <mergeCell ref="H36:I36"/>
    <mergeCell ref="J36:K36"/>
    <mergeCell ref="L36:M36"/>
    <mergeCell ref="N36:O36"/>
    <mergeCell ref="P36:Q36"/>
    <mergeCell ref="L35:M35"/>
    <mergeCell ref="N35:O35"/>
    <mergeCell ref="P35:Q35"/>
    <mergeCell ref="R35:S35"/>
    <mergeCell ref="T35:U35"/>
    <mergeCell ref="V35:W35"/>
    <mergeCell ref="Z42:AA42"/>
    <mergeCell ref="B43:C43"/>
    <mergeCell ref="D43:E43"/>
    <mergeCell ref="F43:G43"/>
    <mergeCell ref="H43:I43"/>
    <mergeCell ref="J43:K43"/>
    <mergeCell ref="L43:M43"/>
    <mergeCell ref="X37:Y37"/>
    <mergeCell ref="Z37:AA37"/>
    <mergeCell ref="D42:E42"/>
    <mergeCell ref="F42:G42"/>
    <mergeCell ref="H42:I42"/>
    <mergeCell ref="J42:K42"/>
    <mergeCell ref="L42:M42"/>
    <mergeCell ref="N42:O42"/>
    <mergeCell ref="P42:Q42"/>
    <mergeCell ref="R42:S42"/>
    <mergeCell ref="L37:M37"/>
    <mergeCell ref="N37:O37"/>
    <mergeCell ref="P37:Q37"/>
    <mergeCell ref="R37:S37"/>
    <mergeCell ref="T37:U37"/>
    <mergeCell ref="V37:W37"/>
    <mergeCell ref="H40:I40"/>
    <mergeCell ref="Z41:AA41"/>
    <mergeCell ref="B42:C42"/>
    <mergeCell ref="J41:K41"/>
    <mergeCell ref="P41:Q41"/>
    <mergeCell ref="R41:S41"/>
    <mergeCell ref="B41:C41"/>
    <mergeCell ref="D41:E41"/>
    <mergeCell ref="F41:G41"/>
    <mergeCell ref="Z44:AA44"/>
    <mergeCell ref="B45:C45"/>
    <mergeCell ref="D45:E45"/>
    <mergeCell ref="F45:G45"/>
    <mergeCell ref="H45:I45"/>
    <mergeCell ref="J45:K45"/>
    <mergeCell ref="L45:M45"/>
    <mergeCell ref="Z43:AA43"/>
    <mergeCell ref="B44:C44"/>
    <mergeCell ref="D44:E44"/>
    <mergeCell ref="F44:G44"/>
    <mergeCell ref="H44:I44"/>
    <mergeCell ref="J44:K44"/>
    <mergeCell ref="L44:M44"/>
    <mergeCell ref="N44:O44"/>
    <mergeCell ref="P44:Q44"/>
    <mergeCell ref="R44:S44"/>
    <mergeCell ref="N43:O43"/>
    <mergeCell ref="P43:Q43"/>
    <mergeCell ref="R43:S43"/>
    <mergeCell ref="T43:U43"/>
    <mergeCell ref="V43:W43"/>
    <mergeCell ref="X43:Y43"/>
    <mergeCell ref="Z51:AA51"/>
    <mergeCell ref="L51:M51"/>
    <mergeCell ref="N51:O51"/>
    <mergeCell ref="P51:Q51"/>
    <mergeCell ref="R51:S51"/>
    <mergeCell ref="T48:U48"/>
    <mergeCell ref="V48:W48"/>
    <mergeCell ref="Z45:AA45"/>
    <mergeCell ref="T47:W47"/>
    <mergeCell ref="X47:AA47"/>
    <mergeCell ref="D50:E50"/>
    <mergeCell ref="F50:G50"/>
    <mergeCell ref="H50:I50"/>
    <mergeCell ref="J50:K50"/>
    <mergeCell ref="L50:M50"/>
    <mergeCell ref="N50:O50"/>
    <mergeCell ref="D47:G47"/>
    <mergeCell ref="N45:O45"/>
    <mergeCell ref="P45:Q45"/>
    <mergeCell ref="R45:S45"/>
    <mergeCell ref="T45:U45"/>
    <mergeCell ref="V45:W45"/>
    <mergeCell ref="X45:Y45"/>
    <mergeCell ref="Z48:AA48"/>
    <mergeCell ref="F49:G49"/>
    <mergeCell ref="D48:E48"/>
    <mergeCell ref="F48:G48"/>
    <mergeCell ref="H48:I48"/>
    <mergeCell ref="J48:K48"/>
    <mergeCell ref="L48:M48"/>
    <mergeCell ref="N48:O48"/>
    <mergeCell ref="P48:Q48"/>
    <mergeCell ref="AQ1:AV1"/>
    <mergeCell ref="B53:C53"/>
    <mergeCell ref="D53:E53"/>
    <mergeCell ref="F53:G53"/>
    <mergeCell ref="H53:I53"/>
    <mergeCell ref="J53:K53"/>
    <mergeCell ref="L53:M53"/>
    <mergeCell ref="N53:O53"/>
    <mergeCell ref="P53:Q53"/>
    <mergeCell ref="R53:S53"/>
    <mergeCell ref="AW1:BB1"/>
    <mergeCell ref="R52:S52"/>
    <mergeCell ref="T52:U52"/>
    <mergeCell ref="V52:W52"/>
    <mergeCell ref="X52:Y52"/>
    <mergeCell ref="Z52:AA52"/>
    <mergeCell ref="P39:S39"/>
    <mergeCell ref="T39:W39"/>
    <mergeCell ref="X39:AA39"/>
    <mergeCell ref="P40:Q40"/>
    <mergeCell ref="D52:E52"/>
    <mergeCell ref="F52:G52"/>
    <mergeCell ref="H52:I52"/>
    <mergeCell ref="T51:U51"/>
    <mergeCell ref="D51:E51"/>
    <mergeCell ref="F51:G51"/>
    <mergeCell ref="G16:J16"/>
    <mergeCell ref="D39:G39"/>
    <mergeCell ref="H39:K39"/>
    <mergeCell ref="L39:O39"/>
    <mergeCell ref="D40:E40"/>
    <mergeCell ref="F40:G40"/>
    <mergeCell ref="D76:E76"/>
    <mergeCell ref="F76:G76"/>
    <mergeCell ref="H76:I76"/>
    <mergeCell ref="J76:K76"/>
    <mergeCell ref="L76:M76"/>
    <mergeCell ref="Z72:AA72"/>
    <mergeCell ref="X74:AA74"/>
    <mergeCell ref="D75:E75"/>
    <mergeCell ref="F75:G75"/>
    <mergeCell ref="H75:I75"/>
    <mergeCell ref="J75:K75"/>
    <mergeCell ref="L75:M75"/>
    <mergeCell ref="N75:O75"/>
    <mergeCell ref="P75:Q75"/>
    <mergeCell ref="R75:S75"/>
    <mergeCell ref="N76:O76"/>
    <mergeCell ref="P76:Q76"/>
    <mergeCell ref="Z53:AA53"/>
    <mergeCell ref="S63:W63"/>
    <mergeCell ref="A64:C64"/>
    <mergeCell ref="D64:P64"/>
    <mergeCell ref="S64:T64"/>
    <mergeCell ref="X64:Y64"/>
    <mergeCell ref="Z76:AA76"/>
    <mergeCell ref="N68:O68"/>
    <mergeCell ref="P68:Q68"/>
    <mergeCell ref="R68:S68"/>
    <mergeCell ref="T68:U68"/>
    <mergeCell ref="G15:J15"/>
    <mergeCell ref="J40:K40"/>
    <mergeCell ref="Y59:AA59"/>
    <mergeCell ref="Y60:AA60"/>
    <mergeCell ref="Y61:AA61"/>
    <mergeCell ref="Y62:AA62"/>
    <mergeCell ref="X40:Y40"/>
    <mergeCell ref="Z40:AA40"/>
    <mergeCell ref="V41:W41"/>
    <mergeCell ref="X41:Y41"/>
    <mergeCell ref="A59:O59"/>
    <mergeCell ref="A63:C63"/>
    <mergeCell ref="X56:AB56"/>
    <mergeCell ref="X57:AB57"/>
    <mergeCell ref="X58:AB58"/>
    <mergeCell ref="L13:AA19"/>
    <mergeCell ref="B21:AA21"/>
    <mergeCell ref="X55:AB55"/>
    <mergeCell ref="X75:Y75"/>
    <mergeCell ref="Z75:AA75"/>
    <mergeCell ref="B76:C76"/>
    <mergeCell ref="X83:Y83"/>
    <mergeCell ref="Z83:AA83"/>
    <mergeCell ref="B84:C84"/>
    <mergeCell ref="D84:E84"/>
    <mergeCell ref="F84:G84"/>
    <mergeCell ref="H84:I84"/>
    <mergeCell ref="J84:K84"/>
    <mergeCell ref="L84:M84"/>
    <mergeCell ref="N84:O84"/>
    <mergeCell ref="P84:Q84"/>
    <mergeCell ref="P78:Q78"/>
    <mergeCell ref="R78:S78"/>
    <mergeCell ref="P83:Q83"/>
    <mergeCell ref="R83:S83"/>
    <mergeCell ref="T83:U83"/>
    <mergeCell ref="V83:W83"/>
    <mergeCell ref="N77:O77"/>
    <mergeCell ref="P77:Q77"/>
    <mergeCell ref="Z77:AA77"/>
    <mergeCell ref="P82:S82"/>
    <mergeCell ref="T82:W82"/>
    <mergeCell ref="X82:AA82"/>
    <mergeCell ref="R77:S77"/>
    <mergeCell ref="T77:U77"/>
    <mergeCell ref="V77:W77"/>
    <mergeCell ref="X77:Y77"/>
    <mergeCell ref="B77:C77"/>
    <mergeCell ref="D77:E77"/>
    <mergeCell ref="F77:G77"/>
    <mergeCell ref="H77:I77"/>
    <mergeCell ref="J77:K77"/>
    <mergeCell ref="L77:M77"/>
    <mergeCell ref="X85:Y85"/>
    <mergeCell ref="Z85:AA85"/>
    <mergeCell ref="B86:C86"/>
    <mergeCell ref="D86:E86"/>
    <mergeCell ref="F86:G86"/>
    <mergeCell ref="H86:I86"/>
    <mergeCell ref="J86:K86"/>
    <mergeCell ref="L86:M86"/>
    <mergeCell ref="N86:O86"/>
    <mergeCell ref="P86:Q86"/>
    <mergeCell ref="L85:M85"/>
    <mergeCell ref="N85:O85"/>
    <mergeCell ref="P85:Q85"/>
    <mergeCell ref="R85:S85"/>
    <mergeCell ref="T85:U85"/>
    <mergeCell ref="V85:W85"/>
    <mergeCell ref="R84:S84"/>
    <mergeCell ref="T84:U84"/>
    <mergeCell ref="V84:W84"/>
    <mergeCell ref="X84:Y84"/>
    <mergeCell ref="Z84:AA84"/>
    <mergeCell ref="B85:C85"/>
    <mergeCell ref="D85:E85"/>
    <mergeCell ref="F85:G85"/>
    <mergeCell ref="H85:I85"/>
    <mergeCell ref="J85:K85"/>
    <mergeCell ref="N91:O91"/>
    <mergeCell ref="Z86:AA86"/>
    <mergeCell ref="P87:Q87"/>
    <mergeCell ref="R87:S87"/>
    <mergeCell ref="T87:U87"/>
    <mergeCell ref="R86:S86"/>
    <mergeCell ref="T86:U86"/>
    <mergeCell ref="V86:W86"/>
    <mergeCell ref="X86:Y86"/>
    <mergeCell ref="V87:W87"/>
    <mergeCell ref="X87:Y87"/>
    <mergeCell ref="Z87:AA87"/>
    <mergeCell ref="T93:U93"/>
    <mergeCell ref="V93:W93"/>
    <mergeCell ref="X93:Y93"/>
    <mergeCell ref="Z93:AA93"/>
    <mergeCell ref="B94:C94"/>
    <mergeCell ref="D94:E94"/>
    <mergeCell ref="F94:G94"/>
    <mergeCell ref="H94:I94"/>
    <mergeCell ref="J94:K94"/>
    <mergeCell ref="L94:M94"/>
    <mergeCell ref="Z92:AA92"/>
    <mergeCell ref="B93:C93"/>
    <mergeCell ref="D93:E93"/>
    <mergeCell ref="F93:G93"/>
    <mergeCell ref="H93:I93"/>
    <mergeCell ref="J93:K93"/>
    <mergeCell ref="L93:M93"/>
    <mergeCell ref="N93:O93"/>
    <mergeCell ref="P93:Q93"/>
    <mergeCell ref="R93:S93"/>
    <mergeCell ref="N92:O92"/>
    <mergeCell ref="P92:Q92"/>
    <mergeCell ref="R92:S92"/>
    <mergeCell ref="T92:U92"/>
    <mergeCell ref="V92:W92"/>
    <mergeCell ref="X92:Y92"/>
    <mergeCell ref="B92:C92"/>
    <mergeCell ref="D92:E92"/>
    <mergeCell ref="F92:G92"/>
    <mergeCell ref="H92:I92"/>
    <mergeCell ref="J92:K92"/>
    <mergeCell ref="L92:M92"/>
    <mergeCell ref="T95:U95"/>
    <mergeCell ref="V95:W95"/>
    <mergeCell ref="X95:Y95"/>
    <mergeCell ref="Z95:AA95"/>
    <mergeCell ref="D98:G98"/>
    <mergeCell ref="H98:K98"/>
    <mergeCell ref="L98:O98"/>
    <mergeCell ref="P98:S98"/>
    <mergeCell ref="T98:W98"/>
    <mergeCell ref="X98:AA98"/>
    <mergeCell ref="Z94:AA94"/>
    <mergeCell ref="B95:C95"/>
    <mergeCell ref="D95:E95"/>
    <mergeCell ref="F95:G95"/>
    <mergeCell ref="H95:I95"/>
    <mergeCell ref="J95:K95"/>
    <mergeCell ref="L95:M95"/>
    <mergeCell ref="N95:O95"/>
    <mergeCell ref="P95:Q95"/>
    <mergeCell ref="R95:S95"/>
    <mergeCell ref="D100:E100"/>
    <mergeCell ref="F100:G100"/>
    <mergeCell ref="H100:I100"/>
    <mergeCell ref="J100:K100"/>
    <mergeCell ref="L100:M100"/>
    <mergeCell ref="N94:O94"/>
    <mergeCell ref="P94:Q94"/>
    <mergeCell ref="R94:S94"/>
    <mergeCell ref="T94:U94"/>
    <mergeCell ref="V94:W94"/>
    <mergeCell ref="X94:Y94"/>
    <mergeCell ref="P99:Q99"/>
    <mergeCell ref="R99:S99"/>
    <mergeCell ref="T99:U99"/>
    <mergeCell ref="V99:W99"/>
    <mergeCell ref="X99:Y99"/>
    <mergeCell ref="Z99:AA99"/>
    <mergeCell ref="D99:E99"/>
    <mergeCell ref="F99:G99"/>
    <mergeCell ref="H99:I99"/>
    <mergeCell ref="J99:K99"/>
    <mergeCell ref="L99:M99"/>
    <mergeCell ref="N99:O99"/>
    <mergeCell ref="J96:K96"/>
    <mergeCell ref="L96:M96"/>
    <mergeCell ref="N96:O96"/>
    <mergeCell ref="X96:Y96"/>
    <mergeCell ref="Z96:AA96"/>
    <mergeCell ref="P96:Q96"/>
    <mergeCell ref="R96:S96"/>
    <mergeCell ref="T96:U96"/>
    <mergeCell ref="T104:U104"/>
    <mergeCell ref="V104:W104"/>
    <mergeCell ref="X104:Y104"/>
    <mergeCell ref="T103:U103"/>
    <mergeCell ref="V103:W103"/>
    <mergeCell ref="T101:U101"/>
    <mergeCell ref="V101:W101"/>
    <mergeCell ref="X101:Y101"/>
    <mergeCell ref="Z101:AA101"/>
    <mergeCell ref="B102:C102"/>
    <mergeCell ref="D102:E102"/>
    <mergeCell ref="F102:G102"/>
    <mergeCell ref="H102:I102"/>
    <mergeCell ref="J102:K102"/>
    <mergeCell ref="L102:M102"/>
    <mergeCell ref="Z100:AA100"/>
    <mergeCell ref="B101:C101"/>
    <mergeCell ref="D101:E101"/>
    <mergeCell ref="F101:G101"/>
    <mergeCell ref="H101:I101"/>
    <mergeCell ref="J101:K101"/>
    <mergeCell ref="L101:M101"/>
    <mergeCell ref="N101:O101"/>
    <mergeCell ref="P101:Q101"/>
    <mergeCell ref="R101:S101"/>
    <mergeCell ref="N100:O100"/>
    <mergeCell ref="P100:Q100"/>
    <mergeCell ref="R100:S100"/>
    <mergeCell ref="T100:U100"/>
    <mergeCell ref="V100:W100"/>
    <mergeCell ref="X100:Y100"/>
    <mergeCell ref="B100:C100"/>
    <mergeCell ref="X108:Y108"/>
    <mergeCell ref="R108:S108"/>
    <mergeCell ref="T108:U108"/>
    <mergeCell ref="T109:U109"/>
    <mergeCell ref="R109:S109"/>
    <mergeCell ref="B104:C104"/>
    <mergeCell ref="D104:E104"/>
    <mergeCell ref="F104:G104"/>
    <mergeCell ref="H104:I104"/>
    <mergeCell ref="J104:K104"/>
    <mergeCell ref="L104:M104"/>
    <mergeCell ref="Z102:AA102"/>
    <mergeCell ref="B103:C103"/>
    <mergeCell ref="D103:E103"/>
    <mergeCell ref="F103:G103"/>
    <mergeCell ref="H103:I103"/>
    <mergeCell ref="J103:K103"/>
    <mergeCell ref="L103:M103"/>
    <mergeCell ref="N103:O103"/>
    <mergeCell ref="P103:Q103"/>
    <mergeCell ref="R103:S103"/>
    <mergeCell ref="N102:O102"/>
    <mergeCell ref="P102:Q102"/>
    <mergeCell ref="R102:S102"/>
    <mergeCell ref="T102:U102"/>
    <mergeCell ref="V102:W102"/>
    <mergeCell ref="X102:Y102"/>
    <mergeCell ref="Z104:AA104"/>
    <mergeCell ref="Z103:AA103"/>
    <mergeCell ref="N104:O104"/>
    <mergeCell ref="P104:Q104"/>
    <mergeCell ref="R104:S104"/>
    <mergeCell ref="J109:K109"/>
    <mergeCell ref="L109:M109"/>
    <mergeCell ref="N109:O109"/>
    <mergeCell ref="P109:Q109"/>
    <mergeCell ref="B109:C109"/>
    <mergeCell ref="D109:E109"/>
    <mergeCell ref="F109:G109"/>
    <mergeCell ref="H109:I109"/>
    <mergeCell ref="B108:C108"/>
    <mergeCell ref="D108:E108"/>
    <mergeCell ref="F108:G108"/>
    <mergeCell ref="H108:I108"/>
    <mergeCell ref="J108:K108"/>
    <mergeCell ref="L108:M108"/>
    <mergeCell ref="N108:O108"/>
    <mergeCell ref="P108:Q108"/>
    <mergeCell ref="X103:Y103"/>
    <mergeCell ref="D106:G106"/>
    <mergeCell ref="H106:K106"/>
    <mergeCell ref="L106:O106"/>
    <mergeCell ref="T106:W106"/>
    <mergeCell ref="X106:AA106"/>
    <mergeCell ref="T107:U107"/>
    <mergeCell ref="V107:W107"/>
    <mergeCell ref="X107:Y107"/>
    <mergeCell ref="R107:S107"/>
    <mergeCell ref="D107:E107"/>
    <mergeCell ref="F107:G107"/>
    <mergeCell ref="H107:I107"/>
    <mergeCell ref="Z109:AA109"/>
    <mergeCell ref="Z108:AA108"/>
    <mergeCell ref="V108:W108"/>
    <mergeCell ref="X110:Y110"/>
    <mergeCell ref="B112:C112"/>
    <mergeCell ref="D112:E112"/>
    <mergeCell ref="F112:G112"/>
    <mergeCell ref="H112:I112"/>
    <mergeCell ref="V112:W112"/>
    <mergeCell ref="X112:Y112"/>
    <mergeCell ref="B111:C111"/>
    <mergeCell ref="D111:E111"/>
    <mergeCell ref="F111:G111"/>
    <mergeCell ref="H111:I111"/>
    <mergeCell ref="V111:W111"/>
    <mergeCell ref="X111:Y111"/>
    <mergeCell ref="N110:O110"/>
    <mergeCell ref="P110:Q110"/>
    <mergeCell ref="J111:K111"/>
    <mergeCell ref="L111:M111"/>
    <mergeCell ref="N111:O111"/>
    <mergeCell ref="P111:Q111"/>
    <mergeCell ref="B110:C110"/>
    <mergeCell ref="D110:E110"/>
    <mergeCell ref="F110:G110"/>
    <mergeCell ref="H110:I110"/>
    <mergeCell ref="J110:K110"/>
    <mergeCell ref="L110:M110"/>
    <mergeCell ref="Z112:AA112"/>
    <mergeCell ref="L40:M40"/>
    <mergeCell ref="N40:O40"/>
    <mergeCell ref="R40:S40"/>
    <mergeCell ref="T40:U40"/>
    <mergeCell ref="V40:W40"/>
    <mergeCell ref="R112:S112"/>
    <mergeCell ref="T112:U112"/>
    <mergeCell ref="T111:U111"/>
    <mergeCell ref="R111:S111"/>
    <mergeCell ref="R110:S110"/>
    <mergeCell ref="T110:U110"/>
    <mergeCell ref="J112:K112"/>
    <mergeCell ref="L112:M112"/>
    <mergeCell ref="N112:O112"/>
    <mergeCell ref="P112:Q112"/>
    <mergeCell ref="L41:M41"/>
    <mergeCell ref="N41:O41"/>
    <mergeCell ref="L47:O47"/>
    <mergeCell ref="P47:S47"/>
    <mergeCell ref="T50:U50"/>
    <mergeCell ref="V50:W50"/>
    <mergeCell ref="X50:Y50"/>
    <mergeCell ref="Z50:AA50"/>
    <mergeCell ref="X48:Y48"/>
    <mergeCell ref="Z111:AA111"/>
    <mergeCell ref="V49:W49"/>
    <mergeCell ref="X49:Y49"/>
    <mergeCell ref="J49:K49"/>
    <mergeCell ref="L49:M49"/>
    <mergeCell ref="Z110:AA110"/>
    <mergeCell ref="V110:W110"/>
    <mergeCell ref="R48:S48"/>
    <mergeCell ref="V68:W68"/>
    <mergeCell ref="X68:Y68"/>
    <mergeCell ref="T41:U41"/>
    <mergeCell ref="T53:U53"/>
    <mergeCell ref="V53:W53"/>
    <mergeCell ref="X53:Y53"/>
    <mergeCell ref="H51:I51"/>
    <mergeCell ref="J51:K51"/>
    <mergeCell ref="P52:Q52"/>
    <mergeCell ref="H47:K47"/>
    <mergeCell ref="V51:W51"/>
    <mergeCell ref="X51:Y51"/>
    <mergeCell ref="T44:U44"/>
    <mergeCell ref="V44:W44"/>
    <mergeCell ref="X44:Y44"/>
    <mergeCell ref="T42:U42"/>
    <mergeCell ref="V42:W42"/>
    <mergeCell ref="X42:Y42"/>
    <mergeCell ref="H41:I41"/>
    <mergeCell ref="H49:I49"/>
    <mergeCell ref="Z68:AA68"/>
    <mergeCell ref="B69:C69"/>
    <mergeCell ref="D69:E69"/>
    <mergeCell ref="F69:G69"/>
    <mergeCell ref="H69:I69"/>
    <mergeCell ref="J69:K69"/>
    <mergeCell ref="L69:M69"/>
    <mergeCell ref="N69:O69"/>
    <mergeCell ref="B52:C52"/>
    <mergeCell ref="D68:E68"/>
    <mergeCell ref="F68:G68"/>
    <mergeCell ref="H68:I68"/>
    <mergeCell ref="J68:K68"/>
    <mergeCell ref="L68:M68"/>
    <mergeCell ref="R49:S49"/>
    <mergeCell ref="T49:U49"/>
    <mergeCell ref="B51:C51"/>
    <mergeCell ref="H67:I67"/>
    <mergeCell ref="J67:K67"/>
    <mergeCell ref="L67:M67"/>
    <mergeCell ref="D63:P63"/>
    <mergeCell ref="J52:K52"/>
    <mergeCell ref="L52:M52"/>
    <mergeCell ref="N52:O52"/>
    <mergeCell ref="N49:O49"/>
    <mergeCell ref="P49:Q49"/>
    <mergeCell ref="Z49:AA49"/>
    <mergeCell ref="B50:C50"/>
    <mergeCell ref="P50:Q50"/>
    <mergeCell ref="R50:S50"/>
    <mergeCell ref="B49:C49"/>
    <mergeCell ref="D49:E49"/>
    <mergeCell ref="Z70:AA70"/>
    <mergeCell ref="N70:O70"/>
    <mergeCell ref="P70:Q70"/>
    <mergeCell ref="R70:S70"/>
    <mergeCell ref="T70:U70"/>
    <mergeCell ref="V70:W70"/>
    <mergeCell ref="X70:Y70"/>
    <mergeCell ref="B70:C70"/>
    <mergeCell ref="D70:E70"/>
    <mergeCell ref="F70:G70"/>
    <mergeCell ref="H70:I70"/>
    <mergeCell ref="J70:K70"/>
    <mergeCell ref="L70:M70"/>
    <mergeCell ref="P69:Q69"/>
    <mergeCell ref="R69:S69"/>
    <mergeCell ref="T69:U69"/>
    <mergeCell ref="V69:W69"/>
    <mergeCell ref="X69:Y69"/>
    <mergeCell ref="Z69:AA69"/>
  </mergeCells>
  <phoneticPr fontId="28" type="noConversion"/>
  <conditionalFormatting sqref="H25:K25 H33:K33 H41:K41 H49:K49 H68:K68 H76:K76 H84:K84 H92:K92 H100:K100 H108:K108 H126:K126 H134:K134 H142:K142 H150:K150 H158:K158 H166:K166">
    <cfRule type="cellIs" dxfId="602" priority="1" stopIfTrue="1" operator="equal">
      <formula>0</formula>
    </cfRule>
    <cfRule type="expression" dxfId="601" priority="2" stopIfTrue="1">
      <formula>ISBLANK(OFFSET($AP$2,$H22,0))</formula>
    </cfRule>
  </conditionalFormatting>
  <conditionalFormatting sqref="L25:O25 L33:O33 L41:O41 L49:O49 L68:O68 L76:O76 L84:O84 L92:O92 L100:O100 L108:O108 L126:O126 L134:O134 L142:O142 L150:O150 L158:O158 L166:O166">
    <cfRule type="cellIs" dxfId="600" priority="3" stopIfTrue="1" operator="equal">
      <formula>0</formula>
    </cfRule>
    <cfRule type="expression" dxfId="599" priority="4" stopIfTrue="1">
      <formula>ISBLANK(OFFSET($AP$2,$L22,0))</formula>
    </cfRule>
  </conditionalFormatting>
  <conditionalFormatting sqref="P25:S25 P33:S33 P41:S41 P49:S49 P68:S68 P76:S76 P84:S84 P92:S92 P100:S100 P108:S108 P126:S126 P134:S134 P142:S142 P150:S150 P158:S158 P166:S166">
    <cfRule type="cellIs" dxfId="598" priority="5" stopIfTrue="1" operator="equal">
      <formula>0</formula>
    </cfRule>
    <cfRule type="expression" dxfId="597" priority="6" stopIfTrue="1">
      <formula>ISBLANK(OFFSET($AP$2,$P22,0))</formula>
    </cfRule>
  </conditionalFormatting>
  <conditionalFormatting sqref="T25:W25 T33:W33 T41:W41 T49:W49 T68:W68 T76:W76 T84:W84 T92:W92 T100:W100 T108:W108 T126:W126 T134:W134 T142:W142 T150:W150 T158:W158 T166:W166">
    <cfRule type="cellIs" dxfId="596" priority="7" stopIfTrue="1" operator="equal">
      <formula>0</formula>
    </cfRule>
    <cfRule type="expression" dxfId="595" priority="8" stopIfTrue="1">
      <formula>ISBLANK(OFFSET($AP$2,$T22,0))</formula>
    </cfRule>
  </conditionalFormatting>
  <conditionalFormatting sqref="X25:AA25 X33:AA33 X41:AA41 X49:AA49 X68:AA68 X76:AA76 X84:AA84 X92:AA92 X100:AA100 X108:AA108 X126:AA126 X134:AA134 X142:AA142 X150:AA150 X158:AA158 X166:AA166">
    <cfRule type="cellIs" dxfId="594" priority="9" stopIfTrue="1" operator="equal">
      <formula>0</formula>
    </cfRule>
    <cfRule type="expression" dxfId="593" priority="10" stopIfTrue="1">
      <formula>ISBLANK(OFFSET($AP$2,$X22,0))</formula>
    </cfRule>
  </conditionalFormatting>
  <conditionalFormatting sqref="H26:K26 H34:K34 H42:K42 H50:K50 H69:K69 H77:K77 H85:K85 H93:K93 H101:K101 H109:K109 H127:K127 H135:K135 H143:K143 H151:K151 H159:K159 H167:K167">
    <cfRule type="cellIs" dxfId="592" priority="11" stopIfTrue="1" operator="equal">
      <formula>0</formula>
    </cfRule>
    <cfRule type="expression" dxfId="591" priority="12" stopIfTrue="1">
      <formula>ISBLANK(OFFSET($AP$2,$H22,0))</formula>
    </cfRule>
  </conditionalFormatting>
  <conditionalFormatting sqref="L26:O26 L34:O34 L42:O42 L50:O50 L69:O69 L77:O77 L85:O85 L93:O93 L101:O101 L109:O109 L127:O127 L135:O135 L143:O143 L151:O151 L159:O159 L167:O167">
    <cfRule type="cellIs" dxfId="590" priority="13" stopIfTrue="1" operator="equal">
      <formula>0</formula>
    </cfRule>
    <cfRule type="expression" dxfId="589" priority="14" stopIfTrue="1">
      <formula>ISBLANK(OFFSET($AP$2,$L22,0))</formula>
    </cfRule>
  </conditionalFormatting>
  <conditionalFormatting sqref="P26:S26 P34:S34 P42:S42 P50:S50 P69:S69 P77:S77 P85:S85 P93:S93 P101:S101 P109:S109 P127:S127 P135:S135 P143:S143 P151:S151 P159:S159 P167:S167">
    <cfRule type="cellIs" dxfId="588" priority="15" stopIfTrue="1" operator="equal">
      <formula>0</formula>
    </cfRule>
    <cfRule type="expression" dxfId="587" priority="16" stopIfTrue="1">
      <formula>ISBLANK(OFFSET($AP$2,$P22,0))</formula>
    </cfRule>
  </conditionalFormatting>
  <conditionalFormatting sqref="T26:W26 T34:W34 T42:W42 T50:W50 T69:W69 T77:W77 T85:W85 T93:W93 T101:W101 T109:W109 T127:W127 T135:W135 T143:W143 T151:W151 T159:W159 T167:W167">
    <cfRule type="cellIs" dxfId="586" priority="17" stopIfTrue="1" operator="equal">
      <formula>0</formula>
    </cfRule>
    <cfRule type="expression" dxfId="585" priority="18" stopIfTrue="1">
      <formula>ISBLANK(OFFSET($AP$2,$T22,0))</formula>
    </cfRule>
  </conditionalFormatting>
  <conditionalFormatting sqref="X26:AA26 X34:AA34 X42:AA42 X50:AA50 X69:AA69 X77:AA77 X85:AA85 X93:AA93 X101:AA101 X109:AA109 X127:AA127 X135:AA135 X143:AA143 X151:AA151 X159:AA159 X167:AA167">
    <cfRule type="cellIs" dxfId="584" priority="19" stopIfTrue="1" operator="equal">
      <formula>0</formula>
    </cfRule>
    <cfRule type="expression" dxfId="583" priority="20" stopIfTrue="1">
      <formula>ISBLANK(OFFSET($AP$2,$X22,0))</formula>
    </cfRule>
  </conditionalFormatting>
  <conditionalFormatting sqref="H23:K23 H31:K31 H39:K39 H47:K47 H66:K66 H74:K74 H82:K82 H90:K90 H98:K98 H106:K106 H124:K124 H132:K132 H140:K140 H148:K148 H156:K156 H164:K164">
    <cfRule type="cellIs" dxfId="582" priority="21" stopIfTrue="1" operator="equal">
      <formula>0</formula>
    </cfRule>
    <cfRule type="expression" dxfId="581" priority="22" stopIfTrue="1">
      <formula>ISBLANK(OFFSET($AP$2,$H22,0))</formula>
    </cfRule>
  </conditionalFormatting>
  <conditionalFormatting sqref="H24:K24 H32:K32 H40:K40 H48:K48 H67:K67 H75:K75 H83:K83 H91:K91 H99:K99 H107:K107 H125:K125 H133:K133 H141:K141 H149:K149 H157:K157 H165:K165">
    <cfRule type="cellIs" dxfId="580" priority="23" stopIfTrue="1" operator="equal">
      <formula>0</formula>
    </cfRule>
    <cfRule type="expression" dxfId="579" priority="24" stopIfTrue="1">
      <formula>ISBLANK(OFFSET($AP$2,$H22,0))</formula>
    </cfRule>
  </conditionalFormatting>
  <conditionalFormatting sqref="L23:O23 L31:O31 L39:O39 L47:O47 L66:O66 L74:O74 L82:O82 L90:O90 L98:O98 L106:O106 L124:O124 L132:O132 L140:O140 L148:O148 L156:O156 L164:O164">
    <cfRule type="cellIs" dxfId="578" priority="25" stopIfTrue="1" operator="equal">
      <formula>0</formula>
    </cfRule>
    <cfRule type="expression" dxfId="577" priority="26" stopIfTrue="1">
      <formula>ISBLANK(OFFSET($AP$2,$L22,0))</formula>
    </cfRule>
  </conditionalFormatting>
  <conditionalFormatting sqref="L24:O24 L32:O32 L40:O40 L48:O48 L67:O67 L75:O75 L83:O83 L91:O91 L99:O99 L107:O107 L125:O125 L133:O133 L141:O141 L149:O149 L157:O157 L165:O165">
    <cfRule type="cellIs" dxfId="576" priority="27" stopIfTrue="1" operator="equal">
      <formula>0</formula>
    </cfRule>
    <cfRule type="expression" dxfId="575" priority="28" stopIfTrue="1">
      <formula>ISBLANK(OFFSET($AP$2,$L22,0))</formula>
    </cfRule>
  </conditionalFormatting>
  <conditionalFormatting sqref="P23:S23 P31:S31 P39:S39 P47:S47 P66:S66 P74:S74 P82:S82 P90:S90 P98:S98 P106:S106 P124:S124 P132:S132 P140:S140 P148:S148 P156:S156 P164:S164">
    <cfRule type="cellIs" dxfId="574" priority="29" stopIfTrue="1" operator="equal">
      <formula>0</formula>
    </cfRule>
    <cfRule type="expression" dxfId="573" priority="30" stopIfTrue="1">
      <formula>ISBLANK(OFFSET($AP$2,$P22,0))</formula>
    </cfRule>
  </conditionalFormatting>
  <conditionalFormatting sqref="P24:S24 P32:S32 P40:S40 P48:S48 P67:S67 P75:S75 P83:S83 P91:S91 P99:S99 P107:S107 P125:S125 P133:S133 P141:S141 P149:S149 P157:S157 P165:S165">
    <cfRule type="cellIs" dxfId="572" priority="31" stopIfTrue="1" operator="equal">
      <formula>0</formula>
    </cfRule>
    <cfRule type="expression" dxfId="571" priority="32" stopIfTrue="1">
      <formula>ISBLANK(OFFSET($AP$2,$P22,0))</formula>
    </cfRule>
  </conditionalFormatting>
  <conditionalFormatting sqref="T23:W23 T31:W31 T39:W39 T47:W47 T66:W66 T74:W74 T82:W82 T90:W90 T98:W98 T106:W106 T124:W124 T132:W132 T140:W140 T148:W148 T156:W156 T164:W164">
    <cfRule type="cellIs" dxfId="570" priority="33" stopIfTrue="1" operator="equal">
      <formula>0</formula>
    </cfRule>
    <cfRule type="expression" dxfId="569" priority="34" stopIfTrue="1">
      <formula>ISBLANK(OFFSET($AP$2,$T22,0))</formula>
    </cfRule>
  </conditionalFormatting>
  <conditionalFormatting sqref="T24:W24 T32:W32 T40:W40 T48:W48 T67:W67 T75:W75 T83:W83 T91:W91 T99:W99 T107:W107 T125:W125 T133:W133 T141:W141 T149:W149 T157:W157 T165:W165">
    <cfRule type="cellIs" dxfId="568" priority="35" stopIfTrue="1" operator="equal">
      <formula>0</formula>
    </cfRule>
    <cfRule type="expression" dxfId="567" priority="36" stopIfTrue="1">
      <formula>ISBLANK(OFFSET($AP$2,$T22,0))</formula>
    </cfRule>
  </conditionalFormatting>
  <conditionalFormatting sqref="X23:AA23 X31:AA31 X39:AA39 X47:AA47 X66:AA66 X74:AA74 X82:AA82 X90:AA90 X98:AA98 X106:AA106 X124:AA124 X132:AA132 X140:AA140 X148:AA148 X156:AA156 X164:AA164">
    <cfRule type="cellIs" dxfId="566" priority="37" stopIfTrue="1" operator="equal">
      <formula>0</formula>
    </cfRule>
    <cfRule type="expression" dxfId="565" priority="38" stopIfTrue="1">
      <formula>ISBLANK(OFFSET($AP$2,$X22,0))</formula>
    </cfRule>
  </conditionalFormatting>
  <conditionalFormatting sqref="X24:AA24 X32:AA32 X40:AA40 X48:AA48 X67:AA67 X75:AA75 X83:AA83 X91:AA91 X99:AA99 X107:AA107 X125:AA125 X133:AA133 X141:AA141 X149:AA149 X157:AA157 X165:AA165">
    <cfRule type="cellIs" dxfId="564" priority="39" stopIfTrue="1" operator="equal">
      <formula>0</formula>
    </cfRule>
    <cfRule type="expression" dxfId="563" priority="40" stopIfTrue="1">
      <formula>ISBLANK(OFFSET($AP$2,$X22,0))</formula>
    </cfRule>
  </conditionalFormatting>
  <conditionalFormatting sqref="H27:K27 H35:K35 H43:K43 H51:K51 H70:K70 H78:K78 H86:K86 H94:K94 H102:K102 H110:K110 H128:K128 H136:K136 H144:K144 H152:K152 H160:K160 H168:K168">
    <cfRule type="cellIs" dxfId="562" priority="41" stopIfTrue="1" operator="equal">
      <formula>0</formula>
    </cfRule>
    <cfRule type="expression" dxfId="561" priority="42" stopIfTrue="1">
      <formula>ISBLANK(OFFSET($AP$2,$H22,0))</formula>
    </cfRule>
  </conditionalFormatting>
  <conditionalFormatting sqref="L27:O27 L35:O35 L43:O43 L51:O51 L70:O70 L78:O78 L86:O86 L94:O94 L102:O102 L110:O110 L128:O128 L136:O136 L144:O144 L152:O152 L160:O160 L168:O168">
    <cfRule type="cellIs" dxfId="560" priority="43" stopIfTrue="1" operator="equal">
      <formula>0</formula>
    </cfRule>
    <cfRule type="expression" dxfId="559" priority="44" stopIfTrue="1">
      <formula>ISBLANK(OFFSET($AP$2,$L22,0))</formula>
    </cfRule>
  </conditionalFormatting>
  <conditionalFormatting sqref="P27:S27 P35:S35 P43:S43 P51:S51 P70:S70 P78:S78 P86:S86 P94:S94 P102:S102 P110:S110 P128:S128 P136:S136 P144:S144 P152:S152 P160:S160 P168:S168">
    <cfRule type="cellIs" dxfId="558" priority="45" stopIfTrue="1" operator="equal">
      <formula>0</formula>
    </cfRule>
    <cfRule type="expression" dxfId="557" priority="46" stopIfTrue="1">
      <formula>ISBLANK(OFFSET($AP$2,$P22,0))</formula>
    </cfRule>
  </conditionalFormatting>
  <conditionalFormatting sqref="T27:W27 T35:W35 T43:W43 T51:W51 T70:W70 T78:W78 T86:W86 T94:W94 T102:W102 T110:W110 T128:W128 T136:W136 T144:W144 T152:W152 T160:W160 T168:W168">
    <cfRule type="cellIs" dxfId="556" priority="47" stopIfTrue="1" operator="equal">
      <formula>0</formula>
    </cfRule>
    <cfRule type="expression" dxfId="555" priority="48" stopIfTrue="1">
      <formula>ISBLANK(OFFSET($AP$2,$T22,0))</formula>
    </cfRule>
  </conditionalFormatting>
  <conditionalFormatting sqref="X27:AA27 X35:AA35 X43:AA43 X51:AA51 X70:AA70 X78:AA78 X86:AA86 X94:AA94 X102:AA102 X110:AA110 X128:AA128 X136:AA136 X144:AA144 X152:AA152 X160:AA160 X168:AA168">
    <cfRule type="cellIs" dxfId="554" priority="49" stopIfTrue="1" operator="equal">
      <formula>0</formula>
    </cfRule>
    <cfRule type="expression" dxfId="553" priority="50" stopIfTrue="1">
      <formula>ISBLANK(OFFSET($AP$2,$X22,0))</formula>
    </cfRule>
  </conditionalFormatting>
  <conditionalFormatting sqref="H28:K28 H36:K36 H44:K44 H52:K52 H71:K71 H79:K79 H87:K87 H95:K95 H103:K103 H111:K111 H129:K129 H137:K137 H145:K145 H153:K153 H161:K161 H169:K169">
    <cfRule type="cellIs" dxfId="552" priority="51" stopIfTrue="1" operator="equal">
      <formula>0</formula>
    </cfRule>
    <cfRule type="expression" dxfId="551" priority="52" stopIfTrue="1">
      <formula>ISBLANK(OFFSET($AP$2,$H22,0))</formula>
    </cfRule>
  </conditionalFormatting>
  <conditionalFormatting sqref="H29:K29 H37:K37 H45:K45 H53:K53 H72:K72 H80:K80 H88:K88 H96:K96 H104:K104 H112:K112 H130:K130 H138:K138 H146:K146 H154:K154 H162:K162 H170:K170">
    <cfRule type="cellIs" dxfId="550" priority="53" stopIfTrue="1" operator="equal">
      <formula>0</formula>
    </cfRule>
    <cfRule type="expression" dxfId="549" priority="54" stopIfTrue="1">
      <formula>ISBLANK(OFFSET($AP$2,$H22,0))</formula>
    </cfRule>
  </conditionalFormatting>
  <conditionalFormatting sqref="L28:O28 L36:O36 L44:O44 L52:O52 L71:O71 L79:O79 L87:O87 L95:O95 L103:O103 L111:O111 L129:O129 L137:O137 L145:O145 L153:O153 L161:O161 L169:O169">
    <cfRule type="cellIs" dxfId="548" priority="55" stopIfTrue="1" operator="equal">
      <formula>0</formula>
    </cfRule>
    <cfRule type="expression" dxfId="547" priority="56" stopIfTrue="1">
      <formula>ISBLANK(OFFSET($AP$2,$L22,0))</formula>
    </cfRule>
  </conditionalFormatting>
  <conditionalFormatting sqref="L29:O29 L37:O37 L45:O45 L53:O53 L72:O72 L80:O80 L88:O88 L96:O96 L104:O104 L112:O112 L130:O130 L138:O138 L146:O146 L154:O154 L162:O162 L170:O170">
    <cfRule type="cellIs" dxfId="546" priority="57" stopIfTrue="1" operator="equal">
      <formula>0</formula>
    </cfRule>
    <cfRule type="expression" dxfId="545" priority="58" stopIfTrue="1">
      <formula>ISBLANK(OFFSET($AP$2,$L22,0))</formula>
    </cfRule>
  </conditionalFormatting>
  <conditionalFormatting sqref="P28:S28 P36:S36 P44:S44 P52:S52 P71:S71 P79:S79 P87:S87 P95:S95 P103:S103 P111:S111 P129:S129 P137:S137 P145:S145 P153:S153 P161:S161 P169:S169">
    <cfRule type="cellIs" dxfId="544" priority="59" stopIfTrue="1" operator="equal">
      <formula>0</formula>
    </cfRule>
    <cfRule type="expression" dxfId="543" priority="60" stopIfTrue="1">
      <formula>ISBLANK(OFFSET($AP$2,$P22,0))</formula>
    </cfRule>
  </conditionalFormatting>
  <conditionalFormatting sqref="P29:S29 P37:S37 P45:S45 P53:S53 P72:S72 P80:S80 P88:S88 P96:S96 P104:S104 P112:S112 P130:S130 P138:S138 P146:S146 P154:S154 P162:S162 P170:S170">
    <cfRule type="cellIs" dxfId="542" priority="61" stopIfTrue="1" operator="equal">
      <formula>0</formula>
    </cfRule>
    <cfRule type="expression" dxfId="541" priority="62" stopIfTrue="1">
      <formula>ISBLANK(OFFSET($AP$2,$P22,0))</formula>
    </cfRule>
  </conditionalFormatting>
  <conditionalFormatting sqref="T28:W28 T36:W36 T44:W44 T52:W52 T71:W71 T79:W79 T87:W87 T95:W95 T103:W103 T111:W111 T129:W129 T137:W137 T145:W145 T153:W153 T161:W161 T169:W169">
    <cfRule type="cellIs" dxfId="540" priority="63" stopIfTrue="1" operator="equal">
      <formula>0</formula>
    </cfRule>
    <cfRule type="expression" dxfId="539" priority="64" stopIfTrue="1">
      <formula>ISBLANK(OFFSET($AP$2,$T22,0))</formula>
    </cfRule>
  </conditionalFormatting>
  <conditionalFormatting sqref="T29:W29 T37:W37 T45:W45 T53:W53 T72:W72 T80:W80 T88:W88 T96:W96 T104:W104 T112:W112 T130:W130 T138:W138 T146:W146 T154:W154 T162:W162 T170:W170">
    <cfRule type="cellIs" dxfId="538" priority="65" stopIfTrue="1" operator="equal">
      <formula>0</formula>
    </cfRule>
    <cfRule type="expression" dxfId="537" priority="66" stopIfTrue="1">
      <formula>ISBLANK(OFFSET($AP$2,$T22,0))</formula>
    </cfRule>
  </conditionalFormatting>
  <conditionalFormatting sqref="X28:AA28 X36:AA36 X44:AA44 X52:AA52 X71:AA71 X79:AA79 X87:AA87 X95:AA95 X103:AA103 X111:AA111 X129:AA129 X137:AA137 X145:AA145 X153:AA153 X161:AA161 X169:AA169">
    <cfRule type="cellIs" dxfId="536" priority="67" stopIfTrue="1" operator="equal">
      <formula>0</formula>
    </cfRule>
    <cfRule type="expression" dxfId="535" priority="68" stopIfTrue="1">
      <formula>ISBLANK(OFFSET($AP$2,$X22,0))</formula>
    </cfRule>
  </conditionalFormatting>
  <conditionalFormatting sqref="X29:AA29 X37:AA37 X45:AA45 X53:AA53 X72:AA72 X80:AA80 X88:AA88 X96:AA96 X104:AA104 X112:AA112 X130:AA130 X138:AA138 X146:AA146 X154:AA154 X162:AA162 X170:AA170">
    <cfRule type="cellIs" dxfId="534" priority="69" stopIfTrue="1" operator="equal">
      <formula>0</formula>
    </cfRule>
    <cfRule type="expression" dxfId="533" priority="70" stopIfTrue="1">
      <formula>ISBLANK(OFFSET($AP$2,$X22,0))</formula>
    </cfRule>
  </conditionalFormatting>
  <conditionalFormatting sqref="D166:G166 D33:G33 D41:G41 D49:G49 D68:G68 D76:G76 D84:G84 D92:G92 D100:G100 D108:G108 D126:G126 D134:G134 D142:G142 D150:G150 D158:G158">
    <cfRule type="cellIs" dxfId="532" priority="71" stopIfTrue="1" operator="equal">
      <formula>0</formula>
    </cfRule>
    <cfRule type="expression" dxfId="531" priority="72" stopIfTrue="1">
      <formula>ISBLANK(OFFSET($AP$2,$D30,0))</formula>
    </cfRule>
  </conditionalFormatting>
  <conditionalFormatting sqref="D167:G167 D34:G34 D42:G42 D50:G50 D69:G69 D77:G77 D85:G85 D93:G93 D101:G101 D109:G109 D127:G127 D135:G135 D143:G143 D151:G151 D159:G159">
    <cfRule type="cellIs" dxfId="530" priority="73" stopIfTrue="1" operator="equal">
      <formula>0</formula>
    </cfRule>
    <cfRule type="expression" dxfId="529" priority="74" stopIfTrue="1">
      <formula>ISBLANK(OFFSET($AP$2,$D30,0))</formula>
    </cfRule>
  </conditionalFormatting>
  <conditionalFormatting sqref="D164:G164 D31:G31 D39:G39 D47:G47 D66:G66 D74:G74 D82:G82 D90:G90 D98:G98 D106:G106 D124:G124 D132:G132 D140:G140 D148:G148 D156:G156">
    <cfRule type="cellIs" dxfId="528" priority="75" stopIfTrue="1" operator="equal">
      <formula>0</formula>
    </cfRule>
    <cfRule type="expression" dxfId="527" priority="76" stopIfTrue="1">
      <formula>ISBLANK(OFFSET($AP$2,$D30,0))</formula>
    </cfRule>
  </conditionalFormatting>
  <conditionalFormatting sqref="D165:G165 D32:G32 D40:G40 D48:G48 D67:G67 D75:G75 D83:G83 D91:G91 D99:G99 D107:G107 D125:G125 D133:G133 D141:G141 D149:G149 D157:G157">
    <cfRule type="cellIs" dxfId="526" priority="77" stopIfTrue="1" operator="equal">
      <formula>0</formula>
    </cfRule>
    <cfRule type="expression" dxfId="525" priority="78" stopIfTrue="1">
      <formula>ISBLANK(OFFSET($AP$2,$D30,0))</formula>
    </cfRule>
  </conditionalFormatting>
  <conditionalFormatting sqref="D168:G168 D35:G35 D43:G43 D51:G51 D70:G70 D78:G78 D86:G86 D94:G94 D102:G102 D110:G110 D128:G128 D136:G136 D144:G144 D152:G152 D160:G160">
    <cfRule type="cellIs" dxfId="524" priority="79" stopIfTrue="1" operator="equal">
      <formula>0</formula>
    </cfRule>
    <cfRule type="expression" dxfId="523" priority="80" stopIfTrue="1">
      <formula>ISBLANK(OFFSET($AP$2,$D30,0))</formula>
    </cfRule>
  </conditionalFormatting>
  <conditionalFormatting sqref="D169:G169 D36:G36 D44:G44 D52:G52 D71:G71 D79:G79 D87:G87 D95:G95 D103:G103 D111:G111 D129:G129 D137:G137 D145:G145 D153:G153 D161:G161">
    <cfRule type="cellIs" dxfId="522" priority="81" stopIfTrue="1" operator="equal">
      <formula>0</formula>
    </cfRule>
    <cfRule type="expression" dxfId="521" priority="82" stopIfTrue="1">
      <formula>ISBLANK(OFFSET($AP$2,$D30,0))</formula>
    </cfRule>
  </conditionalFormatting>
  <conditionalFormatting sqref="D170:G170 D37:G37 D45:G45 D53:G53 D72:G72 D80:G80 D88:G88 D96:G96 D104:G104 D112:G112 D130:G130 D138:G138 D146:G146 D154:G154 D162:G162">
    <cfRule type="cellIs" dxfId="520" priority="83" stopIfTrue="1" operator="equal">
      <formula>0</formula>
    </cfRule>
    <cfRule type="expression" dxfId="519" priority="84" stopIfTrue="1">
      <formula>ISBLANK(OFFSET($AP$2,$D30,0))</formula>
    </cfRule>
  </conditionalFormatting>
  <conditionalFormatting sqref="N2:R4">
    <cfRule type="cellIs" dxfId="518" priority="85" stopIfTrue="1" operator="equal">
      <formula>""</formula>
    </cfRule>
  </conditionalFormatting>
  <conditionalFormatting sqref="B33:C37">
    <cfRule type="expression" dxfId="517" priority="86" stopIfTrue="1">
      <formula>ISBLANK($AP$9)</formula>
    </cfRule>
  </conditionalFormatting>
  <conditionalFormatting sqref="B41:C45">
    <cfRule type="expression" dxfId="516" priority="87" stopIfTrue="1">
      <formula>ISBLANK($AP$15)</formula>
    </cfRule>
  </conditionalFormatting>
  <conditionalFormatting sqref="B49:C53">
    <cfRule type="expression" dxfId="515" priority="88" stopIfTrue="1">
      <formula>ISBLANK($AP$21)</formula>
    </cfRule>
  </conditionalFormatting>
  <conditionalFormatting sqref="B68:C72">
    <cfRule type="expression" dxfId="514" priority="89" stopIfTrue="1">
      <formula>ISBLANK($AP$27)</formula>
    </cfRule>
  </conditionalFormatting>
  <conditionalFormatting sqref="B76:C80">
    <cfRule type="expression" dxfId="513" priority="90" stopIfTrue="1">
      <formula>ISBLANK($AP$33)</formula>
    </cfRule>
  </conditionalFormatting>
  <conditionalFormatting sqref="B84:C88">
    <cfRule type="expression" dxfId="512" priority="91" stopIfTrue="1">
      <formula>ISBLANK($AP$39)</formula>
    </cfRule>
  </conditionalFormatting>
  <conditionalFormatting sqref="B92:C96">
    <cfRule type="expression" dxfId="511" priority="92" stopIfTrue="1">
      <formula>ISBLANK($AP$45)</formula>
    </cfRule>
  </conditionalFormatting>
  <conditionalFormatting sqref="B100:C104">
    <cfRule type="expression" dxfId="510" priority="93" stopIfTrue="1">
      <formula>ISBLANK($AP$51)</formula>
    </cfRule>
  </conditionalFormatting>
  <conditionalFormatting sqref="B108:C112">
    <cfRule type="expression" dxfId="509" priority="94" stopIfTrue="1">
      <formula>ISBLANK($AP$57)</formula>
    </cfRule>
  </conditionalFormatting>
  <conditionalFormatting sqref="B166:C170">
    <cfRule type="expression" dxfId="508" priority="95" stopIfTrue="1">
      <formula>ISBLANK($AP$93)</formula>
    </cfRule>
  </conditionalFormatting>
  <conditionalFormatting sqref="B158:C162">
    <cfRule type="expression" dxfId="507" priority="96" stopIfTrue="1">
      <formula>ISBLANK($AP$87)</formula>
    </cfRule>
  </conditionalFormatting>
  <conditionalFormatting sqref="B150:C154">
    <cfRule type="expression" dxfId="506" priority="97" stopIfTrue="1">
      <formula>ISBLANK($AP$81)</formula>
    </cfRule>
  </conditionalFormatting>
  <conditionalFormatting sqref="B142:C146">
    <cfRule type="expression" dxfId="505" priority="98" stopIfTrue="1">
      <formula>ISBLANK($AP$75)</formula>
    </cfRule>
  </conditionalFormatting>
  <conditionalFormatting sqref="B134:C138">
    <cfRule type="expression" dxfId="504" priority="99" stopIfTrue="1">
      <formula>ISBLANK($AP$69)</formula>
    </cfRule>
  </conditionalFormatting>
  <conditionalFormatting sqref="B126:C130">
    <cfRule type="expression" dxfId="503" priority="100" stopIfTrue="1">
      <formula>ISBLANK($AP$63)</formula>
    </cfRule>
  </conditionalFormatting>
  <conditionalFormatting sqref="D25:G29">
    <cfRule type="cellIs" dxfId="502" priority="101" stopIfTrue="1" operator="equal">
      <formula>0</formula>
    </cfRule>
  </conditionalFormatting>
  <dataValidations count="2">
    <dataValidation type="list" allowBlank="1" showInputMessage="1" sqref="L7:R7" xr:uid="{00000000-0002-0000-1000-000000000000}">
      <formula1>$AN$1:$AN$4</formula1>
    </dataValidation>
    <dataValidation type="list" allowBlank="1" showInputMessage="1" showErrorMessage="1" sqref="Y61:AA61 Y7:AA7 Y119:AA119" xr:uid="{00000000-0002-0000-1000-000001000000}">
      <formula1>$AN$8:$AN$9</formula1>
    </dataValidation>
  </dataValidations>
  <pageMargins left="0.3" right="0.3" top="0.3" bottom="0.5" header="0" footer="0.25"/>
  <pageSetup orientation="portrait" r:id="rId1"/>
  <headerFooter alignWithMargins="0">
    <oddFooter>&amp;R&amp;"Arial Narrow,Regular"&amp;8Printed: &amp;D, &amp;T&amp;L&amp;"Arial Narrow,Regular"&amp;8Version: 23.0413
File: &amp;F</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L502"/>
  <sheetViews>
    <sheetView showGridLines="0" zoomScaleNormal="100" zoomScaleSheetLayoutView="100" workbookViewId="0">
      <pane ySplit="2" topLeftCell="A3" activePane="bottomLeft" state="frozen"/>
      <selection activeCell="BT49" sqref="BT49"/>
      <selection pane="bottomLeft" activeCell="A3" sqref="A3"/>
    </sheetView>
  </sheetViews>
  <sheetFormatPr defaultColWidth="0" defaultRowHeight="12.75" x14ac:dyDescent="0.2"/>
  <cols>
    <col min="1" max="1" width="0.85546875" style="1" customWidth="1"/>
    <col min="2" max="2" width="8.28515625" style="1" customWidth="1"/>
    <col min="3" max="3" width="7.7109375" style="1" customWidth="1"/>
    <col min="4" max="4" width="8.28515625" style="902" customWidth="1"/>
    <col min="5" max="5" width="8.28515625" style="905" customWidth="1"/>
    <col min="6" max="6" width="6.5703125" style="1" customWidth="1"/>
    <col min="7" max="11" width="8.28515625" style="127" customWidth="1"/>
    <col min="12" max="12" width="7.7109375" style="126" customWidth="1"/>
    <col min="13" max="13" width="2.7109375" style="899" customWidth="1"/>
    <col min="14" max="14" width="6.7109375" style="899" customWidth="1"/>
    <col min="15" max="15" width="10.7109375" style="1" customWidth="1"/>
    <col min="16" max="18" width="5.7109375" style="1" customWidth="1"/>
    <col min="19" max="20" width="4.28515625" style="1" customWidth="1"/>
    <col min="21" max="26" width="5.7109375" style="1" customWidth="1"/>
    <col min="27" max="27" width="34.140625" style="102" customWidth="1"/>
    <col min="28" max="38" width="5.7109375" style="196" hidden="1" customWidth="1"/>
    <col min="39" max="51" width="2.7109375" style="102" customWidth="1"/>
    <col min="52" max="52" width="5.7109375" style="104" hidden="1" customWidth="1"/>
    <col min="53" max="63" width="6.7109375" style="104" hidden="1" customWidth="1"/>
    <col min="64" max="71" width="9.140625" style="1" customWidth="1"/>
    <col min="72" max="16384" width="0" style="1" hidden="1"/>
  </cols>
  <sheetData>
    <row r="1" spans="1:64" ht="15" customHeight="1" thickBot="1" x14ac:dyDescent="0.25">
      <c r="A1"/>
      <c r="B1"/>
      <c r="C1"/>
      <c r="D1" s="900"/>
      <c r="E1" s="903"/>
      <c r="F1" s="770" t="str">
        <f>CONCATENATE("Job No.: ",'Job Info.'!D5)</f>
        <v>Job No.: NN22-0071</v>
      </c>
      <c r="G1" s="768"/>
      <c r="H1" s="769" t="str">
        <f>CONCATENATE("Job Name: ", 'Job Info.'!D3)</f>
        <v>Job Name: MINDEN UPS BLDG 1</v>
      </c>
      <c r="I1" s="766"/>
      <c r="J1" s="766"/>
      <c r="K1" s="766"/>
      <c r="L1" s="767"/>
      <c r="M1" s="896"/>
      <c r="N1" s="896"/>
      <c r="O1"/>
      <c r="P1"/>
      <c r="Q1"/>
      <c r="R1"/>
      <c r="S1"/>
      <c r="T1"/>
      <c r="AA1" s="377" t="s">
        <v>64</v>
      </c>
      <c r="AB1" s="104"/>
      <c r="AC1" s="104"/>
      <c r="AD1" s="104"/>
      <c r="AE1" s="104"/>
      <c r="AF1" s="104"/>
      <c r="AG1" s="104"/>
      <c r="AH1" s="104"/>
      <c r="AI1" s="104"/>
      <c r="AJ1" s="104"/>
      <c r="AK1" s="104"/>
      <c r="AL1" s="104"/>
      <c r="AM1" s="246" t="s">
        <v>65</v>
      </c>
      <c r="AY1" s="377" t="s">
        <v>64</v>
      </c>
      <c r="BA1" s="139"/>
      <c r="BL1" s="250" t="s">
        <v>65</v>
      </c>
    </row>
    <row r="2" spans="1:64" ht="32.25" customHeight="1" thickBot="1" x14ac:dyDescent="0.25">
      <c r="A2"/>
      <c r="B2" s="150" t="s">
        <v>556</v>
      </c>
      <c r="C2" s="151" t="s">
        <v>557</v>
      </c>
      <c r="D2" s="2630" t="s">
        <v>558</v>
      </c>
      <c r="E2" s="2631"/>
      <c r="F2" s="152" t="s">
        <v>559</v>
      </c>
      <c r="G2" s="153" t="s">
        <v>577</v>
      </c>
      <c r="H2" s="153" t="s">
        <v>593</v>
      </c>
      <c r="I2" s="153" t="s">
        <v>634</v>
      </c>
      <c r="J2" s="153" t="s">
        <v>594</v>
      </c>
      <c r="K2" s="154" t="s">
        <v>560</v>
      </c>
      <c r="L2" s="155" t="s">
        <v>635</v>
      </c>
      <c r="M2" s="897"/>
      <c r="N2" s="897"/>
      <c r="O2"/>
      <c r="P2"/>
      <c r="Q2"/>
      <c r="R2"/>
      <c r="S2"/>
      <c r="T2"/>
      <c r="AB2" s="188" t="s">
        <v>556</v>
      </c>
      <c r="AC2" s="189" t="s">
        <v>557</v>
      </c>
      <c r="AD2" s="2632" t="s">
        <v>558</v>
      </c>
      <c r="AE2" s="2633"/>
      <c r="AF2" s="189" t="s">
        <v>559</v>
      </c>
      <c r="AG2" s="190" t="s">
        <v>577</v>
      </c>
      <c r="AH2" s="190" t="s">
        <v>593</v>
      </c>
      <c r="AI2" s="190" t="s">
        <v>634</v>
      </c>
      <c r="AJ2" s="190" t="s">
        <v>594</v>
      </c>
      <c r="AK2" s="191" t="s">
        <v>560</v>
      </c>
      <c r="AL2" s="192" t="s">
        <v>635</v>
      </c>
      <c r="AZ2" s="139" t="s">
        <v>1065</v>
      </c>
      <c r="BA2" s="139" t="s">
        <v>1066</v>
      </c>
      <c r="BB2" s="139" t="s">
        <v>1067</v>
      </c>
      <c r="BC2" s="139" t="s">
        <v>1068</v>
      </c>
      <c r="BD2" s="139" t="s">
        <v>1069</v>
      </c>
      <c r="BE2" s="139" t="s">
        <v>501</v>
      </c>
      <c r="BF2" s="139" t="s">
        <v>80</v>
      </c>
      <c r="BG2" s="139" t="s">
        <v>1070</v>
      </c>
      <c r="BH2" s="139" t="s">
        <v>153</v>
      </c>
      <c r="BI2" s="139" t="s">
        <v>560</v>
      </c>
      <c r="BJ2" s="139" t="s">
        <v>1071</v>
      </c>
      <c r="BK2" s="139" t="s">
        <v>170</v>
      </c>
    </row>
    <row r="3" spans="1:64" ht="15" customHeight="1" x14ac:dyDescent="0.2">
      <c r="A3" s="1037"/>
      <c r="B3" s="1798"/>
      <c r="C3" s="1799"/>
      <c r="D3" s="1800"/>
      <c r="E3" s="1801"/>
      <c r="F3" s="1802"/>
      <c r="G3" s="1803"/>
      <c r="H3" s="1803"/>
      <c r="I3" s="1803"/>
      <c r="J3" s="1803"/>
      <c r="K3" s="1803"/>
      <c r="L3" s="1804"/>
      <c r="M3" s="897" t="str">
        <f t="shared" ref="M3:M34" si="0">UPPER(C3)</f>
        <v/>
      </c>
      <c r="N3" s="898" t="str">
        <f>IF(AND(ISBLANK(D3),ISBLANK(E3)),"",TRUNC(D3)*12+IF(OR(D3&lt;0,AND(D3=0,E3&lt;0)),-1*ABS(E3),ABS(E3)))</f>
        <v/>
      </c>
      <c r="O3"/>
      <c r="P3"/>
      <c r="Q3"/>
      <c r="R3"/>
      <c r="S3"/>
      <c r="T3"/>
      <c r="AB3" s="783"/>
      <c r="AC3" s="783"/>
      <c r="AD3" s="194"/>
      <c r="AE3" s="195"/>
      <c r="AF3" s="783"/>
      <c r="AG3" s="193"/>
      <c r="AH3" s="193"/>
      <c r="AI3" s="193"/>
      <c r="AJ3" s="193"/>
      <c r="AK3" s="193"/>
      <c r="AL3" s="193"/>
      <c r="AZ3" s="196"/>
      <c r="BA3" s="196"/>
      <c r="BB3" s="196"/>
      <c r="BC3" s="196"/>
      <c r="BD3" s="196"/>
      <c r="BE3" s="196"/>
      <c r="BF3" s="196"/>
      <c r="BG3" s="196"/>
      <c r="BH3" s="196"/>
      <c r="BI3" s="196"/>
      <c r="BJ3" s="196"/>
      <c r="BK3" s="196"/>
    </row>
    <row r="4" spans="1:64" ht="15" customHeight="1" x14ac:dyDescent="0.2">
      <c r="A4"/>
      <c r="B4" s="1798"/>
      <c r="C4" s="1799"/>
      <c r="D4" s="1800"/>
      <c r="E4" s="1801"/>
      <c r="F4" s="1802"/>
      <c r="G4" s="1803"/>
      <c r="H4" s="1803"/>
      <c r="I4" s="1803"/>
      <c r="J4" s="1803"/>
      <c r="K4" s="1803"/>
      <c r="L4" s="1804"/>
      <c r="M4" s="897" t="str">
        <f t="shared" si="0"/>
        <v/>
      </c>
      <c r="N4" s="898" t="str">
        <f t="shared" ref="N4:N67" si="1">IF(AND(ISBLANK(D4),ISBLANK(E4)),"",TRUNC(D4)*12+IF(OR(D4&lt;0,AND(D4=0,E4&lt;0)),-1*ABS(E4),ABS(E4)))</f>
        <v/>
      </c>
      <c r="O4"/>
      <c r="P4"/>
      <c r="Q4"/>
      <c r="R4"/>
      <c r="S4"/>
      <c r="T4"/>
      <c r="AB4" s="193"/>
      <c r="AC4" s="783"/>
      <c r="AD4" s="194"/>
      <c r="AE4" s="195"/>
      <c r="AF4" s="193"/>
      <c r="AG4" s="193"/>
      <c r="AH4" s="193"/>
      <c r="AI4" s="193"/>
      <c r="AJ4" s="193"/>
      <c r="AK4" s="193"/>
      <c r="AL4" s="193"/>
      <c r="AZ4" s="196"/>
      <c r="BA4" s="196"/>
      <c r="BB4" s="196"/>
      <c r="BC4" s="196"/>
      <c r="BD4" s="196"/>
      <c r="BE4" s="196"/>
      <c r="BF4" s="196"/>
      <c r="BG4" s="196"/>
      <c r="BH4" s="196"/>
      <c r="BI4" s="196"/>
      <c r="BJ4" s="196"/>
      <c r="BK4" s="196"/>
    </row>
    <row r="5" spans="1:64" ht="15" customHeight="1" x14ac:dyDescent="0.2">
      <c r="A5"/>
      <c r="B5" s="1798"/>
      <c r="C5" s="1799"/>
      <c r="D5" s="1800"/>
      <c r="E5" s="1801"/>
      <c r="F5" s="1802"/>
      <c r="G5" s="1803"/>
      <c r="H5" s="1803"/>
      <c r="I5" s="1803"/>
      <c r="J5" s="1803"/>
      <c r="K5" s="1803"/>
      <c r="L5" s="1804"/>
      <c r="M5" s="897" t="str">
        <f t="shared" si="0"/>
        <v/>
      </c>
      <c r="N5" s="898" t="str">
        <f t="shared" si="1"/>
        <v/>
      </c>
      <c r="O5"/>
      <c r="P5"/>
      <c r="Q5"/>
      <c r="R5"/>
      <c r="S5"/>
      <c r="T5"/>
      <c r="AB5" s="193"/>
      <c r="AC5" s="193"/>
      <c r="AD5" s="194"/>
      <c r="AE5" s="195"/>
      <c r="AF5" s="193"/>
      <c r="AG5" s="193"/>
      <c r="AH5" s="193"/>
      <c r="AI5" s="193"/>
      <c r="AJ5" s="193"/>
      <c r="AK5" s="193"/>
      <c r="AL5" s="193"/>
      <c r="AZ5" s="196"/>
      <c r="BA5" s="196"/>
      <c r="BB5" s="196"/>
      <c r="BC5" s="196"/>
      <c r="BD5" s="196"/>
      <c r="BE5" s="196"/>
      <c r="BF5" s="196"/>
      <c r="BG5" s="196"/>
      <c r="BH5" s="196"/>
      <c r="BI5" s="196"/>
      <c r="BJ5" s="196"/>
      <c r="BK5" s="196"/>
    </row>
    <row r="6" spans="1:64" ht="15" customHeight="1" x14ac:dyDescent="0.2">
      <c r="A6"/>
      <c r="B6" s="1798"/>
      <c r="C6" s="1799"/>
      <c r="D6" s="1800"/>
      <c r="E6" s="1801"/>
      <c r="F6" s="1802"/>
      <c r="G6" s="1803"/>
      <c r="H6" s="1803"/>
      <c r="I6" s="1803"/>
      <c r="J6" s="1803"/>
      <c r="K6" s="1803"/>
      <c r="L6" s="1804"/>
      <c r="M6" s="897" t="str">
        <f t="shared" si="0"/>
        <v/>
      </c>
      <c r="N6" s="898" t="str">
        <f t="shared" si="1"/>
        <v/>
      </c>
      <c r="O6"/>
      <c r="P6"/>
      <c r="Q6"/>
      <c r="R6"/>
      <c r="S6"/>
      <c r="T6"/>
      <c r="AB6" s="193"/>
      <c r="AC6" s="193"/>
      <c r="AD6" s="194"/>
      <c r="AE6" s="195"/>
      <c r="AF6" s="193"/>
      <c r="AG6" s="193"/>
      <c r="AH6" s="193"/>
      <c r="AI6" s="193"/>
      <c r="AJ6" s="193"/>
      <c r="AK6" s="193"/>
      <c r="AL6" s="193"/>
      <c r="AZ6" s="196"/>
      <c r="BA6" s="196"/>
      <c r="BB6" s="196"/>
      <c r="BC6" s="196"/>
      <c r="BD6" s="196"/>
      <c r="BE6" s="196"/>
      <c r="BF6" s="196"/>
      <c r="BG6" s="196"/>
      <c r="BH6" s="196"/>
      <c r="BI6" s="196"/>
      <c r="BJ6" s="196"/>
      <c r="BK6" s="196"/>
    </row>
    <row r="7" spans="1:64" ht="15" customHeight="1" x14ac:dyDescent="0.2">
      <c r="A7"/>
      <c r="B7" s="1798"/>
      <c r="C7" s="1799"/>
      <c r="D7" s="1800"/>
      <c r="E7" s="1801"/>
      <c r="F7" s="1802"/>
      <c r="G7" s="1803"/>
      <c r="H7" s="1803"/>
      <c r="I7" s="1803"/>
      <c r="J7" s="1803"/>
      <c r="K7" s="1803"/>
      <c r="L7" s="1804"/>
      <c r="M7" s="897" t="str">
        <f t="shared" si="0"/>
        <v/>
      </c>
      <c r="N7" s="898" t="str">
        <f t="shared" si="1"/>
        <v/>
      </c>
      <c r="O7"/>
      <c r="P7"/>
      <c r="Q7"/>
      <c r="R7"/>
      <c r="S7"/>
      <c r="T7"/>
      <c r="AB7" s="193"/>
      <c r="AC7" s="193"/>
      <c r="AD7" s="194"/>
      <c r="AE7" s="195"/>
      <c r="AF7" s="193"/>
      <c r="AG7" s="193"/>
      <c r="AH7" s="193"/>
      <c r="AI7" s="193"/>
      <c r="AJ7" s="193"/>
      <c r="AK7" s="193"/>
      <c r="AL7" s="193"/>
      <c r="AZ7" s="196"/>
      <c r="BA7" s="196"/>
      <c r="BB7" s="806"/>
      <c r="BC7" s="806"/>
      <c r="BD7" s="196"/>
      <c r="BE7" s="196"/>
      <c r="BF7" s="196"/>
      <c r="BG7" s="196"/>
      <c r="BH7" s="196"/>
      <c r="BI7" s="196"/>
      <c r="BJ7" s="196"/>
      <c r="BK7" s="196"/>
    </row>
    <row r="8" spans="1:64" ht="15" customHeight="1" x14ac:dyDescent="0.2">
      <c r="A8"/>
      <c r="B8" s="1798"/>
      <c r="C8" s="1799"/>
      <c r="D8" s="1800"/>
      <c r="E8" s="1801"/>
      <c r="F8" s="1802"/>
      <c r="G8" s="1803"/>
      <c r="H8" s="1803"/>
      <c r="I8" s="1803"/>
      <c r="J8" s="1803"/>
      <c r="K8" s="1803"/>
      <c r="L8" s="1804"/>
      <c r="M8" s="897" t="str">
        <f t="shared" si="0"/>
        <v/>
      </c>
      <c r="N8" s="898" t="str">
        <f t="shared" si="1"/>
        <v/>
      </c>
      <c r="O8"/>
      <c r="P8"/>
      <c r="Q8"/>
      <c r="R8"/>
      <c r="S8"/>
      <c r="T8"/>
      <c r="AB8" s="193"/>
      <c r="AC8" s="193"/>
      <c r="AD8" s="194"/>
      <c r="AE8" s="195"/>
      <c r="AF8" s="193"/>
      <c r="AG8" s="193"/>
      <c r="AH8" s="193"/>
      <c r="AI8" s="193"/>
      <c r="AJ8" s="193"/>
      <c r="AK8" s="193"/>
      <c r="AL8" s="193"/>
      <c r="AZ8" s="196"/>
      <c r="BA8" s="196"/>
      <c r="BB8" s="196"/>
      <c r="BC8" s="196"/>
      <c r="BD8" s="196"/>
      <c r="BE8" s="196"/>
      <c r="BF8" s="196"/>
      <c r="BG8" s="196"/>
      <c r="BH8" s="196"/>
      <c r="BI8" s="196"/>
      <c r="BJ8" s="196"/>
      <c r="BK8" s="196"/>
    </row>
    <row r="9" spans="1:64" ht="15" customHeight="1" x14ac:dyDescent="0.2">
      <c r="A9"/>
      <c r="B9" s="1798"/>
      <c r="C9" s="1799"/>
      <c r="D9" s="1800"/>
      <c r="E9" s="1801"/>
      <c r="F9" s="1802"/>
      <c r="G9" s="1803"/>
      <c r="H9" s="1803"/>
      <c r="I9" s="1803"/>
      <c r="J9" s="1803"/>
      <c r="K9" s="1803"/>
      <c r="L9" s="1804"/>
      <c r="M9" s="897" t="str">
        <f t="shared" si="0"/>
        <v/>
      </c>
      <c r="N9" s="898" t="str">
        <f t="shared" si="1"/>
        <v/>
      </c>
      <c r="O9"/>
      <c r="P9"/>
      <c r="Q9"/>
      <c r="R9"/>
      <c r="S9"/>
      <c r="T9"/>
      <c r="AB9" s="193"/>
      <c r="AC9" s="193"/>
      <c r="AD9" s="194"/>
      <c r="AE9" s="195"/>
      <c r="AF9" s="193"/>
      <c r="AG9" s="193"/>
      <c r="AH9" s="193"/>
      <c r="AI9" s="193"/>
      <c r="AJ9" s="193"/>
      <c r="AK9" s="193"/>
      <c r="AL9" s="193"/>
      <c r="AZ9" s="196"/>
      <c r="BA9" s="196"/>
      <c r="BB9" s="196"/>
      <c r="BC9" s="196"/>
      <c r="BD9" s="196"/>
      <c r="BE9" s="196"/>
      <c r="BF9" s="196"/>
      <c r="BG9" s="196"/>
      <c r="BH9" s="196"/>
      <c r="BI9" s="196"/>
      <c r="BJ9" s="196"/>
      <c r="BK9" s="196"/>
    </row>
    <row r="10" spans="1:64" ht="15" customHeight="1" x14ac:dyDescent="0.2">
      <c r="A10"/>
      <c r="B10" s="1798"/>
      <c r="C10" s="1799"/>
      <c r="D10" s="1800"/>
      <c r="E10" s="1801"/>
      <c r="F10" s="1802"/>
      <c r="G10" s="1803"/>
      <c r="H10" s="1803"/>
      <c r="I10" s="1803"/>
      <c r="J10" s="1803"/>
      <c r="K10" s="1803"/>
      <c r="L10" s="1804"/>
      <c r="M10" s="897" t="str">
        <f t="shared" si="0"/>
        <v/>
      </c>
      <c r="N10" s="898" t="str">
        <f t="shared" si="1"/>
        <v/>
      </c>
      <c r="O10"/>
      <c r="P10"/>
      <c r="Q10"/>
      <c r="R10"/>
      <c r="S10"/>
      <c r="T10"/>
      <c r="AB10" s="193"/>
      <c r="AC10" s="193"/>
      <c r="AD10" s="194"/>
      <c r="AE10" s="195"/>
      <c r="AF10" s="193"/>
      <c r="AG10" s="193"/>
      <c r="AH10" s="193"/>
      <c r="AI10" s="193"/>
      <c r="AJ10" s="193"/>
      <c r="AK10" s="193"/>
      <c r="AL10" s="193"/>
      <c r="AZ10" s="196"/>
      <c r="BA10" s="196"/>
      <c r="BB10" s="196"/>
      <c r="BC10" s="196"/>
      <c r="BD10" s="196"/>
      <c r="BE10" s="196"/>
      <c r="BF10" s="196"/>
      <c r="BG10" s="196"/>
      <c r="BH10" s="196"/>
      <c r="BI10" s="196"/>
      <c r="BJ10" s="196"/>
      <c r="BK10" s="196"/>
    </row>
    <row r="11" spans="1:64" ht="15" customHeight="1" x14ac:dyDescent="0.2">
      <c r="A11"/>
      <c r="B11" s="1798"/>
      <c r="C11" s="1799"/>
      <c r="D11" s="1800"/>
      <c r="E11" s="1801"/>
      <c r="F11" s="1802"/>
      <c r="G11" s="1803"/>
      <c r="H11" s="1803"/>
      <c r="I11" s="1803"/>
      <c r="J11" s="1803"/>
      <c r="K11" s="1803"/>
      <c r="L11" s="1804"/>
      <c r="M11" s="897" t="str">
        <f t="shared" si="0"/>
        <v/>
      </c>
      <c r="N11" s="898" t="str">
        <f t="shared" si="1"/>
        <v/>
      </c>
      <c r="O11"/>
      <c r="P11"/>
      <c r="Q11"/>
      <c r="R11"/>
      <c r="S11"/>
      <c r="T11"/>
      <c r="AB11" s="193"/>
      <c r="AC11" s="193"/>
      <c r="AD11" s="194"/>
      <c r="AE11" s="195"/>
      <c r="AF11" s="193"/>
      <c r="AG11" s="193"/>
      <c r="AH11" s="193"/>
      <c r="AI11" s="193"/>
      <c r="AJ11" s="193"/>
      <c r="AK11" s="193"/>
      <c r="AL11" s="193"/>
      <c r="AZ11" s="196"/>
      <c r="BA11" s="196"/>
      <c r="BB11" s="196"/>
      <c r="BC11" s="196"/>
      <c r="BD11" s="196"/>
      <c r="BE11" s="196"/>
      <c r="BF11" s="196"/>
      <c r="BG11" s="196"/>
      <c r="BH11" s="196"/>
      <c r="BI11" s="196"/>
      <c r="BJ11" s="196"/>
      <c r="BK11" s="196"/>
    </row>
    <row r="12" spans="1:64" ht="15" customHeight="1" x14ac:dyDescent="0.2">
      <c r="A12"/>
      <c r="B12" s="1798"/>
      <c r="C12" s="1799"/>
      <c r="D12" s="1800"/>
      <c r="E12" s="1801"/>
      <c r="F12" s="1802"/>
      <c r="G12" s="1803"/>
      <c r="H12" s="1803"/>
      <c r="I12" s="1803"/>
      <c r="J12" s="1803"/>
      <c r="K12" s="1803"/>
      <c r="L12" s="1804"/>
      <c r="M12" s="897" t="str">
        <f t="shared" si="0"/>
        <v/>
      </c>
      <c r="N12" s="898" t="str">
        <f t="shared" si="1"/>
        <v/>
      </c>
      <c r="O12"/>
      <c r="P12"/>
      <c r="Q12"/>
      <c r="R12"/>
      <c r="S12"/>
      <c r="T12"/>
      <c r="AB12" s="193"/>
      <c r="AC12" s="193"/>
      <c r="AD12" s="194"/>
      <c r="AE12" s="195"/>
      <c r="AF12" s="193"/>
      <c r="AG12" s="193"/>
      <c r="AH12" s="193"/>
      <c r="AI12" s="193"/>
      <c r="AJ12" s="193"/>
      <c r="AK12" s="193"/>
      <c r="AL12" s="193"/>
      <c r="AZ12" s="196"/>
      <c r="BA12" s="196"/>
      <c r="BB12" s="196"/>
      <c r="BC12" s="196"/>
      <c r="BD12" s="196"/>
      <c r="BE12" s="196"/>
      <c r="BF12" s="196"/>
      <c r="BG12" s="196"/>
      <c r="BH12" s="196"/>
      <c r="BI12" s="196"/>
      <c r="BJ12" s="196"/>
      <c r="BK12" s="196"/>
    </row>
    <row r="13" spans="1:64" ht="15" customHeight="1" x14ac:dyDescent="0.2">
      <c r="A13"/>
      <c r="B13" s="1798"/>
      <c r="C13" s="1799"/>
      <c r="D13" s="1800"/>
      <c r="E13" s="1801"/>
      <c r="F13" s="1802"/>
      <c r="G13" s="1803"/>
      <c r="H13" s="1803"/>
      <c r="I13" s="1803"/>
      <c r="J13" s="1803"/>
      <c r="K13" s="1803"/>
      <c r="L13" s="1804"/>
      <c r="M13" s="897" t="str">
        <f t="shared" si="0"/>
        <v/>
      </c>
      <c r="N13" s="898" t="str">
        <f t="shared" si="1"/>
        <v/>
      </c>
      <c r="O13"/>
      <c r="P13"/>
      <c r="Q13"/>
      <c r="R13"/>
      <c r="S13"/>
      <c r="T13"/>
      <c r="AB13" s="193"/>
      <c r="AC13" s="193"/>
      <c r="AD13" s="194"/>
      <c r="AE13" s="195"/>
      <c r="AF13" s="193"/>
      <c r="AG13" s="193"/>
      <c r="AH13" s="193"/>
      <c r="AI13" s="193"/>
      <c r="AJ13" s="193"/>
      <c r="AK13" s="193"/>
      <c r="AL13" s="193"/>
      <c r="AZ13" s="196"/>
      <c r="BA13" s="196"/>
      <c r="BB13" s="196"/>
      <c r="BC13" s="196"/>
      <c r="BD13" s="196"/>
      <c r="BE13" s="196"/>
      <c r="BF13" s="196"/>
      <c r="BG13" s="196"/>
      <c r="BH13" s="196"/>
      <c r="BI13" s="196"/>
      <c r="BJ13" s="196"/>
      <c r="BK13" s="196"/>
    </row>
    <row r="14" spans="1:64" ht="15" customHeight="1" x14ac:dyDescent="0.2">
      <c r="A14"/>
      <c r="B14" s="1798"/>
      <c r="C14" s="1799"/>
      <c r="D14" s="1800"/>
      <c r="E14" s="1801"/>
      <c r="F14" s="1802"/>
      <c r="G14" s="1803"/>
      <c r="H14" s="1803"/>
      <c r="I14" s="1803"/>
      <c r="J14" s="1803"/>
      <c r="K14" s="1803"/>
      <c r="L14" s="1804"/>
      <c r="M14" s="897" t="str">
        <f t="shared" si="0"/>
        <v/>
      </c>
      <c r="N14" s="898" t="str">
        <f t="shared" si="1"/>
        <v/>
      </c>
      <c r="O14"/>
      <c r="P14"/>
      <c r="Q14"/>
      <c r="R14"/>
      <c r="S14"/>
      <c r="T14"/>
      <c r="AB14" s="193"/>
      <c r="AC14" s="193"/>
      <c r="AD14" s="194"/>
      <c r="AE14" s="195"/>
      <c r="AF14" s="193"/>
      <c r="AG14" s="193"/>
      <c r="AH14" s="193"/>
      <c r="AI14" s="193"/>
      <c r="AJ14" s="193"/>
      <c r="AK14" s="193"/>
      <c r="AL14" s="193"/>
      <c r="AZ14" s="196"/>
      <c r="BA14" s="196"/>
      <c r="BB14" s="196"/>
      <c r="BC14" s="196"/>
      <c r="BD14" s="196"/>
      <c r="BE14" s="196"/>
      <c r="BF14" s="196"/>
      <c r="BG14" s="196"/>
      <c r="BH14" s="196"/>
      <c r="BI14" s="196"/>
      <c r="BJ14" s="196"/>
      <c r="BK14" s="196"/>
    </row>
    <row r="15" spans="1:64" ht="15" customHeight="1" x14ac:dyDescent="0.2">
      <c r="A15"/>
      <c r="B15" s="1798"/>
      <c r="C15" s="1799"/>
      <c r="D15" s="1800"/>
      <c r="E15" s="1801"/>
      <c r="F15" s="1802"/>
      <c r="G15" s="1803"/>
      <c r="H15" s="1803"/>
      <c r="I15" s="1803"/>
      <c r="J15" s="1803"/>
      <c r="K15" s="1803"/>
      <c r="L15" s="1804"/>
      <c r="M15" s="897" t="str">
        <f t="shared" si="0"/>
        <v/>
      </c>
      <c r="N15" s="898" t="str">
        <f t="shared" si="1"/>
        <v/>
      </c>
      <c r="O15"/>
      <c r="P15"/>
      <c r="Q15"/>
      <c r="R15"/>
      <c r="S15"/>
      <c r="T15"/>
      <c r="AB15" s="193"/>
      <c r="AC15" s="193"/>
      <c r="AD15" s="194"/>
      <c r="AE15" s="195"/>
      <c r="AF15" s="193"/>
      <c r="AG15" s="193"/>
      <c r="AH15" s="193"/>
      <c r="AI15" s="193"/>
      <c r="AJ15" s="193"/>
      <c r="AK15" s="193"/>
      <c r="AL15" s="193"/>
      <c r="AZ15" s="196"/>
      <c r="BA15" s="196"/>
      <c r="BB15" s="196"/>
      <c r="BC15" s="196"/>
      <c r="BD15" s="196"/>
      <c r="BE15" s="196"/>
      <c r="BF15" s="196"/>
      <c r="BG15" s="196"/>
      <c r="BH15" s="196"/>
      <c r="BI15" s="196"/>
      <c r="BJ15" s="196"/>
      <c r="BK15" s="196"/>
    </row>
    <row r="16" spans="1:64" ht="15" customHeight="1" x14ac:dyDescent="0.2">
      <c r="A16"/>
      <c r="B16" s="1798"/>
      <c r="C16" s="1799"/>
      <c r="D16" s="1800"/>
      <c r="E16" s="1801"/>
      <c r="F16" s="1802"/>
      <c r="G16" s="1803"/>
      <c r="H16" s="1803"/>
      <c r="I16" s="1803"/>
      <c r="J16" s="1803"/>
      <c r="K16" s="1803"/>
      <c r="L16" s="1804"/>
      <c r="M16" s="897" t="str">
        <f t="shared" si="0"/>
        <v/>
      </c>
      <c r="N16" s="898" t="str">
        <f t="shared" si="1"/>
        <v/>
      </c>
      <c r="O16"/>
      <c r="P16"/>
      <c r="Q16"/>
      <c r="R16"/>
      <c r="S16"/>
      <c r="T16"/>
      <c r="AB16" s="193"/>
      <c r="AC16" s="193"/>
      <c r="AD16" s="194"/>
      <c r="AE16" s="195"/>
      <c r="AF16" s="193"/>
      <c r="AG16" s="193"/>
      <c r="AH16" s="193"/>
      <c r="AI16" s="193"/>
      <c r="AJ16" s="193"/>
      <c r="AK16" s="193"/>
      <c r="AL16" s="193"/>
      <c r="AZ16" s="196"/>
      <c r="BA16" s="196"/>
      <c r="BB16" s="196"/>
      <c r="BC16" s="196"/>
      <c r="BD16" s="196"/>
      <c r="BE16" s="196"/>
      <c r="BF16" s="196"/>
      <c r="BG16" s="196"/>
      <c r="BH16" s="196"/>
      <c r="BI16" s="196"/>
      <c r="BJ16" s="196"/>
      <c r="BK16" s="196"/>
    </row>
    <row r="17" spans="1:63" ht="15" customHeight="1" x14ac:dyDescent="0.2">
      <c r="A17"/>
      <c r="B17" s="1798"/>
      <c r="C17" s="1799"/>
      <c r="D17" s="1800"/>
      <c r="E17" s="1801"/>
      <c r="F17" s="1802"/>
      <c r="G17" s="1803"/>
      <c r="H17" s="1803"/>
      <c r="I17" s="1803"/>
      <c r="J17" s="1803"/>
      <c r="K17" s="1803"/>
      <c r="L17" s="1804"/>
      <c r="M17" s="897" t="str">
        <f t="shared" si="0"/>
        <v/>
      </c>
      <c r="N17" s="898" t="str">
        <f t="shared" si="1"/>
        <v/>
      </c>
      <c r="O17"/>
      <c r="P17"/>
      <c r="Q17"/>
      <c r="R17"/>
      <c r="S17"/>
      <c r="T17"/>
      <c r="AB17" s="193"/>
      <c r="AC17" s="193"/>
      <c r="AD17" s="194"/>
      <c r="AE17" s="195"/>
      <c r="AF17" s="193"/>
      <c r="AG17" s="193"/>
      <c r="AH17" s="193"/>
      <c r="AI17" s="193"/>
      <c r="AJ17" s="193"/>
      <c r="AK17" s="193"/>
      <c r="AL17" s="193"/>
      <c r="AZ17" s="196"/>
      <c r="BA17" s="196"/>
      <c r="BB17" s="196"/>
      <c r="BC17" s="196"/>
      <c r="BD17" s="196"/>
      <c r="BE17" s="196"/>
      <c r="BF17" s="196"/>
      <c r="BG17" s="196"/>
      <c r="BH17" s="196"/>
      <c r="BI17" s="196"/>
      <c r="BJ17" s="196"/>
      <c r="BK17" s="196"/>
    </row>
    <row r="18" spans="1:63" ht="15" customHeight="1" x14ac:dyDescent="0.2">
      <c r="A18"/>
      <c r="B18" s="1798"/>
      <c r="C18" s="1799"/>
      <c r="D18" s="1800"/>
      <c r="E18" s="1801"/>
      <c r="F18" s="1802"/>
      <c r="G18" s="1803"/>
      <c r="H18" s="1803"/>
      <c r="I18" s="1803"/>
      <c r="J18" s="1803"/>
      <c r="K18" s="1803"/>
      <c r="L18" s="1804"/>
      <c r="M18" s="897" t="str">
        <f t="shared" si="0"/>
        <v/>
      </c>
      <c r="N18" s="898" t="str">
        <f t="shared" si="1"/>
        <v/>
      </c>
      <c r="O18"/>
      <c r="P18"/>
      <c r="Q18"/>
      <c r="R18"/>
      <c r="S18"/>
      <c r="T18"/>
      <c r="AB18" s="193"/>
      <c r="AC18" s="193"/>
      <c r="AD18" s="194"/>
      <c r="AE18" s="195"/>
      <c r="AF18" s="193"/>
      <c r="AG18" s="193"/>
      <c r="AH18" s="193"/>
      <c r="AI18" s="193"/>
      <c r="AJ18" s="193"/>
      <c r="AK18" s="193"/>
      <c r="AL18" s="193"/>
      <c r="AZ18" s="196"/>
      <c r="BA18" s="196"/>
      <c r="BB18" s="196"/>
      <c r="BC18" s="196"/>
      <c r="BD18" s="196"/>
      <c r="BE18" s="196"/>
      <c r="BF18" s="196"/>
      <c r="BG18" s="196"/>
      <c r="BH18" s="196"/>
      <c r="BI18" s="196"/>
      <c r="BJ18" s="196"/>
      <c r="BK18" s="196"/>
    </row>
    <row r="19" spans="1:63" ht="15" customHeight="1" x14ac:dyDescent="0.2">
      <c r="A19"/>
      <c r="B19" s="1798"/>
      <c r="C19" s="1799"/>
      <c r="D19" s="1800"/>
      <c r="E19" s="1801"/>
      <c r="F19" s="1802"/>
      <c r="G19" s="1803"/>
      <c r="H19" s="1803"/>
      <c r="I19" s="1803"/>
      <c r="J19" s="1803"/>
      <c r="K19" s="1803"/>
      <c r="L19" s="1804"/>
      <c r="M19" s="897" t="str">
        <f t="shared" si="0"/>
        <v/>
      </c>
      <c r="N19" s="898" t="str">
        <f t="shared" si="1"/>
        <v/>
      </c>
      <c r="O19"/>
      <c r="P19"/>
      <c r="Q19"/>
      <c r="R19"/>
      <c r="S19"/>
      <c r="T19"/>
      <c r="AB19" s="193"/>
      <c r="AC19" s="193"/>
      <c r="AD19" s="194"/>
      <c r="AE19" s="195"/>
      <c r="AF19" s="193"/>
      <c r="AG19" s="193"/>
      <c r="AH19" s="193"/>
      <c r="AI19" s="193"/>
      <c r="AJ19" s="193"/>
      <c r="AK19" s="193"/>
      <c r="AL19" s="193"/>
      <c r="AZ19" s="196"/>
      <c r="BA19" s="196"/>
      <c r="BB19" s="196"/>
      <c r="BC19" s="196"/>
      <c r="BD19" s="196"/>
      <c r="BE19" s="196"/>
      <c r="BF19" s="196"/>
      <c r="BG19" s="196"/>
      <c r="BH19" s="196"/>
      <c r="BI19" s="196"/>
      <c r="BJ19" s="196"/>
      <c r="BK19" s="196"/>
    </row>
    <row r="20" spans="1:63" ht="15" customHeight="1" x14ac:dyDescent="0.2">
      <c r="A20"/>
      <c r="B20" s="1798"/>
      <c r="C20" s="1799"/>
      <c r="D20" s="1800"/>
      <c r="E20" s="1801"/>
      <c r="F20" s="1802"/>
      <c r="G20" s="1803"/>
      <c r="H20" s="1803"/>
      <c r="I20" s="1803"/>
      <c r="J20" s="1803"/>
      <c r="K20" s="1803"/>
      <c r="L20" s="1804"/>
      <c r="M20" s="897" t="str">
        <f t="shared" si="0"/>
        <v/>
      </c>
      <c r="N20" s="898" t="str">
        <f t="shared" si="1"/>
        <v/>
      </c>
      <c r="O20"/>
      <c r="P20"/>
      <c r="Q20"/>
      <c r="R20"/>
      <c r="S20"/>
      <c r="T20"/>
      <c r="AB20" s="193"/>
      <c r="AC20" s="193"/>
      <c r="AD20" s="194"/>
      <c r="AE20" s="195"/>
      <c r="AF20" s="193"/>
      <c r="AG20" s="193"/>
      <c r="AH20" s="193"/>
      <c r="AI20" s="193"/>
      <c r="AJ20" s="193"/>
      <c r="AK20" s="193"/>
      <c r="AL20" s="193"/>
      <c r="AZ20" s="196"/>
      <c r="BA20" s="196"/>
      <c r="BB20" s="196"/>
      <c r="BC20" s="196"/>
      <c r="BD20" s="196"/>
      <c r="BE20" s="196"/>
      <c r="BF20" s="196"/>
      <c r="BG20" s="196"/>
      <c r="BH20" s="196"/>
      <c r="BI20" s="196"/>
      <c r="BJ20" s="196"/>
      <c r="BK20" s="196"/>
    </row>
    <row r="21" spans="1:63" ht="15" customHeight="1" x14ac:dyDescent="0.2">
      <c r="A21"/>
      <c r="B21" s="1798"/>
      <c r="C21" s="1799"/>
      <c r="D21" s="1800"/>
      <c r="E21" s="1801"/>
      <c r="F21" s="1802"/>
      <c r="G21" s="1803"/>
      <c r="H21" s="1803"/>
      <c r="I21" s="1803"/>
      <c r="J21" s="1803"/>
      <c r="K21" s="1803"/>
      <c r="L21" s="1804"/>
      <c r="M21" s="897" t="str">
        <f t="shared" si="0"/>
        <v/>
      </c>
      <c r="N21" s="898" t="str">
        <f t="shared" si="1"/>
        <v/>
      </c>
      <c r="O21"/>
      <c r="P21"/>
      <c r="Q21"/>
      <c r="R21"/>
      <c r="S21"/>
      <c r="T21"/>
      <c r="AB21" s="193"/>
      <c r="AC21" s="193"/>
      <c r="AD21" s="194"/>
      <c r="AE21" s="195"/>
      <c r="AF21" s="193"/>
      <c r="AG21" s="193"/>
      <c r="AH21" s="193"/>
      <c r="AI21" s="193"/>
      <c r="AJ21" s="193"/>
      <c r="AK21" s="193"/>
      <c r="AL21" s="193"/>
      <c r="AZ21" s="196"/>
      <c r="BA21" s="196"/>
      <c r="BB21" s="196"/>
      <c r="BC21" s="196"/>
      <c r="BD21" s="196"/>
      <c r="BE21" s="196"/>
      <c r="BF21" s="196"/>
      <c r="BG21" s="196"/>
      <c r="BH21" s="196"/>
      <c r="BI21" s="196"/>
      <c r="BJ21" s="196"/>
      <c r="BK21" s="196"/>
    </row>
    <row r="22" spans="1:63" ht="15" customHeight="1" x14ac:dyDescent="0.2">
      <c r="A22"/>
      <c r="B22" s="1798"/>
      <c r="C22" s="1799"/>
      <c r="D22" s="1800"/>
      <c r="E22" s="1801"/>
      <c r="F22" s="1802"/>
      <c r="G22" s="1803"/>
      <c r="H22" s="1803"/>
      <c r="I22" s="1803"/>
      <c r="J22" s="1803"/>
      <c r="K22" s="1803"/>
      <c r="L22" s="1804"/>
      <c r="M22" s="897" t="str">
        <f t="shared" si="0"/>
        <v/>
      </c>
      <c r="N22" s="898" t="str">
        <f t="shared" si="1"/>
        <v/>
      </c>
      <c r="O22"/>
      <c r="P22"/>
      <c r="Q22"/>
      <c r="R22"/>
      <c r="S22"/>
      <c r="T22"/>
      <c r="AB22" s="193"/>
      <c r="AC22" s="193"/>
      <c r="AD22" s="194"/>
      <c r="AE22" s="195"/>
      <c r="AF22" s="193"/>
      <c r="AG22" s="193"/>
      <c r="AH22" s="193"/>
      <c r="AI22" s="193"/>
      <c r="AJ22" s="193"/>
      <c r="AK22" s="193"/>
      <c r="AL22" s="193"/>
      <c r="AZ22" s="196"/>
      <c r="BA22" s="196"/>
      <c r="BB22" s="196"/>
      <c r="BC22" s="196"/>
      <c r="BD22" s="196"/>
      <c r="BE22" s="196"/>
      <c r="BF22" s="196"/>
      <c r="BG22" s="196"/>
      <c r="BH22" s="196"/>
      <c r="BI22" s="196"/>
      <c r="BJ22" s="196"/>
      <c r="BK22" s="196"/>
    </row>
    <row r="23" spans="1:63" ht="15" customHeight="1" x14ac:dyDescent="0.2">
      <c r="A23"/>
      <c r="B23" s="1798"/>
      <c r="C23" s="1799"/>
      <c r="D23" s="1800"/>
      <c r="E23" s="1801"/>
      <c r="F23" s="1802"/>
      <c r="G23" s="1803"/>
      <c r="H23" s="1803"/>
      <c r="I23" s="1803"/>
      <c r="J23" s="1803"/>
      <c r="K23" s="1803"/>
      <c r="L23" s="1804"/>
      <c r="M23" s="897" t="str">
        <f t="shared" si="0"/>
        <v/>
      </c>
      <c r="N23" s="898" t="str">
        <f t="shared" si="1"/>
        <v/>
      </c>
      <c r="O23"/>
      <c r="P23"/>
      <c r="Q23" s="771" t="s">
        <v>561</v>
      </c>
      <c r="R23"/>
      <c r="S23"/>
      <c r="T23"/>
      <c r="AB23" s="193"/>
      <c r="AC23" s="193"/>
      <c r="AD23" s="194"/>
      <c r="AE23" s="195"/>
      <c r="AF23" s="193"/>
      <c r="AG23" s="193"/>
      <c r="AH23" s="193"/>
      <c r="AI23" s="193"/>
      <c r="AJ23" s="193"/>
      <c r="AK23" s="193"/>
      <c r="AL23" s="193"/>
      <c r="AZ23" s="196"/>
      <c r="BA23" s="196"/>
      <c r="BB23" s="196"/>
      <c r="BC23" s="196"/>
      <c r="BD23" s="196"/>
      <c r="BE23" s="196"/>
      <c r="BF23" s="196"/>
      <c r="BG23" s="196"/>
      <c r="BH23" s="196"/>
      <c r="BI23" s="196"/>
      <c r="BJ23" s="196"/>
      <c r="BK23" s="196"/>
    </row>
    <row r="24" spans="1:63" ht="15" customHeight="1" x14ac:dyDescent="0.2">
      <c r="A24"/>
      <c r="B24" s="1798"/>
      <c r="C24" s="1799"/>
      <c r="D24" s="1800"/>
      <c r="E24" s="1801"/>
      <c r="F24" s="1802"/>
      <c r="G24" s="1803"/>
      <c r="H24" s="1803"/>
      <c r="I24" s="1803"/>
      <c r="J24" s="1803"/>
      <c r="K24" s="1803"/>
      <c r="L24" s="1804"/>
      <c r="M24" s="897" t="str">
        <f t="shared" si="0"/>
        <v/>
      </c>
      <c r="N24" s="898" t="str">
        <f t="shared" si="1"/>
        <v/>
      </c>
      <c r="O24"/>
      <c r="P24"/>
      <c r="Q24"/>
      <c r="R24"/>
      <c r="S24"/>
      <c r="T24"/>
      <c r="AB24" s="193"/>
      <c r="AC24" s="193"/>
      <c r="AD24" s="194"/>
      <c r="AE24" s="195"/>
      <c r="AF24" s="193"/>
      <c r="AG24" s="193"/>
      <c r="AH24" s="193"/>
      <c r="AI24" s="193"/>
      <c r="AJ24" s="193"/>
      <c r="AK24" s="193"/>
      <c r="AL24" s="193"/>
      <c r="AZ24" s="196"/>
      <c r="BA24" s="196"/>
      <c r="BB24" s="196"/>
      <c r="BC24" s="196"/>
      <c r="BD24" s="196"/>
      <c r="BE24" s="196"/>
      <c r="BF24" s="196"/>
      <c r="BG24" s="196"/>
      <c r="BH24" s="196"/>
      <c r="BI24" s="196"/>
      <c r="BJ24" s="196"/>
      <c r="BK24" s="196"/>
    </row>
    <row r="25" spans="1:63" ht="15" customHeight="1" x14ac:dyDescent="0.2">
      <c r="A25"/>
      <c r="B25" s="1798"/>
      <c r="C25" s="1799"/>
      <c r="D25" s="1800"/>
      <c r="E25" s="1801"/>
      <c r="F25" s="1802"/>
      <c r="G25" s="1803"/>
      <c r="H25" s="1803"/>
      <c r="I25" s="1803"/>
      <c r="J25" s="1803"/>
      <c r="K25" s="1803"/>
      <c r="L25" s="1804"/>
      <c r="M25" s="897" t="str">
        <f t="shared" si="0"/>
        <v/>
      </c>
      <c r="N25" s="898" t="str">
        <f t="shared" si="1"/>
        <v/>
      </c>
      <c r="O25"/>
      <c r="P25"/>
      <c r="Q25" s="94"/>
      <c r="R25"/>
      <c r="S25"/>
      <c r="T25"/>
      <c r="AB25" s="193"/>
      <c r="AC25" s="193"/>
      <c r="AD25" s="194"/>
      <c r="AE25" s="195"/>
      <c r="AF25" s="193"/>
      <c r="AG25" s="193"/>
      <c r="AH25" s="193"/>
      <c r="AI25" s="193"/>
      <c r="AJ25" s="193"/>
      <c r="AK25" s="193"/>
      <c r="AL25" s="193"/>
      <c r="AZ25" s="196"/>
      <c r="BA25" s="196"/>
      <c r="BB25" s="196"/>
      <c r="BC25" s="196"/>
      <c r="BD25" s="196"/>
      <c r="BE25" s="196"/>
      <c r="BF25" s="196"/>
      <c r="BG25" s="196"/>
      <c r="BH25" s="196"/>
      <c r="BI25" s="196"/>
      <c r="BJ25" s="196"/>
      <c r="BK25" s="196"/>
    </row>
    <row r="26" spans="1:63" ht="15" customHeight="1" x14ac:dyDescent="0.2">
      <c r="A26"/>
      <c r="B26" s="1798"/>
      <c r="C26" s="1799"/>
      <c r="D26" s="1800"/>
      <c r="E26" s="1801"/>
      <c r="F26" s="1802"/>
      <c r="G26" s="1803"/>
      <c r="H26" s="1803"/>
      <c r="I26" s="1803"/>
      <c r="J26" s="1803"/>
      <c r="K26" s="1803"/>
      <c r="L26" s="1804"/>
      <c r="M26" s="897" t="str">
        <f t="shared" si="0"/>
        <v/>
      </c>
      <c r="N26" s="898" t="str">
        <f t="shared" si="1"/>
        <v/>
      </c>
      <c r="O26"/>
      <c r="P26"/>
      <c r="Q26" s="94"/>
      <c r="R26"/>
      <c r="S26"/>
      <c r="T26"/>
      <c r="AB26" s="193"/>
      <c r="AC26" s="193"/>
      <c r="AD26" s="194"/>
      <c r="AE26" s="195"/>
      <c r="AF26" s="193"/>
      <c r="AG26" s="193"/>
      <c r="AH26" s="193"/>
      <c r="AI26" s="193"/>
      <c r="AJ26" s="193"/>
      <c r="AK26" s="193"/>
      <c r="AL26" s="193"/>
      <c r="AZ26" s="196"/>
      <c r="BA26" s="196"/>
      <c r="BB26" s="196"/>
      <c r="BC26" s="196"/>
      <c r="BD26" s="196"/>
      <c r="BE26" s="196"/>
      <c r="BF26" s="196"/>
      <c r="BG26" s="196"/>
      <c r="BH26" s="196"/>
      <c r="BI26" s="196"/>
      <c r="BJ26" s="196"/>
      <c r="BK26" s="196"/>
    </row>
    <row r="27" spans="1:63" ht="15" customHeight="1" x14ac:dyDescent="0.2">
      <c r="A27"/>
      <c r="B27" s="1798"/>
      <c r="C27" s="1799"/>
      <c r="D27" s="1800"/>
      <c r="E27" s="1801"/>
      <c r="F27" s="1802"/>
      <c r="G27" s="1803"/>
      <c r="H27" s="1803"/>
      <c r="I27" s="1803"/>
      <c r="J27" s="1803"/>
      <c r="K27" s="1803"/>
      <c r="L27" s="1804"/>
      <c r="M27" s="897" t="str">
        <f t="shared" si="0"/>
        <v/>
      </c>
      <c r="N27" s="898" t="str">
        <f t="shared" si="1"/>
        <v/>
      </c>
      <c r="O27"/>
      <c r="P27"/>
      <c r="Q27" s="94"/>
      <c r="R27"/>
      <c r="S27"/>
      <c r="T27"/>
      <c r="AB27" s="193"/>
      <c r="AC27" s="193"/>
      <c r="AD27" s="194"/>
      <c r="AE27" s="195"/>
      <c r="AF27" s="193"/>
      <c r="AG27" s="193"/>
      <c r="AH27" s="193"/>
      <c r="AI27" s="193"/>
      <c r="AJ27" s="193"/>
      <c r="AK27" s="193"/>
      <c r="AL27" s="193"/>
      <c r="AZ27" s="196"/>
      <c r="BA27" s="196"/>
      <c r="BB27" s="196"/>
      <c r="BC27" s="196"/>
      <c r="BD27" s="196"/>
      <c r="BE27" s="196"/>
      <c r="BF27" s="196"/>
      <c r="BG27" s="196"/>
      <c r="BH27" s="196"/>
      <c r="BI27" s="196"/>
      <c r="BJ27" s="196"/>
      <c r="BK27" s="196"/>
    </row>
    <row r="28" spans="1:63" ht="15" customHeight="1" x14ac:dyDescent="0.2">
      <c r="A28"/>
      <c r="B28" s="1798"/>
      <c r="C28" s="1799"/>
      <c r="D28" s="1800"/>
      <c r="E28" s="1801"/>
      <c r="F28" s="1802"/>
      <c r="G28" s="1803"/>
      <c r="H28" s="1803"/>
      <c r="I28" s="1803"/>
      <c r="J28" s="1803"/>
      <c r="K28" s="1803"/>
      <c r="L28" s="1804"/>
      <c r="M28" s="897" t="str">
        <f t="shared" si="0"/>
        <v/>
      </c>
      <c r="N28" s="898" t="str">
        <f t="shared" si="1"/>
        <v/>
      </c>
      <c r="O28"/>
      <c r="P28"/>
      <c r="Q28" s="94"/>
      <c r="R28"/>
      <c r="S28"/>
      <c r="T28"/>
      <c r="AB28" s="193"/>
      <c r="AC28" s="193"/>
      <c r="AD28" s="194"/>
      <c r="AE28" s="195"/>
      <c r="AF28" s="193"/>
      <c r="AG28" s="193"/>
      <c r="AH28" s="193"/>
      <c r="AI28" s="193"/>
      <c r="AJ28" s="193"/>
      <c r="AK28" s="193"/>
      <c r="AL28" s="193"/>
      <c r="AZ28" s="196"/>
      <c r="BA28" s="196"/>
      <c r="BB28" s="196"/>
      <c r="BC28" s="196"/>
      <c r="BD28" s="196"/>
      <c r="BE28" s="196"/>
      <c r="BF28" s="196"/>
      <c r="BG28" s="196"/>
      <c r="BH28" s="196"/>
      <c r="BI28" s="196"/>
      <c r="BJ28" s="196"/>
      <c r="BK28" s="196"/>
    </row>
    <row r="29" spans="1:63" ht="15" customHeight="1" x14ac:dyDescent="0.2">
      <c r="A29"/>
      <c r="B29" s="1798"/>
      <c r="C29" s="1799"/>
      <c r="D29" s="1800"/>
      <c r="E29" s="1801"/>
      <c r="F29" s="1802"/>
      <c r="G29" s="1803"/>
      <c r="H29" s="1803"/>
      <c r="I29" s="1803"/>
      <c r="J29" s="1803"/>
      <c r="K29" s="1803"/>
      <c r="L29" s="1804"/>
      <c r="M29" s="897" t="str">
        <f t="shared" si="0"/>
        <v/>
      </c>
      <c r="N29" s="898" t="str">
        <f t="shared" si="1"/>
        <v/>
      </c>
      <c r="O29"/>
      <c r="P29"/>
      <c r="Q29" s="94"/>
      <c r="R29"/>
      <c r="S29"/>
      <c r="T29"/>
      <c r="AB29" s="193"/>
      <c r="AC29" s="193"/>
      <c r="AD29" s="194"/>
      <c r="AE29" s="195"/>
      <c r="AF29" s="193"/>
      <c r="AG29" s="193"/>
      <c r="AH29" s="193"/>
      <c r="AI29" s="193"/>
      <c r="AJ29" s="193"/>
      <c r="AK29" s="193"/>
      <c r="AL29" s="193"/>
      <c r="AZ29" s="196"/>
      <c r="BA29" s="196"/>
      <c r="BB29" s="196"/>
      <c r="BC29" s="196"/>
      <c r="BD29" s="196"/>
      <c r="BE29" s="196"/>
      <c r="BF29" s="196"/>
      <c r="BG29" s="196"/>
      <c r="BH29" s="196"/>
      <c r="BI29" s="196"/>
      <c r="BJ29" s="196"/>
      <c r="BK29" s="196"/>
    </row>
    <row r="30" spans="1:63" ht="15" customHeight="1" x14ac:dyDescent="0.2">
      <c r="A30"/>
      <c r="B30" s="1798"/>
      <c r="C30" s="1799"/>
      <c r="D30" s="1800"/>
      <c r="E30" s="1801"/>
      <c r="F30" s="1802"/>
      <c r="G30" s="1803"/>
      <c r="H30" s="1803"/>
      <c r="I30" s="1803"/>
      <c r="J30" s="1803"/>
      <c r="K30" s="1803"/>
      <c r="L30" s="1804"/>
      <c r="M30" s="897" t="str">
        <f t="shared" si="0"/>
        <v/>
      </c>
      <c r="N30" s="898" t="str">
        <f t="shared" si="1"/>
        <v/>
      </c>
      <c r="O30"/>
      <c r="P30"/>
      <c r="Q30" s="94"/>
      <c r="R30"/>
      <c r="S30"/>
      <c r="T30"/>
      <c r="AB30" s="193"/>
      <c r="AC30" s="193"/>
      <c r="AD30" s="194"/>
      <c r="AE30" s="195"/>
      <c r="AF30" s="193"/>
      <c r="AG30" s="193"/>
      <c r="AH30" s="193"/>
      <c r="AI30" s="193"/>
      <c r="AJ30" s="193"/>
      <c r="AK30" s="193"/>
      <c r="AL30" s="193"/>
      <c r="AZ30" s="196"/>
      <c r="BA30" s="196"/>
      <c r="BB30" s="196"/>
      <c r="BC30" s="196"/>
      <c r="BD30" s="196"/>
      <c r="BE30" s="196"/>
      <c r="BF30" s="196"/>
      <c r="BG30" s="196"/>
      <c r="BH30" s="196"/>
      <c r="BI30" s="196"/>
      <c r="BJ30" s="196"/>
      <c r="BK30" s="196"/>
    </row>
    <row r="31" spans="1:63" ht="15" customHeight="1" x14ac:dyDescent="0.2">
      <c r="A31"/>
      <c r="B31" s="1798"/>
      <c r="C31" s="1799"/>
      <c r="D31" s="1800"/>
      <c r="E31" s="1801"/>
      <c r="F31" s="1802"/>
      <c r="G31" s="1803"/>
      <c r="H31" s="1803"/>
      <c r="I31" s="1803"/>
      <c r="J31" s="1803"/>
      <c r="K31" s="1803"/>
      <c r="L31" s="1804"/>
      <c r="M31" s="897" t="str">
        <f t="shared" si="0"/>
        <v/>
      </c>
      <c r="N31" s="898" t="str">
        <f t="shared" si="1"/>
        <v/>
      </c>
      <c r="O31"/>
      <c r="P31"/>
      <c r="Q31" s="94"/>
      <c r="R31"/>
      <c r="S31"/>
      <c r="T31"/>
      <c r="AB31" s="193"/>
      <c r="AC31" s="193"/>
      <c r="AD31" s="194"/>
      <c r="AE31" s="195"/>
      <c r="AF31" s="193"/>
      <c r="AG31" s="193"/>
      <c r="AH31" s="193"/>
      <c r="AI31" s="193"/>
      <c r="AJ31" s="193"/>
      <c r="AK31" s="193"/>
      <c r="AL31" s="193"/>
      <c r="AZ31" s="196"/>
      <c r="BA31" s="196"/>
      <c r="BB31" s="196"/>
      <c r="BC31" s="196"/>
      <c r="BD31" s="196"/>
      <c r="BE31" s="196"/>
      <c r="BF31" s="196"/>
      <c r="BG31" s="196"/>
      <c r="BH31" s="196"/>
      <c r="BI31" s="196"/>
      <c r="BJ31" s="196"/>
      <c r="BK31" s="196"/>
    </row>
    <row r="32" spans="1:63" ht="15" customHeight="1" x14ac:dyDescent="0.2">
      <c r="A32"/>
      <c r="B32" s="1798"/>
      <c r="C32" s="1799"/>
      <c r="D32" s="1800"/>
      <c r="E32" s="1801"/>
      <c r="F32" s="1802"/>
      <c r="G32" s="1803"/>
      <c r="H32" s="1803"/>
      <c r="I32" s="1803"/>
      <c r="J32" s="1803"/>
      <c r="K32" s="1803"/>
      <c r="L32" s="1804"/>
      <c r="M32" s="897" t="str">
        <f t="shared" si="0"/>
        <v/>
      </c>
      <c r="N32" s="898" t="str">
        <f t="shared" si="1"/>
        <v/>
      </c>
      <c r="O32"/>
      <c r="P32"/>
      <c r="Q32" s="94"/>
      <c r="R32"/>
      <c r="S32"/>
      <c r="T32"/>
      <c r="AB32" s="193"/>
      <c r="AC32" s="193"/>
      <c r="AD32" s="194"/>
      <c r="AE32" s="195"/>
      <c r="AF32" s="193"/>
      <c r="AG32" s="193"/>
      <c r="AH32" s="193"/>
      <c r="AI32" s="193"/>
      <c r="AJ32" s="193"/>
      <c r="AK32" s="193"/>
      <c r="AL32" s="193"/>
      <c r="AZ32" s="196"/>
      <c r="BA32" s="196"/>
      <c r="BB32" s="196"/>
      <c r="BC32" s="196"/>
      <c r="BD32" s="196"/>
      <c r="BE32" s="196"/>
      <c r="BF32" s="196"/>
      <c r="BG32" s="196"/>
      <c r="BH32" s="196"/>
      <c r="BI32" s="196"/>
      <c r="BJ32" s="196"/>
      <c r="BK32" s="196"/>
    </row>
    <row r="33" spans="1:63" ht="15" customHeight="1" x14ac:dyDescent="0.2">
      <c r="A33"/>
      <c r="B33" s="1798"/>
      <c r="C33" s="1799"/>
      <c r="D33" s="1800"/>
      <c r="E33" s="1801"/>
      <c r="F33" s="1802"/>
      <c r="G33" s="1803"/>
      <c r="H33" s="1803"/>
      <c r="I33" s="1803"/>
      <c r="J33" s="1803"/>
      <c r="K33" s="1803"/>
      <c r="L33" s="1804"/>
      <c r="M33" s="897" t="str">
        <f t="shared" si="0"/>
        <v/>
      </c>
      <c r="N33" s="898" t="str">
        <f t="shared" si="1"/>
        <v/>
      </c>
      <c r="O33"/>
      <c r="P33"/>
      <c r="Q33" s="771" t="s">
        <v>562</v>
      </c>
      <c r="R33"/>
      <c r="S33"/>
      <c r="T33"/>
      <c r="AB33" s="193"/>
      <c r="AC33" s="193"/>
      <c r="AD33" s="194"/>
      <c r="AE33" s="195"/>
      <c r="AF33" s="193"/>
      <c r="AG33" s="193"/>
      <c r="AH33" s="193"/>
      <c r="AI33" s="193"/>
      <c r="AJ33" s="193"/>
      <c r="AK33" s="193"/>
      <c r="AL33" s="193"/>
      <c r="AZ33" s="196"/>
      <c r="BA33" s="196"/>
      <c r="BB33" s="196"/>
      <c r="BC33" s="196"/>
      <c r="BD33" s="196"/>
      <c r="BE33" s="196"/>
      <c r="BF33" s="196"/>
      <c r="BG33" s="196"/>
      <c r="BH33" s="196"/>
      <c r="BI33" s="196"/>
      <c r="BJ33" s="196"/>
      <c r="BK33" s="196"/>
    </row>
    <row r="34" spans="1:63" ht="15" customHeight="1" x14ac:dyDescent="0.2">
      <c r="A34"/>
      <c r="B34" s="1798"/>
      <c r="C34" s="1799"/>
      <c r="D34" s="1800"/>
      <c r="E34" s="1801"/>
      <c r="F34" s="1802"/>
      <c r="G34" s="1803"/>
      <c r="H34" s="1803"/>
      <c r="I34" s="1803"/>
      <c r="J34" s="1803"/>
      <c r="K34" s="1803"/>
      <c r="L34" s="1804"/>
      <c r="M34" s="897" t="str">
        <f t="shared" si="0"/>
        <v/>
      </c>
      <c r="N34" s="898" t="str">
        <f t="shared" si="1"/>
        <v/>
      </c>
      <c r="O34"/>
      <c r="P34"/>
      <c r="Q34" s="94"/>
      <c r="R34"/>
      <c r="S34"/>
      <c r="T34"/>
      <c r="AB34" s="193"/>
      <c r="AC34" s="783"/>
      <c r="AD34" s="194"/>
      <c r="AE34" s="195"/>
      <c r="AF34" s="783"/>
      <c r="AG34" s="193"/>
      <c r="AH34" s="193"/>
      <c r="AI34" s="193"/>
      <c r="AJ34" s="193"/>
      <c r="AK34" s="193"/>
      <c r="AL34" s="193"/>
      <c r="AZ34" s="196"/>
      <c r="BA34" s="196"/>
      <c r="BB34" s="196"/>
      <c r="BC34" s="196"/>
      <c r="BD34" s="196"/>
      <c r="BE34" s="196"/>
      <c r="BF34" s="196"/>
      <c r="BG34" s="196"/>
      <c r="BH34" s="196"/>
      <c r="BI34" s="196"/>
      <c r="BJ34" s="196"/>
      <c r="BK34" s="196"/>
    </row>
    <row r="35" spans="1:63" ht="15" customHeight="1" x14ac:dyDescent="0.2">
      <c r="A35"/>
      <c r="B35" s="1798"/>
      <c r="C35" s="1799"/>
      <c r="D35" s="1800"/>
      <c r="E35" s="1801"/>
      <c r="F35" s="1802"/>
      <c r="G35" s="1803"/>
      <c r="H35" s="1803"/>
      <c r="I35" s="1803"/>
      <c r="J35" s="1803"/>
      <c r="K35" s="1803"/>
      <c r="L35" s="1804"/>
      <c r="M35" s="897" t="str">
        <f t="shared" ref="M35:M66" si="2">UPPER(C35)</f>
        <v/>
      </c>
      <c r="N35" s="898" t="str">
        <f t="shared" si="1"/>
        <v/>
      </c>
      <c r="O35"/>
      <c r="P35"/>
      <c r="Q35"/>
      <c r="R35"/>
      <c r="S35"/>
      <c r="T35"/>
      <c r="AB35" s="193"/>
      <c r="AC35" s="193"/>
      <c r="AD35" s="194"/>
      <c r="AE35" s="195"/>
      <c r="AF35" s="193"/>
      <c r="AG35" s="193"/>
      <c r="AH35" s="193"/>
      <c r="AI35" s="193"/>
      <c r="AJ35" s="193"/>
      <c r="AK35" s="193"/>
      <c r="AL35" s="193"/>
      <c r="AZ35" s="196"/>
      <c r="BA35" s="196"/>
      <c r="BB35" s="196"/>
      <c r="BC35" s="196"/>
      <c r="BD35" s="196"/>
      <c r="BE35" s="196"/>
      <c r="BF35" s="196"/>
      <c r="BG35" s="196"/>
      <c r="BH35" s="196"/>
      <c r="BI35" s="196"/>
      <c r="BJ35" s="196"/>
      <c r="BK35" s="196"/>
    </row>
    <row r="36" spans="1:63" ht="15" customHeight="1" x14ac:dyDescent="0.2">
      <c r="A36"/>
      <c r="B36" s="1798"/>
      <c r="C36" s="1799"/>
      <c r="D36" s="1800"/>
      <c r="E36" s="1801"/>
      <c r="F36" s="1802"/>
      <c r="G36" s="1803"/>
      <c r="H36" s="1803"/>
      <c r="I36" s="1803"/>
      <c r="J36" s="1803"/>
      <c r="K36" s="1803"/>
      <c r="L36" s="1804"/>
      <c r="M36" s="897" t="str">
        <f t="shared" si="2"/>
        <v/>
      </c>
      <c r="N36" s="898" t="str">
        <f t="shared" si="1"/>
        <v/>
      </c>
      <c r="O36"/>
      <c r="P36"/>
      <c r="Q36" s="94"/>
      <c r="R36"/>
      <c r="S36"/>
      <c r="T36"/>
      <c r="AB36" s="193"/>
      <c r="AC36" s="193"/>
      <c r="AD36" s="194"/>
      <c r="AE36" s="195"/>
      <c r="AF36" s="193"/>
      <c r="AG36" s="193"/>
      <c r="AH36" s="193"/>
      <c r="AI36" s="193"/>
      <c r="AJ36" s="193"/>
      <c r="AK36" s="193"/>
      <c r="AL36" s="193"/>
      <c r="AZ36" s="196"/>
      <c r="BA36" s="196"/>
      <c r="BB36" s="196"/>
      <c r="BC36" s="196"/>
      <c r="BD36" s="196"/>
      <c r="BE36" s="196"/>
      <c r="BF36" s="196"/>
      <c r="BG36" s="196"/>
      <c r="BH36" s="196"/>
      <c r="BI36" s="196"/>
      <c r="BJ36" s="196"/>
      <c r="BK36" s="196"/>
    </row>
    <row r="37" spans="1:63" ht="15" customHeight="1" x14ac:dyDescent="0.2">
      <c r="A37"/>
      <c r="B37" s="1798"/>
      <c r="C37" s="1799"/>
      <c r="D37" s="1800"/>
      <c r="E37" s="1801"/>
      <c r="F37" s="1802"/>
      <c r="G37" s="1803"/>
      <c r="H37" s="1803"/>
      <c r="I37" s="1803"/>
      <c r="J37" s="1803"/>
      <c r="K37" s="1803"/>
      <c r="L37" s="1804"/>
      <c r="M37" s="897" t="str">
        <f t="shared" si="2"/>
        <v/>
      </c>
      <c r="N37" s="898" t="str">
        <f t="shared" si="1"/>
        <v/>
      </c>
      <c r="O37"/>
      <c r="P37"/>
      <c r="Q37" s="94"/>
      <c r="R37"/>
      <c r="S37"/>
      <c r="T37"/>
      <c r="AB37" s="193"/>
      <c r="AC37" s="193"/>
      <c r="AD37" s="194"/>
      <c r="AE37" s="195"/>
      <c r="AF37" s="193"/>
      <c r="AG37" s="193"/>
      <c r="AH37" s="193"/>
      <c r="AI37" s="193"/>
      <c r="AJ37" s="193"/>
      <c r="AK37" s="193"/>
      <c r="AL37" s="193"/>
      <c r="AZ37" s="196"/>
      <c r="BA37" s="196"/>
      <c r="BB37" s="196"/>
      <c r="BC37" s="196"/>
      <c r="BD37" s="196"/>
      <c r="BE37" s="196"/>
      <c r="BF37" s="196"/>
      <c r="BG37" s="196"/>
      <c r="BH37" s="196"/>
      <c r="BI37" s="196"/>
      <c r="BJ37" s="196"/>
      <c r="BK37" s="196"/>
    </row>
    <row r="38" spans="1:63" ht="15" customHeight="1" x14ac:dyDescent="0.2">
      <c r="A38"/>
      <c r="B38" s="1798"/>
      <c r="C38" s="1799"/>
      <c r="D38" s="1800"/>
      <c r="E38" s="1801"/>
      <c r="F38" s="1802"/>
      <c r="G38" s="1803"/>
      <c r="H38" s="1803"/>
      <c r="I38" s="1803"/>
      <c r="J38" s="1803"/>
      <c r="K38" s="1803"/>
      <c r="L38" s="1804"/>
      <c r="M38" s="897" t="str">
        <f t="shared" si="2"/>
        <v/>
      </c>
      <c r="N38" s="898" t="str">
        <f t="shared" si="1"/>
        <v/>
      </c>
      <c r="O38"/>
      <c r="P38"/>
      <c r="Q38" s="94"/>
      <c r="R38"/>
      <c r="S38"/>
      <c r="T38"/>
      <c r="AB38" s="193"/>
      <c r="AC38" s="193"/>
      <c r="AD38" s="194"/>
      <c r="AE38" s="195"/>
      <c r="AF38" s="193"/>
      <c r="AG38" s="193"/>
      <c r="AH38" s="193"/>
      <c r="AI38" s="193"/>
      <c r="AJ38" s="193"/>
      <c r="AK38" s="193"/>
      <c r="AL38" s="193"/>
      <c r="AZ38" s="196"/>
      <c r="BA38" s="196"/>
      <c r="BB38" s="196"/>
      <c r="BC38" s="196"/>
      <c r="BD38" s="196"/>
      <c r="BE38" s="196"/>
      <c r="BF38" s="196"/>
      <c r="BG38" s="196"/>
      <c r="BH38" s="196"/>
      <c r="BI38" s="196"/>
      <c r="BJ38" s="196"/>
      <c r="BK38" s="196"/>
    </row>
    <row r="39" spans="1:63" ht="15" customHeight="1" x14ac:dyDescent="0.2">
      <c r="A39"/>
      <c r="B39" s="1798"/>
      <c r="C39" s="1799"/>
      <c r="D39" s="1800"/>
      <c r="E39" s="1801"/>
      <c r="F39" s="1802"/>
      <c r="G39" s="1803"/>
      <c r="H39" s="1803"/>
      <c r="I39" s="1803"/>
      <c r="J39" s="1803"/>
      <c r="K39" s="1803"/>
      <c r="L39" s="1804"/>
      <c r="M39" s="897" t="str">
        <f t="shared" si="2"/>
        <v/>
      </c>
      <c r="N39" s="898" t="str">
        <f t="shared" si="1"/>
        <v/>
      </c>
      <c r="O39"/>
      <c r="P39"/>
      <c r="Q39" s="94"/>
      <c r="R39"/>
      <c r="S39"/>
      <c r="T39"/>
      <c r="AB39" s="193"/>
      <c r="AC39" s="193"/>
      <c r="AD39" s="194"/>
      <c r="AE39" s="195"/>
      <c r="AF39" s="193"/>
      <c r="AG39" s="193"/>
      <c r="AH39" s="193"/>
      <c r="AI39" s="193"/>
      <c r="AJ39" s="193"/>
      <c r="AK39" s="193"/>
      <c r="AL39" s="193"/>
      <c r="AZ39" s="196"/>
      <c r="BA39" s="196"/>
      <c r="BB39" s="196"/>
      <c r="BC39" s="196"/>
      <c r="BD39" s="196"/>
      <c r="BE39" s="196"/>
      <c r="BF39" s="196"/>
      <c r="BG39" s="196"/>
      <c r="BH39" s="196"/>
      <c r="BI39" s="196"/>
      <c r="BJ39" s="196"/>
      <c r="BK39" s="196"/>
    </row>
    <row r="40" spans="1:63" ht="15" customHeight="1" x14ac:dyDescent="0.2">
      <c r="A40"/>
      <c r="B40" s="1798"/>
      <c r="C40" s="1799"/>
      <c r="D40" s="1800"/>
      <c r="E40" s="1801"/>
      <c r="F40" s="1802"/>
      <c r="G40" s="1803"/>
      <c r="H40" s="1803"/>
      <c r="I40" s="1803"/>
      <c r="J40" s="1803"/>
      <c r="K40" s="1803"/>
      <c r="L40" s="1804"/>
      <c r="M40" s="897" t="str">
        <f t="shared" si="2"/>
        <v/>
      </c>
      <c r="N40" s="898" t="str">
        <f t="shared" si="1"/>
        <v/>
      </c>
      <c r="O40"/>
      <c r="P40"/>
      <c r="Q40" s="94"/>
      <c r="R40"/>
      <c r="S40"/>
      <c r="T40"/>
      <c r="AB40" s="193"/>
      <c r="AC40" s="193"/>
      <c r="AD40" s="194"/>
      <c r="AE40" s="195"/>
      <c r="AF40" s="193"/>
      <c r="AG40" s="193"/>
      <c r="AH40" s="193"/>
      <c r="AI40" s="193"/>
      <c r="AJ40" s="193"/>
      <c r="AK40" s="193"/>
      <c r="AL40" s="193"/>
      <c r="AZ40" s="196"/>
      <c r="BA40" s="196"/>
      <c r="BB40" s="196"/>
      <c r="BC40" s="196"/>
      <c r="BD40" s="196"/>
      <c r="BE40" s="196"/>
      <c r="BF40" s="196"/>
      <c r="BG40" s="196"/>
      <c r="BH40" s="196"/>
      <c r="BI40" s="196"/>
      <c r="BJ40" s="196"/>
      <c r="BK40" s="196"/>
    </row>
    <row r="41" spans="1:63" ht="15" customHeight="1" x14ac:dyDescent="0.2">
      <c r="A41"/>
      <c r="B41" s="1798"/>
      <c r="C41" s="1799"/>
      <c r="D41" s="1800"/>
      <c r="E41" s="1801"/>
      <c r="F41" s="1802"/>
      <c r="G41" s="1803"/>
      <c r="H41" s="1803"/>
      <c r="I41" s="1803"/>
      <c r="J41" s="1803"/>
      <c r="K41" s="1803"/>
      <c r="L41" s="1804"/>
      <c r="M41" s="897" t="str">
        <f t="shared" si="2"/>
        <v/>
      </c>
      <c r="N41" s="898" t="str">
        <f t="shared" si="1"/>
        <v/>
      </c>
      <c r="O41"/>
      <c r="P41"/>
      <c r="Q41" s="94"/>
      <c r="R41"/>
      <c r="S41"/>
      <c r="T41"/>
      <c r="AB41" s="193"/>
      <c r="AC41" s="193"/>
      <c r="AD41" s="194"/>
      <c r="AE41" s="195"/>
      <c r="AF41" s="193"/>
      <c r="AG41" s="193"/>
      <c r="AH41" s="193"/>
      <c r="AI41" s="193"/>
      <c r="AJ41" s="193"/>
      <c r="AK41" s="193"/>
      <c r="AL41" s="193"/>
      <c r="AZ41" s="196"/>
      <c r="BA41" s="196"/>
      <c r="BB41" s="196"/>
      <c r="BC41" s="196"/>
      <c r="BD41" s="196"/>
      <c r="BE41" s="196"/>
      <c r="BF41" s="196"/>
      <c r="BG41" s="196"/>
      <c r="BH41" s="196"/>
      <c r="BI41" s="196"/>
      <c r="BJ41" s="196"/>
      <c r="BK41" s="196"/>
    </row>
    <row r="42" spans="1:63" ht="15" customHeight="1" x14ac:dyDescent="0.2">
      <c r="A42"/>
      <c r="B42" s="1798"/>
      <c r="C42" s="1799"/>
      <c r="D42" s="1800"/>
      <c r="E42" s="1801"/>
      <c r="F42" s="1802"/>
      <c r="G42" s="1803"/>
      <c r="H42" s="1803"/>
      <c r="I42" s="1803"/>
      <c r="J42" s="1803"/>
      <c r="K42" s="1803"/>
      <c r="L42" s="1804"/>
      <c r="M42" s="897" t="str">
        <f t="shared" si="2"/>
        <v/>
      </c>
      <c r="N42" s="898" t="str">
        <f t="shared" si="1"/>
        <v/>
      </c>
      <c r="O42"/>
      <c r="P42"/>
      <c r="Q42" s="94"/>
      <c r="R42"/>
      <c r="S42"/>
      <c r="T42"/>
      <c r="AB42" s="193"/>
      <c r="AC42" s="193"/>
      <c r="AD42" s="194"/>
      <c r="AE42" s="195"/>
      <c r="AF42" s="193"/>
      <c r="AG42" s="193"/>
      <c r="AH42" s="193"/>
      <c r="AI42" s="193"/>
      <c r="AJ42" s="193"/>
      <c r="AK42" s="193"/>
      <c r="AL42" s="193"/>
      <c r="AZ42" s="196"/>
      <c r="BA42" s="196"/>
      <c r="BB42" s="196"/>
      <c r="BC42" s="196"/>
      <c r="BD42" s="196"/>
      <c r="BE42" s="196"/>
      <c r="BF42" s="196"/>
      <c r="BG42" s="196"/>
      <c r="BH42" s="196"/>
      <c r="BI42" s="196"/>
      <c r="BJ42" s="196"/>
      <c r="BK42" s="196"/>
    </row>
    <row r="43" spans="1:63" ht="15" customHeight="1" x14ac:dyDescent="0.2">
      <c r="A43"/>
      <c r="B43" s="1798"/>
      <c r="C43" s="1799"/>
      <c r="D43" s="1800"/>
      <c r="E43" s="1801"/>
      <c r="F43" s="1802"/>
      <c r="G43" s="1803"/>
      <c r="H43" s="1803"/>
      <c r="I43" s="1803"/>
      <c r="J43" s="1803"/>
      <c r="K43" s="1803"/>
      <c r="L43" s="1804"/>
      <c r="M43" s="897" t="str">
        <f t="shared" si="2"/>
        <v/>
      </c>
      <c r="N43" s="898" t="str">
        <f t="shared" si="1"/>
        <v/>
      </c>
      <c r="O43"/>
      <c r="P43"/>
      <c r="Q43" s="771" t="s">
        <v>563</v>
      </c>
      <c r="R43"/>
      <c r="S43"/>
      <c r="T43"/>
      <c r="AB43" s="193"/>
      <c r="AC43" s="193"/>
      <c r="AD43" s="194"/>
      <c r="AE43" s="195"/>
      <c r="AF43" s="193"/>
      <c r="AG43" s="193"/>
      <c r="AH43" s="193"/>
      <c r="AI43" s="193"/>
      <c r="AJ43" s="193"/>
      <c r="AK43" s="193"/>
      <c r="AL43" s="193"/>
      <c r="AZ43" s="196"/>
      <c r="BA43" s="196"/>
      <c r="BB43" s="196"/>
      <c r="BC43" s="196"/>
      <c r="BD43" s="196"/>
      <c r="BE43" s="196"/>
      <c r="BF43" s="196"/>
      <c r="BG43" s="196"/>
      <c r="BH43" s="196"/>
      <c r="BI43" s="196"/>
      <c r="BJ43" s="196"/>
      <c r="BK43" s="196"/>
    </row>
    <row r="44" spans="1:63" ht="15" customHeight="1" x14ac:dyDescent="0.2">
      <c r="A44"/>
      <c r="B44" s="1798"/>
      <c r="C44" s="1799"/>
      <c r="D44" s="1800"/>
      <c r="E44" s="1801"/>
      <c r="F44" s="1802"/>
      <c r="G44" s="1803"/>
      <c r="H44" s="1803"/>
      <c r="I44" s="1803"/>
      <c r="J44" s="1803"/>
      <c r="K44" s="1803"/>
      <c r="L44" s="1804"/>
      <c r="M44" s="897" t="str">
        <f t="shared" si="2"/>
        <v/>
      </c>
      <c r="N44" s="898" t="str">
        <f t="shared" si="1"/>
        <v/>
      </c>
      <c r="O44"/>
      <c r="P44"/>
      <c r="Q44" s="94"/>
      <c r="R44"/>
      <c r="S44"/>
      <c r="T44"/>
      <c r="AB44" s="193"/>
      <c r="AC44" s="193"/>
      <c r="AD44" s="194"/>
      <c r="AE44" s="195"/>
      <c r="AF44" s="193"/>
      <c r="AG44" s="193"/>
      <c r="AH44" s="193"/>
      <c r="AI44" s="193"/>
      <c r="AJ44" s="193"/>
      <c r="AK44" s="193"/>
      <c r="AL44" s="193"/>
      <c r="AZ44" s="196"/>
      <c r="BA44" s="196"/>
      <c r="BB44" s="196"/>
      <c r="BC44" s="196"/>
      <c r="BD44" s="196"/>
      <c r="BE44" s="196"/>
      <c r="BF44" s="196"/>
      <c r="BG44" s="196"/>
      <c r="BH44" s="196"/>
      <c r="BI44" s="196"/>
      <c r="BJ44" s="196"/>
      <c r="BK44" s="196"/>
    </row>
    <row r="45" spans="1:63" ht="15" customHeight="1" x14ac:dyDescent="0.2">
      <c r="A45"/>
      <c r="B45" s="1798"/>
      <c r="C45" s="1799"/>
      <c r="D45" s="1800"/>
      <c r="E45" s="1801"/>
      <c r="F45" s="1802"/>
      <c r="G45" s="1803"/>
      <c r="H45" s="1803"/>
      <c r="I45" s="1803"/>
      <c r="J45" s="1803"/>
      <c r="K45" s="1803"/>
      <c r="L45" s="1804"/>
      <c r="M45" s="897" t="str">
        <f t="shared" si="2"/>
        <v/>
      </c>
      <c r="N45" s="898" t="str">
        <f t="shared" si="1"/>
        <v/>
      </c>
      <c r="O45"/>
      <c r="P45"/>
      <c r="Q45" s="94"/>
      <c r="R45"/>
      <c r="S45"/>
      <c r="T45"/>
      <c r="AB45" s="193"/>
      <c r="AC45" s="193"/>
      <c r="AD45" s="194"/>
      <c r="AE45" s="195"/>
      <c r="AF45" s="193"/>
      <c r="AG45" s="193"/>
      <c r="AH45" s="193"/>
      <c r="AI45" s="193"/>
      <c r="AJ45" s="193"/>
      <c r="AK45" s="193"/>
      <c r="AL45" s="193"/>
      <c r="AZ45" s="196"/>
      <c r="BA45" s="196"/>
      <c r="BB45" s="196"/>
      <c r="BC45" s="196"/>
      <c r="BD45" s="196"/>
      <c r="BE45" s="196"/>
      <c r="BF45" s="196"/>
      <c r="BG45" s="196"/>
      <c r="BH45" s="196"/>
      <c r="BI45" s="196"/>
      <c r="BJ45" s="196"/>
      <c r="BK45" s="196"/>
    </row>
    <row r="46" spans="1:63" ht="15" customHeight="1" x14ac:dyDescent="0.2">
      <c r="A46"/>
      <c r="B46" s="1798"/>
      <c r="C46" s="1799"/>
      <c r="D46" s="1800"/>
      <c r="E46" s="1801"/>
      <c r="F46" s="1802"/>
      <c r="G46" s="1803"/>
      <c r="H46" s="1803"/>
      <c r="I46" s="1803"/>
      <c r="J46" s="1803"/>
      <c r="K46" s="1803"/>
      <c r="L46" s="1804"/>
      <c r="M46" s="897" t="str">
        <f t="shared" si="2"/>
        <v/>
      </c>
      <c r="N46" s="898" t="str">
        <f t="shared" si="1"/>
        <v/>
      </c>
      <c r="O46"/>
      <c r="P46"/>
      <c r="Q46"/>
      <c r="R46"/>
      <c r="S46"/>
      <c r="T46"/>
      <c r="AB46" s="193"/>
      <c r="AC46" s="193"/>
      <c r="AD46" s="194"/>
      <c r="AE46" s="195"/>
      <c r="AF46" s="193"/>
      <c r="AG46" s="193"/>
      <c r="AH46" s="193"/>
      <c r="AI46" s="193"/>
      <c r="AJ46" s="193"/>
      <c r="AK46" s="193"/>
      <c r="AL46" s="193"/>
      <c r="AZ46" s="196"/>
      <c r="BA46" s="196"/>
      <c r="BB46" s="196"/>
      <c r="BC46" s="196"/>
      <c r="BD46" s="196"/>
      <c r="BE46" s="196"/>
      <c r="BF46" s="196"/>
      <c r="BG46" s="196"/>
      <c r="BH46" s="196"/>
      <c r="BI46" s="196"/>
      <c r="BJ46" s="196"/>
      <c r="BK46" s="196"/>
    </row>
    <row r="47" spans="1:63" ht="15" customHeight="1" x14ac:dyDescent="0.2">
      <c r="A47"/>
      <c r="B47" s="1798"/>
      <c r="C47" s="1799"/>
      <c r="D47" s="1800"/>
      <c r="E47" s="1801"/>
      <c r="F47" s="1802"/>
      <c r="G47" s="1803"/>
      <c r="H47" s="1803"/>
      <c r="I47" s="1803"/>
      <c r="J47" s="1803"/>
      <c r="K47" s="1803"/>
      <c r="L47" s="1804"/>
      <c r="M47" s="897" t="str">
        <f t="shared" si="2"/>
        <v/>
      </c>
      <c r="N47" s="898" t="str">
        <f t="shared" si="1"/>
        <v/>
      </c>
      <c r="O47"/>
      <c r="P47"/>
      <c r="Q47" s="94"/>
      <c r="R47"/>
      <c r="S47"/>
      <c r="T47"/>
      <c r="AB47" s="193"/>
      <c r="AC47" s="193"/>
      <c r="AD47" s="194"/>
      <c r="AE47" s="195"/>
      <c r="AF47" s="193"/>
      <c r="AG47" s="193"/>
      <c r="AH47" s="193"/>
      <c r="AI47" s="193"/>
      <c r="AJ47" s="193"/>
      <c r="AK47" s="193"/>
      <c r="AL47" s="193"/>
      <c r="AZ47" s="196"/>
      <c r="BA47" s="196"/>
      <c r="BB47" s="196"/>
      <c r="BC47" s="196"/>
      <c r="BD47" s="196"/>
      <c r="BE47" s="196"/>
      <c r="BF47" s="196"/>
      <c r="BG47" s="196"/>
      <c r="BH47" s="196"/>
      <c r="BI47" s="196"/>
      <c r="BJ47" s="196"/>
      <c r="BK47" s="196"/>
    </row>
    <row r="48" spans="1:63" ht="15" customHeight="1" x14ac:dyDescent="0.2">
      <c r="A48"/>
      <c r="B48" s="1798"/>
      <c r="C48" s="1799"/>
      <c r="D48" s="1800"/>
      <c r="E48" s="1801"/>
      <c r="F48" s="1802"/>
      <c r="G48" s="1803"/>
      <c r="H48" s="1803"/>
      <c r="I48" s="1803"/>
      <c r="J48" s="1803"/>
      <c r="K48" s="1803"/>
      <c r="L48" s="1804"/>
      <c r="M48" s="897" t="str">
        <f t="shared" si="2"/>
        <v/>
      </c>
      <c r="N48" s="898" t="str">
        <f t="shared" si="1"/>
        <v/>
      </c>
      <c r="O48"/>
      <c r="P48"/>
      <c r="Q48" s="94"/>
      <c r="R48"/>
      <c r="S48"/>
      <c r="T48"/>
      <c r="AB48" s="193"/>
      <c r="AC48" s="193"/>
      <c r="AD48" s="194"/>
      <c r="AE48" s="195"/>
      <c r="AF48" s="193"/>
      <c r="AG48" s="193"/>
      <c r="AH48" s="193"/>
      <c r="AI48" s="193"/>
      <c r="AJ48" s="193"/>
      <c r="AK48" s="193"/>
      <c r="AL48" s="193"/>
      <c r="AZ48" s="196"/>
      <c r="BA48" s="196"/>
      <c r="BB48" s="196"/>
      <c r="BC48" s="196"/>
      <c r="BD48" s="196"/>
      <c r="BE48" s="196"/>
      <c r="BF48" s="196"/>
      <c r="BG48" s="196"/>
      <c r="BH48" s="196"/>
      <c r="BI48" s="196"/>
      <c r="BJ48" s="196"/>
      <c r="BK48" s="196"/>
    </row>
    <row r="49" spans="1:63" ht="15" customHeight="1" x14ac:dyDescent="0.2">
      <c r="A49"/>
      <c r="B49" s="1798"/>
      <c r="C49" s="1799"/>
      <c r="D49" s="1800"/>
      <c r="E49" s="1801"/>
      <c r="F49" s="1802"/>
      <c r="G49" s="1803"/>
      <c r="H49" s="1803"/>
      <c r="I49" s="1803"/>
      <c r="J49" s="1803"/>
      <c r="K49" s="1803"/>
      <c r="L49" s="1804"/>
      <c r="M49" s="897" t="str">
        <f t="shared" si="2"/>
        <v/>
      </c>
      <c r="N49" s="898" t="str">
        <f t="shared" si="1"/>
        <v/>
      </c>
      <c r="O49"/>
      <c r="P49"/>
      <c r="Q49" s="94"/>
      <c r="R49"/>
      <c r="S49"/>
      <c r="T49"/>
      <c r="AB49" s="193"/>
      <c r="AC49" s="193"/>
      <c r="AD49" s="194"/>
      <c r="AE49" s="195"/>
      <c r="AF49" s="193"/>
      <c r="AG49" s="193"/>
      <c r="AH49" s="193"/>
      <c r="AI49" s="193"/>
      <c r="AJ49" s="193"/>
      <c r="AK49" s="193"/>
      <c r="AL49" s="193"/>
      <c r="AZ49" s="196"/>
      <c r="BA49" s="196"/>
      <c r="BB49" s="196"/>
      <c r="BC49" s="196"/>
      <c r="BD49" s="196"/>
      <c r="BE49" s="196"/>
      <c r="BF49" s="196"/>
      <c r="BG49" s="196"/>
      <c r="BH49" s="196"/>
      <c r="BI49" s="196"/>
      <c r="BJ49" s="196"/>
      <c r="BK49" s="196"/>
    </row>
    <row r="50" spans="1:63" ht="15" customHeight="1" x14ac:dyDescent="0.2">
      <c r="A50"/>
      <c r="B50" s="1798"/>
      <c r="C50" s="1799"/>
      <c r="D50" s="1800"/>
      <c r="E50" s="1801"/>
      <c r="F50" s="1802"/>
      <c r="G50" s="1803"/>
      <c r="H50" s="1803"/>
      <c r="I50" s="1803"/>
      <c r="J50" s="1803"/>
      <c r="K50" s="1803"/>
      <c r="L50" s="1804"/>
      <c r="M50" s="897" t="str">
        <f t="shared" si="2"/>
        <v/>
      </c>
      <c r="N50" s="898" t="str">
        <f t="shared" si="1"/>
        <v/>
      </c>
      <c r="O50"/>
      <c r="P50"/>
      <c r="Q50" s="94"/>
      <c r="R50"/>
      <c r="S50"/>
      <c r="T50"/>
      <c r="AB50" s="193"/>
      <c r="AC50" s="193"/>
      <c r="AD50" s="194"/>
      <c r="AE50" s="195"/>
      <c r="AF50" s="193"/>
      <c r="AG50" s="193"/>
      <c r="AH50" s="193"/>
      <c r="AI50" s="193"/>
      <c r="AJ50" s="193"/>
      <c r="AK50" s="193"/>
      <c r="AL50" s="193"/>
      <c r="AZ50" s="196"/>
      <c r="BA50" s="196"/>
      <c r="BB50" s="196"/>
      <c r="BC50" s="196"/>
      <c r="BD50" s="196"/>
      <c r="BE50" s="196"/>
      <c r="BF50" s="196"/>
      <c r="BG50" s="196"/>
      <c r="BH50" s="196"/>
      <c r="BI50" s="196"/>
      <c r="BJ50" s="196"/>
      <c r="BK50" s="196"/>
    </row>
    <row r="51" spans="1:63" ht="15" customHeight="1" x14ac:dyDescent="0.2">
      <c r="A51"/>
      <c r="B51" s="1798"/>
      <c r="C51" s="1799"/>
      <c r="D51" s="1800"/>
      <c r="E51" s="1801"/>
      <c r="F51" s="1802"/>
      <c r="G51" s="1803"/>
      <c r="H51" s="1803"/>
      <c r="I51" s="1803"/>
      <c r="J51" s="1803"/>
      <c r="K51" s="1803"/>
      <c r="L51" s="1804"/>
      <c r="M51" s="897" t="str">
        <f t="shared" si="2"/>
        <v/>
      </c>
      <c r="N51" s="898" t="str">
        <f t="shared" si="1"/>
        <v/>
      </c>
      <c r="O51"/>
      <c r="P51"/>
      <c r="Q51" s="94"/>
      <c r="R51"/>
      <c r="S51"/>
      <c r="T51"/>
      <c r="AZ51" s="196"/>
      <c r="BA51" s="196"/>
      <c r="BB51" s="196"/>
      <c r="BC51" s="196"/>
      <c r="BD51" s="196"/>
      <c r="BE51" s="196"/>
      <c r="BF51" s="196"/>
      <c r="BG51" s="196"/>
      <c r="BH51" s="196"/>
      <c r="BI51" s="196"/>
      <c r="BJ51" s="196"/>
      <c r="BK51" s="196"/>
    </row>
    <row r="52" spans="1:63" ht="15" customHeight="1" x14ac:dyDescent="0.2">
      <c r="A52"/>
      <c r="B52" s="1798"/>
      <c r="C52" s="1799"/>
      <c r="D52" s="1800"/>
      <c r="E52" s="1801"/>
      <c r="F52" s="1802"/>
      <c r="G52" s="1803"/>
      <c r="H52" s="1803"/>
      <c r="I52" s="1803"/>
      <c r="J52" s="1803"/>
      <c r="K52" s="1803"/>
      <c r="L52" s="1804"/>
      <c r="M52" s="897" t="str">
        <f t="shared" si="2"/>
        <v/>
      </c>
      <c r="N52" s="898" t="str">
        <f t="shared" si="1"/>
        <v/>
      </c>
      <c r="O52"/>
      <c r="P52"/>
      <c r="Q52" s="94"/>
      <c r="R52"/>
      <c r="S52"/>
      <c r="T52"/>
      <c r="AZ52" s="196"/>
      <c r="BA52" s="196"/>
      <c r="BB52" s="196"/>
      <c r="BC52" s="196"/>
      <c r="BD52" s="196"/>
      <c r="BE52" s="196"/>
      <c r="BF52" s="196"/>
      <c r="BG52" s="196"/>
      <c r="BH52" s="196"/>
      <c r="BI52" s="196"/>
      <c r="BJ52" s="196"/>
      <c r="BK52" s="196"/>
    </row>
    <row r="53" spans="1:63" ht="15" customHeight="1" x14ac:dyDescent="0.2">
      <c r="A53"/>
      <c r="B53" s="1798"/>
      <c r="C53" s="1799"/>
      <c r="D53" s="1800"/>
      <c r="E53" s="1801"/>
      <c r="F53" s="1802"/>
      <c r="G53" s="1803"/>
      <c r="H53" s="1803"/>
      <c r="I53" s="1803"/>
      <c r="J53" s="1803"/>
      <c r="K53" s="1803"/>
      <c r="L53" s="1804"/>
      <c r="M53" s="897" t="str">
        <f t="shared" si="2"/>
        <v/>
      </c>
      <c r="N53" s="898" t="str">
        <f t="shared" si="1"/>
        <v/>
      </c>
      <c r="O53"/>
      <c r="P53"/>
      <c r="Q53" s="771" t="s">
        <v>564</v>
      </c>
      <c r="R53"/>
      <c r="S53"/>
      <c r="T53"/>
      <c r="AZ53" s="196"/>
      <c r="BA53" s="196"/>
      <c r="BB53" s="196"/>
      <c r="BC53" s="196"/>
      <c r="BD53" s="196"/>
      <c r="BE53" s="196"/>
      <c r="BF53" s="196"/>
      <c r="BG53" s="196"/>
      <c r="BH53" s="196"/>
      <c r="BI53" s="196"/>
      <c r="BJ53" s="196"/>
      <c r="BK53" s="196"/>
    </row>
    <row r="54" spans="1:63" ht="15" customHeight="1" x14ac:dyDescent="0.2">
      <c r="A54"/>
      <c r="B54" s="1798"/>
      <c r="C54" s="1799"/>
      <c r="D54" s="1800"/>
      <c r="E54" s="1801"/>
      <c r="F54" s="1802"/>
      <c r="G54" s="1803"/>
      <c r="H54" s="1803"/>
      <c r="I54" s="1803"/>
      <c r="J54" s="1803"/>
      <c r="K54" s="1803"/>
      <c r="L54" s="1804"/>
      <c r="M54" s="897" t="str">
        <f t="shared" si="2"/>
        <v/>
      </c>
      <c r="N54" s="898" t="str">
        <f t="shared" si="1"/>
        <v/>
      </c>
      <c r="O54"/>
      <c r="P54"/>
      <c r="Q54" s="94"/>
      <c r="R54"/>
      <c r="S54"/>
      <c r="T54"/>
      <c r="AZ54" s="196"/>
      <c r="BA54" s="196"/>
      <c r="BB54" s="196"/>
      <c r="BC54" s="196"/>
      <c r="BD54" s="196"/>
      <c r="BE54" s="196"/>
      <c r="BF54" s="196"/>
      <c r="BG54" s="196"/>
      <c r="BH54" s="196"/>
      <c r="BI54" s="196"/>
      <c r="BJ54" s="196"/>
      <c r="BK54" s="196"/>
    </row>
    <row r="55" spans="1:63" ht="15" customHeight="1" x14ac:dyDescent="0.2">
      <c r="A55"/>
      <c r="B55" s="1798"/>
      <c r="C55" s="1799"/>
      <c r="D55" s="1800"/>
      <c r="E55" s="1801"/>
      <c r="F55" s="1802"/>
      <c r="G55" s="1803"/>
      <c r="H55" s="1803"/>
      <c r="I55" s="1803"/>
      <c r="J55" s="1803"/>
      <c r="K55" s="1803"/>
      <c r="L55" s="1804"/>
      <c r="M55" s="897" t="str">
        <f t="shared" si="2"/>
        <v/>
      </c>
      <c r="N55" s="898" t="str">
        <f t="shared" si="1"/>
        <v/>
      </c>
      <c r="O55"/>
      <c r="P55"/>
      <c r="Q55" s="94"/>
      <c r="R55"/>
      <c r="S55"/>
      <c r="T55"/>
      <c r="AZ55" s="196"/>
      <c r="BA55" s="196"/>
      <c r="BB55" s="196"/>
      <c r="BC55" s="196"/>
      <c r="BD55" s="196"/>
      <c r="BE55" s="196"/>
      <c r="BF55" s="196"/>
      <c r="BG55" s="196"/>
      <c r="BH55" s="196"/>
      <c r="BI55" s="196"/>
      <c r="BJ55" s="196"/>
      <c r="BK55" s="196"/>
    </row>
    <row r="56" spans="1:63" ht="15" customHeight="1" x14ac:dyDescent="0.2">
      <c r="A56"/>
      <c r="B56" s="1798"/>
      <c r="C56" s="1799"/>
      <c r="D56" s="1800"/>
      <c r="E56" s="1801"/>
      <c r="F56" s="1802"/>
      <c r="G56" s="1803"/>
      <c r="H56" s="1803"/>
      <c r="I56" s="1803"/>
      <c r="J56" s="1803"/>
      <c r="K56" s="1803"/>
      <c r="L56" s="1804"/>
      <c r="M56" s="897" t="str">
        <f t="shared" si="2"/>
        <v/>
      </c>
      <c r="N56" s="898" t="str">
        <f t="shared" si="1"/>
        <v/>
      </c>
      <c r="O56"/>
      <c r="P56"/>
      <c r="Q56" s="94"/>
      <c r="R56"/>
      <c r="S56"/>
      <c r="T56"/>
      <c r="AZ56" s="196"/>
      <c r="BA56" s="196"/>
      <c r="BB56" s="196"/>
      <c r="BC56" s="196"/>
      <c r="BD56" s="196"/>
      <c r="BE56" s="196"/>
      <c r="BF56" s="196"/>
      <c r="BG56" s="196"/>
      <c r="BH56" s="196"/>
      <c r="BI56" s="196"/>
      <c r="BJ56" s="196"/>
      <c r="BK56" s="196"/>
    </row>
    <row r="57" spans="1:63" ht="15" customHeight="1" x14ac:dyDescent="0.2">
      <c r="A57"/>
      <c r="B57" s="1798"/>
      <c r="C57" s="1799"/>
      <c r="D57" s="1800"/>
      <c r="E57" s="1801"/>
      <c r="F57" s="1802"/>
      <c r="G57" s="1803"/>
      <c r="H57" s="1803"/>
      <c r="I57" s="1803"/>
      <c r="J57" s="1803"/>
      <c r="K57" s="1803"/>
      <c r="L57" s="1804"/>
      <c r="M57" s="897" t="str">
        <f t="shared" si="2"/>
        <v/>
      </c>
      <c r="N57" s="898" t="str">
        <f t="shared" si="1"/>
        <v/>
      </c>
      <c r="O57"/>
      <c r="P57"/>
      <c r="Q57"/>
      <c r="R57"/>
      <c r="S57"/>
      <c r="T57"/>
      <c r="AZ57" s="196"/>
      <c r="BA57" s="196"/>
      <c r="BB57" s="196"/>
      <c r="BC57" s="196"/>
      <c r="BD57" s="196"/>
      <c r="BE57" s="196"/>
      <c r="BF57" s="196"/>
      <c r="BG57" s="196"/>
      <c r="BH57" s="196"/>
      <c r="BI57" s="196"/>
      <c r="BJ57" s="196"/>
      <c r="BK57" s="196"/>
    </row>
    <row r="58" spans="1:63" ht="15" customHeight="1" x14ac:dyDescent="0.2">
      <c r="A58"/>
      <c r="B58" s="1798"/>
      <c r="C58" s="1799"/>
      <c r="D58" s="1800"/>
      <c r="E58" s="1801"/>
      <c r="F58" s="1802"/>
      <c r="G58" s="1803"/>
      <c r="H58" s="1803"/>
      <c r="I58" s="1803"/>
      <c r="J58" s="1803"/>
      <c r="K58" s="1803"/>
      <c r="L58" s="1804"/>
      <c r="M58" s="897" t="str">
        <f t="shared" si="2"/>
        <v/>
      </c>
      <c r="N58" s="898" t="str">
        <f t="shared" si="1"/>
        <v/>
      </c>
      <c r="O58"/>
      <c r="P58"/>
      <c r="Q58" s="94"/>
      <c r="R58"/>
      <c r="S58"/>
      <c r="T58"/>
      <c r="AZ58" s="196"/>
      <c r="BA58" s="196"/>
      <c r="BB58" s="196"/>
      <c r="BC58" s="196"/>
      <c r="BD58" s="196"/>
      <c r="BE58" s="196"/>
      <c r="BF58" s="196"/>
      <c r="BG58" s="196"/>
      <c r="BH58" s="196"/>
      <c r="BI58" s="196"/>
      <c r="BJ58" s="196"/>
      <c r="BK58" s="196"/>
    </row>
    <row r="59" spans="1:63" ht="15" customHeight="1" x14ac:dyDescent="0.2">
      <c r="A59"/>
      <c r="B59" s="1798"/>
      <c r="C59" s="1799"/>
      <c r="D59" s="1800"/>
      <c r="E59" s="1801"/>
      <c r="F59" s="1802"/>
      <c r="G59" s="1803"/>
      <c r="H59" s="1803"/>
      <c r="I59" s="1803"/>
      <c r="J59" s="1803"/>
      <c r="K59" s="1803"/>
      <c r="L59" s="1804"/>
      <c r="M59" s="897" t="str">
        <f t="shared" si="2"/>
        <v/>
      </c>
      <c r="N59" s="898" t="str">
        <f t="shared" si="1"/>
        <v/>
      </c>
      <c r="O59"/>
      <c r="P59"/>
      <c r="Q59" s="94"/>
      <c r="R59"/>
      <c r="S59"/>
      <c r="T59"/>
      <c r="AZ59" s="196"/>
      <c r="BA59" s="196"/>
      <c r="BB59" s="196"/>
      <c r="BC59" s="196"/>
      <c r="BD59" s="196"/>
      <c r="BE59" s="196"/>
      <c r="BF59" s="196"/>
      <c r="BG59" s="196"/>
      <c r="BH59" s="196"/>
      <c r="BI59" s="196"/>
      <c r="BJ59" s="196"/>
      <c r="BK59" s="196"/>
    </row>
    <row r="60" spans="1:63" ht="15" customHeight="1" x14ac:dyDescent="0.2">
      <c r="A60"/>
      <c r="B60" s="1798"/>
      <c r="C60" s="1799"/>
      <c r="D60" s="1800"/>
      <c r="E60" s="1801"/>
      <c r="F60" s="1802"/>
      <c r="G60" s="1803"/>
      <c r="H60" s="1803"/>
      <c r="I60" s="1803"/>
      <c r="J60" s="1803"/>
      <c r="K60" s="1803"/>
      <c r="L60" s="1804"/>
      <c r="M60" s="897" t="str">
        <f t="shared" si="2"/>
        <v/>
      </c>
      <c r="N60" s="898" t="str">
        <f t="shared" si="1"/>
        <v/>
      </c>
      <c r="O60"/>
      <c r="P60"/>
      <c r="Q60" s="94"/>
      <c r="R60"/>
      <c r="S60"/>
      <c r="T60"/>
      <c r="AZ60" s="196"/>
      <c r="BA60" s="196"/>
      <c r="BB60" s="196"/>
      <c r="BC60" s="196"/>
      <c r="BD60" s="196"/>
      <c r="BE60" s="196"/>
      <c r="BF60" s="196"/>
      <c r="BG60" s="196"/>
      <c r="BH60" s="196"/>
      <c r="BI60" s="196"/>
      <c r="BJ60" s="196"/>
      <c r="BK60" s="196"/>
    </row>
    <row r="61" spans="1:63" ht="15" customHeight="1" x14ac:dyDescent="0.2">
      <c r="A61" s="1198" t="s">
        <v>1172</v>
      </c>
      <c r="B61" s="1798"/>
      <c r="C61" s="1799"/>
      <c r="D61" s="1800"/>
      <c r="E61" s="1801"/>
      <c r="F61" s="1802"/>
      <c r="G61" s="1803"/>
      <c r="H61" s="1803"/>
      <c r="I61" s="1803"/>
      <c r="J61" s="1803"/>
      <c r="K61" s="1803"/>
      <c r="L61" s="1804"/>
      <c r="M61" s="897" t="str">
        <f t="shared" si="2"/>
        <v/>
      </c>
      <c r="N61" s="898" t="str">
        <f t="shared" si="1"/>
        <v/>
      </c>
      <c r="O61"/>
      <c r="P61"/>
      <c r="Q61" s="94"/>
      <c r="R61"/>
      <c r="S61"/>
      <c r="T61"/>
      <c r="AZ61" s="196"/>
      <c r="BA61" s="196"/>
      <c r="BB61" s="196"/>
      <c r="BC61" s="196"/>
      <c r="BD61" s="196"/>
      <c r="BE61" s="196"/>
      <c r="BF61" s="196"/>
      <c r="BG61" s="196"/>
      <c r="BH61" s="196"/>
      <c r="BI61" s="196"/>
      <c r="BJ61" s="196"/>
      <c r="BK61" s="196"/>
    </row>
    <row r="62" spans="1:63" ht="15" customHeight="1" x14ac:dyDescent="0.2">
      <c r="A62"/>
      <c r="B62" s="1798"/>
      <c r="C62" s="1799"/>
      <c r="D62" s="1800"/>
      <c r="E62" s="1801"/>
      <c r="F62" s="1802"/>
      <c r="G62" s="1803"/>
      <c r="H62" s="1803"/>
      <c r="I62" s="1803"/>
      <c r="J62" s="1803"/>
      <c r="K62" s="1803"/>
      <c r="L62" s="1804"/>
      <c r="M62" s="897" t="str">
        <f t="shared" si="2"/>
        <v/>
      </c>
      <c r="N62" s="898" t="str">
        <f t="shared" si="1"/>
        <v/>
      </c>
      <c r="O62"/>
      <c r="P62"/>
      <c r="Q62" s="94"/>
      <c r="R62"/>
      <c r="S62"/>
      <c r="T62"/>
      <c r="AZ62" s="196"/>
      <c r="BA62" s="196"/>
      <c r="BB62" s="196"/>
      <c r="BC62" s="196"/>
      <c r="BD62" s="196"/>
      <c r="BE62" s="196"/>
      <c r="BF62" s="196"/>
      <c r="BG62" s="196"/>
      <c r="BH62" s="196"/>
      <c r="BI62" s="196"/>
      <c r="BJ62" s="196"/>
      <c r="BK62" s="196"/>
    </row>
    <row r="63" spans="1:63" ht="15" customHeight="1" x14ac:dyDescent="0.2">
      <c r="A63"/>
      <c r="B63" s="1798"/>
      <c r="C63" s="1799"/>
      <c r="D63" s="1800"/>
      <c r="E63" s="1801"/>
      <c r="F63" s="1802"/>
      <c r="G63" s="1803"/>
      <c r="H63" s="1803"/>
      <c r="I63" s="1803"/>
      <c r="J63" s="1803"/>
      <c r="K63" s="1803"/>
      <c r="L63" s="1804"/>
      <c r="M63" s="897" t="str">
        <f t="shared" si="2"/>
        <v/>
      </c>
      <c r="N63" s="898" t="str">
        <f t="shared" si="1"/>
        <v/>
      </c>
      <c r="O63"/>
      <c r="P63"/>
      <c r="Q63" s="94"/>
      <c r="R63"/>
      <c r="S63"/>
      <c r="T63"/>
      <c r="AZ63" s="196"/>
      <c r="BA63" s="196"/>
      <c r="BB63" s="196"/>
      <c r="BC63" s="196"/>
      <c r="BD63" s="196"/>
      <c r="BE63" s="196"/>
      <c r="BF63" s="196"/>
      <c r="BG63" s="196"/>
      <c r="BH63" s="196"/>
      <c r="BI63" s="196"/>
      <c r="BJ63" s="196"/>
      <c r="BK63" s="196"/>
    </row>
    <row r="64" spans="1:63" ht="15" customHeight="1" x14ac:dyDescent="0.25">
      <c r="A64"/>
      <c r="B64" s="1798"/>
      <c r="C64" s="1799"/>
      <c r="D64" s="1800"/>
      <c r="E64" s="1801"/>
      <c r="F64" s="1802"/>
      <c r="G64" s="1803"/>
      <c r="H64" s="1803"/>
      <c r="I64" s="1803"/>
      <c r="J64" s="1803"/>
      <c r="K64" s="1803"/>
      <c r="L64" s="1804"/>
      <c r="M64" s="897" t="str">
        <f t="shared" si="2"/>
        <v/>
      </c>
      <c r="N64" s="898" t="str">
        <f t="shared" si="1"/>
        <v/>
      </c>
      <c r="O64"/>
      <c r="P64"/>
      <c r="Q64" s="772" t="s">
        <v>1017</v>
      </c>
      <c r="R64"/>
      <c r="S64"/>
      <c r="T64"/>
      <c r="AZ64" s="196"/>
      <c r="BA64" s="196"/>
      <c r="BB64" s="196"/>
      <c r="BC64" s="196"/>
      <c r="BD64" s="196"/>
      <c r="BE64" s="196"/>
      <c r="BF64" s="196"/>
      <c r="BG64" s="196"/>
      <c r="BH64" s="196"/>
      <c r="BI64" s="196"/>
      <c r="BJ64" s="196"/>
      <c r="BK64" s="196"/>
    </row>
    <row r="65" spans="1:63" ht="15" customHeight="1" x14ac:dyDescent="0.2">
      <c r="A65"/>
      <c r="B65" s="1798"/>
      <c r="C65" s="1799"/>
      <c r="D65" s="1800"/>
      <c r="E65" s="1801"/>
      <c r="F65" s="1802"/>
      <c r="G65" s="1803"/>
      <c r="H65" s="1803"/>
      <c r="I65" s="1803"/>
      <c r="J65" s="1803"/>
      <c r="K65" s="1803"/>
      <c r="L65" s="1804"/>
      <c r="M65" s="897" t="str">
        <f t="shared" si="2"/>
        <v/>
      </c>
      <c r="N65" s="898" t="str">
        <f t="shared" si="1"/>
        <v/>
      </c>
      <c r="O65"/>
      <c r="P65"/>
      <c r="Q65" s="94"/>
      <c r="R65"/>
      <c r="S65"/>
      <c r="T65"/>
      <c r="AZ65" s="196"/>
      <c r="BA65" s="196"/>
      <c r="BB65" s="196"/>
      <c r="BC65" s="196"/>
      <c r="BD65" s="196"/>
      <c r="BE65" s="196"/>
      <c r="BF65" s="196"/>
      <c r="BG65" s="196"/>
      <c r="BH65" s="196"/>
      <c r="BI65" s="196"/>
      <c r="BJ65" s="196"/>
      <c r="BK65" s="196"/>
    </row>
    <row r="66" spans="1:63" ht="15" customHeight="1" x14ac:dyDescent="0.2">
      <c r="A66"/>
      <c r="B66" s="1798"/>
      <c r="C66" s="1799"/>
      <c r="D66" s="1800"/>
      <c r="E66" s="1801"/>
      <c r="F66" s="1802"/>
      <c r="G66" s="1803"/>
      <c r="H66" s="1803"/>
      <c r="I66" s="1803"/>
      <c r="J66" s="1803"/>
      <c r="K66" s="1803"/>
      <c r="L66" s="1804"/>
      <c r="M66" s="897" t="str">
        <f t="shared" si="2"/>
        <v/>
      </c>
      <c r="N66" s="898" t="str">
        <f t="shared" si="1"/>
        <v/>
      </c>
      <c r="O66"/>
      <c r="P66"/>
      <c r="Q66" s="94"/>
      <c r="R66"/>
      <c r="S66"/>
      <c r="T66"/>
      <c r="AZ66" s="196"/>
      <c r="BA66" s="196"/>
      <c r="BB66" s="196"/>
      <c r="BC66" s="196"/>
      <c r="BD66" s="196"/>
      <c r="BE66" s="196"/>
      <c r="BF66" s="196"/>
      <c r="BG66" s="196"/>
      <c r="BH66" s="196"/>
      <c r="BI66" s="196"/>
      <c r="BJ66" s="196"/>
      <c r="BK66" s="196"/>
    </row>
    <row r="67" spans="1:63" ht="15" customHeight="1" x14ac:dyDescent="0.2">
      <c r="A67"/>
      <c r="B67" s="1798"/>
      <c r="C67" s="1799"/>
      <c r="D67" s="1800"/>
      <c r="E67" s="1801"/>
      <c r="F67" s="1802"/>
      <c r="G67" s="1803"/>
      <c r="H67" s="1803"/>
      <c r="I67" s="1803"/>
      <c r="J67" s="1803"/>
      <c r="K67" s="1803"/>
      <c r="L67" s="1804"/>
      <c r="M67" s="897" t="str">
        <f t="shared" ref="M67:M102" si="3">UPPER(C67)</f>
        <v/>
      </c>
      <c r="N67" s="898" t="str">
        <f t="shared" si="1"/>
        <v/>
      </c>
      <c r="O67"/>
      <c r="P67"/>
      <c r="Q67" s="94"/>
      <c r="R67"/>
      <c r="S67"/>
      <c r="T67"/>
      <c r="AZ67" s="196"/>
      <c r="BA67" s="196"/>
      <c r="BB67" s="196"/>
      <c r="BC67" s="196"/>
      <c r="BD67" s="196"/>
      <c r="BE67" s="196"/>
      <c r="BF67" s="196"/>
      <c r="BG67" s="196"/>
      <c r="BH67" s="196"/>
      <c r="BI67" s="196"/>
      <c r="BJ67" s="196"/>
      <c r="BK67" s="196"/>
    </row>
    <row r="68" spans="1:63" ht="15" customHeight="1" x14ac:dyDescent="0.2">
      <c r="A68"/>
      <c r="B68" s="1798"/>
      <c r="C68" s="1799"/>
      <c r="D68" s="1800"/>
      <c r="E68" s="1801"/>
      <c r="F68" s="1802"/>
      <c r="G68" s="1803"/>
      <c r="H68" s="1803"/>
      <c r="I68" s="1803"/>
      <c r="J68" s="1803"/>
      <c r="K68" s="1803"/>
      <c r="L68" s="1804"/>
      <c r="M68" s="897" t="str">
        <f t="shared" si="3"/>
        <v/>
      </c>
      <c r="N68" s="898" t="str">
        <f t="shared" ref="N68:N131" si="4">IF(AND(ISBLANK(D68),ISBLANK(E68)),"",TRUNC(D68)*12+IF(OR(D68&lt;0,AND(D68=0,E68&lt;0)),-1*ABS(E68),ABS(E68)))</f>
        <v/>
      </c>
      <c r="O68"/>
      <c r="P68"/>
      <c r="Q68" s="94"/>
      <c r="R68"/>
      <c r="S68"/>
      <c r="T68"/>
      <c r="AZ68" s="196"/>
      <c r="BA68" s="196"/>
      <c r="BB68" s="196"/>
      <c r="BC68" s="196"/>
      <c r="BD68" s="196"/>
      <c r="BE68" s="196"/>
      <c r="BF68" s="196"/>
      <c r="BG68" s="196"/>
      <c r="BH68" s="196"/>
      <c r="BI68" s="196"/>
      <c r="BJ68" s="196"/>
      <c r="BK68" s="196"/>
    </row>
    <row r="69" spans="1:63" ht="15" customHeight="1" x14ac:dyDescent="0.2">
      <c r="A69"/>
      <c r="B69" s="1798"/>
      <c r="C69" s="1799"/>
      <c r="D69" s="1800"/>
      <c r="E69" s="1801"/>
      <c r="F69" s="1802"/>
      <c r="G69" s="1803"/>
      <c r="H69" s="1803"/>
      <c r="I69" s="1803"/>
      <c r="J69" s="1803"/>
      <c r="K69" s="1803"/>
      <c r="L69" s="1804"/>
      <c r="M69" s="897" t="str">
        <f t="shared" si="3"/>
        <v/>
      </c>
      <c r="N69" s="898" t="str">
        <f t="shared" si="4"/>
        <v/>
      </c>
      <c r="O69"/>
      <c r="P69"/>
      <c r="Q69" s="94"/>
      <c r="R69"/>
      <c r="S69"/>
      <c r="T69"/>
      <c r="AZ69" s="196"/>
      <c r="BA69" s="196"/>
      <c r="BB69" s="196"/>
      <c r="BC69" s="196"/>
      <c r="BD69" s="196"/>
      <c r="BE69" s="196"/>
      <c r="BF69" s="196"/>
      <c r="BG69" s="196"/>
      <c r="BH69" s="196"/>
      <c r="BI69" s="196"/>
      <c r="BJ69" s="196"/>
      <c r="BK69" s="196"/>
    </row>
    <row r="70" spans="1:63" ht="15" customHeight="1" x14ac:dyDescent="0.2">
      <c r="A70"/>
      <c r="B70" s="1798"/>
      <c r="C70" s="1799"/>
      <c r="D70" s="1800"/>
      <c r="E70" s="1801"/>
      <c r="F70" s="1802"/>
      <c r="G70" s="1803"/>
      <c r="H70" s="1803"/>
      <c r="I70" s="1803"/>
      <c r="J70" s="1803"/>
      <c r="K70" s="1803"/>
      <c r="L70" s="1804"/>
      <c r="M70" s="897" t="str">
        <f t="shared" si="3"/>
        <v/>
      </c>
      <c r="N70" s="898" t="str">
        <f t="shared" si="4"/>
        <v/>
      </c>
      <c r="O70"/>
      <c r="P70"/>
      <c r="Q70"/>
      <c r="R70"/>
      <c r="S70"/>
      <c r="T70"/>
      <c r="AZ70" s="196"/>
      <c r="BA70" s="196"/>
      <c r="BB70" s="196"/>
      <c r="BC70" s="196"/>
      <c r="BD70" s="196"/>
      <c r="BE70" s="196"/>
      <c r="BF70" s="196"/>
      <c r="BG70" s="196"/>
      <c r="BH70" s="196"/>
      <c r="BI70" s="196"/>
      <c r="BJ70" s="196"/>
      <c r="BK70" s="196"/>
    </row>
    <row r="71" spans="1:63" ht="15" customHeight="1" x14ac:dyDescent="0.2">
      <c r="A71"/>
      <c r="B71" s="1798"/>
      <c r="C71" s="1799"/>
      <c r="D71" s="1800"/>
      <c r="E71" s="1801"/>
      <c r="F71" s="1802"/>
      <c r="G71" s="1803"/>
      <c r="H71" s="1803"/>
      <c r="I71" s="1803"/>
      <c r="J71" s="1803"/>
      <c r="K71" s="1803"/>
      <c r="L71" s="1804"/>
      <c r="M71" s="897" t="str">
        <f t="shared" si="3"/>
        <v/>
      </c>
      <c r="N71" s="898" t="str">
        <f t="shared" si="4"/>
        <v/>
      </c>
      <c r="O71"/>
      <c r="P71"/>
      <c r="Q71" s="94"/>
      <c r="R71"/>
      <c r="S71"/>
      <c r="T71"/>
      <c r="AZ71" s="196"/>
      <c r="BA71" s="196"/>
      <c r="BB71" s="196"/>
      <c r="BC71" s="196"/>
      <c r="BD71" s="196"/>
      <c r="BE71" s="196"/>
      <c r="BF71" s="196"/>
      <c r="BG71" s="196"/>
      <c r="BH71" s="196"/>
      <c r="BI71" s="196"/>
      <c r="BJ71" s="196"/>
      <c r="BK71" s="196"/>
    </row>
    <row r="72" spans="1:63" ht="15" customHeight="1" x14ac:dyDescent="0.2">
      <c r="A72"/>
      <c r="B72" s="1798"/>
      <c r="C72" s="1799"/>
      <c r="D72" s="1800"/>
      <c r="E72" s="1801"/>
      <c r="F72" s="1802"/>
      <c r="G72" s="1803"/>
      <c r="H72" s="1803"/>
      <c r="I72" s="1803"/>
      <c r="J72" s="1803"/>
      <c r="K72" s="1803"/>
      <c r="L72" s="1804"/>
      <c r="M72" s="897" t="str">
        <f t="shared" si="3"/>
        <v/>
      </c>
      <c r="N72" s="898" t="str">
        <f t="shared" si="4"/>
        <v/>
      </c>
      <c r="O72"/>
      <c r="P72"/>
      <c r="Q72" s="94"/>
      <c r="R72"/>
      <c r="S72"/>
      <c r="T72"/>
      <c r="AZ72" s="196"/>
      <c r="BA72" s="196"/>
      <c r="BB72" s="196"/>
      <c r="BC72" s="196"/>
      <c r="BD72" s="196"/>
      <c r="BE72" s="196"/>
      <c r="BF72" s="196"/>
      <c r="BG72" s="196"/>
      <c r="BH72" s="196"/>
      <c r="BI72" s="196"/>
      <c r="BJ72" s="196"/>
      <c r="BK72" s="196"/>
    </row>
    <row r="73" spans="1:63" ht="15" customHeight="1" x14ac:dyDescent="0.2">
      <c r="A73"/>
      <c r="B73" s="1798"/>
      <c r="C73" s="1799"/>
      <c r="D73" s="1800"/>
      <c r="E73" s="1801"/>
      <c r="F73" s="1802"/>
      <c r="G73" s="1803"/>
      <c r="H73" s="1803"/>
      <c r="I73" s="1803"/>
      <c r="J73" s="1803"/>
      <c r="K73" s="1803"/>
      <c r="L73" s="1804"/>
      <c r="M73" s="897" t="str">
        <f t="shared" si="3"/>
        <v/>
      </c>
      <c r="N73" s="898" t="str">
        <f t="shared" si="4"/>
        <v/>
      </c>
      <c r="O73"/>
      <c r="P73"/>
      <c r="Q73"/>
      <c r="R73"/>
      <c r="S73"/>
      <c r="T73"/>
      <c r="AZ73" s="196"/>
      <c r="BA73" s="196"/>
      <c r="BB73" s="196"/>
      <c r="BC73" s="196"/>
      <c r="BD73" s="196"/>
      <c r="BE73" s="196"/>
      <c r="BF73" s="196"/>
      <c r="BG73" s="196"/>
      <c r="BH73" s="196"/>
      <c r="BI73" s="196"/>
      <c r="BJ73" s="196"/>
      <c r="BK73" s="196"/>
    </row>
    <row r="74" spans="1:63" ht="15" customHeight="1" x14ac:dyDescent="0.2">
      <c r="A74"/>
      <c r="B74" s="1798"/>
      <c r="C74" s="1799"/>
      <c r="D74" s="1800"/>
      <c r="E74" s="1801"/>
      <c r="F74" s="1802"/>
      <c r="G74" s="1803"/>
      <c r="H74" s="1803"/>
      <c r="I74" s="1803"/>
      <c r="J74" s="1803"/>
      <c r="K74" s="1803"/>
      <c r="L74" s="1804"/>
      <c r="M74" s="897" t="str">
        <f t="shared" si="3"/>
        <v/>
      </c>
      <c r="N74" s="898" t="str">
        <f t="shared" si="4"/>
        <v/>
      </c>
      <c r="O74"/>
      <c r="P74"/>
      <c r="Q74"/>
      <c r="R74"/>
      <c r="S74"/>
      <c r="T74"/>
      <c r="AZ74" s="196"/>
      <c r="BA74" s="196"/>
      <c r="BB74" s="196"/>
      <c r="BC74" s="196"/>
      <c r="BD74" s="196"/>
      <c r="BE74" s="196"/>
      <c r="BF74" s="196"/>
      <c r="BG74" s="196"/>
      <c r="BH74" s="196"/>
      <c r="BI74" s="196"/>
      <c r="BJ74" s="196"/>
      <c r="BK74" s="196"/>
    </row>
    <row r="75" spans="1:63" ht="15" customHeight="1" x14ac:dyDescent="0.2">
      <c r="A75"/>
      <c r="B75" s="1798"/>
      <c r="C75" s="1799"/>
      <c r="D75" s="1800"/>
      <c r="E75" s="1801"/>
      <c r="F75" s="1802"/>
      <c r="G75" s="1803"/>
      <c r="H75" s="1803"/>
      <c r="I75" s="1803"/>
      <c r="J75" s="1803"/>
      <c r="K75" s="1803"/>
      <c r="L75" s="1804"/>
      <c r="M75" s="897" t="str">
        <f t="shared" si="3"/>
        <v/>
      </c>
      <c r="N75" s="898" t="str">
        <f t="shared" si="4"/>
        <v/>
      </c>
      <c r="O75"/>
      <c r="P75"/>
      <c r="Q75"/>
      <c r="R75"/>
      <c r="S75"/>
      <c r="T75"/>
      <c r="AZ75" s="196"/>
      <c r="BA75" s="196"/>
      <c r="BB75" s="196"/>
      <c r="BC75" s="196"/>
      <c r="BD75" s="196"/>
      <c r="BE75" s="196"/>
      <c r="BF75" s="196"/>
      <c r="BG75" s="196"/>
      <c r="BH75" s="196"/>
      <c r="BI75" s="196"/>
      <c r="BJ75" s="196"/>
      <c r="BK75" s="196"/>
    </row>
    <row r="76" spans="1:63" ht="15" customHeight="1" x14ac:dyDescent="0.2">
      <c r="A76"/>
      <c r="B76" s="1798"/>
      <c r="C76" s="1799"/>
      <c r="D76" s="1800"/>
      <c r="E76" s="1801"/>
      <c r="F76" s="1802"/>
      <c r="G76" s="1803"/>
      <c r="H76" s="1803"/>
      <c r="I76" s="1803"/>
      <c r="J76" s="1803"/>
      <c r="K76" s="1803"/>
      <c r="L76" s="1804"/>
      <c r="M76" s="897" t="str">
        <f t="shared" si="3"/>
        <v/>
      </c>
      <c r="N76" s="898" t="str">
        <f t="shared" si="4"/>
        <v/>
      </c>
      <c r="O76"/>
      <c r="P76"/>
      <c r="Q76"/>
      <c r="R76"/>
      <c r="S76"/>
      <c r="T76"/>
      <c r="AZ76" s="196"/>
      <c r="BA76" s="196"/>
      <c r="BB76" s="196"/>
      <c r="BC76" s="196"/>
      <c r="BD76" s="196"/>
      <c r="BE76" s="196"/>
      <c r="BF76" s="196"/>
      <c r="BG76" s="196"/>
      <c r="BH76" s="196"/>
      <c r="BI76" s="196"/>
      <c r="BJ76" s="196"/>
      <c r="BK76" s="196"/>
    </row>
    <row r="77" spans="1:63" ht="15" customHeight="1" x14ac:dyDescent="0.2">
      <c r="A77"/>
      <c r="B77" s="1798"/>
      <c r="C77" s="1799"/>
      <c r="D77" s="1800"/>
      <c r="E77" s="1801"/>
      <c r="F77" s="1802"/>
      <c r="G77" s="1803"/>
      <c r="H77" s="1803"/>
      <c r="I77" s="1803"/>
      <c r="J77" s="1803"/>
      <c r="K77" s="1803"/>
      <c r="L77" s="1804"/>
      <c r="M77" s="897" t="str">
        <f t="shared" si="3"/>
        <v/>
      </c>
      <c r="N77" s="898" t="str">
        <f t="shared" si="4"/>
        <v/>
      </c>
      <c r="O77"/>
      <c r="P77"/>
      <c r="Q77"/>
      <c r="R77"/>
      <c r="S77"/>
      <c r="T77"/>
      <c r="AZ77" s="196"/>
      <c r="BA77" s="196"/>
      <c r="BB77" s="196"/>
      <c r="BC77" s="196"/>
      <c r="BD77" s="196"/>
      <c r="BE77" s="196"/>
      <c r="BF77" s="196"/>
      <c r="BG77" s="196"/>
      <c r="BH77" s="196"/>
      <c r="BI77" s="196"/>
      <c r="BJ77" s="196"/>
      <c r="BK77" s="196"/>
    </row>
    <row r="78" spans="1:63" ht="15" customHeight="1" x14ac:dyDescent="0.2">
      <c r="A78"/>
      <c r="B78" s="1798"/>
      <c r="C78" s="1799"/>
      <c r="D78" s="1800"/>
      <c r="E78" s="1801"/>
      <c r="F78" s="1802"/>
      <c r="G78" s="1803"/>
      <c r="H78" s="1803"/>
      <c r="I78" s="1803"/>
      <c r="J78" s="1803"/>
      <c r="K78" s="1803"/>
      <c r="L78" s="1804"/>
      <c r="M78" s="897" t="str">
        <f t="shared" si="3"/>
        <v/>
      </c>
      <c r="N78" s="898" t="str">
        <f t="shared" si="4"/>
        <v/>
      </c>
      <c r="O78"/>
      <c r="P78"/>
      <c r="Q78"/>
      <c r="R78"/>
      <c r="S78"/>
      <c r="T78"/>
      <c r="AZ78" s="196"/>
      <c r="BA78" s="196"/>
      <c r="BB78" s="196"/>
      <c r="BC78" s="196"/>
      <c r="BD78" s="196"/>
      <c r="BE78" s="196"/>
      <c r="BF78" s="196"/>
      <c r="BG78" s="196"/>
      <c r="BH78" s="196"/>
      <c r="BI78" s="196"/>
      <c r="BJ78" s="196"/>
      <c r="BK78" s="196"/>
    </row>
    <row r="79" spans="1:63" ht="15" customHeight="1" x14ac:dyDescent="0.2">
      <c r="A79"/>
      <c r="B79" s="1798"/>
      <c r="C79" s="1799"/>
      <c r="D79" s="1800"/>
      <c r="E79" s="1801"/>
      <c r="F79" s="1802"/>
      <c r="G79" s="1803"/>
      <c r="H79" s="1803"/>
      <c r="I79" s="1803"/>
      <c r="J79" s="1803"/>
      <c r="K79" s="1803"/>
      <c r="L79" s="1804"/>
      <c r="M79" s="897" t="str">
        <f t="shared" si="3"/>
        <v/>
      </c>
      <c r="N79" s="898" t="str">
        <f t="shared" si="4"/>
        <v/>
      </c>
      <c r="O79"/>
      <c r="P79"/>
      <c r="Q79"/>
      <c r="R79"/>
      <c r="S79"/>
      <c r="T79"/>
      <c r="AZ79" s="196"/>
      <c r="BA79" s="196"/>
      <c r="BB79" s="196"/>
      <c r="BC79" s="196"/>
      <c r="BD79" s="196"/>
      <c r="BE79" s="196"/>
      <c r="BF79" s="196"/>
      <c r="BG79" s="196"/>
      <c r="BH79" s="196"/>
      <c r="BI79" s="196"/>
      <c r="BJ79" s="196"/>
      <c r="BK79" s="196"/>
    </row>
    <row r="80" spans="1:63" ht="15" customHeight="1" x14ac:dyDescent="0.2">
      <c r="A80"/>
      <c r="B80" s="1798"/>
      <c r="C80" s="1799"/>
      <c r="D80" s="1800"/>
      <c r="E80" s="1801"/>
      <c r="F80" s="1802"/>
      <c r="G80" s="1803"/>
      <c r="H80" s="1803"/>
      <c r="I80" s="1803"/>
      <c r="J80" s="1803"/>
      <c r="K80" s="1803"/>
      <c r="L80" s="1804"/>
      <c r="M80" s="897" t="str">
        <f t="shared" si="3"/>
        <v/>
      </c>
      <c r="N80" s="898" t="str">
        <f t="shared" si="4"/>
        <v/>
      </c>
      <c r="O80"/>
      <c r="P80"/>
      <c r="Q80"/>
      <c r="R80"/>
      <c r="S80"/>
      <c r="T80"/>
      <c r="AZ80" s="196"/>
      <c r="BA80" s="196"/>
      <c r="BB80" s="196"/>
      <c r="BC80" s="196"/>
      <c r="BD80" s="196"/>
      <c r="BE80" s="196"/>
      <c r="BF80" s="196"/>
      <c r="BG80" s="196"/>
      <c r="BH80" s="196"/>
      <c r="BI80" s="196"/>
      <c r="BJ80" s="196"/>
      <c r="BK80" s="196"/>
    </row>
    <row r="81" spans="1:63" ht="15" customHeight="1" x14ac:dyDescent="0.2">
      <c r="A81"/>
      <c r="B81" s="1798"/>
      <c r="C81" s="1799"/>
      <c r="D81" s="1800"/>
      <c r="E81" s="1801"/>
      <c r="F81" s="1802"/>
      <c r="G81" s="1803"/>
      <c r="H81" s="1803"/>
      <c r="I81" s="1803"/>
      <c r="J81" s="1803"/>
      <c r="K81" s="1803"/>
      <c r="L81" s="1804"/>
      <c r="M81" s="897" t="str">
        <f t="shared" si="3"/>
        <v/>
      </c>
      <c r="N81" s="898" t="str">
        <f t="shared" si="4"/>
        <v/>
      </c>
      <c r="O81"/>
      <c r="P81"/>
      <c r="Q81"/>
      <c r="R81"/>
      <c r="S81"/>
      <c r="T81"/>
      <c r="AZ81" s="196"/>
      <c r="BA81" s="196"/>
      <c r="BB81" s="196"/>
      <c r="BC81" s="196"/>
      <c r="BD81" s="196"/>
      <c r="BE81" s="196"/>
      <c r="BF81" s="196"/>
      <c r="BG81" s="196"/>
      <c r="BH81" s="196"/>
      <c r="BI81" s="196"/>
      <c r="BJ81" s="196"/>
      <c r="BK81" s="196"/>
    </row>
    <row r="82" spans="1:63" ht="15" customHeight="1" x14ac:dyDescent="0.2">
      <c r="A82"/>
      <c r="B82" s="1798"/>
      <c r="C82" s="1799"/>
      <c r="D82" s="1800"/>
      <c r="E82" s="1801"/>
      <c r="F82" s="1802"/>
      <c r="G82" s="1803"/>
      <c r="H82" s="1803"/>
      <c r="I82" s="1803"/>
      <c r="J82" s="1803"/>
      <c r="K82" s="1803"/>
      <c r="L82" s="1804"/>
      <c r="M82" s="897" t="str">
        <f t="shared" si="3"/>
        <v/>
      </c>
      <c r="N82" s="898" t="str">
        <f t="shared" si="4"/>
        <v/>
      </c>
      <c r="O82"/>
      <c r="P82"/>
      <c r="Q82"/>
      <c r="R82"/>
      <c r="S82"/>
      <c r="T82"/>
      <c r="AZ82" s="196"/>
      <c r="BA82" s="196"/>
      <c r="BB82" s="196"/>
      <c r="BC82" s="196"/>
      <c r="BD82" s="196"/>
      <c r="BE82" s="196"/>
      <c r="BF82" s="196"/>
      <c r="BG82" s="196"/>
      <c r="BH82" s="196"/>
      <c r="BI82" s="196"/>
      <c r="BJ82" s="196"/>
      <c r="BK82" s="196"/>
    </row>
    <row r="83" spans="1:63" ht="15" customHeight="1" x14ac:dyDescent="0.2">
      <c r="A83"/>
      <c r="B83" s="1798"/>
      <c r="C83" s="1799"/>
      <c r="D83" s="1800"/>
      <c r="E83" s="1801"/>
      <c r="F83" s="1802"/>
      <c r="G83" s="1803"/>
      <c r="H83" s="1803"/>
      <c r="I83" s="1803"/>
      <c r="J83" s="1803"/>
      <c r="K83" s="1803"/>
      <c r="L83" s="1804"/>
      <c r="M83" s="897" t="str">
        <f t="shared" si="3"/>
        <v/>
      </c>
      <c r="N83" s="898" t="str">
        <f t="shared" si="4"/>
        <v/>
      </c>
      <c r="O83"/>
      <c r="P83"/>
      <c r="Q83"/>
      <c r="R83"/>
      <c r="S83"/>
      <c r="T83"/>
      <c r="AZ83" s="196"/>
      <c r="BA83" s="196"/>
      <c r="BB83" s="196"/>
      <c r="BC83" s="196"/>
      <c r="BD83" s="196"/>
      <c r="BE83" s="196"/>
      <c r="BF83" s="196"/>
      <c r="BG83" s="196"/>
      <c r="BH83" s="196"/>
      <c r="BI83" s="196"/>
      <c r="BJ83" s="196"/>
      <c r="BK83" s="196"/>
    </row>
    <row r="84" spans="1:63" ht="15" customHeight="1" x14ac:dyDescent="0.2">
      <c r="A84"/>
      <c r="B84" s="1798"/>
      <c r="C84" s="1799"/>
      <c r="D84" s="1800"/>
      <c r="E84" s="1801"/>
      <c r="F84" s="1802"/>
      <c r="G84" s="1803"/>
      <c r="H84" s="1803"/>
      <c r="I84" s="1803"/>
      <c r="J84" s="1803"/>
      <c r="K84" s="1803"/>
      <c r="L84" s="1804"/>
      <c r="M84" s="897" t="str">
        <f t="shared" si="3"/>
        <v/>
      </c>
      <c r="N84" s="898" t="str">
        <f t="shared" si="4"/>
        <v/>
      </c>
      <c r="O84"/>
      <c r="P84"/>
      <c r="Q84"/>
      <c r="R84"/>
      <c r="S84"/>
      <c r="T84"/>
      <c r="AZ84" s="196"/>
      <c r="BA84" s="196"/>
      <c r="BB84" s="196"/>
      <c r="BC84" s="196"/>
      <c r="BD84" s="196"/>
      <c r="BE84" s="196"/>
      <c r="BF84" s="196"/>
      <c r="BG84" s="196"/>
      <c r="BH84" s="196"/>
      <c r="BI84" s="196"/>
      <c r="BJ84" s="196"/>
      <c r="BK84" s="196"/>
    </row>
    <row r="85" spans="1:63" ht="15" customHeight="1" x14ac:dyDescent="0.2">
      <c r="A85"/>
      <c r="B85" s="1798"/>
      <c r="C85" s="1799"/>
      <c r="D85" s="1800"/>
      <c r="E85" s="1801"/>
      <c r="F85" s="1802"/>
      <c r="G85" s="1803"/>
      <c r="H85" s="1803"/>
      <c r="I85" s="1803"/>
      <c r="J85" s="1803"/>
      <c r="K85" s="1803"/>
      <c r="L85" s="1804"/>
      <c r="M85" s="897" t="str">
        <f t="shared" si="3"/>
        <v/>
      </c>
      <c r="N85" s="898" t="str">
        <f t="shared" si="4"/>
        <v/>
      </c>
      <c r="O85"/>
      <c r="P85"/>
      <c r="Q85"/>
      <c r="R85"/>
      <c r="S85"/>
      <c r="T85"/>
      <c r="AZ85" s="196"/>
      <c r="BA85" s="196"/>
      <c r="BB85" s="196"/>
      <c r="BC85" s="196"/>
      <c r="BD85" s="196"/>
      <c r="BE85" s="196"/>
      <c r="BF85" s="196"/>
      <c r="BG85" s="196"/>
      <c r="BH85" s="196"/>
      <c r="BI85" s="196"/>
      <c r="BJ85" s="196"/>
      <c r="BK85" s="196"/>
    </row>
    <row r="86" spans="1:63" ht="15" customHeight="1" x14ac:dyDescent="0.2">
      <c r="A86"/>
      <c r="B86" s="1798"/>
      <c r="C86" s="1799"/>
      <c r="D86" s="1800"/>
      <c r="E86" s="1801"/>
      <c r="F86" s="1802"/>
      <c r="G86" s="1803"/>
      <c r="H86" s="1803"/>
      <c r="I86" s="1803"/>
      <c r="J86" s="1803"/>
      <c r="K86" s="1803"/>
      <c r="L86" s="1804"/>
      <c r="M86" s="897" t="str">
        <f t="shared" si="3"/>
        <v/>
      </c>
      <c r="N86" s="898" t="str">
        <f t="shared" si="4"/>
        <v/>
      </c>
      <c r="O86"/>
      <c r="P86"/>
      <c r="Q86"/>
      <c r="R86"/>
      <c r="S86"/>
      <c r="T86"/>
      <c r="AZ86" s="196"/>
      <c r="BA86" s="196"/>
      <c r="BB86" s="196"/>
      <c r="BC86" s="196"/>
      <c r="BD86" s="196"/>
      <c r="BE86" s="196"/>
      <c r="BF86" s="196"/>
      <c r="BG86" s="196"/>
      <c r="BH86" s="196"/>
      <c r="BI86" s="196"/>
      <c r="BJ86" s="196"/>
      <c r="BK86" s="196"/>
    </row>
    <row r="87" spans="1:63" ht="15" customHeight="1" x14ac:dyDescent="0.2">
      <c r="A87"/>
      <c r="B87" s="1798"/>
      <c r="C87" s="1799"/>
      <c r="D87" s="1800"/>
      <c r="E87" s="1801"/>
      <c r="F87" s="1802"/>
      <c r="G87" s="1803"/>
      <c r="H87" s="1803"/>
      <c r="I87" s="1803"/>
      <c r="J87" s="1803"/>
      <c r="K87" s="1803"/>
      <c r="L87" s="1804"/>
      <c r="M87" s="897" t="str">
        <f t="shared" si="3"/>
        <v/>
      </c>
      <c r="N87" s="898" t="str">
        <f t="shared" si="4"/>
        <v/>
      </c>
      <c r="O87"/>
      <c r="P87"/>
      <c r="Q87"/>
      <c r="R87"/>
      <c r="S87"/>
      <c r="T87"/>
      <c r="AZ87" s="196"/>
      <c r="BA87" s="196"/>
      <c r="BB87" s="196"/>
      <c r="BC87" s="196"/>
      <c r="BD87" s="196"/>
      <c r="BE87" s="196"/>
      <c r="BF87" s="196"/>
      <c r="BG87" s="196"/>
      <c r="BH87" s="196"/>
      <c r="BI87" s="196"/>
      <c r="BJ87" s="196"/>
      <c r="BK87" s="196"/>
    </row>
    <row r="88" spans="1:63" ht="15" customHeight="1" x14ac:dyDescent="0.2">
      <c r="A88"/>
      <c r="B88" s="1798"/>
      <c r="C88" s="1799"/>
      <c r="D88" s="1800"/>
      <c r="E88" s="1801"/>
      <c r="F88" s="1802"/>
      <c r="G88" s="1803"/>
      <c r="H88" s="1803"/>
      <c r="I88" s="1803"/>
      <c r="J88" s="1803"/>
      <c r="K88" s="1803"/>
      <c r="L88" s="1804"/>
      <c r="M88" s="897" t="str">
        <f t="shared" si="3"/>
        <v/>
      </c>
      <c r="N88" s="898" t="str">
        <f t="shared" si="4"/>
        <v/>
      </c>
      <c r="O88"/>
      <c r="P88"/>
      <c r="Q88"/>
      <c r="R88"/>
      <c r="S88"/>
      <c r="T88"/>
      <c r="AZ88" s="196"/>
      <c r="BA88" s="196"/>
      <c r="BB88" s="196"/>
      <c r="BC88" s="196"/>
      <c r="BD88" s="196"/>
      <c r="BE88" s="196"/>
      <c r="BF88" s="196"/>
      <c r="BG88" s="196"/>
      <c r="BH88" s="196"/>
      <c r="BI88" s="196"/>
      <c r="BJ88" s="196"/>
      <c r="BK88" s="196"/>
    </row>
    <row r="89" spans="1:63" ht="15" customHeight="1" x14ac:dyDescent="0.2">
      <c r="A89"/>
      <c r="B89" s="1798"/>
      <c r="C89" s="1799"/>
      <c r="D89" s="1800"/>
      <c r="E89" s="1801"/>
      <c r="F89" s="1802"/>
      <c r="G89" s="1803"/>
      <c r="H89" s="1803"/>
      <c r="I89" s="1803"/>
      <c r="J89" s="1803"/>
      <c r="K89" s="1803"/>
      <c r="L89" s="1804"/>
      <c r="M89" s="897" t="str">
        <f t="shared" si="3"/>
        <v/>
      </c>
      <c r="N89" s="898" t="str">
        <f t="shared" si="4"/>
        <v/>
      </c>
      <c r="O89"/>
      <c r="P89"/>
      <c r="Q89"/>
      <c r="R89"/>
      <c r="S89"/>
      <c r="T89"/>
      <c r="AZ89" s="196"/>
      <c r="BA89" s="196"/>
      <c r="BB89" s="196"/>
      <c r="BC89" s="196"/>
      <c r="BD89" s="196"/>
      <c r="BE89" s="196"/>
      <c r="BF89" s="196"/>
      <c r="BG89" s="196"/>
      <c r="BH89" s="196"/>
      <c r="BI89" s="196"/>
      <c r="BJ89" s="196"/>
      <c r="BK89" s="196"/>
    </row>
    <row r="90" spans="1:63" ht="15" customHeight="1" x14ac:dyDescent="0.2">
      <c r="A90"/>
      <c r="B90" s="1798"/>
      <c r="C90" s="1799"/>
      <c r="D90" s="1800"/>
      <c r="E90" s="1801"/>
      <c r="F90" s="1802"/>
      <c r="G90" s="1803"/>
      <c r="H90" s="1803"/>
      <c r="I90" s="1803"/>
      <c r="J90" s="1803"/>
      <c r="K90" s="1803"/>
      <c r="L90" s="1804"/>
      <c r="M90" s="897" t="str">
        <f t="shared" si="3"/>
        <v/>
      </c>
      <c r="N90" s="898" t="str">
        <f t="shared" si="4"/>
        <v/>
      </c>
      <c r="O90"/>
      <c r="P90"/>
      <c r="Q90"/>
      <c r="R90"/>
      <c r="S90"/>
      <c r="T90"/>
      <c r="AZ90" s="196"/>
      <c r="BA90" s="196"/>
      <c r="BB90" s="196"/>
      <c r="BC90" s="196"/>
      <c r="BD90" s="196"/>
      <c r="BE90" s="196"/>
      <c r="BF90" s="196"/>
      <c r="BG90" s="196"/>
      <c r="BH90" s="196"/>
      <c r="BI90" s="196"/>
      <c r="BJ90" s="196"/>
      <c r="BK90" s="196"/>
    </row>
    <row r="91" spans="1:63" ht="15" customHeight="1" x14ac:dyDescent="0.2">
      <c r="A91"/>
      <c r="B91" s="1798"/>
      <c r="C91" s="1799"/>
      <c r="D91" s="1800"/>
      <c r="E91" s="1801"/>
      <c r="F91" s="1802"/>
      <c r="G91" s="1803"/>
      <c r="H91" s="1803"/>
      <c r="I91" s="1803"/>
      <c r="J91" s="1803"/>
      <c r="K91" s="1803"/>
      <c r="L91" s="1804"/>
      <c r="M91" s="897" t="str">
        <f t="shared" si="3"/>
        <v/>
      </c>
      <c r="N91" s="898" t="str">
        <f t="shared" si="4"/>
        <v/>
      </c>
      <c r="O91"/>
      <c r="P91"/>
      <c r="Q91"/>
      <c r="R91"/>
      <c r="S91"/>
      <c r="T91"/>
      <c r="AZ91" s="196"/>
      <c r="BA91" s="196"/>
      <c r="BB91" s="196"/>
      <c r="BC91" s="196"/>
      <c r="BD91" s="196"/>
      <c r="BE91" s="196"/>
      <c r="BF91" s="196"/>
      <c r="BG91" s="196"/>
      <c r="BH91" s="196"/>
      <c r="BI91" s="196"/>
      <c r="BJ91" s="196"/>
      <c r="BK91" s="196"/>
    </row>
    <row r="92" spans="1:63" ht="15" customHeight="1" x14ac:dyDescent="0.2">
      <c r="A92"/>
      <c r="B92" s="1798"/>
      <c r="C92" s="1799"/>
      <c r="D92" s="1800"/>
      <c r="E92" s="1801"/>
      <c r="F92" s="1802"/>
      <c r="G92" s="1803"/>
      <c r="H92" s="1803"/>
      <c r="I92" s="1803"/>
      <c r="J92" s="1803"/>
      <c r="K92" s="1803"/>
      <c r="L92" s="1804"/>
      <c r="M92" s="897" t="str">
        <f t="shared" si="3"/>
        <v/>
      </c>
      <c r="N92" s="898" t="str">
        <f t="shared" si="4"/>
        <v/>
      </c>
      <c r="O92"/>
      <c r="P92"/>
      <c r="Q92"/>
      <c r="R92"/>
      <c r="S92"/>
      <c r="T92"/>
      <c r="AZ92" s="196"/>
      <c r="BA92" s="196"/>
      <c r="BB92" s="196"/>
      <c r="BC92" s="196"/>
      <c r="BD92" s="196"/>
      <c r="BE92" s="196"/>
      <c r="BF92" s="196"/>
      <c r="BG92" s="196"/>
      <c r="BH92" s="196"/>
      <c r="BI92" s="196"/>
      <c r="BJ92" s="196"/>
      <c r="BK92" s="196"/>
    </row>
    <row r="93" spans="1:63" ht="15" customHeight="1" x14ac:dyDescent="0.2">
      <c r="A93"/>
      <c r="B93" s="1798"/>
      <c r="C93" s="1799"/>
      <c r="D93" s="1800"/>
      <c r="E93" s="1801"/>
      <c r="F93" s="1802"/>
      <c r="G93" s="1803"/>
      <c r="H93" s="1803"/>
      <c r="I93" s="1803"/>
      <c r="J93" s="1803"/>
      <c r="K93" s="1803"/>
      <c r="L93" s="1804"/>
      <c r="M93" s="897" t="str">
        <f t="shared" si="3"/>
        <v/>
      </c>
      <c r="N93" s="898" t="str">
        <f t="shared" si="4"/>
        <v/>
      </c>
      <c r="O93"/>
      <c r="P93"/>
      <c r="Q93"/>
      <c r="R93"/>
      <c r="S93"/>
      <c r="T93"/>
      <c r="AZ93" s="196"/>
      <c r="BA93" s="196"/>
      <c r="BB93" s="196"/>
      <c r="BC93" s="196"/>
      <c r="BD93" s="196"/>
      <c r="BE93" s="196"/>
      <c r="BF93" s="196"/>
      <c r="BG93" s="196"/>
      <c r="BH93" s="196"/>
      <c r="BI93" s="196"/>
      <c r="BJ93" s="196"/>
      <c r="BK93" s="196"/>
    </row>
    <row r="94" spans="1:63" ht="15" customHeight="1" x14ac:dyDescent="0.2">
      <c r="A94"/>
      <c r="B94" s="1798"/>
      <c r="C94" s="1799"/>
      <c r="D94" s="1800"/>
      <c r="E94" s="1801"/>
      <c r="F94" s="1802"/>
      <c r="G94" s="1803"/>
      <c r="H94" s="1803"/>
      <c r="I94" s="1803"/>
      <c r="J94" s="1803"/>
      <c r="K94" s="1803"/>
      <c r="L94" s="1804"/>
      <c r="M94" s="897" t="str">
        <f t="shared" si="3"/>
        <v/>
      </c>
      <c r="N94" s="898" t="str">
        <f t="shared" si="4"/>
        <v/>
      </c>
      <c r="O94"/>
      <c r="P94"/>
      <c r="Q94"/>
      <c r="R94"/>
      <c r="S94"/>
      <c r="T94"/>
      <c r="AZ94" s="196"/>
      <c r="BA94" s="196"/>
      <c r="BB94" s="196"/>
      <c r="BC94" s="196"/>
      <c r="BD94" s="196"/>
      <c r="BE94" s="196"/>
      <c r="BF94" s="196"/>
      <c r="BG94" s="196"/>
      <c r="BH94" s="196"/>
      <c r="BI94" s="196"/>
      <c r="BJ94" s="196"/>
      <c r="BK94" s="196"/>
    </row>
    <row r="95" spans="1:63" ht="15" customHeight="1" x14ac:dyDescent="0.2">
      <c r="A95"/>
      <c r="B95" s="1798"/>
      <c r="C95" s="1799"/>
      <c r="D95" s="1800"/>
      <c r="E95" s="1801"/>
      <c r="F95" s="1802"/>
      <c r="G95" s="1803"/>
      <c r="H95" s="1803"/>
      <c r="I95" s="1803"/>
      <c r="J95" s="1803"/>
      <c r="K95" s="1803"/>
      <c r="L95" s="1804"/>
      <c r="M95" s="897" t="str">
        <f t="shared" si="3"/>
        <v/>
      </c>
      <c r="N95" s="898" t="str">
        <f t="shared" si="4"/>
        <v/>
      </c>
      <c r="O95"/>
      <c r="P95"/>
      <c r="Q95"/>
      <c r="R95"/>
      <c r="S95"/>
      <c r="T95"/>
      <c r="AZ95" s="196"/>
      <c r="BA95" s="196"/>
      <c r="BB95" s="196"/>
      <c r="BC95" s="196"/>
      <c r="BD95" s="196"/>
      <c r="BE95" s="196"/>
      <c r="BF95" s="196"/>
      <c r="BG95" s="196"/>
      <c r="BH95" s="196"/>
      <c r="BI95" s="196"/>
      <c r="BJ95" s="196"/>
      <c r="BK95" s="196"/>
    </row>
    <row r="96" spans="1:63" ht="15" customHeight="1" x14ac:dyDescent="0.2">
      <c r="A96"/>
      <c r="B96" s="1798"/>
      <c r="C96" s="1799"/>
      <c r="D96" s="1800"/>
      <c r="E96" s="1801"/>
      <c r="F96" s="1802"/>
      <c r="G96" s="1803"/>
      <c r="H96" s="1803"/>
      <c r="I96" s="1803"/>
      <c r="J96" s="1803"/>
      <c r="K96" s="1803"/>
      <c r="L96" s="1804"/>
      <c r="M96" s="897" t="str">
        <f t="shared" si="3"/>
        <v/>
      </c>
      <c r="N96" s="898" t="str">
        <f t="shared" si="4"/>
        <v/>
      </c>
      <c r="O96"/>
      <c r="P96"/>
      <c r="Q96"/>
      <c r="R96"/>
      <c r="S96"/>
      <c r="T96"/>
      <c r="AZ96" s="196"/>
      <c r="BA96" s="196"/>
      <c r="BB96" s="196"/>
      <c r="BC96" s="196"/>
      <c r="BD96" s="196"/>
      <c r="BE96" s="196"/>
      <c r="BF96" s="196"/>
      <c r="BG96" s="196"/>
      <c r="BH96" s="196"/>
      <c r="BI96" s="196"/>
      <c r="BJ96" s="196"/>
      <c r="BK96" s="196"/>
    </row>
    <row r="97" spans="1:63" ht="15" customHeight="1" x14ac:dyDescent="0.2">
      <c r="A97"/>
      <c r="B97" s="1798"/>
      <c r="C97" s="1799"/>
      <c r="D97" s="1800"/>
      <c r="E97" s="1801"/>
      <c r="F97" s="1802"/>
      <c r="G97" s="1803"/>
      <c r="H97" s="1803"/>
      <c r="I97" s="1803"/>
      <c r="J97" s="1803"/>
      <c r="K97" s="1803"/>
      <c r="L97" s="1804"/>
      <c r="M97" s="897" t="str">
        <f t="shared" si="3"/>
        <v/>
      </c>
      <c r="N97" s="898" t="str">
        <f t="shared" si="4"/>
        <v/>
      </c>
      <c r="O97"/>
      <c r="P97"/>
      <c r="Q97"/>
      <c r="R97"/>
      <c r="S97"/>
      <c r="T97"/>
      <c r="AZ97" s="196"/>
      <c r="BA97" s="196"/>
      <c r="BB97" s="196"/>
      <c r="BC97" s="196"/>
      <c r="BD97" s="196"/>
      <c r="BE97" s="196"/>
      <c r="BF97" s="196"/>
      <c r="BG97" s="196"/>
      <c r="BH97" s="196"/>
      <c r="BI97" s="196"/>
      <c r="BJ97" s="196"/>
      <c r="BK97" s="196"/>
    </row>
    <row r="98" spans="1:63" ht="15" customHeight="1" x14ac:dyDescent="0.2">
      <c r="A98"/>
      <c r="B98" s="1798"/>
      <c r="C98" s="1799"/>
      <c r="D98" s="1800"/>
      <c r="E98" s="1801"/>
      <c r="F98" s="1802"/>
      <c r="G98" s="1803"/>
      <c r="H98" s="1803"/>
      <c r="I98" s="1803"/>
      <c r="J98" s="1803"/>
      <c r="K98" s="1803"/>
      <c r="L98" s="1804"/>
      <c r="M98" s="897" t="str">
        <f t="shared" si="3"/>
        <v/>
      </c>
      <c r="N98" s="898" t="str">
        <f t="shared" si="4"/>
        <v/>
      </c>
      <c r="O98"/>
      <c r="P98"/>
      <c r="Q98"/>
      <c r="R98"/>
      <c r="S98"/>
      <c r="T98"/>
      <c r="AZ98" s="196"/>
      <c r="BA98" s="196"/>
      <c r="BB98" s="196"/>
      <c r="BC98" s="196"/>
      <c r="BD98" s="196"/>
      <c r="BE98" s="196"/>
      <c r="BF98" s="196"/>
      <c r="BG98" s="196"/>
      <c r="BH98" s="196"/>
      <c r="BI98" s="196"/>
      <c r="BJ98" s="196"/>
      <c r="BK98" s="196"/>
    </row>
    <row r="99" spans="1:63" ht="15" customHeight="1" x14ac:dyDescent="0.2">
      <c r="A99"/>
      <c r="B99" s="1798"/>
      <c r="C99" s="1799"/>
      <c r="D99" s="1800"/>
      <c r="E99" s="1801"/>
      <c r="F99" s="1802"/>
      <c r="G99" s="1803"/>
      <c r="H99" s="1803"/>
      <c r="I99" s="1803"/>
      <c r="J99" s="1803"/>
      <c r="K99" s="1803"/>
      <c r="L99" s="1804"/>
      <c r="M99" s="897" t="str">
        <f t="shared" si="3"/>
        <v/>
      </c>
      <c r="N99" s="898" t="str">
        <f t="shared" si="4"/>
        <v/>
      </c>
      <c r="O99"/>
      <c r="P99"/>
      <c r="Q99"/>
      <c r="R99"/>
      <c r="S99"/>
      <c r="T99"/>
      <c r="AZ99" s="196"/>
      <c r="BA99" s="196"/>
      <c r="BB99" s="196"/>
      <c r="BC99" s="196"/>
      <c r="BD99" s="196"/>
      <c r="BE99" s="196"/>
      <c r="BF99" s="196"/>
      <c r="BG99" s="196"/>
      <c r="BH99" s="196"/>
      <c r="BI99" s="196"/>
      <c r="BJ99" s="196"/>
      <c r="BK99" s="196"/>
    </row>
    <row r="100" spans="1:63" ht="15" customHeight="1" x14ac:dyDescent="0.2">
      <c r="A100"/>
      <c r="B100" s="1798"/>
      <c r="C100" s="1799"/>
      <c r="D100" s="1800"/>
      <c r="E100" s="1801"/>
      <c r="F100" s="1802"/>
      <c r="G100" s="1803"/>
      <c r="H100" s="1803"/>
      <c r="I100" s="1803"/>
      <c r="J100" s="1803"/>
      <c r="K100" s="1803"/>
      <c r="L100" s="1804"/>
      <c r="M100" s="897" t="str">
        <f t="shared" si="3"/>
        <v/>
      </c>
      <c r="N100" s="898" t="str">
        <f t="shared" si="4"/>
        <v/>
      </c>
      <c r="O100"/>
      <c r="P100"/>
      <c r="Q100"/>
      <c r="R100"/>
      <c r="S100"/>
      <c r="T100"/>
      <c r="AZ100" s="196"/>
      <c r="BA100" s="196"/>
      <c r="BB100" s="196"/>
      <c r="BC100" s="196"/>
      <c r="BD100" s="196"/>
      <c r="BE100" s="196"/>
      <c r="BF100" s="196"/>
      <c r="BG100" s="196"/>
      <c r="BH100" s="196"/>
      <c r="BI100" s="196"/>
      <c r="BJ100" s="196"/>
      <c r="BK100" s="196"/>
    </row>
    <row r="101" spans="1:63" ht="15" customHeight="1" x14ac:dyDescent="0.2">
      <c r="A101"/>
      <c r="B101" s="1798"/>
      <c r="C101" s="1799"/>
      <c r="D101" s="1800"/>
      <c r="E101" s="1801"/>
      <c r="F101" s="1802"/>
      <c r="G101" s="1803"/>
      <c r="H101" s="1803"/>
      <c r="I101" s="1803"/>
      <c r="J101" s="1803"/>
      <c r="K101" s="1803"/>
      <c r="L101" s="1804"/>
      <c r="M101" s="897" t="str">
        <f t="shared" si="3"/>
        <v/>
      </c>
      <c r="N101" s="898" t="str">
        <f t="shared" si="4"/>
        <v/>
      </c>
      <c r="O101"/>
      <c r="P101"/>
      <c r="Q101"/>
      <c r="R101"/>
      <c r="S101"/>
      <c r="T101"/>
      <c r="AZ101" s="196"/>
      <c r="BA101" s="196"/>
      <c r="BB101" s="196"/>
      <c r="BC101" s="196"/>
      <c r="BD101" s="196"/>
      <c r="BE101" s="196"/>
      <c r="BF101" s="196"/>
      <c r="BG101" s="196"/>
      <c r="BH101" s="196"/>
      <c r="BI101" s="196"/>
      <c r="BJ101" s="196"/>
      <c r="BK101" s="196"/>
    </row>
    <row r="102" spans="1:63" ht="15" customHeight="1" x14ac:dyDescent="0.2">
      <c r="A102"/>
      <c r="B102" s="1798"/>
      <c r="C102" s="1799"/>
      <c r="D102" s="1800"/>
      <c r="E102" s="1801"/>
      <c r="F102" s="1802"/>
      <c r="G102" s="1803"/>
      <c r="H102" s="1803"/>
      <c r="I102" s="1803"/>
      <c r="J102" s="1803"/>
      <c r="K102" s="1803"/>
      <c r="L102" s="1804"/>
      <c r="M102" s="897" t="str">
        <f t="shared" si="3"/>
        <v/>
      </c>
      <c r="N102" s="898" t="str">
        <f t="shared" si="4"/>
        <v/>
      </c>
      <c r="O102"/>
      <c r="P102"/>
      <c r="Q102"/>
      <c r="R102"/>
      <c r="S102"/>
      <c r="T102"/>
      <c r="AZ102" s="196"/>
      <c r="BA102" s="196"/>
      <c r="BB102" s="196"/>
      <c r="BC102" s="196"/>
      <c r="BD102" s="196"/>
      <c r="BE102" s="196"/>
      <c r="BF102" s="196"/>
      <c r="BG102" s="196"/>
      <c r="BH102" s="196"/>
      <c r="BI102" s="196"/>
      <c r="BJ102" s="196"/>
      <c r="BK102" s="196"/>
    </row>
    <row r="103" spans="1:63" ht="15" customHeight="1" x14ac:dyDescent="0.2">
      <c r="A103"/>
      <c r="B103" s="1798"/>
      <c r="C103" s="1799"/>
      <c r="D103" s="1800"/>
      <c r="E103" s="1801"/>
      <c r="F103" s="1802"/>
      <c r="G103" s="1803"/>
      <c r="H103" s="1803"/>
      <c r="I103" s="1803"/>
      <c r="J103" s="1803"/>
      <c r="K103" s="1803"/>
      <c r="L103" s="1804"/>
      <c r="M103" s="897" t="str">
        <f t="shared" ref="M103:M166" si="5">UPPER(C103)</f>
        <v/>
      </c>
      <c r="N103" s="898" t="str">
        <f t="shared" si="4"/>
        <v/>
      </c>
      <c r="O103"/>
      <c r="P103"/>
      <c r="Q103"/>
      <c r="R103"/>
      <c r="S103"/>
      <c r="T103"/>
      <c r="AZ103" s="196"/>
      <c r="BA103" s="196"/>
      <c r="BB103" s="196"/>
      <c r="BC103" s="196"/>
      <c r="BD103" s="196"/>
      <c r="BE103" s="196"/>
      <c r="BF103" s="196"/>
      <c r="BG103" s="196"/>
      <c r="BH103" s="196"/>
      <c r="BI103" s="196"/>
      <c r="BJ103" s="196"/>
      <c r="BK103" s="196"/>
    </row>
    <row r="104" spans="1:63" ht="15" customHeight="1" x14ac:dyDescent="0.2">
      <c r="A104"/>
      <c r="B104" s="1798"/>
      <c r="C104" s="1799"/>
      <c r="D104" s="1800"/>
      <c r="E104" s="1801"/>
      <c r="F104" s="1802"/>
      <c r="G104" s="1803"/>
      <c r="H104" s="1803"/>
      <c r="I104" s="1803"/>
      <c r="J104" s="1803"/>
      <c r="K104" s="1803"/>
      <c r="L104" s="1804"/>
      <c r="M104" s="897" t="str">
        <f t="shared" si="5"/>
        <v/>
      </c>
      <c r="N104" s="898" t="str">
        <f t="shared" si="4"/>
        <v/>
      </c>
      <c r="O104"/>
      <c r="P104"/>
      <c r="Q104"/>
      <c r="R104"/>
      <c r="S104"/>
      <c r="T104"/>
      <c r="AZ104" s="196"/>
      <c r="BA104" s="196"/>
      <c r="BB104" s="196"/>
      <c r="BC104" s="196"/>
      <c r="BD104" s="196"/>
      <c r="BE104" s="196"/>
      <c r="BF104" s="196"/>
      <c r="BG104" s="196"/>
      <c r="BH104" s="196"/>
      <c r="BI104" s="196"/>
      <c r="BJ104" s="196"/>
      <c r="BK104" s="196"/>
    </row>
    <row r="105" spans="1:63" ht="15" customHeight="1" x14ac:dyDescent="0.2">
      <c r="A105"/>
      <c r="B105" s="1798"/>
      <c r="C105" s="1799"/>
      <c r="D105" s="1800"/>
      <c r="E105" s="1801"/>
      <c r="F105" s="1802"/>
      <c r="G105" s="1803"/>
      <c r="H105" s="1803"/>
      <c r="I105" s="1803"/>
      <c r="J105" s="1803"/>
      <c r="K105" s="1803"/>
      <c r="L105" s="1804"/>
      <c r="M105" s="897" t="str">
        <f t="shared" si="5"/>
        <v/>
      </c>
      <c r="N105" s="898" t="str">
        <f t="shared" si="4"/>
        <v/>
      </c>
      <c r="O105"/>
      <c r="P105"/>
      <c r="Q105"/>
      <c r="R105"/>
      <c r="S105"/>
      <c r="T105"/>
      <c r="AZ105" s="196"/>
      <c r="BA105" s="196"/>
      <c r="BB105" s="196"/>
      <c r="BC105" s="196"/>
      <c r="BD105" s="196"/>
      <c r="BE105" s="196"/>
      <c r="BF105" s="196"/>
      <c r="BG105" s="196"/>
      <c r="BH105" s="196"/>
      <c r="BI105" s="196"/>
      <c r="BJ105" s="196"/>
      <c r="BK105" s="196"/>
    </row>
    <row r="106" spans="1:63" ht="15" customHeight="1" x14ac:dyDescent="0.2">
      <c r="A106"/>
      <c r="B106" s="1798"/>
      <c r="C106" s="1799"/>
      <c r="D106" s="1800"/>
      <c r="E106" s="1801"/>
      <c r="F106" s="1802"/>
      <c r="G106" s="1803"/>
      <c r="H106" s="1803"/>
      <c r="I106" s="1803"/>
      <c r="J106" s="1803"/>
      <c r="K106" s="1803"/>
      <c r="L106" s="1804"/>
      <c r="M106" s="897" t="str">
        <f t="shared" si="5"/>
        <v/>
      </c>
      <c r="N106" s="898" t="str">
        <f t="shared" si="4"/>
        <v/>
      </c>
      <c r="O106"/>
      <c r="P106"/>
      <c r="Q106"/>
      <c r="R106"/>
      <c r="S106"/>
      <c r="T106"/>
      <c r="AZ106" s="196"/>
      <c r="BA106" s="196"/>
      <c r="BB106" s="196"/>
      <c r="BC106" s="196"/>
      <c r="BD106" s="196"/>
      <c r="BE106" s="196"/>
      <c r="BF106" s="196"/>
      <c r="BG106" s="196"/>
      <c r="BH106" s="196"/>
      <c r="BI106" s="196"/>
      <c r="BJ106" s="196"/>
      <c r="BK106" s="196"/>
    </row>
    <row r="107" spans="1:63" ht="15" customHeight="1" x14ac:dyDescent="0.2">
      <c r="A107"/>
      <c r="B107" s="1798"/>
      <c r="C107" s="1799"/>
      <c r="D107" s="1800"/>
      <c r="E107" s="1801"/>
      <c r="F107" s="1802"/>
      <c r="G107" s="1803"/>
      <c r="H107" s="1803"/>
      <c r="I107" s="1803"/>
      <c r="J107" s="1803"/>
      <c r="K107" s="1803"/>
      <c r="L107" s="1804"/>
      <c r="M107" s="897" t="str">
        <f t="shared" si="5"/>
        <v/>
      </c>
      <c r="N107" s="898" t="str">
        <f t="shared" si="4"/>
        <v/>
      </c>
      <c r="O107"/>
      <c r="P107"/>
      <c r="Q107"/>
      <c r="R107"/>
      <c r="S107"/>
      <c r="T107"/>
      <c r="AZ107" s="196"/>
      <c r="BA107" s="196"/>
      <c r="BB107" s="196"/>
      <c r="BC107" s="196"/>
      <c r="BD107" s="196"/>
      <c r="BE107" s="196"/>
      <c r="BF107" s="196"/>
      <c r="BG107" s="196"/>
      <c r="BH107" s="196"/>
      <c r="BI107" s="196"/>
      <c r="BJ107" s="196"/>
      <c r="BK107" s="196"/>
    </row>
    <row r="108" spans="1:63" ht="15" customHeight="1" x14ac:dyDescent="0.2">
      <c r="A108"/>
      <c r="B108" s="1798"/>
      <c r="C108" s="1799"/>
      <c r="D108" s="1800"/>
      <c r="E108" s="1801"/>
      <c r="F108" s="1802"/>
      <c r="G108" s="1803"/>
      <c r="H108" s="1803"/>
      <c r="I108" s="1803"/>
      <c r="J108" s="1803"/>
      <c r="K108" s="1803"/>
      <c r="L108" s="1804"/>
      <c r="M108" s="897" t="str">
        <f t="shared" si="5"/>
        <v/>
      </c>
      <c r="N108" s="898" t="str">
        <f t="shared" si="4"/>
        <v/>
      </c>
      <c r="O108"/>
      <c r="P108"/>
      <c r="Q108"/>
      <c r="R108"/>
      <c r="S108"/>
      <c r="T108"/>
      <c r="AZ108" s="196"/>
      <c r="BA108" s="196"/>
      <c r="BB108" s="196"/>
      <c r="BC108" s="196"/>
      <c r="BD108" s="196"/>
      <c r="BE108" s="196"/>
      <c r="BF108" s="196"/>
      <c r="BG108" s="196"/>
      <c r="BH108" s="196"/>
      <c r="BI108" s="196"/>
      <c r="BJ108" s="196"/>
      <c r="BK108" s="196"/>
    </row>
    <row r="109" spans="1:63" ht="15" customHeight="1" x14ac:dyDescent="0.2">
      <c r="A109"/>
      <c r="B109" s="1798"/>
      <c r="C109" s="1799"/>
      <c r="D109" s="1800"/>
      <c r="E109" s="1801"/>
      <c r="F109" s="1802"/>
      <c r="G109" s="1803"/>
      <c r="H109" s="1803"/>
      <c r="I109" s="1803"/>
      <c r="J109" s="1803"/>
      <c r="K109" s="1803"/>
      <c r="L109" s="1804"/>
      <c r="M109" s="897" t="str">
        <f t="shared" si="5"/>
        <v/>
      </c>
      <c r="N109" s="898" t="str">
        <f t="shared" si="4"/>
        <v/>
      </c>
      <c r="O109"/>
      <c r="P109"/>
      <c r="Q109"/>
      <c r="R109"/>
      <c r="S109"/>
      <c r="T109"/>
      <c r="AZ109" s="196"/>
      <c r="BA109" s="196"/>
      <c r="BB109" s="196"/>
      <c r="BC109" s="196"/>
      <c r="BD109" s="196"/>
      <c r="BE109" s="196"/>
      <c r="BF109" s="196"/>
      <c r="BG109" s="196"/>
      <c r="BH109" s="196"/>
      <c r="BI109" s="196"/>
      <c r="BJ109" s="196"/>
      <c r="BK109" s="196"/>
    </row>
    <row r="110" spans="1:63" ht="15" customHeight="1" x14ac:dyDescent="0.2">
      <c r="A110"/>
      <c r="B110" s="1798"/>
      <c r="C110" s="1799"/>
      <c r="D110" s="1800"/>
      <c r="E110" s="1801"/>
      <c r="F110" s="1802"/>
      <c r="G110" s="1803"/>
      <c r="H110" s="1803"/>
      <c r="I110" s="1803"/>
      <c r="J110" s="1803"/>
      <c r="K110" s="1803"/>
      <c r="L110" s="1804"/>
      <c r="M110" s="897" t="str">
        <f t="shared" si="5"/>
        <v/>
      </c>
      <c r="N110" s="898" t="str">
        <f t="shared" si="4"/>
        <v/>
      </c>
      <c r="O110"/>
      <c r="P110"/>
      <c r="Q110"/>
      <c r="R110"/>
      <c r="S110"/>
      <c r="T110"/>
      <c r="AZ110" s="196"/>
      <c r="BA110" s="196"/>
      <c r="BB110" s="196"/>
      <c r="BC110" s="196"/>
      <c r="BD110" s="196"/>
      <c r="BE110" s="196"/>
      <c r="BF110" s="196"/>
      <c r="BG110" s="196"/>
      <c r="BH110" s="196"/>
      <c r="BI110" s="196"/>
      <c r="BJ110" s="196"/>
      <c r="BK110" s="196"/>
    </row>
    <row r="111" spans="1:63" ht="15" customHeight="1" x14ac:dyDescent="0.2">
      <c r="A111"/>
      <c r="B111" s="1798"/>
      <c r="C111" s="1799"/>
      <c r="D111" s="1800"/>
      <c r="E111" s="1801"/>
      <c r="F111" s="1802"/>
      <c r="G111" s="1803"/>
      <c r="H111" s="1803"/>
      <c r="I111" s="1803"/>
      <c r="J111" s="1803"/>
      <c r="K111" s="1803"/>
      <c r="L111" s="1804"/>
      <c r="M111" s="897" t="str">
        <f t="shared" si="5"/>
        <v/>
      </c>
      <c r="N111" s="898" t="str">
        <f t="shared" si="4"/>
        <v/>
      </c>
      <c r="O111"/>
      <c r="P111"/>
      <c r="Q111"/>
      <c r="R111"/>
      <c r="S111"/>
      <c r="T111"/>
      <c r="AZ111" s="196"/>
      <c r="BA111" s="196"/>
      <c r="BB111" s="196"/>
      <c r="BC111" s="196"/>
      <c r="BD111" s="196"/>
      <c r="BE111" s="196"/>
      <c r="BF111" s="196"/>
      <c r="BG111" s="196"/>
      <c r="BH111" s="196"/>
      <c r="BI111" s="196"/>
      <c r="BJ111" s="196"/>
      <c r="BK111" s="196"/>
    </row>
    <row r="112" spans="1:63" ht="15" customHeight="1" x14ac:dyDescent="0.2">
      <c r="A112"/>
      <c r="B112" s="1798"/>
      <c r="C112" s="1799"/>
      <c r="D112" s="1800"/>
      <c r="E112" s="1801"/>
      <c r="F112" s="1802"/>
      <c r="G112" s="1803"/>
      <c r="H112" s="1803"/>
      <c r="I112" s="1803"/>
      <c r="J112" s="1803"/>
      <c r="K112" s="1803"/>
      <c r="L112" s="1804"/>
      <c r="M112" s="897" t="str">
        <f t="shared" si="5"/>
        <v/>
      </c>
      <c r="N112" s="898" t="str">
        <f t="shared" si="4"/>
        <v/>
      </c>
      <c r="O112"/>
      <c r="P112"/>
      <c r="Q112"/>
      <c r="R112"/>
      <c r="S112"/>
      <c r="T112"/>
      <c r="AZ112" s="196"/>
      <c r="BA112" s="196"/>
      <c r="BB112" s="196"/>
      <c r="BC112" s="196"/>
      <c r="BD112" s="196"/>
      <c r="BE112" s="196"/>
      <c r="BF112" s="196"/>
      <c r="BG112" s="196"/>
      <c r="BH112" s="196"/>
      <c r="BI112" s="196"/>
      <c r="BJ112" s="196"/>
      <c r="BK112" s="196"/>
    </row>
    <row r="113" spans="1:63" ht="15" customHeight="1" x14ac:dyDescent="0.2">
      <c r="A113"/>
      <c r="B113" s="1798"/>
      <c r="C113" s="1799"/>
      <c r="D113" s="1800"/>
      <c r="E113" s="1801"/>
      <c r="F113" s="1802"/>
      <c r="G113" s="1803"/>
      <c r="H113" s="1803"/>
      <c r="I113" s="1803"/>
      <c r="J113" s="1803"/>
      <c r="K113" s="1803"/>
      <c r="L113" s="1804"/>
      <c r="M113" s="897" t="str">
        <f t="shared" si="5"/>
        <v/>
      </c>
      <c r="N113" s="898" t="str">
        <f t="shared" si="4"/>
        <v/>
      </c>
      <c r="O113"/>
      <c r="P113"/>
      <c r="Q113"/>
      <c r="R113"/>
      <c r="S113"/>
      <c r="T113"/>
      <c r="AZ113" s="196"/>
      <c r="BA113" s="196"/>
      <c r="BB113" s="196"/>
      <c r="BC113" s="196"/>
      <c r="BD113" s="196"/>
      <c r="BE113" s="196"/>
      <c r="BF113" s="196"/>
      <c r="BG113" s="196"/>
      <c r="BH113" s="196"/>
      <c r="BI113" s="196"/>
      <c r="BJ113" s="196"/>
      <c r="BK113" s="196"/>
    </row>
    <row r="114" spans="1:63" ht="15" customHeight="1" x14ac:dyDescent="0.2">
      <c r="A114"/>
      <c r="B114" s="1798"/>
      <c r="C114" s="1799"/>
      <c r="D114" s="1800"/>
      <c r="E114" s="1801"/>
      <c r="F114" s="1802"/>
      <c r="G114" s="1803"/>
      <c r="H114" s="1803"/>
      <c r="I114" s="1803"/>
      <c r="J114" s="1803"/>
      <c r="K114" s="1803"/>
      <c r="L114" s="1804"/>
      <c r="M114" s="897" t="str">
        <f t="shared" si="5"/>
        <v/>
      </c>
      <c r="N114" s="898" t="str">
        <f t="shared" si="4"/>
        <v/>
      </c>
      <c r="O114"/>
      <c r="P114"/>
      <c r="Q114"/>
      <c r="R114"/>
      <c r="S114"/>
      <c r="T114"/>
      <c r="AZ114" s="196"/>
      <c r="BA114" s="196"/>
      <c r="BB114" s="196"/>
      <c r="BC114" s="196"/>
      <c r="BD114" s="196"/>
      <c r="BE114" s="196"/>
      <c r="BF114" s="196"/>
      <c r="BG114" s="196"/>
      <c r="BH114" s="196"/>
      <c r="BI114" s="196"/>
      <c r="BJ114" s="196"/>
      <c r="BK114" s="196"/>
    </row>
    <row r="115" spans="1:63" ht="15" customHeight="1" x14ac:dyDescent="0.2">
      <c r="A115"/>
      <c r="B115" s="1798"/>
      <c r="C115" s="1799"/>
      <c r="D115" s="1800"/>
      <c r="E115" s="1801"/>
      <c r="F115" s="1802"/>
      <c r="G115" s="1803"/>
      <c r="H115" s="1803"/>
      <c r="I115" s="1803"/>
      <c r="J115" s="1803"/>
      <c r="K115" s="1803"/>
      <c r="L115" s="1804"/>
      <c r="M115" s="897" t="str">
        <f t="shared" si="5"/>
        <v/>
      </c>
      <c r="N115" s="898" t="str">
        <f t="shared" si="4"/>
        <v/>
      </c>
      <c r="O115"/>
      <c r="P115"/>
      <c r="Q115"/>
      <c r="R115"/>
      <c r="S115"/>
      <c r="T115"/>
      <c r="AZ115" s="196"/>
      <c r="BA115" s="196"/>
      <c r="BB115" s="196"/>
      <c r="BC115" s="196"/>
      <c r="BD115" s="196"/>
      <c r="BE115" s="196"/>
      <c r="BF115" s="196"/>
      <c r="BG115" s="196"/>
      <c r="BH115" s="196"/>
      <c r="BI115" s="196"/>
      <c r="BJ115" s="196"/>
      <c r="BK115" s="196"/>
    </row>
    <row r="116" spans="1:63" ht="15" customHeight="1" x14ac:dyDescent="0.2">
      <c r="A116"/>
      <c r="B116" s="1798"/>
      <c r="C116" s="1799"/>
      <c r="D116" s="1800"/>
      <c r="E116" s="1801"/>
      <c r="F116" s="1802"/>
      <c r="G116" s="1803"/>
      <c r="H116" s="1803"/>
      <c r="I116" s="1803"/>
      <c r="J116" s="1803"/>
      <c r="K116" s="1803"/>
      <c r="L116" s="1804"/>
      <c r="M116" s="897" t="str">
        <f t="shared" si="5"/>
        <v/>
      </c>
      <c r="N116" s="898" t="str">
        <f t="shared" si="4"/>
        <v/>
      </c>
      <c r="O116"/>
      <c r="P116"/>
      <c r="Q116"/>
      <c r="R116"/>
      <c r="S116"/>
      <c r="T116"/>
      <c r="AZ116" s="196"/>
      <c r="BA116" s="196"/>
      <c r="BB116" s="196"/>
      <c r="BC116" s="196"/>
      <c r="BD116" s="196"/>
      <c r="BE116" s="196"/>
      <c r="BF116" s="196"/>
      <c r="BG116" s="196"/>
      <c r="BH116" s="196"/>
      <c r="BI116" s="196"/>
      <c r="BJ116" s="196"/>
      <c r="BK116" s="196"/>
    </row>
    <row r="117" spans="1:63" ht="15" customHeight="1" x14ac:dyDescent="0.2">
      <c r="A117"/>
      <c r="B117" s="1798"/>
      <c r="C117" s="1799"/>
      <c r="D117" s="1800"/>
      <c r="E117" s="1801"/>
      <c r="F117" s="1802"/>
      <c r="G117" s="1803"/>
      <c r="H117" s="1803"/>
      <c r="I117" s="1803"/>
      <c r="J117" s="1803"/>
      <c r="K117" s="1803"/>
      <c r="L117" s="1804"/>
      <c r="M117" s="897" t="str">
        <f t="shared" si="5"/>
        <v/>
      </c>
      <c r="N117" s="898" t="str">
        <f t="shared" si="4"/>
        <v/>
      </c>
      <c r="O117"/>
      <c r="P117"/>
      <c r="Q117"/>
      <c r="R117"/>
      <c r="S117"/>
      <c r="T117"/>
      <c r="AZ117" s="196"/>
      <c r="BA117" s="196"/>
      <c r="BB117" s="196"/>
      <c r="BC117" s="196"/>
      <c r="BD117" s="196"/>
      <c r="BE117" s="196"/>
      <c r="BF117" s="196"/>
      <c r="BG117" s="196"/>
      <c r="BH117" s="196"/>
      <c r="BI117" s="196"/>
      <c r="BJ117" s="196"/>
      <c r="BK117" s="196"/>
    </row>
    <row r="118" spans="1:63" ht="15" customHeight="1" x14ac:dyDescent="0.2">
      <c r="A118"/>
      <c r="B118" s="1798"/>
      <c r="C118" s="1799"/>
      <c r="D118" s="1800"/>
      <c r="E118" s="1801"/>
      <c r="F118" s="1802"/>
      <c r="G118" s="1803"/>
      <c r="H118" s="1803"/>
      <c r="I118" s="1803"/>
      <c r="J118" s="1803"/>
      <c r="K118" s="1803"/>
      <c r="L118" s="1804"/>
      <c r="M118" s="897" t="str">
        <f t="shared" si="5"/>
        <v/>
      </c>
      <c r="N118" s="898" t="str">
        <f t="shared" si="4"/>
        <v/>
      </c>
      <c r="O118"/>
      <c r="P118"/>
      <c r="Q118"/>
      <c r="R118"/>
      <c r="S118"/>
      <c r="T118"/>
      <c r="AZ118" s="196"/>
      <c r="BA118" s="196"/>
      <c r="BB118" s="196"/>
      <c r="BC118" s="196"/>
      <c r="BD118" s="196"/>
      <c r="BE118" s="196"/>
      <c r="BF118" s="196"/>
      <c r="BG118" s="196"/>
      <c r="BH118" s="196"/>
      <c r="BI118" s="196"/>
      <c r="BJ118" s="196"/>
      <c r="BK118" s="196"/>
    </row>
    <row r="119" spans="1:63" ht="15" customHeight="1" x14ac:dyDescent="0.2">
      <c r="A119"/>
      <c r="B119" s="1798"/>
      <c r="C119" s="1799"/>
      <c r="D119" s="1800"/>
      <c r="E119" s="1801"/>
      <c r="F119" s="1802"/>
      <c r="G119" s="1803"/>
      <c r="H119" s="1803"/>
      <c r="I119" s="1803"/>
      <c r="J119" s="1803"/>
      <c r="K119" s="1803"/>
      <c r="L119" s="1804"/>
      <c r="M119" s="897" t="str">
        <f t="shared" si="5"/>
        <v/>
      </c>
      <c r="N119" s="898" t="str">
        <f t="shared" si="4"/>
        <v/>
      </c>
      <c r="O119"/>
      <c r="P119"/>
      <c r="Q119"/>
      <c r="R119"/>
      <c r="S119"/>
      <c r="T119"/>
      <c r="AZ119" s="196"/>
      <c r="BA119" s="196"/>
      <c r="BB119" s="196"/>
      <c r="BC119" s="196"/>
      <c r="BD119" s="196"/>
      <c r="BE119" s="196"/>
      <c r="BF119" s="196"/>
      <c r="BG119" s="196"/>
      <c r="BH119" s="196"/>
      <c r="BI119" s="196"/>
      <c r="BJ119" s="196"/>
      <c r="BK119" s="196"/>
    </row>
    <row r="120" spans="1:63" ht="15" customHeight="1" x14ac:dyDescent="0.2">
      <c r="A120"/>
      <c r="B120" s="1798"/>
      <c r="C120" s="1799"/>
      <c r="D120" s="1800"/>
      <c r="E120" s="1801"/>
      <c r="F120" s="1802"/>
      <c r="G120" s="1803"/>
      <c r="H120" s="1803"/>
      <c r="I120" s="1803"/>
      <c r="J120" s="1803"/>
      <c r="K120" s="1803"/>
      <c r="L120" s="1804"/>
      <c r="M120" s="897" t="str">
        <f t="shared" si="5"/>
        <v/>
      </c>
      <c r="N120" s="898" t="str">
        <f t="shared" si="4"/>
        <v/>
      </c>
      <c r="O120"/>
      <c r="P120"/>
      <c r="Q120"/>
      <c r="R120"/>
      <c r="S120"/>
      <c r="T120"/>
      <c r="AZ120" s="196"/>
      <c r="BA120" s="196"/>
      <c r="BB120" s="196"/>
      <c r="BC120" s="196"/>
      <c r="BD120" s="196"/>
      <c r="BE120" s="196"/>
      <c r="BF120" s="196"/>
      <c r="BG120" s="196"/>
      <c r="BH120" s="196"/>
      <c r="BI120" s="196"/>
      <c r="BJ120" s="196"/>
      <c r="BK120" s="196"/>
    </row>
    <row r="121" spans="1:63" ht="15" customHeight="1" x14ac:dyDescent="0.2">
      <c r="A121"/>
      <c r="B121" s="1798"/>
      <c r="C121" s="1799"/>
      <c r="D121" s="1800"/>
      <c r="E121" s="1801"/>
      <c r="F121" s="1802"/>
      <c r="G121" s="1803"/>
      <c r="H121" s="1803"/>
      <c r="I121" s="1803"/>
      <c r="J121" s="1803"/>
      <c r="K121" s="1803"/>
      <c r="L121" s="1804"/>
      <c r="M121" s="897" t="str">
        <f t="shared" si="5"/>
        <v/>
      </c>
      <c r="N121" s="898" t="str">
        <f t="shared" si="4"/>
        <v/>
      </c>
      <c r="O121"/>
      <c r="P121"/>
      <c r="Q121"/>
      <c r="R121"/>
      <c r="S121"/>
      <c r="T121"/>
      <c r="AZ121" s="196"/>
      <c r="BA121" s="196"/>
      <c r="BB121" s="196"/>
      <c r="BC121" s="196"/>
      <c r="BD121" s="196"/>
      <c r="BE121" s="196"/>
      <c r="BF121" s="196"/>
      <c r="BG121" s="196"/>
      <c r="BH121" s="196"/>
      <c r="BI121" s="196"/>
      <c r="BJ121" s="196"/>
      <c r="BK121" s="196"/>
    </row>
    <row r="122" spans="1:63" ht="15" customHeight="1" x14ac:dyDescent="0.2">
      <c r="A122"/>
      <c r="B122" s="1798"/>
      <c r="C122" s="1799"/>
      <c r="D122" s="1800"/>
      <c r="E122" s="1801"/>
      <c r="F122" s="1802"/>
      <c r="G122" s="1803"/>
      <c r="H122" s="1803"/>
      <c r="I122" s="1803"/>
      <c r="J122" s="1803"/>
      <c r="K122" s="1803"/>
      <c r="L122" s="1804"/>
      <c r="M122" s="897" t="str">
        <f t="shared" si="5"/>
        <v/>
      </c>
      <c r="N122" s="898" t="str">
        <f t="shared" si="4"/>
        <v/>
      </c>
      <c r="O122"/>
      <c r="P122"/>
      <c r="Q122"/>
      <c r="R122"/>
      <c r="S122"/>
      <c r="T122"/>
      <c r="AZ122" s="196"/>
      <c r="BA122" s="196"/>
      <c r="BB122" s="196"/>
      <c r="BC122" s="196"/>
      <c r="BD122" s="196"/>
      <c r="BE122" s="196"/>
      <c r="BF122" s="196"/>
      <c r="BG122" s="196"/>
      <c r="BH122" s="196"/>
      <c r="BI122" s="196"/>
      <c r="BJ122" s="196"/>
      <c r="BK122" s="196"/>
    </row>
    <row r="123" spans="1:63" ht="15" customHeight="1" x14ac:dyDescent="0.2">
      <c r="A123"/>
      <c r="B123" s="1798"/>
      <c r="C123" s="1799"/>
      <c r="D123" s="1800"/>
      <c r="E123" s="1801"/>
      <c r="F123" s="1802"/>
      <c r="G123" s="1803"/>
      <c r="H123" s="1803"/>
      <c r="I123" s="1803"/>
      <c r="J123" s="1803"/>
      <c r="K123" s="1803"/>
      <c r="L123" s="1804"/>
      <c r="M123" s="897" t="str">
        <f t="shared" si="5"/>
        <v/>
      </c>
      <c r="N123" s="898" t="str">
        <f t="shared" si="4"/>
        <v/>
      </c>
      <c r="O123"/>
      <c r="P123"/>
      <c r="Q123"/>
      <c r="R123"/>
      <c r="S123"/>
      <c r="T123"/>
      <c r="AZ123" s="196"/>
      <c r="BA123" s="196"/>
      <c r="BB123" s="196"/>
      <c r="BC123" s="196"/>
      <c r="BD123" s="196"/>
      <c r="BE123" s="196"/>
      <c r="BF123" s="196"/>
      <c r="BG123" s="196"/>
      <c r="BH123" s="196"/>
      <c r="BI123" s="196"/>
      <c r="BJ123" s="196"/>
      <c r="BK123" s="196"/>
    </row>
    <row r="124" spans="1:63" ht="15" customHeight="1" x14ac:dyDescent="0.2">
      <c r="A124"/>
      <c r="B124" s="1798"/>
      <c r="C124" s="1799"/>
      <c r="D124" s="1800"/>
      <c r="E124" s="1801"/>
      <c r="F124" s="1802"/>
      <c r="G124" s="1803"/>
      <c r="H124" s="1803"/>
      <c r="I124" s="1803"/>
      <c r="J124" s="1803"/>
      <c r="K124" s="1803"/>
      <c r="L124" s="1804"/>
      <c r="M124" s="897" t="str">
        <f t="shared" si="5"/>
        <v/>
      </c>
      <c r="N124" s="898" t="str">
        <f t="shared" si="4"/>
        <v/>
      </c>
      <c r="O124"/>
      <c r="P124"/>
      <c r="Q124"/>
      <c r="R124"/>
      <c r="S124"/>
      <c r="T124"/>
      <c r="AZ124" s="196"/>
      <c r="BA124" s="196"/>
      <c r="BB124" s="196"/>
      <c r="BC124" s="196"/>
      <c r="BD124" s="196"/>
      <c r="BE124" s="196"/>
      <c r="BF124" s="196"/>
      <c r="BG124" s="196"/>
      <c r="BH124" s="196"/>
      <c r="BI124" s="196"/>
      <c r="BJ124" s="196"/>
      <c r="BK124" s="196"/>
    </row>
    <row r="125" spans="1:63" ht="15" customHeight="1" x14ac:dyDescent="0.2">
      <c r="A125"/>
      <c r="B125" s="1798"/>
      <c r="C125" s="1799"/>
      <c r="D125" s="1800"/>
      <c r="E125" s="1801"/>
      <c r="F125" s="1802"/>
      <c r="G125" s="1803"/>
      <c r="H125" s="1803"/>
      <c r="I125" s="1803"/>
      <c r="J125" s="1803"/>
      <c r="K125" s="1803"/>
      <c r="L125" s="1804"/>
      <c r="M125" s="897" t="str">
        <f t="shared" si="5"/>
        <v/>
      </c>
      <c r="N125" s="898" t="str">
        <f t="shared" si="4"/>
        <v/>
      </c>
      <c r="O125"/>
      <c r="P125"/>
      <c r="Q125"/>
      <c r="R125"/>
      <c r="S125"/>
      <c r="T125"/>
      <c r="AZ125" s="196"/>
      <c r="BA125" s="196"/>
      <c r="BB125" s="196"/>
      <c r="BC125" s="196"/>
      <c r="BD125" s="196"/>
      <c r="BE125" s="196"/>
      <c r="BF125" s="196"/>
      <c r="BG125" s="196"/>
      <c r="BH125" s="196"/>
      <c r="BI125" s="196"/>
      <c r="BJ125" s="196"/>
      <c r="BK125" s="196"/>
    </row>
    <row r="126" spans="1:63" ht="15" customHeight="1" x14ac:dyDescent="0.2">
      <c r="A126"/>
      <c r="B126" s="1798"/>
      <c r="C126" s="1799"/>
      <c r="D126" s="1800"/>
      <c r="E126" s="1801"/>
      <c r="F126" s="1802"/>
      <c r="G126" s="1803"/>
      <c r="H126" s="1803"/>
      <c r="I126" s="1803"/>
      <c r="J126" s="1803"/>
      <c r="K126" s="1803"/>
      <c r="L126" s="1804"/>
      <c r="M126" s="897" t="str">
        <f t="shared" si="5"/>
        <v/>
      </c>
      <c r="N126" s="898" t="str">
        <f t="shared" si="4"/>
        <v/>
      </c>
      <c r="O126"/>
      <c r="P126"/>
      <c r="Q126"/>
      <c r="R126"/>
      <c r="S126"/>
      <c r="T126"/>
      <c r="AZ126" s="196"/>
      <c r="BA126" s="196"/>
      <c r="BB126" s="196"/>
      <c r="BC126" s="196"/>
      <c r="BD126" s="196"/>
      <c r="BE126" s="196"/>
      <c r="BF126" s="196"/>
      <c r="BG126" s="196"/>
      <c r="BH126" s="196"/>
      <c r="BI126" s="196"/>
      <c r="BJ126" s="196"/>
      <c r="BK126" s="196"/>
    </row>
    <row r="127" spans="1:63" ht="15" customHeight="1" x14ac:dyDescent="0.2">
      <c r="A127"/>
      <c r="B127" s="1798"/>
      <c r="C127" s="1799"/>
      <c r="D127" s="1800"/>
      <c r="E127" s="1801"/>
      <c r="F127" s="1802"/>
      <c r="G127" s="1803"/>
      <c r="H127" s="1803"/>
      <c r="I127" s="1803"/>
      <c r="J127" s="1803"/>
      <c r="K127" s="1803"/>
      <c r="L127" s="1804"/>
      <c r="M127" s="897" t="str">
        <f t="shared" si="5"/>
        <v/>
      </c>
      <c r="N127" s="898" t="str">
        <f t="shared" si="4"/>
        <v/>
      </c>
      <c r="O127"/>
      <c r="P127"/>
      <c r="Q127"/>
      <c r="R127"/>
      <c r="S127"/>
      <c r="T127"/>
      <c r="AZ127" s="196"/>
      <c r="BA127" s="196"/>
      <c r="BB127" s="196"/>
      <c r="BC127" s="196"/>
      <c r="BD127" s="196"/>
      <c r="BE127" s="196"/>
      <c r="BF127" s="196"/>
      <c r="BG127" s="196"/>
      <c r="BH127" s="196"/>
      <c r="BI127" s="196"/>
      <c r="BJ127" s="196"/>
      <c r="BK127" s="196"/>
    </row>
    <row r="128" spans="1:63" ht="15" customHeight="1" x14ac:dyDescent="0.2">
      <c r="A128"/>
      <c r="B128" s="1798"/>
      <c r="C128" s="1799"/>
      <c r="D128" s="1800"/>
      <c r="E128" s="1801"/>
      <c r="F128" s="1802"/>
      <c r="G128" s="1803"/>
      <c r="H128" s="1803"/>
      <c r="I128" s="1803"/>
      <c r="J128" s="1803"/>
      <c r="K128" s="1803"/>
      <c r="L128" s="1804"/>
      <c r="M128" s="897" t="str">
        <f t="shared" si="5"/>
        <v/>
      </c>
      <c r="N128" s="898" t="str">
        <f t="shared" si="4"/>
        <v/>
      </c>
      <c r="O128"/>
      <c r="P128"/>
      <c r="Q128"/>
      <c r="R128"/>
      <c r="S128"/>
      <c r="T128"/>
      <c r="AZ128" s="196"/>
      <c r="BA128" s="196"/>
      <c r="BB128" s="196"/>
      <c r="BC128" s="196"/>
      <c r="BD128" s="196"/>
      <c r="BE128" s="196"/>
      <c r="BF128" s="196"/>
      <c r="BG128" s="196"/>
      <c r="BH128" s="196"/>
      <c r="BI128" s="196"/>
      <c r="BJ128" s="196"/>
      <c r="BK128" s="196"/>
    </row>
    <row r="129" spans="1:63" ht="15" customHeight="1" x14ac:dyDescent="0.2">
      <c r="A129"/>
      <c r="B129" s="1798"/>
      <c r="C129" s="1799"/>
      <c r="D129" s="1800"/>
      <c r="E129" s="1801"/>
      <c r="F129" s="1802"/>
      <c r="G129" s="1803"/>
      <c r="H129" s="1803"/>
      <c r="I129" s="1803"/>
      <c r="J129" s="1803"/>
      <c r="K129" s="1803"/>
      <c r="L129" s="1804"/>
      <c r="M129" s="897" t="str">
        <f t="shared" si="5"/>
        <v/>
      </c>
      <c r="N129" s="898" t="str">
        <f t="shared" si="4"/>
        <v/>
      </c>
      <c r="O129"/>
      <c r="P129"/>
      <c r="Q129"/>
      <c r="R129"/>
      <c r="S129"/>
      <c r="T129"/>
      <c r="AZ129" s="196"/>
      <c r="BA129" s="196"/>
      <c r="BB129" s="196"/>
      <c r="BC129" s="196"/>
      <c r="BD129" s="196"/>
      <c r="BE129" s="196"/>
      <c r="BF129" s="196"/>
      <c r="BG129" s="196"/>
      <c r="BH129" s="196"/>
      <c r="BI129" s="196"/>
      <c r="BJ129" s="196"/>
      <c r="BK129" s="196"/>
    </row>
    <row r="130" spans="1:63" ht="15" customHeight="1" x14ac:dyDescent="0.2">
      <c r="A130"/>
      <c r="B130" s="1798"/>
      <c r="C130" s="1799"/>
      <c r="D130" s="1800"/>
      <c r="E130" s="1801"/>
      <c r="F130" s="1802"/>
      <c r="G130" s="1803"/>
      <c r="H130" s="1803"/>
      <c r="I130" s="1803"/>
      <c r="J130" s="1803"/>
      <c r="K130" s="1803"/>
      <c r="L130" s="1804"/>
      <c r="M130" s="897" t="str">
        <f t="shared" si="5"/>
        <v/>
      </c>
      <c r="N130" s="898" t="str">
        <f t="shared" si="4"/>
        <v/>
      </c>
      <c r="O130"/>
      <c r="P130"/>
      <c r="Q130"/>
      <c r="R130"/>
      <c r="S130"/>
      <c r="T130"/>
      <c r="AZ130" s="196"/>
      <c r="BA130" s="196"/>
      <c r="BB130" s="196"/>
      <c r="BC130" s="196"/>
      <c r="BD130" s="196"/>
      <c r="BE130" s="196"/>
      <c r="BF130" s="196"/>
      <c r="BG130" s="196"/>
      <c r="BH130" s="196"/>
      <c r="BI130" s="196"/>
      <c r="BJ130" s="196"/>
      <c r="BK130" s="196"/>
    </row>
    <row r="131" spans="1:63" ht="15" customHeight="1" x14ac:dyDescent="0.2">
      <c r="A131"/>
      <c r="B131" s="1798"/>
      <c r="C131" s="1799"/>
      <c r="D131" s="1800"/>
      <c r="E131" s="1801"/>
      <c r="F131" s="1802"/>
      <c r="G131" s="1803"/>
      <c r="H131" s="1803"/>
      <c r="I131" s="1803"/>
      <c r="J131" s="1803"/>
      <c r="K131" s="1803"/>
      <c r="L131" s="1804"/>
      <c r="M131" s="897" t="str">
        <f t="shared" si="5"/>
        <v/>
      </c>
      <c r="N131" s="898" t="str">
        <f t="shared" si="4"/>
        <v/>
      </c>
      <c r="O131"/>
      <c r="P131"/>
      <c r="Q131"/>
      <c r="R131"/>
      <c r="S131"/>
      <c r="T131"/>
      <c r="AZ131" s="196"/>
      <c r="BA131" s="196"/>
      <c r="BB131" s="196"/>
      <c r="BC131" s="196"/>
      <c r="BD131" s="196"/>
      <c r="BE131" s="196"/>
      <c r="BF131" s="196"/>
      <c r="BG131" s="196"/>
      <c r="BH131" s="196"/>
      <c r="BI131" s="196"/>
      <c r="BJ131" s="196"/>
      <c r="BK131" s="196"/>
    </row>
    <row r="132" spans="1:63" ht="15" customHeight="1" x14ac:dyDescent="0.2">
      <c r="A132"/>
      <c r="B132" s="1798"/>
      <c r="C132" s="1799"/>
      <c r="D132" s="1800"/>
      <c r="E132" s="1801"/>
      <c r="F132" s="1802"/>
      <c r="G132" s="1803"/>
      <c r="H132" s="1803"/>
      <c r="I132" s="1803"/>
      <c r="J132" s="1803"/>
      <c r="K132" s="1803"/>
      <c r="L132" s="1804"/>
      <c r="M132" s="897" t="str">
        <f t="shared" si="5"/>
        <v/>
      </c>
      <c r="N132" s="898" t="str">
        <f t="shared" ref="N132:N195" si="6">IF(AND(ISBLANK(D132),ISBLANK(E132)),"",TRUNC(D132)*12+IF(OR(D132&lt;0,AND(D132=0,E132&lt;0)),-1*ABS(E132),ABS(E132)))</f>
        <v/>
      </c>
      <c r="O132"/>
      <c r="P132"/>
      <c r="Q132"/>
      <c r="R132"/>
      <c r="S132"/>
      <c r="T132"/>
      <c r="AZ132" s="196"/>
      <c r="BA132" s="196"/>
      <c r="BB132" s="196"/>
      <c r="BC132" s="196"/>
      <c r="BD132" s="196"/>
      <c r="BE132" s="196"/>
      <c r="BF132" s="196"/>
      <c r="BG132" s="196"/>
      <c r="BH132" s="196"/>
      <c r="BI132" s="196"/>
      <c r="BJ132" s="196"/>
      <c r="BK132" s="196"/>
    </row>
    <row r="133" spans="1:63" ht="15" customHeight="1" x14ac:dyDescent="0.2">
      <c r="A133"/>
      <c r="B133" s="1798"/>
      <c r="C133" s="1799"/>
      <c r="D133" s="1800"/>
      <c r="E133" s="1801"/>
      <c r="F133" s="1802"/>
      <c r="G133" s="1803"/>
      <c r="H133" s="1803"/>
      <c r="I133" s="1803"/>
      <c r="J133" s="1803"/>
      <c r="K133" s="1803"/>
      <c r="L133" s="1804"/>
      <c r="M133" s="897" t="str">
        <f t="shared" si="5"/>
        <v/>
      </c>
      <c r="N133" s="898" t="str">
        <f t="shared" si="6"/>
        <v/>
      </c>
      <c r="O133"/>
      <c r="P133"/>
      <c r="Q133"/>
      <c r="R133"/>
      <c r="S133"/>
      <c r="T133"/>
      <c r="AZ133" s="196"/>
      <c r="BA133" s="196"/>
      <c r="BB133" s="196"/>
      <c r="BC133" s="196"/>
      <c r="BD133" s="196"/>
      <c r="BE133" s="196"/>
      <c r="BF133" s="196"/>
      <c r="BG133" s="196"/>
      <c r="BH133" s="196"/>
      <c r="BI133" s="196"/>
      <c r="BJ133" s="196"/>
      <c r="BK133" s="196"/>
    </row>
    <row r="134" spans="1:63" ht="15" customHeight="1" x14ac:dyDescent="0.2">
      <c r="A134"/>
      <c r="B134" s="1798"/>
      <c r="C134" s="1799"/>
      <c r="D134" s="1800"/>
      <c r="E134" s="1801"/>
      <c r="F134" s="1802"/>
      <c r="G134" s="1803"/>
      <c r="H134" s="1803"/>
      <c r="I134" s="1803"/>
      <c r="J134" s="1803"/>
      <c r="K134" s="1803"/>
      <c r="L134" s="1804"/>
      <c r="M134" s="897" t="str">
        <f t="shared" si="5"/>
        <v/>
      </c>
      <c r="N134" s="898" t="str">
        <f t="shared" si="6"/>
        <v/>
      </c>
      <c r="O134"/>
      <c r="P134"/>
      <c r="Q134"/>
      <c r="R134"/>
      <c r="S134"/>
      <c r="T134"/>
      <c r="AZ134" s="196"/>
      <c r="BA134" s="196"/>
      <c r="BB134" s="196"/>
      <c r="BC134" s="196"/>
      <c r="BD134" s="196"/>
      <c r="BE134" s="196"/>
      <c r="BF134" s="196"/>
      <c r="BG134" s="196"/>
      <c r="BH134" s="196"/>
      <c r="BI134" s="196"/>
      <c r="BJ134" s="196"/>
      <c r="BK134" s="196"/>
    </row>
    <row r="135" spans="1:63" ht="15" customHeight="1" x14ac:dyDescent="0.2">
      <c r="A135"/>
      <c r="B135" s="1798"/>
      <c r="C135" s="1799"/>
      <c r="D135" s="1800"/>
      <c r="E135" s="1801"/>
      <c r="F135" s="1802"/>
      <c r="G135" s="1803"/>
      <c r="H135" s="1803"/>
      <c r="I135" s="1803"/>
      <c r="J135" s="1803"/>
      <c r="K135" s="1803"/>
      <c r="L135" s="1804"/>
      <c r="M135" s="897" t="str">
        <f t="shared" si="5"/>
        <v/>
      </c>
      <c r="N135" s="898" t="str">
        <f t="shared" si="6"/>
        <v/>
      </c>
      <c r="O135"/>
      <c r="P135"/>
      <c r="Q135"/>
      <c r="R135"/>
      <c r="S135"/>
      <c r="T135"/>
      <c r="AZ135" s="196"/>
      <c r="BA135" s="196"/>
      <c r="BB135" s="196"/>
      <c r="BC135" s="196"/>
      <c r="BD135" s="196"/>
      <c r="BE135" s="196"/>
      <c r="BF135" s="196"/>
      <c r="BG135" s="196"/>
      <c r="BH135" s="196"/>
      <c r="BI135" s="196"/>
      <c r="BJ135" s="196"/>
      <c r="BK135" s="196"/>
    </row>
    <row r="136" spans="1:63" ht="15" customHeight="1" x14ac:dyDescent="0.2">
      <c r="A136"/>
      <c r="B136" s="1798"/>
      <c r="C136" s="1799"/>
      <c r="D136" s="1800"/>
      <c r="E136" s="1801"/>
      <c r="F136" s="1802"/>
      <c r="G136" s="1803"/>
      <c r="H136" s="1803"/>
      <c r="I136" s="1803"/>
      <c r="J136" s="1803"/>
      <c r="K136" s="1803"/>
      <c r="L136" s="1804"/>
      <c r="M136" s="897" t="str">
        <f t="shared" si="5"/>
        <v/>
      </c>
      <c r="N136" s="898" t="str">
        <f t="shared" si="6"/>
        <v/>
      </c>
      <c r="O136"/>
      <c r="P136"/>
      <c r="Q136"/>
      <c r="R136"/>
      <c r="S136"/>
      <c r="T136"/>
      <c r="AZ136" s="196"/>
      <c r="BA136" s="196"/>
      <c r="BB136" s="196"/>
      <c r="BC136" s="196"/>
      <c r="BD136" s="196"/>
      <c r="BE136" s="196"/>
      <c r="BF136" s="196"/>
      <c r="BG136" s="196"/>
      <c r="BH136" s="196"/>
      <c r="BI136" s="196"/>
      <c r="BJ136" s="196"/>
      <c r="BK136" s="196"/>
    </row>
    <row r="137" spans="1:63" ht="15" customHeight="1" x14ac:dyDescent="0.2">
      <c r="A137"/>
      <c r="B137" s="1798"/>
      <c r="C137" s="1799"/>
      <c r="D137" s="1800"/>
      <c r="E137" s="1801"/>
      <c r="F137" s="1802"/>
      <c r="G137" s="1803"/>
      <c r="H137" s="1803"/>
      <c r="I137" s="1803"/>
      <c r="J137" s="1803"/>
      <c r="K137" s="1803"/>
      <c r="L137" s="1804"/>
      <c r="M137" s="897" t="str">
        <f t="shared" si="5"/>
        <v/>
      </c>
      <c r="N137" s="898" t="str">
        <f t="shared" si="6"/>
        <v/>
      </c>
      <c r="O137"/>
      <c r="P137"/>
      <c r="Q137"/>
      <c r="R137"/>
      <c r="S137"/>
      <c r="T137"/>
      <c r="AZ137" s="196"/>
      <c r="BA137" s="196"/>
      <c r="BB137" s="196"/>
      <c r="BC137" s="196"/>
      <c r="BD137" s="196"/>
      <c r="BE137" s="196"/>
      <c r="BF137" s="196"/>
      <c r="BG137" s="196"/>
      <c r="BH137" s="196"/>
      <c r="BI137" s="196"/>
      <c r="BJ137" s="196"/>
      <c r="BK137" s="196"/>
    </row>
    <row r="138" spans="1:63" ht="15" customHeight="1" x14ac:dyDescent="0.2">
      <c r="A138"/>
      <c r="B138" s="1798"/>
      <c r="C138" s="1799"/>
      <c r="D138" s="1800"/>
      <c r="E138" s="1801"/>
      <c r="F138" s="1802"/>
      <c r="G138" s="1803"/>
      <c r="H138" s="1803"/>
      <c r="I138" s="1803"/>
      <c r="J138" s="1803"/>
      <c r="K138" s="1803"/>
      <c r="L138" s="1804"/>
      <c r="M138" s="897" t="str">
        <f t="shared" si="5"/>
        <v/>
      </c>
      <c r="N138" s="898" t="str">
        <f t="shared" si="6"/>
        <v/>
      </c>
      <c r="O138"/>
      <c r="P138"/>
      <c r="Q138"/>
      <c r="R138"/>
      <c r="S138"/>
      <c r="T138"/>
      <c r="AZ138" s="196"/>
      <c r="BA138" s="196"/>
      <c r="BB138" s="196"/>
      <c r="BC138" s="196"/>
      <c r="BD138" s="196"/>
      <c r="BE138" s="196"/>
      <c r="BF138" s="196"/>
      <c r="BG138" s="196"/>
      <c r="BH138" s="196"/>
      <c r="BI138" s="196"/>
      <c r="BJ138" s="196"/>
      <c r="BK138" s="196"/>
    </row>
    <row r="139" spans="1:63" ht="15" customHeight="1" x14ac:dyDescent="0.2">
      <c r="A139"/>
      <c r="B139" s="1798"/>
      <c r="C139" s="1799"/>
      <c r="D139" s="1800"/>
      <c r="E139" s="1801"/>
      <c r="F139" s="1802"/>
      <c r="G139" s="1803"/>
      <c r="H139" s="1803"/>
      <c r="I139" s="1803"/>
      <c r="J139" s="1803"/>
      <c r="K139" s="1803"/>
      <c r="L139" s="1804"/>
      <c r="M139" s="897" t="str">
        <f t="shared" si="5"/>
        <v/>
      </c>
      <c r="N139" s="898" t="str">
        <f t="shared" si="6"/>
        <v/>
      </c>
      <c r="O139"/>
      <c r="P139"/>
      <c r="Q139"/>
      <c r="R139"/>
      <c r="S139"/>
      <c r="T139"/>
      <c r="AZ139" s="196"/>
      <c r="BA139" s="196"/>
      <c r="BB139" s="196"/>
      <c r="BC139" s="196"/>
      <c r="BD139" s="196"/>
      <c r="BE139" s="196"/>
      <c r="BF139" s="196"/>
      <c r="BG139" s="196"/>
      <c r="BH139" s="196"/>
      <c r="BI139" s="196"/>
      <c r="BJ139" s="196"/>
      <c r="BK139" s="196"/>
    </row>
    <row r="140" spans="1:63" ht="15" customHeight="1" x14ac:dyDescent="0.2">
      <c r="A140"/>
      <c r="B140" s="1798"/>
      <c r="C140" s="1799"/>
      <c r="D140" s="1800"/>
      <c r="E140" s="1801"/>
      <c r="F140" s="1802"/>
      <c r="G140" s="1803"/>
      <c r="H140" s="1803"/>
      <c r="I140" s="1803"/>
      <c r="J140" s="1803"/>
      <c r="K140" s="1803"/>
      <c r="L140" s="1804"/>
      <c r="M140" s="897" t="str">
        <f t="shared" si="5"/>
        <v/>
      </c>
      <c r="N140" s="898" t="str">
        <f t="shared" si="6"/>
        <v/>
      </c>
      <c r="O140"/>
      <c r="P140"/>
      <c r="Q140"/>
      <c r="R140"/>
      <c r="S140"/>
      <c r="T140"/>
      <c r="AZ140" s="196"/>
      <c r="BA140" s="196"/>
      <c r="BB140" s="196"/>
      <c r="BC140" s="196"/>
      <c r="BD140" s="196"/>
      <c r="BE140" s="196"/>
      <c r="BF140" s="196"/>
      <c r="BG140" s="196"/>
      <c r="BH140" s="196"/>
      <c r="BI140" s="196"/>
      <c r="BJ140" s="196"/>
      <c r="BK140" s="196"/>
    </row>
    <row r="141" spans="1:63" ht="15" customHeight="1" x14ac:dyDescent="0.2">
      <c r="A141"/>
      <c r="B141" s="1798"/>
      <c r="C141" s="1799"/>
      <c r="D141" s="1800"/>
      <c r="E141" s="1801"/>
      <c r="F141" s="1802"/>
      <c r="G141" s="1803"/>
      <c r="H141" s="1803"/>
      <c r="I141" s="1803"/>
      <c r="J141" s="1803"/>
      <c r="K141" s="1803"/>
      <c r="L141" s="1804"/>
      <c r="M141" s="897" t="str">
        <f t="shared" si="5"/>
        <v/>
      </c>
      <c r="N141" s="898" t="str">
        <f t="shared" si="6"/>
        <v/>
      </c>
      <c r="O141"/>
      <c r="P141"/>
      <c r="Q141"/>
      <c r="R141"/>
      <c r="S141"/>
      <c r="T141"/>
      <c r="AZ141" s="196"/>
      <c r="BA141" s="196"/>
      <c r="BB141" s="196"/>
      <c r="BC141" s="196"/>
      <c r="BD141" s="196"/>
      <c r="BE141" s="196"/>
      <c r="BF141" s="196"/>
      <c r="BG141" s="196"/>
      <c r="BH141" s="196"/>
      <c r="BI141" s="196"/>
      <c r="BJ141" s="196"/>
      <c r="BK141" s="196"/>
    </row>
    <row r="142" spans="1:63" ht="15" customHeight="1" x14ac:dyDescent="0.2">
      <c r="A142"/>
      <c r="B142" s="1798"/>
      <c r="C142" s="1799"/>
      <c r="D142" s="1800"/>
      <c r="E142" s="1801"/>
      <c r="F142" s="1802"/>
      <c r="G142" s="1803"/>
      <c r="H142" s="1803"/>
      <c r="I142" s="1803"/>
      <c r="J142" s="1803"/>
      <c r="K142" s="1803"/>
      <c r="L142" s="1804"/>
      <c r="M142" s="897" t="str">
        <f t="shared" si="5"/>
        <v/>
      </c>
      <c r="N142" s="898" t="str">
        <f t="shared" si="6"/>
        <v/>
      </c>
      <c r="O142"/>
      <c r="P142"/>
      <c r="Q142"/>
      <c r="R142"/>
      <c r="S142"/>
      <c r="T142"/>
      <c r="AZ142" s="196"/>
      <c r="BA142" s="196"/>
      <c r="BB142" s="196"/>
      <c r="BC142" s="196"/>
      <c r="BD142" s="196"/>
      <c r="BE142" s="196"/>
      <c r="BF142" s="196"/>
      <c r="BG142" s="196"/>
      <c r="BH142" s="196"/>
      <c r="BI142" s="196"/>
      <c r="BJ142" s="196"/>
      <c r="BK142" s="196"/>
    </row>
    <row r="143" spans="1:63" ht="15" customHeight="1" x14ac:dyDescent="0.2">
      <c r="A143"/>
      <c r="B143" s="1798"/>
      <c r="C143" s="1799"/>
      <c r="D143" s="1800"/>
      <c r="E143" s="1801"/>
      <c r="F143" s="1802"/>
      <c r="G143" s="1803"/>
      <c r="H143" s="1803"/>
      <c r="I143" s="1803"/>
      <c r="J143" s="1803"/>
      <c r="K143" s="1803"/>
      <c r="L143" s="1804"/>
      <c r="M143" s="897" t="str">
        <f t="shared" si="5"/>
        <v/>
      </c>
      <c r="N143" s="898" t="str">
        <f t="shared" si="6"/>
        <v/>
      </c>
      <c r="O143"/>
      <c r="P143"/>
      <c r="Q143"/>
      <c r="R143"/>
      <c r="S143"/>
      <c r="T143"/>
      <c r="AZ143" s="196"/>
      <c r="BA143" s="196"/>
      <c r="BB143" s="196"/>
      <c r="BC143" s="196"/>
      <c r="BD143" s="196"/>
      <c r="BE143" s="196"/>
      <c r="BF143" s="196"/>
      <c r="BG143" s="196"/>
      <c r="BH143" s="196"/>
      <c r="BI143" s="196"/>
      <c r="BJ143" s="196"/>
      <c r="BK143" s="196"/>
    </row>
    <row r="144" spans="1:63" ht="15" customHeight="1" x14ac:dyDescent="0.2">
      <c r="A144"/>
      <c r="B144" s="1798"/>
      <c r="C144" s="1799"/>
      <c r="D144" s="1800"/>
      <c r="E144" s="1801"/>
      <c r="F144" s="1802"/>
      <c r="G144" s="1803"/>
      <c r="H144" s="1803"/>
      <c r="I144" s="1803"/>
      <c r="J144" s="1803"/>
      <c r="K144" s="1803"/>
      <c r="L144" s="1804"/>
      <c r="M144" s="897" t="str">
        <f t="shared" si="5"/>
        <v/>
      </c>
      <c r="N144" s="898" t="str">
        <f t="shared" si="6"/>
        <v/>
      </c>
      <c r="O144"/>
      <c r="P144"/>
      <c r="Q144"/>
      <c r="R144"/>
      <c r="S144"/>
      <c r="T144"/>
      <c r="AZ144" s="196"/>
      <c r="BA144" s="196"/>
      <c r="BB144" s="196"/>
      <c r="BC144" s="196"/>
      <c r="BD144" s="196"/>
      <c r="BE144" s="196"/>
      <c r="BF144" s="196"/>
      <c r="BG144" s="196"/>
      <c r="BH144" s="196"/>
      <c r="BI144" s="196"/>
      <c r="BJ144" s="196"/>
      <c r="BK144" s="196"/>
    </row>
    <row r="145" spans="1:63" ht="15" customHeight="1" x14ac:dyDescent="0.2">
      <c r="A145"/>
      <c r="B145" s="1798"/>
      <c r="C145" s="1799"/>
      <c r="D145" s="1800"/>
      <c r="E145" s="1801"/>
      <c r="F145" s="1802"/>
      <c r="G145" s="1803"/>
      <c r="H145" s="1803"/>
      <c r="I145" s="1803"/>
      <c r="J145" s="1803"/>
      <c r="K145" s="1803"/>
      <c r="L145" s="1804"/>
      <c r="M145" s="897" t="str">
        <f t="shared" si="5"/>
        <v/>
      </c>
      <c r="N145" s="898" t="str">
        <f t="shared" si="6"/>
        <v/>
      </c>
      <c r="O145"/>
      <c r="P145"/>
      <c r="Q145"/>
      <c r="R145"/>
      <c r="S145"/>
      <c r="T145"/>
      <c r="AZ145" s="196"/>
      <c r="BA145" s="196"/>
      <c r="BB145" s="196"/>
      <c r="BC145" s="196"/>
      <c r="BD145" s="196"/>
      <c r="BE145" s="196"/>
      <c r="BF145" s="196"/>
      <c r="BG145" s="196"/>
      <c r="BH145" s="196"/>
      <c r="BI145" s="196"/>
      <c r="BJ145" s="196"/>
      <c r="BK145" s="196"/>
    </row>
    <row r="146" spans="1:63" ht="15" customHeight="1" x14ac:dyDescent="0.2">
      <c r="A146"/>
      <c r="B146" s="1798"/>
      <c r="C146" s="1799"/>
      <c r="D146" s="1800"/>
      <c r="E146" s="1801"/>
      <c r="F146" s="1802"/>
      <c r="G146" s="1803"/>
      <c r="H146" s="1803"/>
      <c r="I146" s="1803"/>
      <c r="J146" s="1803"/>
      <c r="K146" s="1803"/>
      <c r="L146" s="1804"/>
      <c r="M146" s="897" t="str">
        <f t="shared" si="5"/>
        <v/>
      </c>
      <c r="N146" s="898" t="str">
        <f t="shared" si="6"/>
        <v/>
      </c>
      <c r="O146"/>
      <c r="P146"/>
      <c r="Q146"/>
      <c r="R146"/>
      <c r="S146"/>
      <c r="T146"/>
      <c r="AZ146" s="196"/>
      <c r="BA146" s="196"/>
      <c r="BB146" s="196"/>
      <c r="BC146" s="196"/>
      <c r="BD146" s="196"/>
      <c r="BE146" s="196"/>
      <c r="BF146" s="196"/>
      <c r="BG146" s="196"/>
      <c r="BH146" s="196"/>
      <c r="BI146" s="196"/>
      <c r="BJ146" s="196"/>
      <c r="BK146" s="196"/>
    </row>
    <row r="147" spans="1:63" ht="15" customHeight="1" x14ac:dyDescent="0.2">
      <c r="A147"/>
      <c r="B147" s="1798"/>
      <c r="C147" s="1799"/>
      <c r="D147" s="1800"/>
      <c r="E147" s="1801"/>
      <c r="F147" s="1802"/>
      <c r="G147" s="1803"/>
      <c r="H147" s="1803"/>
      <c r="I147" s="1803"/>
      <c r="J147" s="1803"/>
      <c r="K147" s="1803"/>
      <c r="L147" s="1804"/>
      <c r="M147" s="897" t="str">
        <f t="shared" si="5"/>
        <v/>
      </c>
      <c r="N147" s="898" t="str">
        <f t="shared" si="6"/>
        <v/>
      </c>
      <c r="O147"/>
      <c r="P147"/>
      <c r="Q147"/>
      <c r="R147"/>
      <c r="S147"/>
      <c r="T147"/>
      <c r="AZ147" s="196"/>
      <c r="BA147" s="196"/>
      <c r="BB147" s="196"/>
      <c r="BC147" s="196"/>
      <c r="BD147" s="196"/>
      <c r="BE147" s="196"/>
      <c r="BF147" s="196"/>
      <c r="BG147" s="196"/>
      <c r="BH147" s="196"/>
      <c r="BI147" s="196"/>
      <c r="BJ147" s="196"/>
      <c r="BK147" s="196"/>
    </row>
    <row r="148" spans="1:63" ht="15" customHeight="1" x14ac:dyDescent="0.2">
      <c r="A148"/>
      <c r="B148" s="1798"/>
      <c r="C148" s="1799"/>
      <c r="D148" s="1800"/>
      <c r="E148" s="1801"/>
      <c r="F148" s="1802"/>
      <c r="G148" s="1803"/>
      <c r="H148" s="1803"/>
      <c r="I148" s="1803"/>
      <c r="J148" s="1803"/>
      <c r="K148" s="1803"/>
      <c r="L148" s="1804"/>
      <c r="M148" s="897" t="str">
        <f t="shared" si="5"/>
        <v/>
      </c>
      <c r="N148" s="898" t="str">
        <f t="shared" si="6"/>
        <v/>
      </c>
      <c r="O148"/>
      <c r="P148"/>
      <c r="Q148"/>
      <c r="R148"/>
      <c r="S148"/>
      <c r="T148"/>
      <c r="AZ148" s="196"/>
      <c r="BA148" s="196"/>
      <c r="BB148" s="196"/>
      <c r="BC148" s="196"/>
      <c r="BD148" s="196"/>
      <c r="BE148" s="196"/>
      <c r="BF148" s="196"/>
      <c r="BG148" s="196"/>
      <c r="BH148" s="196"/>
      <c r="BI148" s="196"/>
      <c r="BJ148" s="196"/>
      <c r="BK148" s="196"/>
    </row>
    <row r="149" spans="1:63" ht="15" customHeight="1" x14ac:dyDescent="0.2">
      <c r="A149"/>
      <c r="B149" s="1798"/>
      <c r="C149" s="1799"/>
      <c r="D149" s="1800"/>
      <c r="E149" s="1801"/>
      <c r="F149" s="1802"/>
      <c r="G149" s="1803"/>
      <c r="H149" s="1803"/>
      <c r="I149" s="1803"/>
      <c r="J149" s="1803"/>
      <c r="K149" s="1803"/>
      <c r="L149" s="1804"/>
      <c r="M149" s="897" t="str">
        <f t="shared" si="5"/>
        <v/>
      </c>
      <c r="N149" s="898" t="str">
        <f t="shared" si="6"/>
        <v/>
      </c>
      <c r="O149"/>
      <c r="P149"/>
      <c r="Q149"/>
      <c r="R149"/>
      <c r="S149"/>
      <c r="T149"/>
      <c r="AZ149" s="196"/>
      <c r="BA149" s="196"/>
      <c r="BB149" s="196"/>
      <c r="BC149" s="196"/>
      <c r="BD149" s="196"/>
      <c r="BE149" s="196"/>
      <c r="BF149" s="196"/>
      <c r="BG149" s="196"/>
      <c r="BH149" s="196"/>
      <c r="BI149" s="196"/>
      <c r="BJ149" s="196"/>
      <c r="BK149" s="196"/>
    </row>
    <row r="150" spans="1:63" ht="15" customHeight="1" x14ac:dyDescent="0.2">
      <c r="A150"/>
      <c r="B150" s="1798"/>
      <c r="C150" s="1799"/>
      <c r="D150" s="1800"/>
      <c r="E150" s="1801"/>
      <c r="F150" s="1802"/>
      <c r="G150" s="1803"/>
      <c r="H150" s="1803"/>
      <c r="I150" s="1803"/>
      <c r="J150" s="1803"/>
      <c r="K150" s="1803"/>
      <c r="L150" s="1804"/>
      <c r="M150" s="897" t="str">
        <f t="shared" si="5"/>
        <v/>
      </c>
      <c r="N150" s="898" t="str">
        <f t="shared" si="6"/>
        <v/>
      </c>
      <c r="O150"/>
      <c r="P150"/>
      <c r="Q150"/>
      <c r="R150"/>
      <c r="S150"/>
      <c r="T150"/>
      <c r="AZ150" s="196"/>
      <c r="BA150" s="196"/>
      <c r="BB150" s="196"/>
      <c r="BC150" s="196"/>
      <c r="BD150" s="196"/>
      <c r="BE150" s="196"/>
      <c r="BF150" s="196"/>
      <c r="BG150" s="196"/>
      <c r="BH150" s="196"/>
      <c r="BI150" s="196"/>
      <c r="BJ150" s="196"/>
      <c r="BK150" s="196"/>
    </row>
    <row r="151" spans="1:63" ht="15" customHeight="1" x14ac:dyDescent="0.2">
      <c r="A151"/>
      <c r="B151" s="1798"/>
      <c r="C151" s="1799"/>
      <c r="D151" s="1800"/>
      <c r="E151" s="1801"/>
      <c r="F151" s="1802"/>
      <c r="G151" s="1803"/>
      <c r="H151" s="1803"/>
      <c r="I151" s="1803"/>
      <c r="J151" s="1803"/>
      <c r="K151" s="1803"/>
      <c r="L151" s="1804"/>
      <c r="M151" s="897" t="str">
        <f t="shared" si="5"/>
        <v/>
      </c>
      <c r="N151" s="898" t="str">
        <f t="shared" si="6"/>
        <v/>
      </c>
      <c r="O151"/>
      <c r="P151"/>
      <c r="Q151"/>
      <c r="R151"/>
      <c r="S151"/>
      <c r="T151"/>
      <c r="AZ151" s="196"/>
      <c r="BA151" s="196"/>
      <c r="BB151" s="196"/>
      <c r="BC151" s="196"/>
      <c r="BD151" s="196"/>
      <c r="BE151" s="196"/>
      <c r="BF151" s="196"/>
      <c r="BG151" s="196"/>
      <c r="BH151" s="196"/>
      <c r="BI151" s="196"/>
      <c r="BJ151" s="196"/>
      <c r="BK151" s="196"/>
    </row>
    <row r="152" spans="1:63" ht="15" customHeight="1" x14ac:dyDescent="0.2">
      <c r="A152"/>
      <c r="B152" s="1798"/>
      <c r="C152" s="1799"/>
      <c r="D152" s="1800"/>
      <c r="E152" s="1801"/>
      <c r="F152" s="1802"/>
      <c r="G152" s="1803"/>
      <c r="H152" s="1803"/>
      <c r="I152" s="1803"/>
      <c r="J152" s="1803"/>
      <c r="K152" s="1803"/>
      <c r="L152" s="1804"/>
      <c r="M152" s="897" t="str">
        <f t="shared" si="5"/>
        <v/>
      </c>
      <c r="N152" s="898" t="str">
        <f t="shared" si="6"/>
        <v/>
      </c>
      <c r="O152"/>
      <c r="P152"/>
      <c r="Q152"/>
      <c r="R152"/>
      <c r="S152"/>
      <c r="T152"/>
      <c r="AZ152" s="196"/>
      <c r="BA152" s="196"/>
      <c r="BB152" s="196"/>
      <c r="BC152" s="196"/>
      <c r="BD152" s="196"/>
      <c r="BE152" s="196"/>
      <c r="BF152" s="196"/>
      <c r="BG152" s="196"/>
      <c r="BH152" s="196"/>
      <c r="BI152" s="196"/>
      <c r="BJ152" s="196"/>
      <c r="BK152" s="196"/>
    </row>
    <row r="153" spans="1:63" ht="15" customHeight="1" x14ac:dyDescent="0.2">
      <c r="A153"/>
      <c r="B153" s="1798"/>
      <c r="C153" s="1799"/>
      <c r="D153" s="1800"/>
      <c r="E153" s="1801"/>
      <c r="F153" s="1802"/>
      <c r="G153" s="1803"/>
      <c r="H153" s="1803"/>
      <c r="I153" s="1803"/>
      <c r="J153" s="1803"/>
      <c r="K153" s="1803"/>
      <c r="L153" s="1804"/>
      <c r="M153" s="897" t="str">
        <f t="shared" si="5"/>
        <v/>
      </c>
      <c r="N153" s="898" t="str">
        <f t="shared" si="6"/>
        <v/>
      </c>
      <c r="O153"/>
      <c r="P153"/>
      <c r="Q153"/>
      <c r="R153"/>
      <c r="S153"/>
      <c r="T153"/>
      <c r="AZ153" s="196"/>
      <c r="BA153" s="196"/>
      <c r="BB153" s="196"/>
      <c r="BC153" s="196"/>
      <c r="BD153" s="196"/>
      <c r="BE153" s="196"/>
      <c r="BF153" s="196"/>
      <c r="BG153" s="196"/>
      <c r="BH153" s="196"/>
      <c r="BI153" s="196"/>
      <c r="BJ153" s="196"/>
      <c r="BK153" s="196"/>
    </row>
    <row r="154" spans="1:63" ht="15" customHeight="1" x14ac:dyDescent="0.2">
      <c r="A154"/>
      <c r="B154" s="1798"/>
      <c r="C154" s="1799"/>
      <c r="D154" s="1800"/>
      <c r="E154" s="1801"/>
      <c r="F154" s="1802"/>
      <c r="G154" s="1803"/>
      <c r="H154" s="1803"/>
      <c r="I154" s="1803"/>
      <c r="J154" s="1803"/>
      <c r="K154" s="1803"/>
      <c r="L154" s="1804"/>
      <c r="M154" s="897" t="str">
        <f t="shared" si="5"/>
        <v/>
      </c>
      <c r="N154" s="898" t="str">
        <f t="shared" si="6"/>
        <v/>
      </c>
      <c r="O154"/>
      <c r="P154"/>
      <c r="Q154"/>
      <c r="R154"/>
      <c r="S154"/>
      <c r="T154"/>
      <c r="AZ154" s="196"/>
      <c r="BA154" s="196"/>
      <c r="BB154" s="196"/>
      <c r="BC154" s="196"/>
      <c r="BD154" s="196"/>
      <c r="BE154" s="196"/>
      <c r="BF154" s="196"/>
      <c r="BG154" s="196"/>
      <c r="BH154" s="196"/>
      <c r="BI154" s="196"/>
      <c r="BJ154" s="196"/>
      <c r="BK154" s="196"/>
    </row>
    <row r="155" spans="1:63" ht="15" customHeight="1" x14ac:dyDescent="0.2">
      <c r="A155"/>
      <c r="B155" s="1798"/>
      <c r="C155" s="1799"/>
      <c r="D155" s="1800"/>
      <c r="E155" s="1801"/>
      <c r="F155" s="1802"/>
      <c r="G155" s="1803"/>
      <c r="H155" s="1803"/>
      <c r="I155" s="1803"/>
      <c r="J155" s="1803"/>
      <c r="K155" s="1803"/>
      <c r="L155" s="1804"/>
      <c r="M155" s="897" t="str">
        <f t="shared" si="5"/>
        <v/>
      </c>
      <c r="N155" s="898" t="str">
        <f t="shared" si="6"/>
        <v/>
      </c>
      <c r="O155"/>
      <c r="P155"/>
      <c r="Q155"/>
      <c r="R155"/>
      <c r="S155"/>
      <c r="T155"/>
      <c r="AZ155" s="196"/>
      <c r="BA155" s="196"/>
      <c r="BB155" s="196"/>
      <c r="BC155" s="196"/>
      <c r="BD155" s="196"/>
      <c r="BE155" s="196"/>
      <c r="BF155" s="196"/>
      <c r="BG155" s="196"/>
      <c r="BH155" s="196"/>
      <c r="BI155" s="196"/>
      <c r="BJ155" s="196"/>
      <c r="BK155" s="196"/>
    </row>
    <row r="156" spans="1:63" ht="15" customHeight="1" x14ac:dyDescent="0.2">
      <c r="A156"/>
      <c r="B156" s="1798"/>
      <c r="C156" s="1799"/>
      <c r="D156" s="1800"/>
      <c r="E156" s="1801"/>
      <c r="F156" s="1802"/>
      <c r="G156" s="1803"/>
      <c r="H156" s="1803"/>
      <c r="I156" s="1803"/>
      <c r="J156" s="1803"/>
      <c r="K156" s="1803"/>
      <c r="L156" s="1804"/>
      <c r="M156" s="897" t="str">
        <f t="shared" si="5"/>
        <v/>
      </c>
      <c r="N156" s="898" t="str">
        <f t="shared" si="6"/>
        <v/>
      </c>
      <c r="O156"/>
      <c r="P156"/>
      <c r="Q156"/>
      <c r="R156"/>
      <c r="S156"/>
      <c r="T156"/>
      <c r="AZ156" s="196"/>
      <c r="BA156" s="196"/>
      <c r="BB156" s="196"/>
      <c r="BC156" s="196"/>
      <c r="BD156" s="196"/>
      <c r="BE156" s="196"/>
      <c r="BF156" s="196"/>
      <c r="BG156" s="196"/>
      <c r="BH156" s="196"/>
      <c r="BI156" s="196"/>
      <c r="BJ156" s="196"/>
      <c r="BK156" s="196"/>
    </row>
    <row r="157" spans="1:63" ht="15" customHeight="1" x14ac:dyDescent="0.2">
      <c r="A157"/>
      <c r="B157" s="1798"/>
      <c r="C157" s="1799"/>
      <c r="D157" s="1800"/>
      <c r="E157" s="1801"/>
      <c r="F157" s="1802"/>
      <c r="G157" s="1803"/>
      <c r="H157" s="1803"/>
      <c r="I157" s="1803"/>
      <c r="J157" s="1803"/>
      <c r="K157" s="1803"/>
      <c r="L157" s="1804"/>
      <c r="M157" s="897" t="str">
        <f t="shared" si="5"/>
        <v/>
      </c>
      <c r="N157" s="898" t="str">
        <f t="shared" si="6"/>
        <v/>
      </c>
      <c r="O157"/>
      <c r="P157"/>
      <c r="Q157"/>
      <c r="R157"/>
      <c r="S157"/>
      <c r="T157"/>
      <c r="AZ157" s="196"/>
      <c r="BA157" s="196"/>
      <c r="BB157" s="196"/>
      <c r="BC157" s="196"/>
      <c r="BD157" s="196"/>
      <c r="BE157" s="196"/>
      <c r="BF157" s="196"/>
      <c r="BG157" s="196"/>
      <c r="BH157" s="196"/>
      <c r="BI157" s="196"/>
      <c r="BJ157" s="196"/>
      <c r="BK157" s="196"/>
    </row>
    <row r="158" spans="1:63" ht="15" customHeight="1" x14ac:dyDescent="0.2">
      <c r="A158"/>
      <c r="B158" s="1798"/>
      <c r="C158" s="1799"/>
      <c r="D158" s="1800"/>
      <c r="E158" s="1801"/>
      <c r="F158" s="1802"/>
      <c r="G158" s="1803"/>
      <c r="H158" s="1803"/>
      <c r="I158" s="1803"/>
      <c r="J158" s="1803"/>
      <c r="K158" s="1803"/>
      <c r="L158" s="1804"/>
      <c r="M158" s="897" t="str">
        <f t="shared" si="5"/>
        <v/>
      </c>
      <c r="N158" s="898" t="str">
        <f t="shared" si="6"/>
        <v/>
      </c>
      <c r="O158"/>
      <c r="P158"/>
      <c r="Q158"/>
      <c r="R158"/>
      <c r="S158"/>
      <c r="T158"/>
      <c r="AZ158" s="196"/>
      <c r="BA158" s="196"/>
      <c r="BB158" s="196"/>
      <c r="BC158" s="196"/>
      <c r="BD158" s="196"/>
      <c r="BE158" s="196"/>
      <c r="BF158" s="196"/>
      <c r="BG158" s="196"/>
      <c r="BH158" s="196"/>
      <c r="BI158" s="196"/>
      <c r="BJ158" s="196"/>
      <c r="BK158" s="196"/>
    </row>
    <row r="159" spans="1:63" ht="15" customHeight="1" x14ac:dyDescent="0.2">
      <c r="A159"/>
      <c r="B159" s="1798"/>
      <c r="C159" s="1799"/>
      <c r="D159" s="1800"/>
      <c r="E159" s="1801"/>
      <c r="F159" s="1802"/>
      <c r="G159" s="1803"/>
      <c r="H159" s="1803"/>
      <c r="I159" s="1803"/>
      <c r="J159" s="1803"/>
      <c r="K159" s="1803"/>
      <c r="L159" s="1804"/>
      <c r="M159" s="897" t="str">
        <f t="shared" si="5"/>
        <v/>
      </c>
      <c r="N159" s="898" t="str">
        <f t="shared" si="6"/>
        <v/>
      </c>
      <c r="O159"/>
      <c r="P159"/>
      <c r="Q159"/>
      <c r="R159"/>
      <c r="S159"/>
      <c r="T159"/>
      <c r="AZ159" s="196"/>
      <c r="BA159" s="196"/>
      <c r="BB159" s="196"/>
      <c r="BC159" s="196"/>
      <c r="BD159" s="196"/>
      <c r="BE159" s="196"/>
      <c r="BF159" s="196"/>
      <c r="BG159" s="196"/>
      <c r="BH159" s="196"/>
      <c r="BI159" s="196"/>
      <c r="BJ159" s="196"/>
      <c r="BK159" s="196"/>
    </row>
    <row r="160" spans="1:63" ht="15" customHeight="1" x14ac:dyDescent="0.2">
      <c r="A160"/>
      <c r="B160" s="1798"/>
      <c r="C160" s="1799"/>
      <c r="D160" s="1800"/>
      <c r="E160" s="1801"/>
      <c r="F160" s="1802"/>
      <c r="G160" s="1803"/>
      <c r="H160" s="1803"/>
      <c r="I160" s="1803"/>
      <c r="J160" s="1803"/>
      <c r="K160" s="1803"/>
      <c r="L160" s="1804"/>
      <c r="M160" s="897" t="str">
        <f t="shared" si="5"/>
        <v/>
      </c>
      <c r="N160" s="898" t="str">
        <f t="shared" si="6"/>
        <v/>
      </c>
      <c r="O160"/>
      <c r="P160"/>
      <c r="Q160"/>
      <c r="R160"/>
      <c r="S160"/>
      <c r="T160"/>
      <c r="AZ160" s="196"/>
      <c r="BA160" s="196"/>
      <c r="BB160" s="196"/>
      <c r="BC160" s="196"/>
      <c r="BD160" s="196"/>
      <c r="BE160" s="196"/>
      <c r="BF160" s="196"/>
      <c r="BG160" s="196"/>
      <c r="BH160" s="196"/>
      <c r="BI160" s="196"/>
      <c r="BJ160" s="196"/>
      <c r="BK160" s="196"/>
    </row>
    <row r="161" spans="1:63" ht="15" customHeight="1" x14ac:dyDescent="0.2">
      <c r="A161"/>
      <c r="B161" s="1798"/>
      <c r="C161" s="1799"/>
      <c r="D161" s="1800"/>
      <c r="E161" s="1801"/>
      <c r="F161" s="1802"/>
      <c r="G161" s="1803"/>
      <c r="H161" s="1803"/>
      <c r="I161" s="1803"/>
      <c r="J161" s="1803"/>
      <c r="K161" s="1803"/>
      <c r="L161" s="1804"/>
      <c r="M161" s="897" t="str">
        <f t="shared" si="5"/>
        <v/>
      </c>
      <c r="N161" s="898" t="str">
        <f t="shared" si="6"/>
        <v/>
      </c>
      <c r="O161"/>
      <c r="P161"/>
      <c r="Q161"/>
      <c r="R161"/>
      <c r="S161"/>
      <c r="T161"/>
      <c r="AZ161" s="196"/>
      <c r="BA161" s="196"/>
      <c r="BB161" s="196"/>
      <c r="BC161" s="196"/>
      <c r="BD161" s="196"/>
      <c r="BE161" s="196"/>
      <c r="BF161" s="196"/>
      <c r="BG161" s="196"/>
      <c r="BH161" s="196"/>
      <c r="BI161" s="196"/>
      <c r="BJ161" s="196"/>
      <c r="BK161" s="196"/>
    </row>
    <row r="162" spans="1:63" ht="15" customHeight="1" x14ac:dyDescent="0.2">
      <c r="A162"/>
      <c r="B162" s="1798"/>
      <c r="C162" s="1799"/>
      <c r="D162" s="1800"/>
      <c r="E162" s="1801"/>
      <c r="F162" s="1802"/>
      <c r="G162" s="1803"/>
      <c r="H162" s="1803"/>
      <c r="I162" s="1803"/>
      <c r="J162" s="1803"/>
      <c r="K162" s="1803"/>
      <c r="L162" s="1804"/>
      <c r="M162" s="897" t="str">
        <f t="shared" si="5"/>
        <v/>
      </c>
      <c r="N162" s="898" t="str">
        <f t="shared" si="6"/>
        <v/>
      </c>
      <c r="O162"/>
      <c r="P162"/>
      <c r="Q162"/>
      <c r="R162"/>
      <c r="S162"/>
      <c r="T162"/>
      <c r="AZ162" s="196"/>
      <c r="BA162" s="196"/>
      <c r="BB162" s="196"/>
      <c r="BC162" s="196"/>
      <c r="BD162" s="196"/>
      <c r="BE162" s="196"/>
      <c r="BF162" s="196"/>
      <c r="BG162" s="196"/>
      <c r="BH162" s="196"/>
      <c r="BI162" s="196"/>
      <c r="BJ162" s="196"/>
      <c r="BK162" s="196"/>
    </row>
    <row r="163" spans="1:63" ht="15" customHeight="1" x14ac:dyDescent="0.2">
      <c r="A163"/>
      <c r="B163" s="1798"/>
      <c r="C163" s="1799"/>
      <c r="D163" s="1800"/>
      <c r="E163" s="1801"/>
      <c r="F163" s="1802"/>
      <c r="G163" s="1803"/>
      <c r="H163" s="1803"/>
      <c r="I163" s="1803"/>
      <c r="J163" s="1803"/>
      <c r="K163" s="1803"/>
      <c r="L163" s="1804"/>
      <c r="M163" s="897" t="str">
        <f t="shared" si="5"/>
        <v/>
      </c>
      <c r="N163" s="898" t="str">
        <f t="shared" si="6"/>
        <v/>
      </c>
      <c r="O163"/>
      <c r="P163"/>
      <c r="Q163"/>
      <c r="R163"/>
      <c r="S163"/>
      <c r="T163"/>
      <c r="AZ163" s="196"/>
      <c r="BA163" s="196"/>
      <c r="BB163" s="196"/>
      <c r="BC163" s="196"/>
      <c r="BD163" s="196"/>
      <c r="BE163" s="196"/>
      <c r="BF163" s="196"/>
      <c r="BG163" s="196"/>
      <c r="BH163" s="196"/>
      <c r="BI163" s="196"/>
      <c r="BJ163" s="196"/>
      <c r="BK163" s="196"/>
    </row>
    <row r="164" spans="1:63" ht="15" customHeight="1" x14ac:dyDescent="0.2">
      <c r="A164"/>
      <c r="B164" s="1798"/>
      <c r="C164" s="1799"/>
      <c r="D164" s="1800"/>
      <c r="E164" s="1801"/>
      <c r="F164" s="1802"/>
      <c r="G164" s="1803"/>
      <c r="H164" s="1803"/>
      <c r="I164" s="1803"/>
      <c r="J164" s="1803"/>
      <c r="K164" s="1803"/>
      <c r="L164" s="1804"/>
      <c r="M164" s="897" t="str">
        <f t="shared" si="5"/>
        <v/>
      </c>
      <c r="N164" s="898" t="str">
        <f t="shared" si="6"/>
        <v/>
      </c>
      <c r="O164"/>
      <c r="P164"/>
      <c r="Q164"/>
      <c r="R164"/>
      <c r="S164"/>
      <c r="T164"/>
      <c r="AZ164" s="196"/>
      <c r="BA164" s="196"/>
      <c r="BB164" s="196"/>
      <c r="BC164" s="196"/>
      <c r="BD164" s="196"/>
      <c r="BE164" s="196"/>
      <c r="BF164" s="196"/>
      <c r="BG164" s="196"/>
      <c r="BH164" s="196"/>
      <c r="BI164" s="196"/>
      <c r="BJ164" s="196"/>
      <c r="BK164" s="196"/>
    </row>
    <row r="165" spans="1:63" ht="15" customHeight="1" x14ac:dyDescent="0.2">
      <c r="A165"/>
      <c r="B165" s="1798"/>
      <c r="C165" s="1799"/>
      <c r="D165" s="1800"/>
      <c r="E165" s="1801"/>
      <c r="F165" s="1802"/>
      <c r="G165" s="1803"/>
      <c r="H165" s="1803"/>
      <c r="I165" s="1803"/>
      <c r="J165" s="1803"/>
      <c r="K165" s="1803"/>
      <c r="L165" s="1804"/>
      <c r="M165" s="897" t="str">
        <f t="shared" si="5"/>
        <v/>
      </c>
      <c r="N165" s="898" t="str">
        <f t="shared" si="6"/>
        <v/>
      </c>
      <c r="O165"/>
      <c r="P165"/>
      <c r="Q165"/>
      <c r="R165"/>
      <c r="S165"/>
      <c r="T165"/>
      <c r="AZ165" s="196"/>
      <c r="BA165" s="196"/>
      <c r="BB165" s="196"/>
      <c r="BC165" s="196"/>
      <c r="BD165" s="196"/>
      <c r="BE165" s="196"/>
      <c r="BF165" s="196"/>
      <c r="BG165" s="196"/>
      <c r="BH165" s="196"/>
      <c r="BI165" s="196"/>
      <c r="BJ165" s="196"/>
      <c r="BK165" s="196"/>
    </row>
    <row r="166" spans="1:63" ht="15" customHeight="1" x14ac:dyDescent="0.2">
      <c r="A166"/>
      <c r="B166" s="1798"/>
      <c r="C166" s="1799"/>
      <c r="D166" s="1800"/>
      <c r="E166" s="1801"/>
      <c r="F166" s="1802"/>
      <c r="G166" s="1803"/>
      <c r="H166" s="1803"/>
      <c r="I166" s="1803"/>
      <c r="J166" s="1803"/>
      <c r="K166" s="1803"/>
      <c r="L166" s="1804"/>
      <c r="M166" s="897" t="str">
        <f t="shared" si="5"/>
        <v/>
      </c>
      <c r="N166" s="898" t="str">
        <f t="shared" si="6"/>
        <v/>
      </c>
      <c r="O166"/>
      <c r="P166"/>
      <c r="Q166"/>
      <c r="R166"/>
      <c r="S166"/>
      <c r="T166"/>
      <c r="AZ166" s="196"/>
      <c r="BA166" s="196"/>
      <c r="BB166" s="196"/>
      <c r="BC166" s="196"/>
      <c r="BD166" s="196"/>
      <c r="BE166" s="196"/>
      <c r="BF166" s="196"/>
      <c r="BG166" s="196"/>
      <c r="BH166" s="196"/>
      <c r="BI166" s="196"/>
      <c r="BJ166" s="196"/>
      <c r="BK166" s="196"/>
    </row>
    <row r="167" spans="1:63" ht="15" customHeight="1" x14ac:dyDescent="0.2">
      <c r="A167"/>
      <c r="B167" s="1798"/>
      <c r="C167" s="1799"/>
      <c r="D167" s="1800"/>
      <c r="E167" s="1801"/>
      <c r="F167" s="1802"/>
      <c r="G167" s="1803"/>
      <c r="H167" s="1803"/>
      <c r="I167" s="1803"/>
      <c r="J167" s="1803"/>
      <c r="K167" s="1803"/>
      <c r="L167" s="1804"/>
      <c r="M167" s="897" t="str">
        <f t="shared" ref="M167:M230" si="7">UPPER(C167)</f>
        <v/>
      </c>
      <c r="N167" s="898" t="str">
        <f t="shared" si="6"/>
        <v/>
      </c>
      <c r="O167"/>
      <c r="P167"/>
      <c r="Q167"/>
      <c r="R167"/>
      <c r="S167"/>
      <c r="T167"/>
      <c r="AZ167" s="196"/>
      <c r="BA167" s="196"/>
      <c r="BB167" s="196"/>
      <c r="BC167" s="196"/>
      <c r="BD167" s="196"/>
      <c r="BE167" s="196"/>
      <c r="BF167" s="196"/>
      <c r="BG167" s="196"/>
      <c r="BH167" s="196"/>
      <c r="BI167" s="196"/>
      <c r="BJ167" s="196"/>
      <c r="BK167" s="196"/>
    </row>
    <row r="168" spans="1:63" ht="15" customHeight="1" x14ac:dyDescent="0.2">
      <c r="A168"/>
      <c r="B168" s="1798"/>
      <c r="C168" s="1799"/>
      <c r="D168" s="1800"/>
      <c r="E168" s="1801"/>
      <c r="F168" s="1802"/>
      <c r="G168" s="1803"/>
      <c r="H168" s="1803"/>
      <c r="I168" s="1803"/>
      <c r="J168" s="1803"/>
      <c r="K168" s="1803"/>
      <c r="L168" s="1804"/>
      <c r="M168" s="897" t="str">
        <f t="shared" si="7"/>
        <v/>
      </c>
      <c r="N168" s="898" t="str">
        <f t="shared" si="6"/>
        <v/>
      </c>
      <c r="O168"/>
      <c r="P168"/>
      <c r="Q168"/>
      <c r="R168"/>
      <c r="S168"/>
      <c r="T168"/>
      <c r="AZ168" s="196"/>
      <c r="BA168" s="196"/>
      <c r="BB168" s="196"/>
      <c r="BC168" s="196"/>
      <c r="BD168" s="196"/>
      <c r="BE168" s="196"/>
      <c r="BF168" s="196"/>
      <c r="BG168" s="196"/>
      <c r="BH168" s="196"/>
      <c r="BI168" s="196"/>
      <c r="BJ168" s="196"/>
      <c r="BK168" s="196"/>
    </row>
    <row r="169" spans="1:63" ht="15" customHeight="1" x14ac:dyDescent="0.2">
      <c r="A169"/>
      <c r="B169" s="1798"/>
      <c r="C169" s="1799"/>
      <c r="D169" s="1800"/>
      <c r="E169" s="1801"/>
      <c r="F169" s="1802"/>
      <c r="G169" s="1803"/>
      <c r="H169" s="1803"/>
      <c r="I169" s="1803"/>
      <c r="J169" s="1803"/>
      <c r="K169" s="1803"/>
      <c r="L169" s="1804"/>
      <c r="M169" s="897" t="str">
        <f t="shared" si="7"/>
        <v/>
      </c>
      <c r="N169" s="898" t="str">
        <f t="shared" si="6"/>
        <v/>
      </c>
      <c r="O169"/>
      <c r="P169"/>
      <c r="Q169"/>
      <c r="R169"/>
      <c r="S169"/>
      <c r="T169"/>
      <c r="AZ169" s="196"/>
      <c r="BA169" s="196"/>
      <c r="BB169" s="196"/>
      <c r="BC169" s="196"/>
      <c r="BD169" s="196"/>
      <c r="BE169" s="196"/>
      <c r="BF169" s="196"/>
      <c r="BG169" s="196"/>
      <c r="BH169" s="196"/>
      <c r="BI169" s="196"/>
      <c r="BJ169" s="196"/>
      <c r="BK169" s="196"/>
    </row>
    <row r="170" spans="1:63" ht="15" customHeight="1" x14ac:dyDescent="0.2">
      <c r="A170"/>
      <c r="B170" s="1798"/>
      <c r="C170" s="1799"/>
      <c r="D170" s="1800"/>
      <c r="E170" s="1801"/>
      <c r="F170" s="1802"/>
      <c r="G170" s="1803"/>
      <c r="H170" s="1803"/>
      <c r="I170" s="1803"/>
      <c r="J170" s="1803"/>
      <c r="K170" s="1803"/>
      <c r="L170" s="1804"/>
      <c r="M170" s="897" t="str">
        <f t="shared" si="7"/>
        <v/>
      </c>
      <c r="N170" s="898" t="str">
        <f t="shared" si="6"/>
        <v/>
      </c>
      <c r="O170"/>
      <c r="P170"/>
      <c r="Q170"/>
      <c r="R170"/>
      <c r="S170"/>
      <c r="T170"/>
      <c r="AZ170" s="196"/>
      <c r="BA170" s="196"/>
      <c r="BB170" s="196"/>
      <c r="BC170" s="196"/>
      <c r="BD170" s="196"/>
      <c r="BE170" s="196"/>
      <c r="BF170" s="196"/>
      <c r="BG170" s="196"/>
      <c r="BH170" s="196"/>
      <c r="BI170" s="196"/>
      <c r="BJ170" s="196"/>
      <c r="BK170" s="196"/>
    </row>
    <row r="171" spans="1:63" ht="15" customHeight="1" x14ac:dyDescent="0.2">
      <c r="A171"/>
      <c r="B171" s="1798"/>
      <c r="C171" s="1799"/>
      <c r="D171" s="1800"/>
      <c r="E171" s="1801"/>
      <c r="F171" s="1802"/>
      <c r="G171" s="1803"/>
      <c r="H171" s="1803"/>
      <c r="I171" s="1803"/>
      <c r="J171" s="1803"/>
      <c r="K171" s="1803"/>
      <c r="L171" s="1804"/>
      <c r="M171" s="897" t="str">
        <f t="shared" si="7"/>
        <v/>
      </c>
      <c r="N171" s="898" t="str">
        <f t="shared" si="6"/>
        <v/>
      </c>
      <c r="O171"/>
      <c r="P171"/>
      <c r="Q171"/>
      <c r="R171"/>
      <c r="S171"/>
      <c r="T171"/>
      <c r="AZ171" s="196"/>
      <c r="BA171" s="196"/>
      <c r="BB171" s="196"/>
      <c r="BC171" s="196"/>
      <c r="BD171" s="196"/>
      <c r="BE171" s="196"/>
      <c r="BF171" s="196"/>
      <c r="BG171" s="196"/>
      <c r="BH171" s="196"/>
      <c r="BI171" s="196"/>
      <c r="BJ171" s="196"/>
      <c r="BK171" s="196"/>
    </row>
    <row r="172" spans="1:63" ht="15" customHeight="1" x14ac:dyDescent="0.2">
      <c r="A172"/>
      <c r="B172" s="1798"/>
      <c r="C172" s="1799"/>
      <c r="D172" s="1800"/>
      <c r="E172" s="1801"/>
      <c r="F172" s="1802"/>
      <c r="G172" s="1803"/>
      <c r="H172" s="1803"/>
      <c r="I172" s="1803"/>
      <c r="J172" s="1803"/>
      <c r="K172" s="1803"/>
      <c r="L172" s="1804"/>
      <c r="M172" s="897" t="str">
        <f t="shared" si="7"/>
        <v/>
      </c>
      <c r="N172" s="898" t="str">
        <f t="shared" si="6"/>
        <v/>
      </c>
      <c r="O172"/>
      <c r="P172"/>
      <c r="Q172"/>
      <c r="R172"/>
      <c r="S172"/>
      <c r="T172"/>
      <c r="AZ172" s="196"/>
      <c r="BA172" s="196"/>
      <c r="BB172" s="196"/>
      <c r="BC172" s="196"/>
      <c r="BD172" s="196"/>
      <c r="BE172" s="196"/>
      <c r="BF172" s="196"/>
      <c r="BG172" s="196"/>
      <c r="BH172" s="196"/>
      <c r="BI172" s="196"/>
      <c r="BJ172" s="196"/>
      <c r="BK172" s="196"/>
    </row>
    <row r="173" spans="1:63" ht="15" customHeight="1" x14ac:dyDescent="0.2">
      <c r="A173"/>
      <c r="B173" s="1798"/>
      <c r="C173" s="1799"/>
      <c r="D173" s="1800"/>
      <c r="E173" s="1801"/>
      <c r="F173" s="1802"/>
      <c r="G173" s="1803"/>
      <c r="H173" s="1803"/>
      <c r="I173" s="1803"/>
      <c r="J173" s="1803"/>
      <c r="K173" s="1803"/>
      <c r="L173" s="1804"/>
      <c r="M173" s="897" t="str">
        <f t="shared" si="7"/>
        <v/>
      </c>
      <c r="N173" s="898" t="str">
        <f t="shared" si="6"/>
        <v/>
      </c>
      <c r="O173"/>
      <c r="P173"/>
      <c r="Q173"/>
      <c r="R173"/>
      <c r="S173"/>
      <c r="T173"/>
      <c r="AZ173" s="196"/>
      <c r="BA173" s="196"/>
      <c r="BB173" s="196"/>
      <c r="BC173" s="196"/>
      <c r="BD173" s="196"/>
      <c r="BE173" s="196"/>
      <c r="BF173" s="196"/>
      <c r="BG173" s="196"/>
      <c r="BH173" s="196"/>
      <c r="BI173" s="196"/>
      <c r="BJ173" s="196"/>
      <c r="BK173" s="196"/>
    </row>
    <row r="174" spans="1:63" ht="15" customHeight="1" x14ac:dyDescent="0.2">
      <c r="A174"/>
      <c r="B174" s="1798"/>
      <c r="C174" s="1799"/>
      <c r="D174" s="1800"/>
      <c r="E174" s="1801"/>
      <c r="F174" s="1802"/>
      <c r="G174" s="1803"/>
      <c r="H174" s="1803"/>
      <c r="I174" s="1803"/>
      <c r="J174" s="1803"/>
      <c r="K174" s="1803"/>
      <c r="L174" s="1804"/>
      <c r="M174" s="897" t="str">
        <f t="shared" si="7"/>
        <v/>
      </c>
      <c r="N174" s="898" t="str">
        <f t="shared" si="6"/>
        <v/>
      </c>
      <c r="O174"/>
      <c r="P174"/>
      <c r="Q174"/>
      <c r="R174"/>
      <c r="S174"/>
      <c r="T174"/>
      <c r="AZ174" s="196"/>
      <c r="BA174" s="196"/>
      <c r="BB174" s="196"/>
      <c r="BC174" s="196"/>
      <c r="BD174" s="196"/>
      <c r="BE174" s="196"/>
      <c r="BF174" s="196"/>
      <c r="BG174" s="196"/>
      <c r="BH174" s="196"/>
      <c r="BI174" s="196"/>
      <c r="BJ174" s="196"/>
      <c r="BK174" s="196"/>
    </row>
    <row r="175" spans="1:63" ht="15" customHeight="1" x14ac:dyDescent="0.2">
      <c r="A175"/>
      <c r="B175" s="1798"/>
      <c r="C175" s="1799"/>
      <c r="D175" s="1800"/>
      <c r="E175" s="1801"/>
      <c r="F175" s="1802"/>
      <c r="G175" s="1803"/>
      <c r="H175" s="1803"/>
      <c r="I175" s="1803"/>
      <c r="J175" s="1803"/>
      <c r="K175" s="1803"/>
      <c r="L175" s="1804"/>
      <c r="M175" s="897" t="str">
        <f t="shared" si="7"/>
        <v/>
      </c>
      <c r="N175" s="898" t="str">
        <f t="shared" si="6"/>
        <v/>
      </c>
      <c r="O175"/>
      <c r="P175"/>
      <c r="Q175"/>
      <c r="R175"/>
      <c r="S175"/>
      <c r="T175"/>
      <c r="AZ175" s="196"/>
      <c r="BA175" s="196"/>
      <c r="BB175" s="196"/>
      <c r="BC175" s="196"/>
      <c r="BD175" s="196"/>
      <c r="BE175" s="196"/>
      <c r="BF175" s="196"/>
      <c r="BG175" s="196"/>
      <c r="BH175" s="196"/>
      <c r="BI175" s="196"/>
      <c r="BJ175" s="196"/>
      <c r="BK175" s="196"/>
    </row>
    <row r="176" spans="1:63" ht="15" customHeight="1" x14ac:dyDescent="0.2">
      <c r="A176"/>
      <c r="B176" s="1798"/>
      <c r="C176" s="1799"/>
      <c r="D176" s="1800"/>
      <c r="E176" s="1801"/>
      <c r="F176" s="1802"/>
      <c r="G176" s="1803"/>
      <c r="H176" s="1803"/>
      <c r="I176" s="1803"/>
      <c r="J176" s="1803"/>
      <c r="K176" s="1803"/>
      <c r="L176" s="1804"/>
      <c r="M176" s="897" t="str">
        <f t="shared" si="7"/>
        <v/>
      </c>
      <c r="N176" s="898" t="str">
        <f t="shared" si="6"/>
        <v/>
      </c>
      <c r="O176"/>
      <c r="P176"/>
      <c r="Q176"/>
      <c r="R176"/>
      <c r="S176"/>
      <c r="T176"/>
      <c r="AZ176" s="196"/>
      <c r="BA176" s="196"/>
      <c r="BB176" s="196"/>
      <c r="BC176" s="196"/>
      <c r="BD176" s="196"/>
      <c r="BE176" s="196"/>
      <c r="BF176" s="196"/>
      <c r="BG176" s="196"/>
      <c r="BH176" s="196"/>
      <c r="BI176" s="196"/>
      <c r="BJ176" s="196"/>
      <c r="BK176" s="196"/>
    </row>
    <row r="177" spans="1:63" ht="15" customHeight="1" x14ac:dyDescent="0.2">
      <c r="A177"/>
      <c r="B177" s="1798"/>
      <c r="C177" s="1799"/>
      <c r="D177" s="1800"/>
      <c r="E177" s="1801"/>
      <c r="F177" s="1802"/>
      <c r="G177" s="1803"/>
      <c r="H177" s="1803"/>
      <c r="I177" s="1803"/>
      <c r="J177" s="1803"/>
      <c r="K177" s="1803"/>
      <c r="L177" s="1804"/>
      <c r="M177" s="897" t="str">
        <f t="shared" si="7"/>
        <v/>
      </c>
      <c r="N177" s="898" t="str">
        <f t="shared" si="6"/>
        <v/>
      </c>
      <c r="O177"/>
      <c r="P177"/>
      <c r="Q177"/>
      <c r="R177"/>
      <c r="S177"/>
      <c r="T177"/>
      <c r="AZ177" s="196"/>
      <c r="BA177" s="196"/>
      <c r="BB177" s="196"/>
      <c r="BC177" s="196"/>
      <c r="BD177" s="196"/>
      <c r="BE177" s="196"/>
      <c r="BF177" s="196"/>
      <c r="BG177" s="196"/>
      <c r="BH177" s="196"/>
      <c r="BI177" s="196"/>
      <c r="BJ177" s="196"/>
      <c r="BK177" s="196"/>
    </row>
    <row r="178" spans="1:63" ht="15" customHeight="1" x14ac:dyDescent="0.2">
      <c r="A178"/>
      <c r="B178" s="1798"/>
      <c r="C178" s="1799"/>
      <c r="D178" s="1800"/>
      <c r="E178" s="1801"/>
      <c r="F178" s="1802"/>
      <c r="G178" s="1803"/>
      <c r="H178" s="1803"/>
      <c r="I178" s="1803"/>
      <c r="J178" s="1803"/>
      <c r="K178" s="1803"/>
      <c r="L178" s="1804"/>
      <c r="M178" s="897" t="str">
        <f t="shared" si="7"/>
        <v/>
      </c>
      <c r="N178" s="898" t="str">
        <f t="shared" si="6"/>
        <v/>
      </c>
      <c r="O178"/>
      <c r="P178"/>
      <c r="Q178"/>
      <c r="R178"/>
      <c r="S178"/>
      <c r="T178"/>
      <c r="AZ178" s="196"/>
      <c r="BA178" s="196"/>
      <c r="BB178" s="196"/>
      <c r="BC178" s="196"/>
      <c r="BD178" s="196"/>
      <c r="BE178" s="196"/>
      <c r="BF178" s="196"/>
      <c r="BG178" s="196"/>
      <c r="BH178" s="196"/>
      <c r="BI178" s="196"/>
      <c r="BJ178" s="196"/>
      <c r="BK178" s="196"/>
    </row>
    <row r="179" spans="1:63" ht="15" customHeight="1" x14ac:dyDescent="0.2">
      <c r="A179"/>
      <c r="B179" s="1798"/>
      <c r="C179" s="1799"/>
      <c r="D179" s="1800"/>
      <c r="E179" s="1801"/>
      <c r="F179" s="1802"/>
      <c r="G179" s="1803"/>
      <c r="H179" s="1803"/>
      <c r="I179" s="1803"/>
      <c r="J179" s="1803"/>
      <c r="K179" s="1803"/>
      <c r="L179" s="1804"/>
      <c r="M179" s="897" t="str">
        <f t="shared" si="7"/>
        <v/>
      </c>
      <c r="N179" s="898" t="str">
        <f t="shared" si="6"/>
        <v/>
      </c>
      <c r="O179"/>
      <c r="P179"/>
      <c r="Q179"/>
      <c r="R179"/>
      <c r="S179"/>
      <c r="T179"/>
      <c r="AZ179" s="196"/>
      <c r="BA179" s="196"/>
      <c r="BB179" s="196"/>
      <c r="BC179" s="196"/>
      <c r="BD179" s="196"/>
      <c r="BE179" s="196"/>
      <c r="BF179" s="196"/>
      <c r="BG179" s="196"/>
      <c r="BH179" s="196"/>
      <c r="BI179" s="196"/>
      <c r="BJ179" s="196"/>
      <c r="BK179" s="196"/>
    </row>
    <row r="180" spans="1:63" ht="15" customHeight="1" x14ac:dyDescent="0.2">
      <c r="A180"/>
      <c r="B180" s="1798"/>
      <c r="C180" s="1799"/>
      <c r="D180" s="1800"/>
      <c r="E180" s="1801"/>
      <c r="F180" s="1802"/>
      <c r="G180" s="1803"/>
      <c r="H180" s="1803"/>
      <c r="I180" s="1803"/>
      <c r="J180" s="1803"/>
      <c r="K180" s="1803"/>
      <c r="L180" s="1804"/>
      <c r="M180" s="897" t="str">
        <f t="shared" si="7"/>
        <v/>
      </c>
      <c r="N180" s="898" t="str">
        <f t="shared" si="6"/>
        <v/>
      </c>
      <c r="O180"/>
      <c r="P180"/>
      <c r="Q180"/>
      <c r="R180"/>
      <c r="S180"/>
      <c r="T180"/>
      <c r="AZ180" s="196"/>
      <c r="BA180" s="196"/>
      <c r="BB180" s="196"/>
      <c r="BC180" s="196"/>
      <c r="BD180" s="196"/>
      <c r="BE180" s="196"/>
      <c r="BF180" s="196"/>
      <c r="BG180" s="196"/>
      <c r="BH180" s="196"/>
      <c r="BI180" s="196"/>
      <c r="BJ180" s="196"/>
      <c r="BK180" s="196"/>
    </row>
    <row r="181" spans="1:63" ht="15" customHeight="1" x14ac:dyDescent="0.2">
      <c r="A181"/>
      <c r="B181" s="1798"/>
      <c r="C181" s="1799"/>
      <c r="D181" s="1800"/>
      <c r="E181" s="1801"/>
      <c r="F181" s="1802"/>
      <c r="G181" s="1803"/>
      <c r="H181" s="1803"/>
      <c r="I181" s="1803"/>
      <c r="J181" s="1803"/>
      <c r="K181" s="1803"/>
      <c r="L181" s="1804"/>
      <c r="M181" s="897" t="str">
        <f t="shared" si="7"/>
        <v/>
      </c>
      <c r="N181" s="898" t="str">
        <f t="shared" si="6"/>
        <v/>
      </c>
      <c r="O181"/>
      <c r="P181"/>
      <c r="Q181"/>
      <c r="R181"/>
      <c r="S181"/>
      <c r="T181"/>
      <c r="AZ181" s="196"/>
      <c r="BA181" s="196"/>
      <c r="BB181" s="196"/>
      <c r="BC181" s="196"/>
      <c r="BD181" s="196"/>
      <c r="BE181" s="196"/>
      <c r="BF181" s="196"/>
      <c r="BG181" s="196"/>
      <c r="BH181" s="196"/>
      <c r="BI181" s="196"/>
      <c r="BJ181" s="196"/>
      <c r="BK181" s="196"/>
    </row>
    <row r="182" spans="1:63" ht="15" customHeight="1" x14ac:dyDescent="0.2">
      <c r="A182"/>
      <c r="B182" s="1798"/>
      <c r="C182" s="1799"/>
      <c r="D182" s="1800"/>
      <c r="E182" s="1801"/>
      <c r="F182" s="1802"/>
      <c r="G182" s="1803"/>
      <c r="H182" s="1803"/>
      <c r="I182" s="1803"/>
      <c r="J182" s="1803"/>
      <c r="K182" s="1803"/>
      <c r="L182" s="1804"/>
      <c r="M182" s="897" t="str">
        <f t="shared" si="7"/>
        <v/>
      </c>
      <c r="N182" s="898" t="str">
        <f t="shared" si="6"/>
        <v/>
      </c>
      <c r="O182"/>
      <c r="P182"/>
      <c r="Q182"/>
      <c r="R182"/>
      <c r="S182"/>
      <c r="T182"/>
      <c r="AZ182" s="196"/>
      <c r="BA182" s="196"/>
      <c r="BB182" s="196"/>
      <c r="BC182" s="196"/>
      <c r="BD182" s="196"/>
      <c r="BE182" s="196"/>
      <c r="BF182" s="196"/>
      <c r="BG182" s="196"/>
      <c r="BH182" s="196"/>
      <c r="BI182" s="196"/>
      <c r="BJ182" s="196"/>
      <c r="BK182" s="196"/>
    </row>
    <row r="183" spans="1:63" ht="15" customHeight="1" x14ac:dyDescent="0.2">
      <c r="A183"/>
      <c r="B183" s="1798"/>
      <c r="C183" s="1799"/>
      <c r="D183" s="1800"/>
      <c r="E183" s="1801"/>
      <c r="F183" s="1802"/>
      <c r="G183" s="1803"/>
      <c r="H183" s="1803"/>
      <c r="I183" s="1803"/>
      <c r="J183" s="1803"/>
      <c r="K183" s="1803"/>
      <c r="L183" s="1804"/>
      <c r="M183" s="897" t="str">
        <f t="shared" si="7"/>
        <v/>
      </c>
      <c r="N183" s="898" t="str">
        <f t="shared" si="6"/>
        <v/>
      </c>
      <c r="O183"/>
      <c r="P183"/>
      <c r="Q183"/>
      <c r="R183"/>
      <c r="S183"/>
      <c r="T183"/>
      <c r="AZ183" s="196"/>
      <c r="BA183" s="196"/>
      <c r="BB183" s="196"/>
      <c r="BC183" s="196"/>
      <c r="BD183" s="196"/>
      <c r="BE183" s="196"/>
      <c r="BF183" s="196"/>
      <c r="BG183" s="196"/>
      <c r="BH183" s="196"/>
      <c r="BI183" s="196"/>
      <c r="BJ183" s="196"/>
      <c r="BK183" s="196"/>
    </row>
    <row r="184" spans="1:63" ht="15" customHeight="1" x14ac:dyDescent="0.2">
      <c r="A184"/>
      <c r="B184" s="1798"/>
      <c r="C184" s="1799"/>
      <c r="D184" s="1800"/>
      <c r="E184" s="1801"/>
      <c r="F184" s="1802"/>
      <c r="G184" s="1803"/>
      <c r="H184" s="1803"/>
      <c r="I184" s="1803"/>
      <c r="J184" s="1803"/>
      <c r="K184" s="1803"/>
      <c r="L184" s="1804"/>
      <c r="M184" s="897" t="str">
        <f t="shared" si="7"/>
        <v/>
      </c>
      <c r="N184" s="898" t="str">
        <f t="shared" si="6"/>
        <v/>
      </c>
      <c r="O184"/>
      <c r="P184"/>
      <c r="Q184"/>
      <c r="R184"/>
      <c r="S184"/>
      <c r="T184"/>
      <c r="AZ184" s="196"/>
      <c r="BA184" s="196"/>
      <c r="BB184" s="196"/>
      <c r="BC184" s="196"/>
      <c r="BD184" s="196"/>
      <c r="BE184" s="196"/>
      <c r="BF184" s="196"/>
      <c r="BG184" s="196"/>
      <c r="BH184" s="196"/>
      <c r="BI184" s="196"/>
      <c r="BJ184" s="196"/>
      <c r="BK184" s="196"/>
    </row>
    <row r="185" spans="1:63" ht="15" customHeight="1" x14ac:dyDescent="0.2">
      <c r="A185"/>
      <c r="B185" s="1798"/>
      <c r="C185" s="1799"/>
      <c r="D185" s="1800"/>
      <c r="E185" s="1801"/>
      <c r="F185" s="1802"/>
      <c r="G185" s="1803"/>
      <c r="H185" s="1803"/>
      <c r="I185" s="1803"/>
      <c r="J185" s="1803"/>
      <c r="K185" s="1803"/>
      <c r="L185" s="1804"/>
      <c r="M185" s="897" t="str">
        <f t="shared" si="7"/>
        <v/>
      </c>
      <c r="N185" s="898" t="str">
        <f t="shared" si="6"/>
        <v/>
      </c>
      <c r="O185"/>
      <c r="P185"/>
      <c r="Q185"/>
      <c r="R185"/>
      <c r="S185"/>
      <c r="T185"/>
      <c r="AZ185" s="196"/>
      <c r="BA185" s="196"/>
      <c r="BB185" s="196"/>
      <c r="BC185" s="196"/>
      <c r="BD185" s="196"/>
      <c r="BE185" s="196"/>
      <c r="BF185" s="196"/>
      <c r="BG185" s="196"/>
      <c r="BH185" s="196"/>
      <c r="BI185" s="196"/>
      <c r="BJ185" s="196"/>
      <c r="BK185" s="196"/>
    </row>
    <row r="186" spans="1:63" ht="15" customHeight="1" x14ac:dyDescent="0.2">
      <c r="A186"/>
      <c r="B186" s="1798"/>
      <c r="C186" s="1799"/>
      <c r="D186" s="1800"/>
      <c r="E186" s="1801"/>
      <c r="F186" s="1802"/>
      <c r="G186" s="1803"/>
      <c r="H186" s="1803"/>
      <c r="I186" s="1803"/>
      <c r="J186" s="1803"/>
      <c r="K186" s="1803"/>
      <c r="L186" s="1804"/>
      <c r="M186" s="897" t="str">
        <f t="shared" si="7"/>
        <v/>
      </c>
      <c r="N186" s="898" t="str">
        <f t="shared" si="6"/>
        <v/>
      </c>
      <c r="O186"/>
      <c r="P186"/>
      <c r="Q186"/>
      <c r="R186"/>
      <c r="S186"/>
      <c r="T186"/>
      <c r="AZ186" s="196"/>
      <c r="BA186" s="196"/>
      <c r="BB186" s="196"/>
      <c r="BC186" s="196"/>
      <c r="BD186" s="196"/>
      <c r="BE186" s="196"/>
      <c r="BF186" s="196"/>
      <c r="BG186" s="196"/>
      <c r="BH186" s="196"/>
      <c r="BI186" s="196"/>
      <c r="BJ186" s="196"/>
      <c r="BK186" s="196"/>
    </row>
    <row r="187" spans="1:63" ht="15" customHeight="1" x14ac:dyDescent="0.2">
      <c r="A187"/>
      <c r="B187" s="1798"/>
      <c r="C187" s="1799"/>
      <c r="D187" s="1800"/>
      <c r="E187" s="1801"/>
      <c r="F187" s="1802"/>
      <c r="G187" s="1803"/>
      <c r="H187" s="1803"/>
      <c r="I187" s="1803"/>
      <c r="J187" s="1803"/>
      <c r="K187" s="1803"/>
      <c r="L187" s="1804"/>
      <c r="M187" s="897" t="str">
        <f t="shared" si="7"/>
        <v/>
      </c>
      <c r="N187" s="898" t="str">
        <f t="shared" si="6"/>
        <v/>
      </c>
      <c r="O187"/>
      <c r="P187"/>
      <c r="Q187"/>
      <c r="R187"/>
      <c r="S187"/>
      <c r="T187"/>
      <c r="AZ187" s="196"/>
      <c r="BA187" s="196"/>
      <c r="BB187" s="196"/>
      <c r="BC187" s="196"/>
      <c r="BD187" s="196"/>
      <c r="BE187" s="196"/>
      <c r="BF187" s="196"/>
      <c r="BG187" s="196"/>
      <c r="BH187" s="196"/>
      <c r="BI187" s="196"/>
      <c r="BJ187" s="196"/>
      <c r="BK187" s="196"/>
    </row>
    <row r="188" spans="1:63" ht="15" customHeight="1" x14ac:dyDescent="0.2">
      <c r="A188"/>
      <c r="B188" s="1798"/>
      <c r="C188" s="1799"/>
      <c r="D188" s="1800"/>
      <c r="E188" s="1801"/>
      <c r="F188" s="1802"/>
      <c r="G188" s="1803"/>
      <c r="H188" s="1803"/>
      <c r="I188" s="1803"/>
      <c r="J188" s="1803"/>
      <c r="K188" s="1803"/>
      <c r="L188" s="1804"/>
      <c r="M188" s="897" t="str">
        <f t="shared" si="7"/>
        <v/>
      </c>
      <c r="N188" s="898" t="str">
        <f t="shared" si="6"/>
        <v/>
      </c>
      <c r="O188"/>
      <c r="P188"/>
      <c r="Q188"/>
      <c r="R188"/>
      <c r="S188"/>
      <c r="T188"/>
      <c r="AZ188" s="196"/>
      <c r="BA188" s="196"/>
      <c r="BB188" s="196"/>
      <c r="BC188" s="196"/>
      <c r="BD188" s="196"/>
      <c r="BE188" s="196"/>
      <c r="BF188" s="196"/>
      <c r="BG188" s="196"/>
      <c r="BH188" s="196"/>
      <c r="BI188" s="196"/>
      <c r="BJ188" s="196"/>
      <c r="BK188" s="196"/>
    </row>
    <row r="189" spans="1:63" ht="15" customHeight="1" x14ac:dyDescent="0.2">
      <c r="A189"/>
      <c r="B189" s="1798"/>
      <c r="C189" s="1799"/>
      <c r="D189" s="1800"/>
      <c r="E189" s="1801"/>
      <c r="F189" s="1802"/>
      <c r="G189" s="1803"/>
      <c r="H189" s="1803"/>
      <c r="I189" s="1803"/>
      <c r="J189" s="1803"/>
      <c r="K189" s="1803"/>
      <c r="L189" s="1804"/>
      <c r="M189" s="897" t="str">
        <f t="shared" si="7"/>
        <v/>
      </c>
      <c r="N189" s="898" t="str">
        <f t="shared" si="6"/>
        <v/>
      </c>
      <c r="O189"/>
      <c r="P189"/>
      <c r="Q189"/>
      <c r="R189"/>
      <c r="S189"/>
      <c r="T189"/>
      <c r="AZ189" s="196"/>
      <c r="BA189" s="196"/>
      <c r="BB189" s="196"/>
      <c r="BC189" s="196"/>
      <c r="BD189" s="196"/>
      <c r="BE189" s="196"/>
      <c r="BF189" s="196"/>
      <c r="BG189" s="196"/>
      <c r="BH189" s="196"/>
      <c r="BI189" s="196"/>
      <c r="BJ189" s="196"/>
      <c r="BK189" s="196"/>
    </row>
    <row r="190" spans="1:63" ht="15" customHeight="1" x14ac:dyDescent="0.2">
      <c r="A190"/>
      <c r="B190" s="1798"/>
      <c r="C190" s="1799"/>
      <c r="D190" s="1800"/>
      <c r="E190" s="1801"/>
      <c r="F190" s="1802"/>
      <c r="G190" s="1803"/>
      <c r="H190" s="1803"/>
      <c r="I190" s="1803"/>
      <c r="J190" s="1803"/>
      <c r="K190" s="1803"/>
      <c r="L190" s="1804"/>
      <c r="M190" s="897" t="str">
        <f t="shared" si="7"/>
        <v/>
      </c>
      <c r="N190" s="898" t="str">
        <f t="shared" si="6"/>
        <v/>
      </c>
      <c r="O190"/>
      <c r="P190"/>
      <c r="Q190"/>
      <c r="R190"/>
      <c r="S190"/>
      <c r="T190"/>
      <c r="AZ190" s="196"/>
      <c r="BA190" s="196"/>
      <c r="BB190" s="196"/>
      <c r="BC190" s="196"/>
      <c r="BD190" s="196"/>
      <c r="BE190" s="196"/>
      <c r="BF190" s="196"/>
      <c r="BG190" s="196"/>
      <c r="BH190" s="196"/>
      <c r="BI190" s="196"/>
      <c r="BJ190" s="196"/>
      <c r="BK190" s="196"/>
    </row>
    <row r="191" spans="1:63" ht="15" customHeight="1" x14ac:dyDescent="0.2">
      <c r="A191"/>
      <c r="B191" s="1798"/>
      <c r="C191" s="1799"/>
      <c r="D191" s="1800"/>
      <c r="E191" s="1801"/>
      <c r="F191" s="1802"/>
      <c r="G191" s="1803"/>
      <c r="H191" s="1803"/>
      <c r="I191" s="1803"/>
      <c r="J191" s="1803"/>
      <c r="K191" s="1803"/>
      <c r="L191" s="1804"/>
      <c r="M191" s="897" t="str">
        <f t="shared" si="7"/>
        <v/>
      </c>
      <c r="N191" s="898" t="str">
        <f t="shared" si="6"/>
        <v/>
      </c>
      <c r="O191"/>
      <c r="P191"/>
      <c r="Q191"/>
      <c r="R191"/>
      <c r="S191"/>
      <c r="T191"/>
      <c r="AZ191" s="196"/>
      <c r="BA191" s="196"/>
      <c r="BB191" s="196"/>
      <c r="BC191" s="196"/>
      <c r="BD191" s="196"/>
      <c r="BE191" s="196"/>
      <c r="BF191" s="196"/>
      <c r="BG191" s="196"/>
      <c r="BH191" s="196"/>
      <c r="BI191" s="196"/>
      <c r="BJ191" s="196"/>
      <c r="BK191" s="196"/>
    </row>
    <row r="192" spans="1:63" ht="15" customHeight="1" x14ac:dyDescent="0.2">
      <c r="A192"/>
      <c r="B192" s="1798"/>
      <c r="C192" s="1799"/>
      <c r="D192" s="1800"/>
      <c r="E192" s="1801"/>
      <c r="F192" s="1802"/>
      <c r="G192" s="1803"/>
      <c r="H192" s="1803"/>
      <c r="I192" s="1803"/>
      <c r="J192" s="1803"/>
      <c r="K192" s="1803"/>
      <c r="L192" s="1804"/>
      <c r="M192" s="897" t="str">
        <f t="shared" si="7"/>
        <v/>
      </c>
      <c r="N192" s="898" t="str">
        <f t="shared" si="6"/>
        <v/>
      </c>
      <c r="O192"/>
      <c r="P192"/>
      <c r="Q192"/>
      <c r="R192"/>
      <c r="S192"/>
      <c r="T192"/>
      <c r="AZ192" s="196"/>
      <c r="BA192" s="196"/>
      <c r="BB192" s="196"/>
      <c r="BC192" s="196"/>
      <c r="BD192" s="196"/>
      <c r="BE192" s="196"/>
      <c r="BF192" s="196"/>
      <c r="BG192" s="196"/>
      <c r="BH192" s="196"/>
      <c r="BI192" s="196"/>
      <c r="BJ192" s="196"/>
      <c r="BK192" s="196"/>
    </row>
    <row r="193" spans="1:63" ht="15" customHeight="1" x14ac:dyDescent="0.2">
      <c r="A193"/>
      <c r="B193" s="1798"/>
      <c r="C193" s="1799"/>
      <c r="D193" s="1800"/>
      <c r="E193" s="1801"/>
      <c r="F193" s="1802"/>
      <c r="G193" s="1803"/>
      <c r="H193" s="1803"/>
      <c r="I193" s="1803"/>
      <c r="J193" s="1803"/>
      <c r="K193" s="1803"/>
      <c r="L193" s="1804"/>
      <c r="M193" s="897" t="str">
        <f t="shared" si="7"/>
        <v/>
      </c>
      <c r="N193" s="898" t="str">
        <f t="shared" si="6"/>
        <v/>
      </c>
      <c r="O193"/>
      <c r="P193"/>
      <c r="Q193"/>
      <c r="R193"/>
      <c r="S193"/>
      <c r="T193"/>
      <c r="AZ193" s="196"/>
      <c r="BA193" s="196"/>
      <c r="BB193" s="196"/>
      <c r="BC193" s="196"/>
      <c r="BD193" s="196"/>
      <c r="BE193" s="196"/>
      <c r="BF193" s="196"/>
      <c r="BG193" s="196"/>
      <c r="BH193" s="196"/>
      <c r="BI193" s="196"/>
      <c r="BJ193" s="196"/>
      <c r="BK193" s="196"/>
    </row>
    <row r="194" spans="1:63" ht="15" customHeight="1" x14ac:dyDescent="0.2">
      <c r="A194"/>
      <c r="B194" s="1798"/>
      <c r="C194" s="1799"/>
      <c r="D194" s="1800"/>
      <c r="E194" s="1801"/>
      <c r="F194" s="1802"/>
      <c r="G194" s="1803"/>
      <c r="H194" s="1803"/>
      <c r="I194" s="1803"/>
      <c r="J194" s="1803"/>
      <c r="K194" s="1803"/>
      <c r="L194" s="1804"/>
      <c r="M194" s="897" t="str">
        <f t="shared" si="7"/>
        <v/>
      </c>
      <c r="N194" s="898" t="str">
        <f t="shared" si="6"/>
        <v/>
      </c>
      <c r="O194"/>
      <c r="P194"/>
      <c r="Q194"/>
      <c r="R194"/>
      <c r="S194"/>
      <c r="T194"/>
      <c r="AZ194" s="196"/>
      <c r="BA194" s="196"/>
      <c r="BB194" s="196"/>
      <c r="BC194" s="196"/>
      <c r="BD194" s="196"/>
      <c r="BE194" s="196"/>
      <c r="BF194" s="196"/>
      <c r="BG194" s="196"/>
      <c r="BH194" s="196"/>
      <c r="BI194" s="196"/>
      <c r="BJ194" s="196"/>
      <c r="BK194" s="196"/>
    </row>
    <row r="195" spans="1:63" ht="15" customHeight="1" x14ac:dyDescent="0.2">
      <c r="A195"/>
      <c r="B195" s="1798"/>
      <c r="C195" s="1799"/>
      <c r="D195" s="1800"/>
      <c r="E195" s="1801"/>
      <c r="F195" s="1802"/>
      <c r="G195" s="1803"/>
      <c r="H195" s="1803"/>
      <c r="I195" s="1803"/>
      <c r="J195" s="1803"/>
      <c r="K195" s="1803"/>
      <c r="L195" s="1804"/>
      <c r="M195" s="897" t="str">
        <f t="shared" si="7"/>
        <v/>
      </c>
      <c r="N195" s="898" t="str">
        <f t="shared" si="6"/>
        <v/>
      </c>
      <c r="O195"/>
      <c r="P195"/>
      <c r="Q195"/>
      <c r="R195"/>
      <c r="S195"/>
      <c r="T195"/>
      <c r="AZ195" s="196"/>
      <c r="BA195" s="196"/>
      <c r="BB195" s="196"/>
      <c r="BC195" s="196"/>
      <c r="BD195" s="196"/>
      <c r="BE195" s="196"/>
      <c r="BF195" s="196"/>
      <c r="BG195" s="196"/>
      <c r="BH195" s="196"/>
      <c r="BI195" s="196"/>
      <c r="BJ195" s="196"/>
      <c r="BK195" s="196"/>
    </row>
    <row r="196" spans="1:63" ht="15" customHeight="1" x14ac:dyDescent="0.2">
      <c r="A196"/>
      <c r="B196" s="1798"/>
      <c r="C196" s="1799"/>
      <c r="D196" s="1800"/>
      <c r="E196" s="1801"/>
      <c r="F196" s="1802"/>
      <c r="G196" s="1803"/>
      <c r="H196" s="1803"/>
      <c r="I196" s="1803"/>
      <c r="J196" s="1803"/>
      <c r="K196" s="1803"/>
      <c r="L196" s="1804"/>
      <c r="M196" s="897" t="str">
        <f t="shared" si="7"/>
        <v/>
      </c>
      <c r="N196" s="898" t="str">
        <f t="shared" ref="N196:N259" si="8">IF(AND(ISBLANK(D196),ISBLANK(E196)),"",TRUNC(D196)*12+IF(OR(D196&lt;0,AND(D196=0,E196&lt;0)),-1*ABS(E196),ABS(E196)))</f>
        <v/>
      </c>
      <c r="O196"/>
      <c r="P196"/>
      <c r="Q196"/>
      <c r="R196"/>
      <c r="S196"/>
      <c r="T196"/>
      <c r="AZ196" s="196"/>
      <c r="BA196" s="196"/>
      <c r="BB196" s="196"/>
      <c r="BC196" s="196"/>
      <c r="BD196" s="196"/>
      <c r="BE196" s="196"/>
      <c r="BF196" s="196"/>
      <c r="BG196" s="196"/>
      <c r="BH196" s="196"/>
      <c r="BI196" s="196"/>
      <c r="BJ196" s="196"/>
      <c r="BK196" s="196"/>
    </row>
    <row r="197" spans="1:63" ht="15" customHeight="1" x14ac:dyDescent="0.2">
      <c r="A197"/>
      <c r="B197" s="1798"/>
      <c r="C197" s="1799"/>
      <c r="D197" s="1800"/>
      <c r="E197" s="1801"/>
      <c r="F197" s="1802"/>
      <c r="G197" s="1803"/>
      <c r="H197" s="1803"/>
      <c r="I197" s="1803"/>
      <c r="J197" s="1803"/>
      <c r="K197" s="1803"/>
      <c r="L197" s="1804"/>
      <c r="M197" s="897" t="str">
        <f t="shared" si="7"/>
        <v/>
      </c>
      <c r="N197" s="898" t="str">
        <f t="shared" si="8"/>
        <v/>
      </c>
      <c r="O197"/>
      <c r="P197"/>
      <c r="Q197"/>
      <c r="R197"/>
      <c r="S197"/>
      <c r="T197"/>
      <c r="AZ197" s="196"/>
      <c r="BA197" s="196"/>
      <c r="BB197" s="196"/>
      <c r="BC197" s="196"/>
      <c r="BD197" s="196"/>
      <c r="BE197" s="196"/>
      <c r="BF197" s="196"/>
      <c r="BG197" s="196"/>
      <c r="BH197" s="196"/>
      <c r="BI197" s="196"/>
      <c r="BJ197" s="196"/>
      <c r="BK197" s="196"/>
    </row>
    <row r="198" spans="1:63" ht="15" customHeight="1" x14ac:dyDescent="0.2">
      <c r="A198"/>
      <c r="B198" s="1798"/>
      <c r="C198" s="1799"/>
      <c r="D198" s="1800"/>
      <c r="E198" s="1801"/>
      <c r="F198" s="1802"/>
      <c r="G198" s="1803"/>
      <c r="H198" s="1803"/>
      <c r="I198" s="1803"/>
      <c r="J198" s="1803"/>
      <c r="K198" s="1803"/>
      <c r="L198" s="1804"/>
      <c r="M198" s="897" t="str">
        <f t="shared" si="7"/>
        <v/>
      </c>
      <c r="N198" s="898" t="str">
        <f t="shared" si="8"/>
        <v/>
      </c>
      <c r="O198"/>
      <c r="P198"/>
      <c r="Q198"/>
      <c r="R198"/>
      <c r="S198"/>
      <c r="T198"/>
      <c r="AZ198" s="196"/>
      <c r="BA198" s="196"/>
      <c r="BB198" s="196"/>
      <c r="BC198" s="196"/>
      <c r="BD198" s="196"/>
      <c r="BE198" s="196"/>
      <c r="BF198" s="196"/>
      <c r="BG198" s="196"/>
      <c r="BH198" s="196"/>
      <c r="BI198" s="196"/>
      <c r="BJ198" s="196"/>
      <c r="BK198" s="196"/>
    </row>
    <row r="199" spans="1:63" ht="15" customHeight="1" x14ac:dyDescent="0.2">
      <c r="A199"/>
      <c r="B199" s="1798"/>
      <c r="C199" s="1799"/>
      <c r="D199" s="1800"/>
      <c r="E199" s="1801"/>
      <c r="F199" s="1802"/>
      <c r="G199" s="1803"/>
      <c r="H199" s="1803"/>
      <c r="I199" s="1803"/>
      <c r="J199" s="1803"/>
      <c r="K199" s="1803"/>
      <c r="L199" s="1804"/>
      <c r="M199" s="897" t="str">
        <f t="shared" si="7"/>
        <v/>
      </c>
      <c r="N199" s="898" t="str">
        <f t="shared" si="8"/>
        <v/>
      </c>
      <c r="O199"/>
      <c r="P199"/>
      <c r="Q199"/>
      <c r="R199"/>
      <c r="S199"/>
      <c r="T199"/>
      <c r="AZ199" s="196"/>
      <c r="BA199" s="196"/>
      <c r="BB199" s="196"/>
      <c r="BC199" s="196"/>
      <c r="BD199" s="196"/>
      <c r="BE199" s="196"/>
      <c r="BF199" s="196"/>
      <c r="BG199" s="196"/>
      <c r="BH199" s="196"/>
      <c r="BI199" s="196"/>
      <c r="BJ199" s="196"/>
      <c r="BK199" s="196"/>
    </row>
    <row r="200" spans="1:63" ht="15" customHeight="1" x14ac:dyDescent="0.2">
      <c r="A200"/>
      <c r="B200" s="1798"/>
      <c r="C200" s="1799"/>
      <c r="D200" s="1800"/>
      <c r="E200" s="1801"/>
      <c r="F200" s="1802"/>
      <c r="G200" s="1803"/>
      <c r="H200" s="1803"/>
      <c r="I200" s="1803"/>
      <c r="J200" s="1803"/>
      <c r="K200" s="1803"/>
      <c r="L200" s="1804"/>
      <c r="M200" s="897" t="str">
        <f t="shared" si="7"/>
        <v/>
      </c>
      <c r="N200" s="898" t="str">
        <f t="shared" si="8"/>
        <v/>
      </c>
      <c r="O200"/>
      <c r="P200"/>
      <c r="Q200"/>
      <c r="R200"/>
      <c r="S200"/>
      <c r="T200"/>
      <c r="AZ200" s="196"/>
      <c r="BA200" s="196"/>
      <c r="BB200" s="196"/>
      <c r="BC200" s="196"/>
      <c r="BD200" s="196"/>
      <c r="BE200" s="196"/>
      <c r="BF200" s="196"/>
      <c r="BG200" s="196"/>
      <c r="BH200" s="196"/>
      <c r="BI200" s="196"/>
      <c r="BJ200" s="196"/>
      <c r="BK200" s="196"/>
    </row>
    <row r="201" spans="1:63" ht="15" customHeight="1" x14ac:dyDescent="0.2">
      <c r="A201"/>
      <c r="B201" s="1798"/>
      <c r="C201" s="1799"/>
      <c r="D201" s="1800"/>
      <c r="E201" s="1801"/>
      <c r="F201" s="1802"/>
      <c r="G201" s="1803"/>
      <c r="H201" s="1803"/>
      <c r="I201" s="1803"/>
      <c r="J201" s="1803"/>
      <c r="K201" s="1803"/>
      <c r="L201" s="1804"/>
      <c r="M201" s="897" t="str">
        <f t="shared" si="7"/>
        <v/>
      </c>
      <c r="N201" s="898" t="str">
        <f t="shared" si="8"/>
        <v/>
      </c>
      <c r="O201"/>
      <c r="P201"/>
      <c r="Q201"/>
      <c r="R201"/>
      <c r="S201"/>
      <c r="T201"/>
      <c r="AZ201" s="196"/>
      <c r="BA201" s="196"/>
      <c r="BB201" s="196"/>
      <c r="BC201" s="196"/>
      <c r="BD201" s="196"/>
      <c r="BE201" s="196"/>
      <c r="BF201" s="196"/>
      <c r="BG201" s="196"/>
      <c r="BH201" s="196"/>
      <c r="BI201" s="196"/>
      <c r="BJ201" s="196"/>
      <c r="BK201" s="196"/>
    </row>
    <row r="202" spans="1:63" ht="15" customHeight="1" x14ac:dyDescent="0.2">
      <c r="A202"/>
      <c r="B202" s="1798"/>
      <c r="C202" s="1799"/>
      <c r="D202" s="1800"/>
      <c r="E202" s="1801"/>
      <c r="F202" s="1802"/>
      <c r="G202" s="1803"/>
      <c r="H202" s="1803"/>
      <c r="I202" s="1803"/>
      <c r="J202" s="1803"/>
      <c r="K202" s="1803"/>
      <c r="L202" s="1804"/>
      <c r="M202" s="897" t="str">
        <f t="shared" si="7"/>
        <v/>
      </c>
      <c r="N202" s="898" t="str">
        <f t="shared" si="8"/>
        <v/>
      </c>
      <c r="O202"/>
      <c r="P202"/>
      <c r="Q202"/>
      <c r="R202"/>
      <c r="S202"/>
      <c r="T202"/>
      <c r="AZ202" s="196"/>
      <c r="BA202" s="196"/>
      <c r="BB202" s="196"/>
      <c r="BC202" s="196"/>
      <c r="BD202" s="196"/>
      <c r="BE202" s="196"/>
      <c r="BF202" s="196"/>
      <c r="BG202" s="196"/>
      <c r="BH202" s="196"/>
      <c r="BI202" s="196"/>
      <c r="BJ202" s="196"/>
      <c r="BK202" s="196"/>
    </row>
    <row r="203" spans="1:63" ht="15" customHeight="1" x14ac:dyDescent="0.2">
      <c r="A203"/>
      <c r="B203" s="1798"/>
      <c r="C203" s="1799"/>
      <c r="D203" s="1800"/>
      <c r="E203" s="1801"/>
      <c r="F203" s="1802"/>
      <c r="G203" s="1803"/>
      <c r="H203" s="1803"/>
      <c r="I203" s="1803"/>
      <c r="J203" s="1803"/>
      <c r="K203" s="1803"/>
      <c r="L203" s="1804"/>
      <c r="M203" s="897" t="str">
        <f t="shared" si="7"/>
        <v/>
      </c>
      <c r="N203" s="898" t="str">
        <f t="shared" si="8"/>
        <v/>
      </c>
      <c r="O203"/>
      <c r="P203"/>
      <c r="Q203"/>
      <c r="R203"/>
      <c r="S203"/>
      <c r="T203"/>
      <c r="AZ203" s="196"/>
      <c r="BA203" s="196"/>
      <c r="BB203" s="196"/>
      <c r="BC203" s="196"/>
      <c r="BD203" s="196"/>
      <c r="BE203" s="196"/>
      <c r="BF203" s="196"/>
      <c r="BG203" s="196"/>
      <c r="BH203" s="196"/>
      <c r="BI203" s="196"/>
      <c r="BJ203" s="196"/>
      <c r="BK203" s="196"/>
    </row>
    <row r="204" spans="1:63" ht="15" customHeight="1" x14ac:dyDescent="0.2">
      <c r="A204"/>
      <c r="B204" s="1798"/>
      <c r="C204" s="1799"/>
      <c r="D204" s="1800"/>
      <c r="E204" s="1801"/>
      <c r="F204" s="1802"/>
      <c r="G204" s="1803"/>
      <c r="H204" s="1803"/>
      <c r="I204" s="1803"/>
      <c r="J204" s="1803"/>
      <c r="K204" s="1803"/>
      <c r="L204" s="1804"/>
      <c r="M204" s="897" t="str">
        <f t="shared" si="7"/>
        <v/>
      </c>
      <c r="N204" s="898" t="str">
        <f t="shared" si="8"/>
        <v/>
      </c>
      <c r="O204"/>
      <c r="P204"/>
      <c r="Q204"/>
      <c r="R204"/>
      <c r="S204"/>
      <c r="T204"/>
      <c r="AZ204" s="196"/>
      <c r="BA204" s="196"/>
      <c r="BB204" s="196"/>
      <c r="BC204" s="196"/>
      <c r="BD204" s="196"/>
      <c r="BE204" s="196"/>
      <c r="BF204" s="196"/>
      <c r="BG204" s="196"/>
      <c r="BH204" s="196"/>
      <c r="BI204" s="196"/>
      <c r="BJ204" s="196"/>
      <c r="BK204" s="196"/>
    </row>
    <row r="205" spans="1:63" ht="15" customHeight="1" x14ac:dyDescent="0.2">
      <c r="A205"/>
      <c r="B205" s="1798"/>
      <c r="C205" s="1799"/>
      <c r="D205" s="1800"/>
      <c r="E205" s="1801"/>
      <c r="F205" s="1802"/>
      <c r="G205" s="1803"/>
      <c r="H205" s="1803"/>
      <c r="I205" s="1803"/>
      <c r="J205" s="1803"/>
      <c r="K205" s="1803"/>
      <c r="L205" s="1804"/>
      <c r="M205" s="897" t="str">
        <f t="shared" si="7"/>
        <v/>
      </c>
      <c r="N205" s="898" t="str">
        <f t="shared" si="8"/>
        <v/>
      </c>
      <c r="O205"/>
      <c r="P205"/>
      <c r="Q205"/>
      <c r="R205"/>
      <c r="S205"/>
      <c r="T205"/>
      <c r="AZ205" s="196"/>
      <c r="BA205" s="196"/>
      <c r="BB205" s="196"/>
      <c r="BC205" s="196"/>
      <c r="BD205" s="196"/>
      <c r="BE205" s="196"/>
      <c r="BF205" s="196"/>
      <c r="BG205" s="196"/>
      <c r="BH205" s="196"/>
      <c r="BI205" s="196"/>
      <c r="BJ205" s="196"/>
      <c r="BK205" s="196"/>
    </row>
    <row r="206" spans="1:63" ht="15" customHeight="1" x14ac:dyDescent="0.2">
      <c r="A206"/>
      <c r="B206" s="1798"/>
      <c r="C206" s="1799"/>
      <c r="D206" s="1800"/>
      <c r="E206" s="1801"/>
      <c r="F206" s="1802"/>
      <c r="G206" s="1803"/>
      <c r="H206" s="1803"/>
      <c r="I206" s="1803"/>
      <c r="J206" s="1803"/>
      <c r="K206" s="1803"/>
      <c r="L206" s="1804"/>
      <c r="M206" s="897" t="str">
        <f t="shared" si="7"/>
        <v/>
      </c>
      <c r="N206" s="898" t="str">
        <f t="shared" si="8"/>
        <v/>
      </c>
      <c r="O206"/>
      <c r="P206"/>
      <c r="Q206"/>
      <c r="R206"/>
      <c r="S206"/>
      <c r="T206"/>
      <c r="AZ206" s="196"/>
      <c r="BA206" s="196"/>
      <c r="BB206" s="196"/>
      <c r="BC206" s="196"/>
      <c r="BD206" s="196"/>
      <c r="BE206" s="196"/>
      <c r="BF206" s="196"/>
      <c r="BG206" s="196"/>
      <c r="BH206" s="196"/>
      <c r="BI206" s="196"/>
      <c r="BJ206" s="196"/>
      <c r="BK206" s="196"/>
    </row>
    <row r="207" spans="1:63" ht="15" customHeight="1" x14ac:dyDescent="0.2">
      <c r="A207"/>
      <c r="B207" s="1798"/>
      <c r="C207" s="1799"/>
      <c r="D207" s="1800"/>
      <c r="E207" s="1801"/>
      <c r="F207" s="1802"/>
      <c r="G207" s="1803"/>
      <c r="H207" s="1803"/>
      <c r="I207" s="1803"/>
      <c r="J207" s="1803"/>
      <c r="K207" s="1803"/>
      <c r="L207" s="1804"/>
      <c r="M207" s="897" t="str">
        <f t="shared" si="7"/>
        <v/>
      </c>
      <c r="N207" s="898" t="str">
        <f t="shared" si="8"/>
        <v/>
      </c>
      <c r="O207"/>
      <c r="P207"/>
      <c r="Q207"/>
      <c r="R207"/>
      <c r="S207"/>
      <c r="T207"/>
      <c r="AZ207" s="196"/>
      <c r="BA207" s="196"/>
      <c r="BB207" s="196"/>
      <c r="BC207" s="196"/>
      <c r="BD207" s="196"/>
      <c r="BE207" s="196"/>
      <c r="BF207" s="196"/>
      <c r="BG207" s="196"/>
      <c r="BH207" s="196"/>
      <c r="BI207" s="196"/>
      <c r="BJ207" s="196"/>
      <c r="BK207" s="196"/>
    </row>
    <row r="208" spans="1:63" ht="15" customHeight="1" x14ac:dyDescent="0.2">
      <c r="A208"/>
      <c r="B208" s="1798"/>
      <c r="C208" s="1799"/>
      <c r="D208" s="1800"/>
      <c r="E208" s="1801"/>
      <c r="F208" s="1802"/>
      <c r="G208" s="1803"/>
      <c r="H208" s="1803"/>
      <c r="I208" s="1803"/>
      <c r="J208" s="1803"/>
      <c r="K208" s="1803"/>
      <c r="L208" s="1804"/>
      <c r="M208" s="897" t="str">
        <f t="shared" si="7"/>
        <v/>
      </c>
      <c r="N208" s="898" t="str">
        <f t="shared" si="8"/>
        <v/>
      </c>
      <c r="O208"/>
      <c r="P208"/>
      <c r="Q208"/>
      <c r="R208"/>
      <c r="S208"/>
      <c r="T208"/>
      <c r="AZ208" s="196"/>
      <c r="BA208" s="196"/>
      <c r="BB208" s="196"/>
      <c r="BC208" s="196"/>
      <c r="BD208" s="196"/>
      <c r="BE208" s="196"/>
      <c r="BF208" s="196"/>
      <c r="BG208" s="196"/>
      <c r="BH208" s="196"/>
      <c r="BI208" s="196"/>
      <c r="BJ208" s="196"/>
      <c r="BK208" s="196"/>
    </row>
    <row r="209" spans="1:63" ht="15" customHeight="1" x14ac:dyDescent="0.2">
      <c r="A209"/>
      <c r="B209" s="1798"/>
      <c r="C209" s="1799"/>
      <c r="D209" s="1800"/>
      <c r="E209" s="1801"/>
      <c r="F209" s="1802"/>
      <c r="G209" s="1803"/>
      <c r="H209" s="1803"/>
      <c r="I209" s="1803"/>
      <c r="J209" s="1803"/>
      <c r="K209" s="1803"/>
      <c r="L209" s="1804"/>
      <c r="M209" s="897" t="str">
        <f t="shared" si="7"/>
        <v/>
      </c>
      <c r="N209" s="898" t="str">
        <f t="shared" si="8"/>
        <v/>
      </c>
      <c r="O209"/>
      <c r="P209"/>
      <c r="Q209"/>
      <c r="R209"/>
      <c r="S209"/>
      <c r="T209"/>
      <c r="AZ209" s="196"/>
      <c r="BA209" s="196"/>
      <c r="BB209" s="196"/>
      <c r="BC209" s="196"/>
      <c r="BD209" s="196"/>
      <c r="BE209" s="196"/>
      <c r="BF209" s="196"/>
      <c r="BG209" s="196"/>
      <c r="BH209" s="196"/>
      <c r="BI209" s="196"/>
      <c r="BJ209" s="196"/>
      <c r="BK209" s="196"/>
    </row>
    <row r="210" spans="1:63" ht="15" customHeight="1" x14ac:dyDescent="0.2">
      <c r="A210"/>
      <c r="B210" s="1798"/>
      <c r="C210" s="1799"/>
      <c r="D210" s="1800"/>
      <c r="E210" s="1801"/>
      <c r="F210" s="1802"/>
      <c r="G210" s="1803"/>
      <c r="H210" s="1803"/>
      <c r="I210" s="1803"/>
      <c r="J210" s="1803"/>
      <c r="K210" s="1803"/>
      <c r="L210" s="1804"/>
      <c r="M210" s="897" t="str">
        <f t="shared" si="7"/>
        <v/>
      </c>
      <c r="N210" s="898" t="str">
        <f t="shared" si="8"/>
        <v/>
      </c>
      <c r="O210"/>
      <c r="P210"/>
      <c r="Q210"/>
      <c r="R210"/>
      <c r="S210"/>
      <c r="T210"/>
      <c r="AZ210" s="196"/>
      <c r="BA210" s="196"/>
      <c r="BB210" s="196"/>
      <c r="BC210" s="196"/>
      <c r="BD210" s="196"/>
      <c r="BE210" s="196"/>
      <c r="BF210" s="196"/>
      <c r="BG210" s="196"/>
      <c r="BH210" s="196"/>
      <c r="BI210" s="196"/>
      <c r="BJ210" s="196"/>
      <c r="BK210" s="196"/>
    </row>
    <row r="211" spans="1:63" ht="15" customHeight="1" x14ac:dyDescent="0.2">
      <c r="A211"/>
      <c r="B211" s="1798"/>
      <c r="C211" s="1799"/>
      <c r="D211" s="1800"/>
      <c r="E211" s="1801"/>
      <c r="F211" s="1802"/>
      <c r="G211" s="1803"/>
      <c r="H211" s="1803"/>
      <c r="I211" s="1803"/>
      <c r="J211" s="1803"/>
      <c r="K211" s="1803"/>
      <c r="L211" s="1804"/>
      <c r="M211" s="897" t="str">
        <f t="shared" si="7"/>
        <v/>
      </c>
      <c r="N211" s="898" t="str">
        <f t="shared" si="8"/>
        <v/>
      </c>
      <c r="O211"/>
      <c r="P211"/>
      <c r="Q211"/>
      <c r="R211"/>
      <c r="S211"/>
      <c r="T211"/>
      <c r="AZ211" s="196"/>
      <c r="BA211" s="196"/>
      <c r="BB211" s="196"/>
      <c r="BC211" s="196"/>
      <c r="BD211" s="196"/>
      <c r="BE211" s="196"/>
      <c r="BF211" s="196"/>
      <c r="BG211" s="196"/>
      <c r="BH211" s="196"/>
      <c r="BI211" s="196"/>
      <c r="BJ211" s="196"/>
      <c r="BK211" s="196"/>
    </row>
    <row r="212" spans="1:63" ht="15" customHeight="1" x14ac:dyDescent="0.2">
      <c r="A212"/>
      <c r="B212" s="1798"/>
      <c r="C212" s="1799"/>
      <c r="D212" s="1800"/>
      <c r="E212" s="1801"/>
      <c r="F212" s="1802"/>
      <c r="G212" s="1803"/>
      <c r="H212" s="1803"/>
      <c r="I212" s="1803"/>
      <c r="J212" s="1803"/>
      <c r="K212" s="1803"/>
      <c r="L212" s="1804"/>
      <c r="M212" s="897" t="str">
        <f t="shared" si="7"/>
        <v/>
      </c>
      <c r="N212" s="898" t="str">
        <f t="shared" si="8"/>
        <v/>
      </c>
      <c r="O212"/>
      <c r="P212"/>
      <c r="Q212"/>
      <c r="R212"/>
      <c r="S212"/>
      <c r="T212"/>
      <c r="AZ212" s="196"/>
      <c r="BA212" s="196"/>
      <c r="BB212" s="196"/>
      <c r="BC212" s="196"/>
      <c r="BD212" s="196"/>
      <c r="BE212" s="196"/>
      <c r="BF212" s="196"/>
      <c r="BG212" s="196"/>
      <c r="BH212" s="196"/>
      <c r="BI212" s="196"/>
      <c r="BJ212" s="196"/>
      <c r="BK212" s="196"/>
    </row>
    <row r="213" spans="1:63" ht="15" customHeight="1" x14ac:dyDescent="0.2">
      <c r="A213"/>
      <c r="B213" s="1798"/>
      <c r="C213" s="1799"/>
      <c r="D213" s="1800"/>
      <c r="E213" s="1801"/>
      <c r="F213" s="1802"/>
      <c r="G213" s="1803"/>
      <c r="H213" s="1803"/>
      <c r="I213" s="1803"/>
      <c r="J213" s="1803"/>
      <c r="K213" s="1803"/>
      <c r="L213" s="1804"/>
      <c r="M213" s="897" t="str">
        <f t="shared" si="7"/>
        <v/>
      </c>
      <c r="N213" s="898" t="str">
        <f t="shared" si="8"/>
        <v/>
      </c>
      <c r="O213"/>
      <c r="P213"/>
      <c r="Q213"/>
      <c r="R213"/>
      <c r="S213"/>
      <c r="T213"/>
      <c r="AZ213" s="196"/>
      <c r="BA213" s="196"/>
      <c r="BB213" s="196"/>
      <c r="BC213" s="196"/>
      <c r="BD213" s="196"/>
      <c r="BE213" s="196"/>
      <c r="BF213" s="196"/>
      <c r="BG213" s="196"/>
      <c r="BH213" s="196"/>
      <c r="BI213" s="196"/>
      <c r="BJ213" s="196"/>
      <c r="BK213" s="196"/>
    </row>
    <row r="214" spans="1:63" ht="15" customHeight="1" x14ac:dyDescent="0.2">
      <c r="A214"/>
      <c r="B214" s="1798"/>
      <c r="C214" s="1799"/>
      <c r="D214" s="1800"/>
      <c r="E214" s="1801"/>
      <c r="F214" s="1802"/>
      <c r="G214" s="1803"/>
      <c r="H214" s="1803"/>
      <c r="I214" s="1803"/>
      <c r="J214" s="1803"/>
      <c r="K214" s="1803"/>
      <c r="L214" s="1804"/>
      <c r="M214" s="897" t="str">
        <f t="shared" si="7"/>
        <v/>
      </c>
      <c r="N214" s="898" t="str">
        <f t="shared" si="8"/>
        <v/>
      </c>
      <c r="O214"/>
      <c r="P214"/>
      <c r="Q214"/>
      <c r="R214"/>
      <c r="S214"/>
      <c r="T214"/>
      <c r="AZ214" s="196"/>
      <c r="BA214" s="196"/>
      <c r="BB214" s="196"/>
      <c r="BC214" s="196"/>
      <c r="BD214" s="196"/>
      <c r="BE214" s="196"/>
      <c r="BF214" s="196"/>
      <c r="BG214" s="196"/>
      <c r="BH214" s="196"/>
      <c r="BI214" s="196"/>
      <c r="BJ214" s="196"/>
      <c r="BK214" s="196"/>
    </row>
    <row r="215" spans="1:63" ht="15" customHeight="1" x14ac:dyDescent="0.2">
      <c r="A215"/>
      <c r="B215" s="1798"/>
      <c r="C215" s="1799"/>
      <c r="D215" s="1800"/>
      <c r="E215" s="1801"/>
      <c r="F215" s="1802"/>
      <c r="G215" s="1803"/>
      <c r="H215" s="1803"/>
      <c r="I215" s="1803"/>
      <c r="J215" s="1803"/>
      <c r="K215" s="1803"/>
      <c r="L215" s="1804"/>
      <c r="M215" s="897" t="str">
        <f t="shared" si="7"/>
        <v/>
      </c>
      <c r="N215" s="898" t="str">
        <f t="shared" si="8"/>
        <v/>
      </c>
      <c r="O215"/>
      <c r="P215"/>
      <c r="Q215"/>
      <c r="R215"/>
      <c r="S215"/>
      <c r="T215"/>
      <c r="AZ215" s="196"/>
      <c r="BA215" s="196"/>
      <c r="BB215" s="196"/>
      <c r="BC215" s="196"/>
      <c r="BD215" s="196"/>
      <c r="BE215" s="196"/>
      <c r="BF215" s="196"/>
      <c r="BG215" s="196"/>
      <c r="BH215" s="196"/>
      <c r="BI215" s="196"/>
      <c r="BJ215" s="196"/>
      <c r="BK215" s="196"/>
    </row>
    <row r="216" spans="1:63" ht="15" customHeight="1" x14ac:dyDescent="0.2">
      <c r="A216"/>
      <c r="B216" s="1798"/>
      <c r="C216" s="1799"/>
      <c r="D216" s="1800"/>
      <c r="E216" s="1801"/>
      <c r="F216" s="1802"/>
      <c r="G216" s="1803"/>
      <c r="H216" s="1803"/>
      <c r="I216" s="1803"/>
      <c r="J216" s="1803"/>
      <c r="K216" s="1803"/>
      <c r="L216" s="1804"/>
      <c r="M216" s="897" t="str">
        <f t="shared" si="7"/>
        <v/>
      </c>
      <c r="N216" s="898" t="str">
        <f t="shared" si="8"/>
        <v/>
      </c>
      <c r="O216"/>
      <c r="P216"/>
      <c r="Q216"/>
      <c r="R216"/>
      <c r="S216"/>
      <c r="T216"/>
      <c r="AZ216" s="196"/>
      <c r="BA216" s="196"/>
      <c r="BB216" s="196"/>
      <c r="BC216" s="196"/>
      <c r="BD216" s="196"/>
      <c r="BE216" s="196"/>
      <c r="BF216" s="196"/>
      <c r="BG216" s="196"/>
      <c r="BH216" s="196"/>
      <c r="BI216" s="196"/>
      <c r="BJ216" s="196"/>
      <c r="BK216" s="196"/>
    </row>
    <row r="217" spans="1:63" ht="15" customHeight="1" x14ac:dyDescent="0.2">
      <c r="A217"/>
      <c r="B217" s="1798"/>
      <c r="C217" s="1799"/>
      <c r="D217" s="1800"/>
      <c r="E217" s="1801"/>
      <c r="F217" s="1802"/>
      <c r="G217" s="1803"/>
      <c r="H217" s="1803"/>
      <c r="I217" s="1803"/>
      <c r="J217" s="1803"/>
      <c r="K217" s="1803"/>
      <c r="L217" s="1804"/>
      <c r="M217" s="897" t="str">
        <f t="shared" si="7"/>
        <v/>
      </c>
      <c r="N217" s="898" t="str">
        <f t="shared" si="8"/>
        <v/>
      </c>
      <c r="O217"/>
      <c r="P217"/>
      <c r="Q217"/>
      <c r="R217"/>
      <c r="S217"/>
      <c r="T217"/>
      <c r="AZ217" s="196"/>
      <c r="BA217" s="196"/>
      <c r="BB217" s="196"/>
      <c r="BC217" s="196"/>
      <c r="BD217" s="196"/>
      <c r="BE217" s="196"/>
      <c r="BF217" s="196"/>
      <c r="BG217" s="196"/>
      <c r="BH217" s="196"/>
      <c r="BI217" s="196"/>
      <c r="BJ217" s="196"/>
      <c r="BK217" s="196"/>
    </row>
    <row r="218" spans="1:63" ht="15" customHeight="1" x14ac:dyDescent="0.2">
      <c r="A218"/>
      <c r="B218" s="1798"/>
      <c r="C218" s="1799"/>
      <c r="D218" s="1800"/>
      <c r="E218" s="1801"/>
      <c r="F218" s="1802"/>
      <c r="G218" s="1803"/>
      <c r="H218" s="1803"/>
      <c r="I218" s="1803"/>
      <c r="J218" s="1803"/>
      <c r="K218" s="1803"/>
      <c r="L218" s="1804"/>
      <c r="M218" s="897" t="str">
        <f t="shared" si="7"/>
        <v/>
      </c>
      <c r="N218" s="898" t="str">
        <f t="shared" si="8"/>
        <v/>
      </c>
      <c r="O218"/>
      <c r="P218"/>
      <c r="Q218"/>
      <c r="R218"/>
      <c r="S218"/>
      <c r="T218"/>
      <c r="AZ218" s="196"/>
      <c r="BA218" s="196"/>
      <c r="BB218" s="196"/>
      <c r="BC218" s="196"/>
      <c r="BD218" s="196"/>
      <c r="BE218" s="196"/>
      <c r="BF218" s="196"/>
      <c r="BG218" s="196"/>
      <c r="BH218" s="196"/>
      <c r="BI218" s="196"/>
      <c r="BJ218" s="196"/>
      <c r="BK218" s="196"/>
    </row>
    <row r="219" spans="1:63" ht="15" customHeight="1" x14ac:dyDescent="0.2">
      <c r="A219"/>
      <c r="B219" s="1798"/>
      <c r="C219" s="1799"/>
      <c r="D219" s="1800"/>
      <c r="E219" s="1801"/>
      <c r="F219" s="1802"/>
      <c r="G219" s="1803"/>
      <c r="H219" s="1803"/>
      <c r="I219" s="1803"/>
      <c r="J219" s="1803"/>
      <c r="K219" s="1803"/>
      <c r="L219" s="1804"/>
      <c r="M219" s="897" t="str">
        <f t="shared" si="7"/>
        <v/>
      </c>
      <c r="N219" s="898" t="str">
        <f t="shared" si="8"/>
        <v/>
      </c>
      <c r="O219"/>
      <c r="P219"/>
      <c r="Q219"/>
      <c r="R219"/>
      <c r="S219"/>
      <c r="T219"/>
      <c r="AZ219" s="196"/>
      <c r="BA219" s="196"/>
      <c r="BB219" s="196"/>
      <c r="BC219" s="196"/>
      <c r="BD219" s="196"/>
      <c r="BE219" s="196"/>
      <c r="BF219" s="196"/>
      <c r="BG219" s="196"/>
      <c r="BH219" s="196"/>
      <c r="BI219" s="196"/>
      <c r="BJ219" s="196"/>
      <c r="BK219" s="196"/>
    </row>
    <row r="220" spans="1:63" ht="15" customHeight="1" x14ac:dyDescent="0.2">
      <c r="A220"/>
      <c r="B220" s="1798"/>
      <c r="C220" s="1799"/>
      <c r="D220" s="1800"/>
      <c r="E220" s="1801"/>
      <c r="F220" s="1802"/>
      <c r="G220" s="1803"/>
      <c r="H220" s="1803"/>
      <c r="I220" s="1803"/>
      <c r="J220" s="1803"/>
      <c r="K220" s="1803"/>
      <c r="L220" s="1804"/>
      <c r="M220" s="897" t="str">
        <f t="shared" si="7"/>
        <v/>
      </c>
      <c r="N220" s="898" t="str">
        <f t="shared" si="8"/>
        <v/>
      </c>
      <c r="O220"/>
      <c r="P220"/>
      <c r="Q220"/>
      <c r="R220"/>
      <c r="S220"/>
      <c r="T220"/>
      <c r="AZ220" s="196"/>
      <c r="BA220" s="196"/>
      <c r="BB220" s="196"/>
      <c r="BC220" s="196"/>
      <c r="BD220" s="196"/>
      <c r="BE220" s="196"/>
      <c r="BF220" s="196"/>
      <c r="BG220" s="196"/>
      <c r="BH220" s="196"/>
      <c r="BI220" s="196"/>
      <c r="BJ220" s="196"/>
      <c r="BK220" s="196"/>
    </row>
    <row r="221" spans="1:63" ht="15" customHeight="1" x14ac:dyDescent="0.2">
      <c r="A221"/>
      <c r="B221" s="1798"/>
      <c r="C221" s="1799"/>
      <c r="D221" s="1800"/>
      <c r="E221" s="1801"/>
      <c r="F221" s="1802"/>
      <c r="G221" s="1803"/>
      <c r="H221" s="1803"/>
      <c r="I221" s="1803"/>
      <c r="J221" s="1803"/>
      <c r="K221" s="1803"/>
      <c r="L221" s="1804"/>
      <c r="M221" s="897" t="str">
        <f t="shared" si="7"/>
        <v/>
      </c>
      <c r="N221" s="898" t="str">
        <f t="shared" si="8"/>
        <v/>
      </c>
      <c r="O221"/>
      <c r="P221"/>
      <c r="Q221"/>
      <c r="R221"/>
      <c r="S221"/>
      <c r="T221"/>
      <c r="AZ221" s="196"/>
      <c r="BA221" s="196"/>
      <c r="BB221" s="196"/>
      <c r="BC221" s="196"/>
      <c r="BD221" s="196"/>
      <c r="BE221" s="196"/>
      <c r="BF221" s="196"/>
      <c r="BG221" s="196"/>
      <c r="BH221" s="196"/>
      <c r="BI221" s="196"/>
      <c r="BJ221" s="196"/>
      <c r="BK221" s="196"/>
    </row>
    <row r="222" spans="1:63" ht="15" customHeight="1" x14ac:dyDescent="0.2">
      <c r="A222"/>
      <c r="B222" s="1798"/>
      <c r="C222" s="1799"/>
      <c r="D222" s="1800"/>
      <c r="E222" s="1801"/>
      <c r="F222" s="1802"/>
      <c r="G222" s="1803"/>
      <c r="H222" s="1803"/>
      <c r="I222" s="1803"/>
      <c r="J222" s="1803"/>
      <c r="K222" s="1803"/>
      <c r="L222" s="1804"/>
      <c r="M222" s="897" t="str">
        <f t="shared" si="7"/>
        <v/>
      </c>
      <c r="N222" s="898" t="str">
        <f t="shared" si="8"/>
        <v/>
      </c>
      <c r="O222"/>
      <c r="P222"/>
      <c r="Q222"/>
      <c r="R222"/>
      <c r="S222"/>
      <c r="T222"/>
      <c r="AZ222" s="196"/>
      <c r="BA222" s="196"/>
      <c r="BB222" s="196"/>
      <c r="BC222" s="196"/>
      <c r="BD222" s="196"/>
      <c r="BE222" s="196"/>
      <c r="BF222" s="196"/>
      <c r="BG222" s="196"/>
      <c r="BH222" s="196"/>
      <c r="BI222" s="196"/>
      <c r="BJ222" s="196"/>
      <c r="BK222" s="196"/>
    </row>
    <row r="223" spans="1:63" ht="15" customHeight="1" x14ac:dyDescent="0.2">
      <c r="A223"/>
      <c r="B223" s="1798"/>
      <c r="C223" s="1799"/>
      <c r="D223" s="1800"/>
      <c r="E223" s="1801"/>
      <c r="F223" s="1802"/>
      <c r="G223" s="1803"/>
      <c r="H223" s="1803"/>
      <c r="I223" s="1803"/>
      <c r="J223" s="1803"/>
      <c r="K223" s="1803"/>
      <c r="L223" s="1804"/>
      <c r="M223" s="897" t="str">
        <f t="shared" si="7"/>
        <v/>
      </c>
      <c r="N223" s="898" t="str">
        <f t="shared" si="8"/>
        <v/>
      </c>
      <c r="O223"/>
      <c r="P223"/>
      <c r="Q223"/>
      <c r="R223"/>
      <c r="S223"/>
      <c r="T223"/>
      <c r="AZ223" s="196"/>
      <c r="BA223" s="196"/>
      <c r="BB223" s="196"/>
      <c r="BC223" s="196"/>
      <c r="BD223" s="196"/>
      <c r="BE223" s="196"/>
      <c r="BF223" s="196"/>
      <c r="BG223" s="196"/>
      <c r="BH223" s="196"/>
      <c r="BI223" s="196"/>
      <c r="BJ223" s="196"/>
      <c r="BK223" s="196"/>
    </row>
    <row r="224" spans="1:63" ht="15" customHeight="1" x14ac:dyDescent="0.2">
      <c r="A224"/>
      <c r="B224" s="1798"/>
      <c r="C224" s="1799"/>
      <c r="D224" s="1800"/>
      <c r="E224" s="1801"/>
      <c r="F224" s="1802"/>
      <c r="G224" s="1803"/>
      <c r="H224" s="1803"/>
      <c r="I224" s="1803"/>
      <c r="J224" s="1803"/>
      <c r="K224" s="1803"/>
      <c r="L224" s="1804"/>
      <c r="M224" s="897" t="str">
        <f t="shared" si="7"/>
        <v/>
      </c>
      <c r="N224" s="898" t="str">
        <f t="shared" si="8"/>
        <v/>
      </c>
      <c r="O224"/>
      <c r="P224"/>
      <c r="Q224"/>
      <c r="R224"/>
      <c r="S224"/>
      <c r="T224"/>
      <c r="AZ224" s="196"/>
      <c r="BA224" s="196"/>
      <c r="BB224" s="196"/>
      <c r="BC224" s="196"/>
      <c r="BD224" s="196"/>
      <c r="BE224" s="196"/>
      <c r="BF224" s="196"/>
      <c r="BG224" s="196"/>
      <c r="BH224" s="196"/>
      <c r="BI224" s="196"/>
      <c r="BJ224" s="196"/>
      <c r="BK224" s="196"/>
    </row>
    <row r="225" spans="1:63" ht="15" customHeight="1" x14ac:dyDescent="0.2">
      <c r="A225"/>
      <c r="B225" s="1798"/>
      <c r="C225" s="1799"/>
      <c r="D225" s="1800"/>
      <c r="E225" s="1801"/>
      <c r="F225" s="1802"/>
      <c r="G225" s="1803"/>
      <c r="H225" s="1803"/>
      <c r="I225" s="1803"/>
      <c r="J225" s="1803"/>
      <c r="K225" s="1803"/>
      <c r="L225" s="1804"/>
      <c r="M225" s="897" t="str">
        <f t="shared" si="7"/>
        <v/>
      </c>
      <c r="N225" s="898" t="str">
        <f t="shared" si="8"/>
        <v/>
      </c>
      <c r="O225"/>
      <c r="P225"/>
      <c r="Q225"/>
      <c r="R225"/>
      <c r="S225"/>
      <c r="T225"/>
      <c r="AZ225" s="196"/>
      <c r="BA225" s="196"/>
      <c r="BB225" s="196"/>
      <c r="BC225" s="196"/>
      <c r="BD225" s="196"/>
      <c r="BE225" s="196"/>
      <c r="BF225" s="196"/>
      <c r="BG225" s="196"/>
      <c r="BH225" s="196"/>
      <c r="BI225" s="196"/>
      <c r="BJ225" s="196"/>
      <c r="BK225" s="196"/>
    </row>
    <row r="226" spans="1:63" ht="15" customHeight="1" x14ac:dyDescent="0.2">
      <c r="A226"/>
      <c r="B226" s="1798"/>
      <c r="C226" s="1799"/>
      <c r="D226" s="1800"/>
      <c r="E226" s="1801"/>
      <c r="F226" s="1802"/>
      <c r="G226" s="1803"/>
      <c r="H226" s="1803"/>
      <c r="I226" s="1803"/>
      <c r="J226" s="1803"/>
      <c r="K226" s="1803"/>
      <c r="L226" s="1804"/>
      <c r="M226" s="897" t="str">
        <f t="shared" si="7"/>
        <v/>
      </c>
      <c r="N226" s="898" t="str">
        <f t="shared" si="8"/>
        <v/>
      </c>
      <c r="O226"/>
      <c r="P226"/>
      <c r="Q226"/>
      <c r="R226"/>
      <c r="S226"/>
      <c r="T226"/>
      <c r="AZ226" s="196"/>
      <c r="BA226" s="196"/>
      <c r="BB226" s="196"/>
      <c r="BC226" s="196"/>
      <c r="BD226" s="196"/>
      <c r="BE226" s="196"/>
      <c r="BF226" s="196"/>
      <c r="BG226" s="196"/>
      <c r="BH226" s="196"/>
      <c r="BI226" s="196"/>
      <c r="BJ226" s="196"/>
      <c r="BK226" s="196"/>
    </row>
    <row r="227" spans="1:63" ht="15" customHeight="1" x14ac:dyDescent="0.2">
      <c r="A227"/>
      <c r="B227" s="1798"/>
      <c r="C227" s="1799"/>
      <c r="D227" s="1800"/>
      <c r="E227" s="1801"/>
      <c r="F227" s="1802"/>
      <c r="G227" s="1803"/>
      <c r="H227" s="1803"/>
      <c r="I227" s="1803"/>
      <c r="J227" s="1803"/>
      <c r="K227" s="1803"/>
      <c r="L227" s="1804"/>
      <c r="M227" s="897" t="str">
        <f t="shared" si="7"/>
        <v/>
      </c>
      <c r="N227" s="898" t="str">
        <f t="shared" si="8"/>
        <v/>
      </c>
      <c r="O227"/>
      <c r="P227"/>
      <c r="Q227"/>
      <c r="R227"/>
      <c r="S227"/>
      <c r="T227"/>
      <c r="AZ227" s="196"/>
      <c r="BA227" s="196"/>
      <c r="BB227" s="196"/>
      <c r="BC227" s="196"/>
      <c r="BD227" s="196"/>
      <c r="BE227" s="196"/>
      <c r="BF227" s="196"/>
      <c r="BG227" s="196"/>
      <c r="BH227" s="196"/>
      <c r="BI227" s="196"/>
      <c r="BJ227" s="196"/>
      <c r="BK227" s="196"/>
    </row>
    <row r="228" spans="1:63" ht="15" customHeight="1" x14ac:dyDescent="0.2">
      <c r="A228"/>
      <c r="B228" s="1798"/>
      <c r="C228" s="1799"/>
      <c r="D228" s="1800"/>
      <c r="E228" s="1801"/>
      <c r="F228" s="1802"/>
      <c r="G228" s="1803"/>
      <c r="H228" s="1803"/>
      <c r="I228" s="1803"/>
      <c r="J228" s="1803"/>
      <c r="K228" s="1803"/>
      <c r="L228" s="1804"/>
      <c r="M228" s="897" t="str">
        <f t="shared" si="7"/>
        <v/>
      </c>
      <c r="N228" s="898" t="str">
        <f t="shared" si="8"/>
        <v/>
      </c>
      <c r="O228"/>
      <c r="P228"/>
      <c r="Q228"/>
      <c r="R228"/>
      <c r="S228"/>
      <c r="T228"/>
      <c r="AZ228" s="196"/>
      <c r="BA228" s="196"/>
      <c r="BB228" s="196"/>
      <c r="BC228" s="196"/>
      <c r="BD228" s="196"/>
      <c r="BE228" s="196"/>
      <c r="BF228" s="196"/>
      <c r="BG228" s="196"/>
      <c r="BH228" s="196"/>
      <c r="BI228" s="196"/>
      <c r="BJ228" s="196"/>
      <c r="BK228" s="196"/>
    </row>
    <row r="229" spans="1:63" ht="15" customHeight="1" x14ac:dyDescent="0.2">
      <c r="A229"/>
      <c r="B229" s="1798"/>
      <c r="C229" s="1799"/>
      <c r="D229" s="1800"/>
      <c r="E229" s="1801"/>
      <c r="F229" s="1802"/>
      <c r="G229" s="1803"/>
      <c r="H229" s="1803"/>
      <c r="I229" s="1803"/>
      <c r="J229" s="1803"/>
      <c r="K229" s="1803"/>
      <c r="L229" s="1804"/>
      <c r="M229" s="897" t="str">
        <f t="shared" si="7"/>
        <v/>
      </c>
      <c r="N229" s="898" t="str">
        <f t="shared" si="8"/>
        <v/>
      </c>
      <c r="O229"/>
      <c r="P229"/>
      <c r="Q229"/>
      <c r="R229"/>
      <c r="S229"/>
      <c r="T229"/>
      <c r="AZ229" s="196"/>
      <c r="BA229" s="196"/>
      <c r="BB229" s="196"/>
      <c r="BC229" s="196"/>
      <c r="BD229" s="196"/>
      <c r="BE229" s="196"/>
      <c r="BF229" s="196"/>
      <c r="BG229" s="196"/>
      <c r="BH229" s="196"/>
      <c r="BI229" s="196"/>
      <c r="BJ229" s="196"/>
      <c r="BK229" s="196"/>
    </row>
    <row r="230" spans="1:63" ht="15" customHeight="1" x14ac:dyDescent="0.2">
      <c r="A230"/>
      <c r="B230" s="1798"/>
      <c r="C230" s="1799"/>
      <c r="D230" s="1800"/>
      <c r="E230" s="1801"/>
      <c r="F230" s="1802"/>
      <c r="G230" s="1803"/>
      <c r="H230" s="1803"/>
      <c r="I230" s="1803"/>
      <c r="J230" s="1803"/>
      <c r="K230" s="1803"/>
      <c r="L230" s="1804"/>
      <c r="M230" s="897" t="str">
        <f t="shared" si="7"/>
        <v/>
      </c>
      <c r="N230" s="898" t="str">
        <f t="shared" si="8"/>
        <v/>
      </c>
      <c r="O230"/>
      <c r="P230"/>
      <c r="Q230"/>
      <c r="R230"/>
      <c r="S230"/>
      <c r="T230"/>
      <c r="AZ230" s="196"/>
      <c r="BA230" s="196"/>
      <c r="BB230" s="196"/>
      <c r="BC230" s="196"/>
      <c r="BD230" s="196"/>
      <c r="BE230" s="196"/>
      <c r="BF230" s="196"/>
      <c r="BG230" s="196"/>
      <c r="BH230" s="196"/>
      <c r="BI230" s="196"/>
      <c r="BJ230" s="196"/>
      <c r="BK230" s="196"/>
    </row>
    <row r="231" spans="1:63" ht="15" customHeight="1" x14ac:dyDescent="0.2">
      <c r="A231"/>
      <c r="B231" s="1798"/>
      <c r="C231" s="1799"/>
      <c r="D231" s="1800"/>
      <c r="E231" s="1801"/>
      <c r="F231" s="1802"/>
      <c r="G231" s="1803"/>
      <c r="H231" s="1803"/>
      <c r="I231" s="1803"/>
      <c r="J231" s="1803"/>
      <c r="K231" s="1803"/>
      <c r="L231" s="1804"/>
      <c r="M231" s="897" t="str">
        <f t="shared" ref="M231:M294" si="9">UPPER(C231)</f>
        <v/>
      </c>
      <c r="N231" s="898" t="str">
        <f t="shared" si="8"/>
        <v/>
      </c>
      <c r="O231"/>
      <c r="P231"/>
      <c r="Q231"/>
      <c r="R231"/>
      <c r="S231"/>
      <c r="T231"/>
      <c r="AZ231" s="196"/>
      <c r="BA231" s="196"/>
      <c r="BB231" s="196"/>
      <c r="BC231" s="196"/>
      <c r="BD231" s="196"/>
      <c r="BE231" s="196"/>
      <c r="BF231" s="196"/>
      <c r="BG231" s="196"/>
      <c r="BH231" s="196"/>
      <c r="BI231" s="196"/>
      <c r="BJ231" s="196"/>
      <c r="BK231" s="196"/>
    </row>
    <row r="232" spans="1:63" ht="15" customHeight="1" x14ac:dyDescent="0.2">
      <c r="A232"/>
      <c r="B232" s="1798"/>
      <c r="C232" s="1799"/>
      <c r="D232" s="1800"/>
      <c r="E232" s="1801"/>
      <c r="F232" s="1802"/>
      <c r="G232" s="1803"/>
      <c r="H232" s="1803"/>
      <c r="I232" s="1803"/>
      <c r="J232" s="1803"/>
      <c r="K232" s="1803"/>
      <c r="L232" s="1804"/>
      <c r="M232" s="897" t="str">
        <f t="shared" si="9"/>
        <v/>
      </c>
      <c r="N232" s="898" t="str">
        <f t="shared" si="8"/>
        <v/>
      </c>
      <c r="O232"/>
      <c r="P232"/>
      <c r="Q232"/>
      <c r="R232"/>
      <c r="S232"/>
      <c r="T232"/>
      <c r="AZ232" s="196"/>
      <c r="BA232" s="196"/>
      <c r="BB232" s="196"/>
      <c r="BC232" s="196"/>
      <c r="BD232" s="196"/>
      <c r="BE232" s="196"/>
      <c r="BF232" s="196"/>
      <c r="BG232" s="196"/>
      <c r="BH232" s="196"/>
      <c r="BI232" s="196"/>
      <c r="BJ232" s="196"/>
      <c r="BK232" s="196"/>
    </row>
    <row r="233" spans="1:63" ht="15" customHeight="1" x14ac:dyDescent="0.2">
      <c r="A233"/>
      <c r="B233" s="1798"/>
      <c r="C233" s="1799"/>
      <c r="D233" s="1800"/>
      <c r="E233" s="1801"/>
      <c r="F233" s="1802"/>
      <c r="G233" s="1803"/>
      <c r="H233" s="1803"/>
      <c r="I233" s="1803"/>
      <c r="J233" s="1803"/>
      <c r="K233" s="1803"/>
      <c r="L233" s="1804"/>
      <c r="M233" s="897" t="str">
        <f t="shared" si="9"/>
        <v/>
      </c>
      <c r="N233" s="898" t="str">
        <f t="shared" si="8"/>
        <v/>
      </c>
      <c r="O233"/>
      <c r="P233"/>
      <c r="Q233"/>
      <c r="R233"/>
      <c r="S233"/>
      <c r="T233"/>
      <c r="AZ233" s="196"/>
      <c r="BA233" s="196"/>
      <c r="BB233" s="196"/>
      <c r="BC233" s="196"/>
      <c r="BD233" s="196"/>
      <c r="BE233" s="196"/>
      <c r="BF233" s="196"/>
      <c r="BG233" s="196"/>
      <c r="BH233" s="196"/>
      <c r="BI233" s="196"/>
      <c r="BJ233" s="196"/>
      <c r="BK233" s="196"/>
    </row>
    <row r="234" spans="1:63" ht="15" customHeight="1" x14ac:dyDescent="0.2">
      <c r="A234"/>
      <c r="B234" s="1798"/>
      <c r="C234" s="1799"/>
      <c r="D234" s="1800"/>
      <c r="E234" s="1801"/>
      <c r="F234" s="1802"/>
      <c r="G234" s="1803"/>
      <c r="H234" s="1803"/>
      <c r="I234" s="1803"/>
      <c r="J234" s="1803"/>
      <c r="K234" s="1803"/>
      <c r="L234" s="1804"/>
      <c r="M234" s="897" t="str">
        <f t="shared" si="9"/>
        <v/>
      </c>
      <c r="N234" s="898" t="str">
        <f t="shared" si="8"/>
        <v/>
      </c>
      <c r="O234"/>
      <c r="P234"/>
      <c r="Q234"/>
      <c r="R234"/>
      <c r="S234"/>
      <c r="T234"/>
      <c r="AZ234" s="196"/>
      <c r="BA234" s="196"/>
      <c r="BB234" s="196"/>
      <c r="BC234" s="196"/>
      <c r="BD234" s="196"/>
      <c r="BE234" s="196"/>
      <c r="BF234" s="196"/>
      <c r="BG234" s="196"/>
      <c r="BH234" s="196"/>
      <c r="BI234" s="196"/>
      <c r="BJ234" s="196"/>
      <c r="BK234" s="196"/>
    </row>
    <row r="235" spans="1:63" ht="15" customHeight="1" x14ac:dyDescent="0.2">
      <c r="A235"/>
      <c r="B235" s="1798"/>
      <c r="C235" s="1799"/>
      <c r="D235" s="1800"/>
      <c r="E235" s="1801"/>
      <c r="F235" s="1802"/>
      <c r="G235" s="1803"/>
      <c r="H235" s="1803"/>
      <c r="I235" s="1803"/>
      <c r="J235" s="1803"/>
      <c r="K235" s="1803"/>
      <c r="L235" s="1804"/>
      <c r="M235" s="897" t="str">
        <f t="shared" si="9"/>
        <v/>
      </c>
      <c r="N235" s="898" t="str">
        <f t="shared" si="8"/>
        <v/>
      </c>
      <c r="O235"/>
      <c r="P235"/>
      <c r="Q235"/>
      <c r="R235"/>
      <c r="S235"/>
      <c r="T235"/>
      <c r="AZ235" s="196"/>
      <c r="BA235" s="196"/>
      <c r="BB235" s="196"/>
      <c r="BC235" s="196"/>
      <c r="BD235" s="196"/>
      <c r="BE235" s="196"/>
      <c r="BF235" s="196"/>
      <c r="BG235" s="196"/>
      <c r="BH235" s="196"/>
      <c r="BI235" s="196"/>
      <c r="BJ235" s="196"/>
      <c r="BK235" s="196"/>
    </row>
    <row r="236" spans="1:63" ht="15" customHeight="1" x14ac:dyDescent="0.2">
      <c r="A236"/>
      <c r="B236" s="1798"/>
      <c r="C236" s="1799"/>
      <c r="D236" s="1800"/>
      <c r="E236" s="1801"/>
      <c r="F236" s="1802"/>
      <c r="G236" s="1803"/>
      <c r="H236" s="1803"/>
      <c r="I236" s="1803"/>
      <c r="J236" s="1803"/>
      <c r="K236" s="1803"/>
      <c r="L236" s="1804"/>
      <c r="M236" s="897" t="str">
        <f t="shared" si="9"/>
        <v/>
      </c>
      <c r="N236" s="898" t="str">
        <f t="shared" si="8"/>
        <v/>
      </c>
      <c r="O236"/>
      <c r="P236"/>
      <c r="Q236"/>
      <c r="R236"/>
      <c r="S236"/>
      <c r="T236"/>
      <c r="AZ236" s="196"/>
      <c r="BA236" s="196"/>
      <c r="BB236" s="196"/>
      <c r="BC236" s="196"/>
      <c r="BD236" s="196"/>
      <c r="BE236" s="196"/>
      <c r="BF236" s="196"/>
      <c r="BG236" s="196"/>
      <c r="BH236" s="196"/>
      <c r="BI236" s="196"/>
      <c r="BJ236" s="196"/>
      <c r="BK236" s="196"/>
    </row>
    <row r="237" spans="1:63" ht="15" customHeight="1" x14ac:dyDescent="0.2">
      <c r="A237"/>
      <c r="B237" s="1798"/>
      <c r="C237" s="1799"/>
      <c r="D237" s="1800"/>
      <c r="E237" s="1801"/>
      <c r="F237" s="1802"/>
      <c r="G237" s="1803"/>
      <c r="H237" s="1803"/>
      <c r="I237" s="1803"/>
      <c r="J237" s="1803"/>
      <c r="K237" s="1803"/>
      <c r="L237" s="1804"/>
      <c r="M237" s="897" t="str">
        <f t="shared" si="9"/>
        <v/>
      </c>
      <c r="N237" s="898" t="str">
        <f t="shared" si="8"/>
        <v/>
      </c>
      <c r="O237"/>
      <c r="P237"/>
      <c r="Q237"/>
      <c r="R237"/>
      <c r="S237"/>
      <c r="T237"/>
      <c r="AZ237" s="196"/>
      <c r="BA237" s="196"/>
      <c r="BB237" s="196"/>
      <c r="BC237" s="196"/>
      <c r="BD237" s="196"/>
      <c r="BE237" s="196"/>
      <c r="BF237" s="196"/>
      <c r="BG237" s="196"/>
      <c r="BH237" s="196"/>
      <c r="BI237" s="196"/>
      <c r="BJ237" s="196"/>
      <c r="BK237" s="196"/>
    </row>
    <row r="238" spans="1:63" ht="15" customHeight="1" x14ac:dyDescent="0.2">
      <c r="A238"/>
      <c r="B238" s="1798"/>
      <c r="C238" s="1799"/>
      <c r="D238" s="1800"/>
      <c r="E238" s="1801"/>
      <c r="F238" s="1802"/>
      <c r="G238" s="1803"/>
      <c r="H238" s="1803"/>
      <c r="I238" s="1803"/>
      <c r="J238" s="1803"/>
      <c r="K238" s="1803"/>
      <c r="L238" s="1804"/>
      <c r="M238" s="897" t="str">
        <f t="shared" si="9"/>
        <v/>
      </c>
      <c r="N238" s="898" t="str">
        <f t="shared" si="8"/>
        <v/>
      </c>
      <c r="O238"/>
      <c r="P238"/>
      <c r="Q238"/>
      <c r="R238"/>
      <c r="S238"/>
      <c r="T238"/>
      <c r="AZ238" s="196"/>
      <c r="BA238" s="196"/>
      <c r="BB238" s="196"/>
      <c r="BC238" s="196"/>
      <c r="BD238" s="196"/>
      <c r="BE238" s="196"/>
      <c r="BF238" s="196"/>
      <c r="BG238" s="196"/>
      <c r="BH238" s="196"/>
      <c r="BI238" s="196"/>
      <c r="BJ238" s="196"/>
      <c r="BK238" s="196"/>
    </row>
    <row r="239" spans="1:63" ht="15" customHeight="1" x14ac:dyDescent="0.2">
      <c r="A239"/>
      <c r="B239" s="1798"/>
      <c r="C239" s="1799"/>
      <c r="D239" s="1800"/>
      <c r="E239" s="1801"/>
      <c r="F239" s="1802"/>
      <c r="G239" s="1803"/>
      <c r="H239" s="1803"/>
      <c r="I239" s="1803"/>
      <c r="J239" s="1803"/>
      <c r="K239" s="1803"/>
      <c r="L239" s="1804"/>
      <c r="M239" s="897" t="str">
        <f t="shared" si="9"/>
        <v/>
      </c>
      <c r="N239" s="898" t="str">
        <f t="shared" si="8"/>
        <v/>
      </c>
      <c r="O239"/>
      <c r="P239"/>
      <c r="Q239"/>
      <c r="R239"/>
      <c r="S239"/>
      <c r="T239"/>
      <c r="AZ239" s="196"/>
      <c r="BA239" s="196"/>
      <c r="BB239" s="196"/>
      <c r="BC239" s="196"/>
      <c r="BD239" s="196"/>
      <c r="BE239" s="196"/>
      <c r="BF239" s="196"/>
      <c r="BG239" s="196"/>
      <c r="BH239" s="196"/>
      <c r="BI239" s="196"/>
      <c r="BJ239" s="196"/>
      <c r="BK239" s="196"/>
    </row>
    <row r="240" spans="1:63" ht="15" customHeight="1" x14ac:dyDescent="0.2">
      <c r="A240"/>
      <c r="B240" s="1798"/>
      <c r="C240" s="1799"/>
      <c r="D240" s="1800"/>
      <c r="E240" s="1801"/>
      <c r="F240" s="1802"/>
      <c r="G240" s="1803"/>
      <c r="H240" s="1803"/>
      <c r="I240" s="1803"/>
      <c r="J240" s="1803"/>
      <c r="K240" s="1803"/>
      <c r="L240" s="1804"/>
      <c r="M240" s="897" t="str">
        <f t="shared" si="9"/>
        <v/>
      </c>
      <c r="N240" s="898" t="str">
        <f t="shared" si="8"/>
        <v/>
      </c>
      <c r="O240"/>
      <c r="P240"/>
      <c r="Q240"/>
      <c r="R240"/>
      <c r="S240"/>
      <c r="T240"/>
      <c r="AZ240" s="196"/>
      <c r="BA240" s="196"/>
      <c r="BB240" s="196"/>
      <c r="BC240" s="196"/>
      <c r="BD240" s="196"/>
      <c r="BE240" s="196"/>
      <c r="BF240" s="196"/>
      <c r="BG240" s="196"/>
      <c r="BH240" s="196"/>
      <c r="BI240" s="196"/>
      <c r="BJ240" s="196"/>
      <c r="BK240" s="196"/>
    </row>
    <row r="241" spans="1:63" ht="15" customHeight="1" x14ac:dyDescent="0.2">
      <c r="A241"/>
      <c r="B241" s="1798"/>
      <c r="C241" s="1799"/>
      <c r="D241" s="1800"/>
      <c r="E241" s="1801"/>
      <c r="F241" s="1802"/>
      <c r="G241" s="1803"/>
      <c r="H241" s="1803"/>
      <c r="I241" s="1803"/>
      <c r="J241" s="1803"/>
      <c r="K241" s="1803"/>
      <c r="L241" s="1804"/>
      <c r="M241" s="897" t="str">
        <f t="shared" si="9"/>
        <v/>
      </c>
      <c r="N241" s="898" t="str">
        <f t="shared" si="8"/>
        <v/>
      </c>
      <c r="O241"/>
      <c r="P241"/>
      <c r="Q241"/>
      <c r="R241"/>
      <c r="S241"/>
      <c r="T241"/>
      <c r="AZ241" s="196"/>
      <c r="BA241" s="196"/>
      <c r="BB241" s="196"/>
      <c r="BC241" s="196"/>
      <c r="BD241" s="196"/>
      <c r="BE241" s="196"/>
      <c r="BF241" s="196"/>
      <c r="BG241" s="196"/>
      <c r="BH241" s="196"/>
      <c r="BI241" s="196"/>
      <c r="BJ241" s="196"/>
      <c r="BK241" s="196"/>
    </row>
    <row r="242" spans="1:63" ht="15" customHeight="1" x14ac:dyDescent="0.2">
      <c r="A242"/>
      <c r="B242" s="1798"/>
      <c r="C242" s="1799"/>
      <c r="D242" s="1800"/>
      <c r="E242" s="1801"/>
      <c r="F242" s="1802"/>
      <c r="G242" s="1803"/>
      <c r="H242" s="1803"/>
      <c r="I242" s="1803"/>
      <c r="J242" s="1803"/>
      <c r="K242" s="1803"/>
      <c r="L242" s="1804"/>
      <c r="M242" s="897" t="str">
        <f t="shared" si="9"/>
        <v/>
      </c>
      <c r="N242" s="898" t="str">
        <f t="shared" si="8"/>
        <v/>
      </c>
      <c r="O242"/>
      <c r="P242"/>
      <c r="Q242"/>
      <c r="R242"/>
      <c r="S242"/>
      <c r="T242"/>
      <c r="AZ242" s="196"/>
      <c r="BA242" s="196"/>
      <c r="BB242" s="196"/>
      <c r="BC242" s="196"/>
      <c r="BD242" s="196"/>
      <c r="BE242" s="196"/>
      <c r="BF242" s="196"/>
      <c r="BG242" s="196"/>
      <c r="BH242" s="196"/>
      <c r="BI242" s="196"/>
      <c r="BJ242" s="196"/>
      <c r="BK242" s="196"/>
    </row>
    <row r="243" spans="1:63" ht="15" customHeight="1" x14ac:dyDescent="0.2">
      <c r="A243"/>
      <c r="B243" s="1798"/>
      <c r="C243" s="1799"/>
      <c r="D243" s="1800"/>
      <c r="E243" s="1801"/>
      <c r="F243" s="1802"/>
      <c r="G243" s="1803"/>
      <c r="H243" s="1803"/>
      <c r="I243" s="1803"/>
      <c r="J243" s="1803"/>
      <c r="K243" s="1803"/>
      <c r="L243" s="1804"/>
      <c r="M243" s="897" t="str">
        <f t="shared" si="9"/>
        <v/>
      </c>
      <c r="N243" s="898" t="str">
        <f t="shared" si="8"/>
        <v/>
      </c>
      <c r="O243"/>
      <c r="P243"/>
      <c r="Q243"/>
      <c r="R243"/>
      <c r="S243"/>
      <c r="T243"/>
      <c r="AZ243" s="196"/>
      <c r="BA243" s="196"/>
      <c r="BB243" s="196"/>
      <c r="BC243" s="196"/>
      <c r="BD243" s="196"/>
      <c r="BE243" s="196"/>
      <c r="BF243" s="196"/>
      <c r="BG243" s="196"/>
      <c r="BH243" s="196"/>
      <c r="BI243" s="196"/>
      <c r="BJ243" s="196"/>
      <c r="BK243" s="196"/>
    </row>
    <row r="244" spans="1:63" ht="15" customHeight="1" x14ac:dyDescent="0.2">
      <c r="A244"/>
      <c r="B244" s="1798"/>
      <c r="C244" s="1799"/>
      <c r="D244" s="1800"/>
      <c r="E244" s="1801"/>
      <c r="F244" s="1802"/>
      <c r="G244" s="1803"/>
      <c r="H244" s="1803"/>
      <c r="I244" s="1803"/>
      <c r="J244" s="1803"/>
      <c r="K244" s="1803"/>
      <c r="L244" s="1804"/>
      <c r="M244" s="897" t="str">
        <f t="shared" si="9"/>
        <v/>
      </c>
      <c r="N244" s="898" t="str">
        <f t="shared" si="8"/>
        <v/>
      </c>
      <c r="O244"/>
      <c r="P244"/>
      <c r="Q244"/>
      <c r="R244"/>
      <c r="S244"/>
      <c r="T244"/>
      <c r="AZ244" s="196"/>
      <c r="BA244" s="196"/>
      <c r="BB244" s="196"/>
      <c r="BC244" s="196"/>
      <c r="BD244" s="196"/>
      <c r="BE244" s="196"/>
      <c r="BF244" s="196"/>
      <c r="BG244" s="196"/>
      <c r="BH244" s="196"/>
      <c r="BI244" s="196"/>
      <c r="BJ244" s="196"/>
      <c r="BK244" s="196"/>
    </row>
    <row r="245" spans="1:63" ht="15" customHeight="1" x14ac:dyDescent="0.2">
      <c r="A245"/>
      <c r="B245" s="1798"/>
      <c r="C245" s="1799"/>
      <c r="D245" s="1800"/>
      <c r="E245" s="1801"/>
      <c r="F245" s="1802"/>
      <c r="G245" s="1803"/>
      <c r="H245" s="1803"/>
      <c r="I245" s="1803"/>
      <c r="J245" s="1803"/>
      <c r="K245" s="1803"/>
      <c r="L245" s="1804"/>
      <c r="M245" s="897" t="str">
        <f t="shared" si="9"/>
        <v/>
      </c>
      <c r="N245" s="898" t="str">
        <f t="shared" si="8"/>
        <v/>
      </c>
      <c r="O245"/>
      <c r="P245"/>
      <c r="Q245"/>
      <c r="R245"/>
      <c r="S245"/>
      <c r="T245"/>
      <c r="AZ245" s="196"/>
      <c r="BA245" s="196"/>
      <c r="BB245" s="196"/>
      <c r="BC245" s="196"/>
      <c r="BD245" s="196"/>
      <c r="BE245" s="196"/>
      <c r="BF245" s="196"/>
      <c r="BG245" s="196"/>
      <c r="BH245" s="196"/>
      <c r="BI245" s="196"/>
      <c r="BJ245" s="196"/>
      <c r="BK245" s="196"/>
    </row>
    <row r="246" spans="1:63" ht="15" customHeight="1" x14ac:dyDescent="0.2">
      <c r="A246"/>
      <c r="B246" s="1798"/>
      <c r="C246" s="1799"/>
      <c r="D246" s="1800"/>
      <c r="E246" s="1801"/>
      <c r="F246" s="1802"/>
      <c r="G246" s="1803"/>
      <c r="H246" s="1803"/>
      <c r="I246" s="1803"/>
      <c r="J246" s="1803"/>
      <c r="K246" s="1803"/>
      <c r="L246" s="1804"/>
      <c r="M246" s="897" t="str">
        <f t="shared" si="9"/>
        <v/>
      </c>
      <c r="N246" s="898" t="str">
        <f t="shared" si="8"/>
        <v/>
      </c>
      <c r="O246"/>
      <c r="P246"/>
      <c r="Q246"/>
      <c r="R246"/>
      <c r="S246"/>
      <c r="T246"/>
      <c r="AZ246" s="196"/>
      <c r="BA246" s="196"/>
      <c r="BB246" s="196"/>
      <c r="BC246" s="196"/>
      <c r="BD246" s="196"/>
      <c r="BE246" s="196"/>
      <c r="BF246" s="196"/>
      <c r="BG246" s="196"/>
      <c r="BH246" s="196"/>
      <c r="BI246" s="196"/>
      <c r="BJ246" s="196"/>
      <c r="BK246" s="196"/>
    </row>
    <row r="247" spans="1:63" ht="15" customHeight="1" x14ac:dyDescent="0.2">
      <c r="A247"/>
      <c r="B247" s="1798"/>
      <c r="C247" s="1799"/>
      <c r="D247" s="1800"/>
      <c r="E247" s="1801"/>
      <c r="F247" s="1802"/>
      <c r="G247" s="1803"/>
      <c r="H247" s="1803"/>
      <c r="I247" s="1803"/>
      <c r="J247" s="1803"/>
      <c r="K247" s="1803"/>
      <c r="L247" s="1804"/>
      <c r="M247" s="897" t="str">
        <f t="shared" si="9"/>
        <v/>
      </c>
      <c r="N247" s="898" t="str">
        <f t="shared" si="8"/>
        <v/>
      </c>
      <c r="O247"/>
      <c r="P247"/>
      <c r="Q247"/>
      <c r="R247"/>
      <c r="S247"/>
      <c r="T247"/>
      <c r="AZ247" s="196"/>
      <c r="BA247" s="196"/>
      <c r="BB247" s="196"/>
      <c r="BC247" s="196"/>
      <c r="BD247" s="196"/>
      <c r="BE247" s="196"/>
      <c r="BF247" s="196"/>
      <c r="BG247" s="196"/>
      <c r="BH247" s="196"/>
      <c r="BI247" s="196"/>
      <c r="BJ247" s="196"/>
      <c r="BK247" s="196"/>
    </row>
    <row r="248" spans="1:63" ht="15" customHeight="1" x14ac:dyDescent="0.2">
      <c r="A248"/>
      <c r="B248" s="1798"/>
      <c r="C248" s="1799"/>
      <c r="D248" s="1800"/>
      <c r="E248" s="1801"/>
      <c r="F248" s="1802"/>
      <c r="G248" s="1803"/>
      <c r="H248" s="1803"/>
      <c r="I248" s="1803"/>
      <c r="J248" s="1803"/>
      <c r="K248" s="1803"/>
      <c r="L248" s="1804"/>
      <c r="M248" s="897" t="str">
        <f t="shared" si="9"/>
        <v/>
      </c>
      <c r="N248" s="898" t="str">
        <f t="shared" si="8"/>
        <v/>
      </c>
      <c r="O248"/>
      <c r="P248"/>
      <c r="Q248"/>
      <c r="R248"/>
      <c r="S248"/>
      <c r="T248"/>
      <c r="AZ248" s="196"/>
      <c r="BA248" s="196"/>
      <c r="BB248" s="196"/>
      <c r="BC248" s="196"/>
      <c r="BD248" s="196"/>
      <c r="BE248" s="196"/>
      <c r="BF248" s="196"/>
      <c r="BG248" s="196"/>
      <c r="BH248" s="196"/>
      <c r="BI248" s="196"/>
      <c r="BJ248" s="196"/>
      <c r="BK248" s="196"/>
    </row>
    <row r="249" spans="1:63" ht="15" customHeight="1" x14ac:dyDescent="0.2">
      <c r="A249"/>
      <c r="B249" s="1798"/>
      <c r="C249" s="1799"/>
      <c r="D249" s="1800"/>
      <c r="E249" s="1801"/>
      <c r="F249" s="1802"/>
      <c r="G249" s="1803"/>
      <c r="H249" s="1803"/>
      <c r="I249" s="1803"/>
      <c r="J249" s="1803"/>
      <c r="K249" s="1803"/>
      <c r="L249" s="1804"/>
      <c r="M249" s="897" t="str">
        <f t="shared" si="9"/>
        <v/>
      </c>
      <c r="N249" s="898" t="str">
        <f t="shared" si="8"/>
        <v/>
      </c>
      <c r="O249"/>
      <c r="P249"/>
      <c r="Q249"/>
      <c r="R249"/>
      <c r="S249"/>
      <c r="T249"/>
      <c r="AZ249" s="196"/>
      <c r="BA249" s="196"/>
      <c r="BB249" s="196"/>
      <c r="BC249" s="196"/>
      <c r="BD249" s="196"/>
      <c r="BE249" s="196"/>
      <c r="BF249" s="196"/>
      <c r="BG249" s="196"/>
      <c r="BH249" s="196"/>
      <c r="BI249" s="196"/>
      <c r="BJ249" s="196"/>
      <c r="BK249" s="196"/>
    </row>
    <row r="250" spans="1:63" ht="15" customHeight="1" x14ac:dyDescent="0.2">
      <c r="A250"/>
      <c r="B250" s="1798"/>
      <c r="C250" s="1799"/>
      <c r="D250" s="1800"/>
      <c r="E250" s="1801"/>
      <c r="F250" s="1802"/>
      <c r="G250" s="1803"/>
      <c r="H250" s="1803"/>
      <c r="I250" s="1803"/>
      <c r="J250" s="1803"/>
      <c r="K250" s="1803"/>
      <c r="L250" s="1804"/>
      <c r="M250" s="897" t="str">
        <f t="shared" si="9"/>
        <v/>
      </c>
      <c r="N250" s="898" t="str">
        <f t="shared" si="8"/>
        <v/>
      </c>
      <c r="O250"/>
      <c r="P250"/>
      <c r="Q250"/>
      <c r="R250"/>
      <c r="S250"/>
      <c r="T250"/>
      <c r="AZ250" s="196"/>
      <c r="BA250" s="196"/>
      <c r="BB250" s="196"/>
      <c r="BC250" s="196"/>
      <c r="BD250" s="196"/>
      <c r="BE250" s="196"/>
      <c r="BF250" s="196"/>
      <c r="BG250" s="196"/>
      <c r="BH250" s="196"/>
      <c r="BI250" s="196"/>
      <c r="BJ250" s="196"/>
      <c r="BK250" s="196"/>
    </row>
    <row r="251" spans="1:63" ht="15" customHeight="1" x14ac:dyDescent="0.2">
      <c r="A251"/>
      <c r="B251" s="1798"/>
      <c r="C251" s="1799"/>
      <c r="D251" s="1800"/>
      <c r="E251" s="1801"/>
      <c r="F251" s="1802"/>
      <c r="G251" s="1803"/>
      <c r="H251" s="1803"/>
      <c r="I251" s="1803"/>
      <c r="J251" s="1803"/>
      <c r="K251" s="1803"/>
      <c r="L251" s="1804"/>
      <c r="M251" s="897" t="str">
        <f t="shared" si="9"/>
        <v/>
      </c>
      <c r="N251" s="898" t="str">
        <f t="shared" si="8"/>
        <v/>
      </c>
      <c r="O251"/>
      <c r="P251"/>
      <c r="Q251"/>
      <c r="R251"/>
      <c r="S251"/>
      <c r="T251"/>
      <c r="AZ251" s="196"/>
      <c r="BA251" s="196"/>
      <c r="BB251" s="196"/>
      <c r="BC251" s="196"/>
      <c r="BD251" s="196"/>
      <c r="BE251" s="196"/>
      <c r="BF251" s="196"/>
      <c r="BG251" s="196"/>
      <c r="BH251" s="196"/>
      <c r="BI251" s="196"/>
      <c r="BJ251" s="196"/>
      <c r="BK251" s="196"/>
    </row>
    <row r="252" spans="1:63" ht="15" customHeight="1" x14ac:dyDescent="0.2">
      <c r="A252"/>
      <c r="B252" s="1798"/>
      <c r="C252" s="1799"/>
      <c r="D252" s="1800"/>
      <c r="E252" s="1801"/>
      <c r="F252" s="1802"/>
      <c r="G252" s="1803"/>
      <c r="H252" s="1803"/>
      <c r="I252" s="1803"/>
      <c r="J252" s="1803"/>
      <c r="K252" s="1803"/>
      <c r="L252" s="1804"/>
      <c r="M252" s="897" t="str">
        <f t="shared" si="9"/>
        <v/>
      </c>
      <c r="N252" s="898" t="str">
        <f t="shared" si="8"/>
        <v/>
      </c>
      <c r="O252"/>
      <c r="P252"/>
      <c r="Q252"/>
      <c r="R252"/>
      <c r="S252"/>
      <c r="T252"/>
      <c r="AZ252" s="196"/>
      <c r="BA252" s="196"/>
      <c r="BB252" s="196"/>
      <c r="BC252" s="196"/>
      <c r="BD252" s="196"/>
      <c r="BE252" s="196"/>
      <c r="BF252" s="196"/>
      <c r="BG252" s="196"/>
      <c r="BH252" s="196"/>
      <c r="BI252" s="196"/>
      <c r="BJ252" s="196"/>
      <c r="BK252" s="196"/>
    </row>
    <row r="253" spans="1:63" ht="15" customHeight="1" x14ac:dyDescent="0.2">
      <c r="A253"/>
      <c r="B253" s="1798"/>
      <c r="C253" s="1799"/>
      <c r="D253" s="1800"/>
      <c r="E253" s="1801"/>
      <c r="F253" s="1802"/>
      <c r="G253" s="1803"/>
      <c r="H253" s="1803"/>
      <c r="I253" s="1803"/>
      <c r="J253" s="1803"/>
      <c r="K253" s="1803"/>
      <c r="L253" s="1804"/>
      <c r="M253" s="897" t="str">
        <f t="shared" si="9"/>
        <v/>
      </c>
      <c r="N253" s="898" t="str">
        <f t="shared" si="8"/>
        <v/>
      </c>
      <c r="O253"/>
      <c r="P253"/>
      <c r="Q253"/>
      <c r="R253"/>
      <c r="S253"/>
      <c r="T253"/>
      <c r="AZ253" s="196"/>
      <c r="BA253" s="196"/>
      <c r="BB253" s="196"/>
      <c r="BC253" s="196"/>
      <c r="BD253" s="196"/>
      <c r="BE253" s="196"/>
      <c r="BF253" s="196"/>
      <c r="BG253" s="196"/>
      <c r="BH253" s="196"/>
      <c r="BI253" s="196"/>
      <c r="BJ253" s="196"/>
      <c r="BK253" s="196"/>
    </row>
    <row r="254" spans="1:63" ht="15" customHeight="1" x14ac:dyDescent="0.2">
      <c r="A254"/>
      <c r="B254" s="1798"/>
      <c r="C254" s="1799"/>
      <c r="D254" s="1800"/>
      <c r="E254" s="1801"/>
      <c r="F254" s="1802"/>
      <c r="G254" s="1803"/>
      <c r="H254" s="1803"/>
      <c r="I254" s="1803"/>
      <c r="J254" s="1803"/>
      <c r="K254" s="1803"/>
      <c r="L254" s="1804"/>
      <c r="M254" s="897" t="str">
        <f t="shared" si="9"/>
        <v/>
      </c>
      <c r="N254" s="898" t="str">
        <f t="shared" si="8"/>
        <v/>
      </c>
      <c r="O254"/>
      <c r="P254"/>
      <c r="Q254"/>
      <c r="R254"/>
      <c r="S254"/>
      <c r="T254"/>
      <c r="AZ254" s="196"/>
      <c r="BA254" s="196"/>
      <c r="BB254" s="196"/>
      <c r="BC254" s="196"/>
      <c r="BD254" s="196"/>
      <c r="BE254" s="196"/>
      <c r="BF254" s="196"/>
      <c r="BG254" s="196"/>
      <c r="BH254" s="196"/>
      <c r="BI254" s="196"/>
      <c r="BJ254" s="196"/>
      <c r="BK254" s="196"/>
    </row>
    <row r="255" spans="1:63" ht="15" customHeight="1" x14ac:dyDescent="0.2">
      <c r="A255"/>
      <c r="B255" s="1798"/>
      <c r="C255" s="1799"/>
      <c r="D255" s="1800"/>
      <c r="E255" s="1801"/>
      <c r="F255" s="1802"/>
      <c r="G255" s="1803"/>
      <c r="H255" s="1803"/>
      <c r="I255" s="1803"/>
      <c r="J255" s="1803"/>
      <c r="K255" s="1803"/>
      <c r="L255" s="1804"/>
      <c r="M255" s="897" t="str">
        <f t="shared" si="9"/>
        <v/>
      </c>
      <c r="N255" s="898" t="str">
        <f t="shared" si="8"/>
        <v/>
      </c>
      <c r="O255"/>
      <c r="P255"/>
      <c r="Q255"/>
      <c r="R255"/>
      <c r="S255"/>
      <c r="T255"/>
      <c r="AZ255" s="196"/>
      <c r="BA255" s="196"/>
      <c r="BB255" s="196"/>
      <c r="BC255" s="196"/>
      <c r="BD255" s="196"/>
      <c r="BE255" s="196"/>
      <c r="BF255" s="196"/>
      <c r="BG255" s="196"/>
      <c r="BH255" s="196"/>
      <c r="BI255" s="196"/>
      <c r="BJ255" s="196"/>
      <c r="BK255" s="196"/>
    </row>
    <row r="256" spans="1:63" ht="15" customHeight="1" x14ac:dyDescent="0.2">
      <c r="A256"/>
      <c r="B256" s="1798"/>
      <c r="C256" s="1799"/>
      <c r="D256" s="1800"/>
      <c r="E256" s="1801"/>
      <c r="F256" s="1802"/>
      <c r="G256" s="1803"/>
      <c r="H256" s="1803"/>
      <c r="I256" s="1803"/>
      <c r="J256" s="1803"/>
      <c r="K256" s="1803"/>
      <c r="L256" s="1804"/>
      <c r="M256" s="897" t="str">
        <f t="shared" si="9"/>
        <v/>
      </c>
      <c r="N256" s="898" t="str">
        <f t="shared" si="8"/>
        <v/>
      </c>
      <c r="O256"/>
      <c r="P256"/>
      <c r="Q256"/>
      <c r="R256"/>
      <c r="S256"/>
      <c r="T256"/>
      <c r="AZ256" s="196"/>
      <c r="BA256" s="196"/>
      <c r="BB256" s="196"/>
      <c r="BC256" s="196"/>
      <c r="BD256" s="196"/>
      <c r="BE256" s="196"/>
      <c r="BF256" s="196"/>
      <c r="BG256" s="196"/>
      <c r="BH256" s="196"/>
      <c r="BI256" s="196"/>
      <c r="BJ256" s="196"/>
      <c r="BK256" s="196"/>
    </row>
    <row r="257" spans="1:63" ht="15" customHeight="1" x14ac:dyDescent="0.2">
      <c r="A257"/>
      <c r="B257" s="1798"/>
      <c r="C257" s="1799"/>
      <c r="D257" s="1800"/>
      <c r="E257" s="1801"/>
      <c r="F257" s="1802"/>
      <c r="G257" s="1803"/>
      <c r="H257" s="1803"/>
      <c r="I257" s="1803"/>
      <c r="J257" s="1803"/>
      <c r="K257" s="1803"/>
      <c r="L257" s="1804"/>
      <c r="M257" s="897" t="str">
        <f t="shared" si="9"/>
        <v/>
      </c>
      <c r="N257" s="898" t="str">
        <f t="shared" si="8"/>
        <v/>
      </c>
      <c r="O257"/>
      <c r="P257"/>
      <c r="Q257"/>
      <c r="R257"/>
      <c r="S257"/>
      <c r="T257"/>
      <c r="AZ257" s="196"/>
      <c r="BA257" s="196"/>
      <c r="BB257" s="196"/>
      <c r="BC257" s="196"/>
      <c r="BD257" s="196"/>
      <c r="BE257" s="196"/>
      <c r="BF257" s="196"/>
      <c r="BG257" s="196"/>
      <c r="BH257" s="196"/>
      <c r="BI257" s="196"/>
      <c r="BJ257" s="196"/>
      <c r="BK257" s="196"/>
    </row>
    <row r="258" spans="1:63" ht="15" customHeight="1" x14ac:dyDescent="0.2">
      <c r="A258"/>
      <c r="B258" s="1798"/>
      <c r="C258" s="1799"/>
      <c r="D258" s="1800"/>
      <c r="E258" s="1801"/>
      <c r="F258" s="1802"/>
      <c r="G258" s="1803"/>
      <c r="H258" s="1803"/>
      <c r="I258" s="1803"/>
      <c r="J258" s="1803"/>
      <c r="K258" s="1803"/>
      <c r="L258" s="1804"/>
      <c r="M258" s="897" t="str">
        <f t="shared" si="9"/>
        <v/>
      </c>
      <c r="N258" s="898" t="str">
        <f t="shared" si="8"/>
        <v/>
      </c>
      <c r="O258"/>
      <c r="P258"/>
      <c r="Q258"/>
      <c r="R258"/>
      <c r="S258"/>
      <c r="T258"/>
      <c r="AZ258" s="196"/>
      <c r="BA258" s="196"/>
      <c r="BB258" s="196"/>
      <c r="BC258" s="196"/>
      <c r="BD258" s="196"/>
      <c r="BE258" s="196"/>
      <c r="BF258" s="196"/>
      <c r="BG258" s="196"/>
      <c r="BH258" s="196"/>
      <c r="BI258" s="196"/>
      <c r="BJ258" s="196"/>
      <c r="BK258" s="196"/>
    </row>
    <row r="259" spans="1:63" ht="15" customHeight="1" x14ac:dyDescent="0.2">
      <c r="A259"/>
      <c r="B259" s="1798"/>
      <c r="C259" s="1799"/>
      <c r="D259" s="1800"/>
      <c r="E259" s="1801"/>
      <c r="F259" s="1802"/>
      <c r="G259" s="1803"/>
      <c r="H259" s="1803"/>
      <c r="I259" s="1803"/>
      <c r="J259" s="1803"/>
      <c r="K259" s="1803"/>
      <c r="L259" s="1804"/>
      <c r="M259" s="897" t="str">
        <f t="shared" si="9"/>
        <v/>
      </c>
      <c r="N259" s="898" t="str">
        <f t="shared" si="8"/>
        <v/>
      </c>
      <c r="O259"/>
      <c r="P259"/>
      <c r="Q259"/>
      <c r="R259"/>
      <c r="S259"/>
      <c r="T259"/>
      <c r="AZ259" s="196"/>
      <c r="BA259" s="196"/>
      <c r="BB259" s="196"/>
      <c r="BC259" s="196"/>
      <c r="BD259" s="196"/>
      <c r="BE259" s="196"/>
      <c r="BF259" s="196"/>
      <c r="BG259" s="196"/>
      <c r="BH259" s="196"/>
      <c r="BI259" s="196"/>
      <c r="BJ259" s="196"/>
      <c r="BK259" s="196"/>
    </row>
    <row r="260" spans="1:63" ht="15" customHeight="1" x14ac:dyDescent="0.2">
      <c r="A260"/>
      <c r="B260" s="1798"/>
      <c r="C260" s="1799"/>
      <c r="D260" s="1800"/>
      <c r="E260" s="1801"/>
      <c r="F260" s="1802"/>
      <c r="G260" s="1803"/>
      <c r="H260" s="1803"/>
      <c r="I260" s="1803"/>
      <c r="J260" s="1803"/>
      <c r="K260" s="1803"/>
      <c r="L260" s="1804"/>
      <c r="M260" s="897" t="str">
        <f t="shared" si="9"/>
        <v/>
      </c>
      <c r="N260" s="898" t="str">
        <f t="shared" ref="N260:N323" si="10">IF(AND(ISBLANK(D260),ISBLANK(E260)),"",TRUNC(D260)*12+IF(OR(D260&lt;0,AND(D260=0,E260&lt;0)),-1*ABS(E260),ABS(E260)))</f>
        <v/>
      </c>
      <c r="O260"/>
      <c r="P260"/>
      <c r="Q260"/>
      <c r="R260"/>
      <c r="S260"/>
      <c r="T260"/>
      <c r="AZ260" s="196"/>
      <c r="BA260" s="196"/>
      <c r="BB260" s="196"/>
      <c r="BC260" s="196"/>
      <c r="BD260" s="196"/>
      <c r="BE260" s="196"/>
      <c r="BF260" s="196"/>
      <c r="BG260" s="196"/>
      <c r="BH260" s="196"/>
      <c r="BI260" s="196"/>
      <c r="BJ260" s="196"/>
      <c r="BK260" s="196"/>
    </row>
    <row r="261" spans="1:63" ht="15" customHeight="1" x14ac:dyDescent="0.2">
      <c r="A261"/>
      <c r="B261" s="1798"/>
      <c r="C261" s="1799"/>
      <c r="D261" s="1800"/>
      <c r="E261" s="1801"/>
      <c r="F261" s="1802"/>
      <c r="G261" s="1803"/>
      <c r="H261" s="1803"/>
      <c r="I261" s="1803"/>
      <c r="J261" s="1803"/>
      <c r="K261" s="1803"/>
      <c r="L261" s="1804"/>
      <c r="M261" s="897" t="str">
        <f t="shared" si="9"/>
        <v/>
      </c>
      <c r="N261" s="898" t="str">
        <f t="shared" si="10"/>
        <v/>
      </c>
      <c r="O261"/>
      <c r="P261"/>
      <c r="Q261"/>
      <c r="R261"/>
      <c r="S261"/>
      <c r="T261"/>
      <c r="AZ261" s="196"/>
      <c r="BA261" s="196"/>
      <c r="BB261" s="196"/>
      <c r="BC261" s="196"/>
      <c r="BD261" s="196"/>
      <c r="BE261" s="196"/>
      <c r="BF261" s="196"/>
      <c r="BG261" s="196"/>
      <c r="BH261" s="196"/>
      <c r="BI261" s="196"/>
      <c r="BJ261" s="196"/>
      <c r="BK261" s="196"/>
    </row>
    <row r="262" spans="1:63" ht="15" customHeight="1" x14ac:dyDescent="0.2">
      <c r="A262"/>
      <c r="B262" s="1798"/>
      <c r="C262" s="1799"/>
      <c r="D262" s="1800"/>
      <c r="E262" s="1801"/>
      <c r="F262" s="1802"/>
      <c r="G262" s="1803"/>
      <c r="H262" s="1803"/>
      <c r="I262" s="1803"/>
      <c r="J262" s="1803"/>
      <c r="K262" s="1803"/>
      <c r="L262" s="1804"/>
      <c r="M262" s="897" t="str">
        <f t="shared" si="9"/>
        <v/>
      </c>
      <c r="N262" s="898" t="str">
        <f t="shared" si="10"/>
        <v/>
      </c>
      <c r="O262"/>
      <c r="P262"/>
      <c r="Q262"/>
      <c r="R262"/>
      <c r="S262"/>
      <c r="T262"/>
      <c r="AZ262" s="196"/>
      <c r="BA262" s="196"/>
      <c r="BB262" s="196"/>
      <c r="BC262" s="196"/>
      <c r="BD262" s="196"/>
      <c r="BE262" s="196"/>
      <c r="BF262" s="196"/>
      <c r="BG262" s="196"/>
      <c r="BH262" s="196"/>
      <c r="BI262" s="196"/>
      <c r="BJ262" s="196"/>
      <c r="BK262" s="196"/>
    </row>
    <row r="263" spans="1:63" ht="15" customHeight="1" x14ac:dyDescent="0.2">
      <c r="A263"/>
      <c r="B263" s="1798"/>
      <c r="C263" s="1799"/>
      <c r="D263" s="1800"/>
      <c r="E263" s="1801"/>
      <c r="F263" s="1802"/>
      <c r="G263" s="1803"/>
      <c r="H263" s="1803"/>
      <c r="I263" s="1803"/>
      <c r="J263" s="1803"/>
      <c r="K263" s="1803"/>
      <c r="L263" s="1804"/>
      <c r="M263" s="897" t="str">
        <f t="shared" si="9"/>
        <v/>
      </c>
      <c r="N263" s="898" t="str">
        <f t="shared" si="10"/>
        <v/>
      </c>
      <c r="O263"/>
      <c r="P263"/>
      <c r="Q263"/>
      <c r="R263"/>
      <c r="S263"/>
      <c r="T263"/>
      <c r="AZ263" s="196"/>
      <c r="BA263" s="196"/>
      <c r="BB263" s="196"/>
      <c r="BC263" s="196"/>
      <c r="BD263" s="196"/>
      <c r="BE263" s="196"/>
      <c r="BF263" s="196"/>
      <c r="BG263" s="196"/>
      <c r="BH263" s="196"/>
      <c r="BI263" s="196"/>
      <c r="BJ263" s="196"/>
      <c r="BK263" s="196"/>
    </row>
    <row r="264" spans="1:63" ht="15" customHeight="1" x14ac:dyDescent="0.2">
      <c r="A264"/>
      <c r="B264" s="1798"/>
      <c r="C264" s="1799"/>
      <c r="D264" s="1800"/>
      <c r="E264" s="1801"/>
      <c r="F264" s="1802"/>
      <c r="G264" s="1803"/>
      <c r="H264" s="1803"/>
      <c r="I264" s="1803"/>
      <c r="J264" s="1803"/>
      <c r="K264" s="1803"/>
      <c r="L264" s="1804"/>
      <c r="M264" s="897" t="str">
        <f t="shared" si="9"/>
        <v/>
      </c>
      <c r="N264" s="898" t="str">
        <f t="shared" si="10"/>
        <v/>
      </c>
      <c r="O264"/>
      <c r="P264"/>
      <c r="Q264"/>
      <c r="R264"/>
      <c r="S264"/>
      <c r="T264"/>
      <c r="AZ264" s="196"/>
      <c r="BA264" s="196"/>
      <c r="BB264" s="196"/>
      <c r="BC264" s="196"/>
      <c r="BD264" s="196"/>
      <c r="BE264" s="196"/>
      <c r="BF264" s="196"/>
      <c r="BG264" s="196"/>
      <c r="BH264" s="196"/>
      <c r="BI264" s="196"/>
      <c r="BJ264" s="196"/>
      <c r="BK264" s="196"/>
    </row>
    <row r="265" spans="1:63" ht="15" customHeight="1" x14ac:dyDescent="0.2">
      <c r="A265"/>
      <c r="B265" s="1798"/>
      <c r="C265" s="1799"/>
      <c r="D265" s="1800"/>
      <c r="E265" s="1801"/>
      <c r="F265" s="1802"/>
      <c r="G265" s="1803"/>
      <c r="H265" s="1803"/>
      <c r="I265" s="1803"/>
      <c r="J265" s="1803"/>
      <c r="K265" s="1803"/>
      <c r="L265" s="1804"/>
      <c r="M265" s="897" t="str">
        <f t="shared" si="9"/>
        <v/>
      </c>
      <c r="N265" s="898" t="str">
        <f t="shared" si="10"/>
        <v/>
      </c>
      <c r="O265"/>
      <c r="P265"/>
      <c r="Q265"/>
      <c r="R265"/>
      <c r="S265"/>
      <c r="T265"/>
      <c r="AZ265" s="196"/>
      <c r="BA265" s="196"/>
      <c r="BB265" s="196"/>
      <c r="BC265" s="196"/>
      <c r="BD265" s="196"/>
      <c r="BE265" s="196"/>
      <c r="BF265" s="196"/>
      <c r="BG265" s="196"/>
      <c r="BH265" s="196"/>
      <c r="BI265" s="196"/>
      <c r="BJ265" s="196"/>
      <c r="BK265" s="196"/>
    </row>
    <row r="266" spans="1:63" ht="15" customHeight="1" x14ac:dyDescent="0.2">
      <c r="A266"/>
      <c r="B266" s="1798"/>
      <c r="C266" s="1799"/>
      <c r="D266" s="1800"/>
      <c r="E266" s="1801"/>
      <c r="F266" s="1802"/>
      <c r="G266" s="1803"/>
      <c r="H266" s="1803"/>
      <c r="I266" s="1803"/>
      <c r="J266" s="1803"/>
      <c r="K266" s="1803"/>
      <c r="L266" s="1804"/>
      <c r="M266" s="897" t="str">
        <f t="shared" si="9"/>
        <v/>
      </c>
      <c r="N266" s="898" t="str">
        <f t="shared" si="10"/>
        <v/>
      </c>
      <c r="O266"/>
      <c r="P266"/>
      <c r="Q266"/>
      <c r="R266"/>
      <c r="S266"/>
      <c r="T266"/>
      <c r="AZ266" s="196"/>
      <c r="BA266" s="196"/>
      <c r="BB266" s="196"/>
      <c r="BC266" s="196"/>
      <c r="BD266" s="196"/>
      <c r="BE266" s="196"/>
      <c r="BF266" s="196"/>
      <c r="BG266" s="196"/>
      <c r="BH266" s="196"/>
      <c r="BI266" s="196"/>
      <c r="BJ266" s="196"/>
      <c r="BK266" s="196"/>
    </row>
    <row r="267" spans="1:63" ht="15" customHeight="1" x14ac:dyDescent="0.2">
      <c r="A267"/>
      <c r="B267" s="1798"/>
      <c r="C267" s="1799"/>
      <c r="D267" s="1800"/>
      <c r="E267" s="1801"/>
      <c r="F267" s="1802"/>
      <c r="G267" s="1803"/>
      <c r="H267" s="1803"/>
      <c r="I267" s="1803"/>
      <c r="J267" s="1803"/>
      <c r="K267" s="1803"/>
      <c r="L267" s="1804"/>
      <c r="M267" s="897" t="str">
        <f t="shared" si="9"/>
        <v/>
      </c>
      <c r="N267" s="898" t="str">
        <f t="shared" si="10"/>
        <v/>
      </c>
      <c r="O267"/>
      <c r="P267"/>
      <c r="Q267"/>
      <c r="R267"/>
      <c r="S267"/>
      <c r="T267"/>
      <c r="AZ267" s="196"/>
      <c r="BA267" s="196"/>
      <c r="BB267" s="196"/>
      <c r="BC267" s="196"/>
      <c r="BD267" s="196"/>
      <c r="BE267" s="196"/>
      <c r="BF267" s="196"/>
      <c r="BG267" s="196"/>
      <c r="BH267" s="196"/>
      <c r="BI267" s="196"/>
      <c r="BJ267" s="196"/>
      <c r="BK267" s="196"/>
    </row>
    <row r="268" spans="1:63" ht="15" customHeight="1" x14ac:dyDescent="0.2">
      <c r="A268"/>
      <c r="B268" s="1798"/>
      <c r="C268" s="1799"/>
      <c r="D268" s="1800"/>
      <c r="E268" s="1801"/>
      <c r="F268" s="1802"/>
      <c r="G268" s="1803"/>
      <c r="H268" s="1803"/>
      <c r="I268" s="1803"/>
      <c r="J268" s="1803"/>
      <c r="K268" s="1803"/>
      <c r="L268" s="1804"/>
      <c r="M268" s="897" t="str">
        <f t="shared" si="9"/>
        <v/>
      </c>
      <c r="N268" s="898" t="str">
        <f t="shared" si="10"/>
        <v/>
      </c>
      <c r="O268"/>
      <c r="P268"/>
      <c r="Q268"/>
      <c r="R268"/>
      <c r="S268"/>
      <c r="T268"/>
      <c r="AZ268" s="196"/>
      <c r="BA268" s="196"/>
      <c r="BB268" s="196"/>
      <c r="BC268" s="196"/>
      <c r="BD268" s="196"/>
      <c r="BE268" s="196"/>
      <c r="BF268" s="196"/>
      <c r="BG268" s="196"/>
      <c r="BH268" s="196"/>
      <c r="BI268" s="196"/>
      <c r="BJ268" s="196"/>
      <c r="BK268" s="196"/>
    </row>
    <row r="269" spans="1:63" ht="15" customHeight="1" x14ac:dyDescent="0.2">
      <c r="A269"/>
      <c r="B269" s="1798"/>
      <c r="C269" s="1799"/>
      <c r="D269" s="1800"/>
      <c r="E269" s="1801"/>
      <c r="F269" s="1802"/>
      <c r="G269" s="1803"/>
      <c r="H269" s="1803"/>
      <c r="I269" s="1803"/>
      <c r="J269" s="1803"/>
      <c r="K269" s="1803"/>
      <c r="L269" s="1804"/>
      <c r="M269" s="897" t="str">
        <f t="shared" si="9"/>
        <v/>
      </c>
      <c r="N269" s="898" t="str">
        <f t="shared" si="10"/>
        <v/>
      </c>
      <c r="O269"/>
      <c r="P269"/>
      <c r="Q269"/>
      <c r="R269"/>
      <c r="S269"/>
      <c r="T269"/>
      <c r="AZ269" s="196"/>
      <c r="BA269" s="196"/>
      <c r="BB269" s="196"/>
      <c r="BC269" s="196"/>
      <c r="BD269" s="196"/>
      <c r="BE269" s="196"/>
      <c r="BF269" s="196"/>
      <c r="BG269" s="196"/>
      <c r="BH269" s="196"/>
      <c r="BI269" s="196"/>
      <c r="BJ269" s="196"/>
      <c r="BK269" s="196"/>
    </row>
    <row r="270" spans="1:63" ht="15" customHeight="1" x14ac:dyDescent="0.2">
      <c r="A270"/>
      <c r="B270" s="1798"/>
      <c r="C270" s="1799"/>
      <c r="D270" s="1800"/>
      <c r="E270" s="1801"/>
      <c r="F270" s="1802"/>
      <c r="G270" s="1803"/>
      <c r="H270" s="1803"/>
      <c r="I270" s="1803"/>
      <c r="J270" s="1803"/>
      <c r="K270" s="1803"/>
      <c r="L270" s="1804"/>
      <c r="M270" s="897" t="str">
        <f t="shared" si="9"/>
        <v/>
      </c>
      <c r="N270" s="898" t="str">
        <f t="shared" si="10"/>
        <v/>
      </c>
      <c r="O270"/>
      <c r="P270"/>
      <c r="Q270"/>
      <c r="R270"/>
      <c r="S270"/>
      <c r="T270"/>
      <c r="AZ270" s="196"/>
      <c r="BA270" s="196"/>
      <c r="BB270" s="196"/>
      <c r="BC270" s="196"/>
      <c r="BD270" s="196"/>
      <c r="BE270" s="196"/>
      <c r="BF270" s="196"/>
      <c r="BG270" s="196"/>
      <c r="BH270" s="196"/>
      <c r="BI270" s="196"/>
      <c r="BJ270" s="196"/>
      <c r="BK270" s="196"/>
    </row>
    <row r="271" spans="1:63" ht="15" customHeight="1" x14ac:dyDescent="0.2">
      <c r="A271"/>
      <c r="B271" s="1798"/>
      <c r="C271" s="1799"/>
      <c r="D271" s="1800"/>
      <c r="E271" s="1801"/>
      <c r="F271" s="1802"/>
      <c r="G271" s="1803"/>
      <c r="H271" s="1803"/>
      <c r="I271" s="1803"/>
      <c r="J271" s="1803"/>
      <c r="K271" s="1803"/>
      <c r="L271" s="1804"/>
      <c r="M271" s="897" t="str">
        <f t="shared" si="9"/>
        <v/>
      </c>
      <c r="N271" s="898" t="str">
        <f t="shared" si="10"/>
        <v/>
      </c>
      <c r="O271"/>
      <c r="P271"/>
      <c r="Q271"/>
      <c r="R271"/>
      <c r="S271"/>
      <c r="T271"/>
      <c r="AZ271" s="196"/>
      <c r="BA271" s="196"/>
      <c r="BB271" s="196"/>
      <c r="BC271" s="196"/>
      <c r="BD271" s="196"/>
      <c r="BE271" s="196"/>
      <c r="BF271" s="196"/>
      <c r="BG271" s="196"/>
      <c r="BH271" s="196"/>
      <c r="BI271" s="196"/>
      <c r="BJ271" s="196"/>
      <c r="BK271" s="196"/>
    </row>
    <row r="272" spans="1:63" ht="15" customHeight="1" x14ac:dyDescent="0.2">
      <c r="A272"/>
      <c r="B272" s="1798"/>
      <c r="C272" s="1799"/>
      <c r="D272" s="1800"/>
      <c r="E272" s="1801"/>
      <c r="F272" s="1802"/>
      <c r="G272" s="1803"/>
      <c r="H272" s="1803"/>
      <c r="I272" s="1803"/>
      <c r="J272" s="1803"/>
      <c r="K272" s="1803"/>
      <c r="L272" s="1804"/>
      <c r="M272" s="897" t="str">
        <f t="shared" si="9"/>
        <v/>
      </c>
      <c r="N272" s="898" t="str">
        <f t="shared" si="10"/>
        <v/>
      </c>
      <c r="O272"/>
      <c r="P272"/>
      <c r="Q272"/>
      <c r="R272"/>
      <c r="S272"/>
      <c r="T272"/>
      <c r="AZ272" s="196"/>
      <c r="BA272" s="196"/>
      <c r="BB272" s="196"/>
      <c r="BC272" s="196"/>
      <c r="BD272" s="196"/>
      <c r="BE272" s="196"/>
      <c r="BF272" s="196"/>
      <c r="BG272" s="196"/>
      <c r="BH272" s="196"/>
      <c r="BI272" s="196"/>
      <c r="BJ272" s="196"/>
      <c r="BK272" s="196"/>
    </row>
    <row r="273" spans="1:63" ht="15" customHeight="1" x14ac:dyDescent="0.2">
      <c r="A273"/>
      <c r="B273" s="1798"/>
      <c r="C273" s="1799"/>
      <c r="D273" s="1800"/>
      <c r="E273" s="1801"/>
      <c r="F273" s="1802"/>
      <c r="G273" s="1803"/>
      <c r="H273" s="1803"/>
      <c r="I273" s="1803"/>
      <c r="J273" s="1803"/>
      <c r="K273" s="1803"/>
      <c r="L273" s="1804"/>
      <c r="M273" s="897" t="str">
        <f t="shared" si="9"/>
        <v/>
      </c>
      <c r="N273" s="898" t="str">
        <f t="shared" si="10"/>
        <v/>
      </c>
      <c r="O273"/>
      <c r="P273"/>
      <c r="Q273"/>
      <c r="R273"/>
      <c r="S273"/>
      <c r="T273"/>
      <c r="AZ273" s="196"/>
      <c r="BA273" s="196"/>
      <c r="BB273" s="196"/>
      <c r="BC273" s="196"/>
      <c r="BD273" s="196"/>
      <c r="BE273" s="196"/>
      <c r="BF273" s="196"/>
      <c r="BG273" s="196"/>
      <c r="BH273" s="196"/>
      <c r="BI273" s="196"/>
      <c r="BJ273" s="196"/>
      <c r="BK273" s="196"/>
    </row>
    <row r="274" spans="1:63" ht="15" customHeight="1" x14ac:dyDescent="0.2">
      <c r="A274"/>
      <c r="B274" s="1798"/>
      <c r="C274" s="1799"/>
      <c r="D274" s="1800"/>
      <c r="E274" s="1801"/>
      <c r="F274" s="1802"/>
      <c r="G274" s="1803"/>
      <c r="H274" s="1803"/>
      <c r="I274" s="1803"/>
      <c r="J274" s="1803"/>
      <c r="K274" s="1803"/>
      <c r="L274" s="1804"/>
      <c r="M274" s="897" t="str">
        <f t="shared" si="9"/>
        <v/>
      </c>
      <c r="N274" s="898" t="str">
        <f t="shared" si="10"/>
        <v/>
      </c>
      <c r="O274"/>
      <c r="P274"/>
      <c r="Q274"/>
      <c r="R274"/>
      <c r="S274"/>
      <c r="T274"/>
      <c r="AZ274" s="196"/>
      <c r="BA274" s="196"/>
      <c r="BB274" s="196"/>
      <c r="BC274" s="196"/>
      <c r="BD274" s="196"/>
      <c r="BE274" s="196"/>
      <c r="BF274" s="196"/>
      <c r="BG274" s="196"/>
      <c r="BH274" s="196"/>
      <c r="BI274" s="196"/>
      <c r="BJ274" s="196"/>
      <c r="BK274" s="196"/>
    </row>
    <row r="275" spans="1:63" ht="15" customHeight="1" x14ac:dyDescent="0.2">
      <c r="A275"/>
      <c r="B275" s="1798"/>
      <c r="C275" s="1799"/>
      <c r="D275" s="1800"/>
      <c r="E275" s="1801"/>
      <c r="F275" s="1802"/>
      <c r="G275" s="1803"/>
      <c r="H275" s="1803"/>
      <c r="I275" s="1803"/>
      <c r="J275" s="1803"/>
      <c r="K275" s="1803"/>
      <c r="L275" s="1804"/>
      <c r="M275" s="897" t="str">
        <f t="shared" si="9"/>
        <v/>
      </c>
      <c r="N275" s="898" t="str">
        <f t="shared" si="10"/>
        <v/>
      </c>
      <c r="O275"/>
      <c r="P275"/>
      <c r="Q275"/>
      <c r="R275"/>
      <c r="S275"/>
      <c r="T275"/>
      <c r="AZ275" s="196"/>
      <c r="BA275" s="196"/>
      <c r="BB275" s="196"/>
      <c r="BC275" s="196"/>
      <c r="BD275" s="196"/>
      <c r="BE275" s="196"/>
      <c r="BF275" s="196"/>
      <c r="BG275" s="196"/>
      <c r="BH275" s="196"/>
      <c r="BI275" s="196"/>
      <c r="BJ275" s="196"/>
      <c r="BK275" s="196"/>
    </row>
    <row r="276" spans="1:63" ht="15" customHeight="1" x14ac:dyDescent="0.2">
      <c r="A276"/>
      <c r="B276" s="1798"/>
      <c r="C276" s="1799"/>
      <c r="D276" s="1800"/>
      <c r="E276" s="1801"/>
      <c r="F276" s="1802"/>
      <c r="G276" s="1803"/>
      <c r="H276" s="1803"/>
      <c r="I276" s="1803"/>
      <c r="J276" s="1803"/>
      <c r="K276" s="1803"/>
      <c r="L276" s="1804"/>
      <c r="M276" s="897" t="str">
        <f t="shared" si="9"/>
        <v/>
      </c>
      <c r="N276" s="898" t="str">
        <f t="shared" si="10"/>
        <v/>
      </c>
      <c r="O276"/>
      <c r="P276"/>
      <c r="Q276"/>
      <c r="R276"/>
      <c r="S276"/>
      <c r="T276"/>
      <c r="AZ276" s="196"/>
      <c r="BA276" s="196"/>
      <c r="BB276" s="196"/>
      <c r="BC276" s="196"/>
      <c r="BD276" s="196"/>
      <c r="BE276" s="196"/>
      <c r="BF276" s="196"/>
      <c r="BG276" s="196"/>
      <c r="BH276" s="196"/>
      <c r="BI276" s="196"/>
      <c r="BJ276" s="196"/>
      <c r="BK276" s="196"/>
    </row>
    <row r="277" spans="1:63" ht="15" customHeight="1" x14ac:dyDescent="0.2">
      <c r="A277"/>
      <c r="B277" s="1798"/>
      <c r="C277" s="1799"/>
      <c r="D277" s="1800"/>
      <c r="E277" s="1801"/>
      <c r="F277" s="1802"/>
      <c r="G277" s="1803"/>
      <c r="H277" s="1803"/>
      <c r="I277" s="1803"/>
      <c r="J277" s="1803"/>
      <c r="K277" s="1803"/>
      <c r="L277" s="1804"/>
      <c r="M277" s="897" t="str">
        <f t="shared" si="9"/>
        <v/>
      </c>
      <c r="N277" s="898" t="str">
        <f t="shared" si="10"/>
        <v/>
      </c>
      <c r="O277"/>
      <c r="P277"/>
      <c r="Q277"/>
      <c r="R277"/>
      <c r="S277"/>
      <c r="T277"/>
      <c r="AZ277" s="196"/>
      <c r="BA277" s="196"/>
      <c r="BB277" s="196"/>
      <c r="BC277" s="196"/>
      <c r="BD277" s="196"/>
      <c r="BE277" s="196"/>
      <c r="BF277" s="196"/>
      <c r="BG277" s="196"/>
      <c r="BH277" s="196"/>
      <c r="BI277" s="196"/>
      <c r="BJ277" s="196"/>
      <c r="BK277" s="196"/>
    </row>
    <row r="278" spans="1:63" ht="15" customHeight="1" x14ac:dyDescent="0.2">
      <c r="A278"/>
      <c r="B278" s="1798"/>
      <c r="C278" s="1799"/>
      <c r="D278" s="1800"/>
      <c r="E278" s="1801"/>
      <c r="F278" s="1802"/>
      <c r="G278" s="1803"/>
      <c r="H278" s="1803"/>
      <c r="I278" s="1803"/>
      <c r="J278" s="1803"/>
      <c r="K278" s="1803"/>
      <c r="L278" s="1804"/>
      <c r="M278" s="897" t="str">
        <f t="shared" si="9"/>
        <v/>
      </c>
      <c r="N278" s="898" t="str">
        <f t="shared" si="10"/>
        <v/>
      </c>
      <c r="O278"/>
      <c r="P278"/>
      <c r="Q278"/>
      <c r="R278"/>
      <c r="S278"/>
      <c r="T278"/>
      <c r="AZ278" s="196"/>
      <c r="BA278" s="196"/>
      <c r="BB278" s="196"/>
      <c r="BC278" s="196"/>
      <c r="BD278" s="196"/>
      <c r="BE278" s="196"/>
      <c r="BF278" s="196"/>
      <c r="BG278" s="196"/>
      <c r="BH278" s="196"/>
      <c r="BI278" s="196"/>
      <c r="BJ278" s="196"/>
      <c r="BK278" s="196"/>
    </row>
    <row r="279" spans="1:63" ht="15" customHeight="1" x14ac:dyDescent="0.2">
      <c r="A279"/>
      <c r="B279" s="1798"/>
      <c r="C279" s="1799"/>
      <c r="D279" s="1800"/>
      <c r="E279" s="1801"/>
      <c r="F279" s="1802"/>
      <c r="G279" s="1803"/>
      <c r="H279" s="1803"/>
      <c r="I279" s="1803"/>
      <c r="J279" s="1803"/>
      <c r="K279" s="1803"/>
      <c r="L279" s="1804"/>
      <c r="M279" s="897" t="str">
        <f t="shared" si="9"/>
        <v/>
      </c>
      <c r="N279" s="898" t="str">
        <f t="shared" si="10"/>
        <v/>
      </c>
      <c r="O279"/>
      <c r="P279"/>
      <c r="Q279"/>
      <c r="R279"/>
      <c r="S279"/>
      <c r="T279"/>
      <c r="AZ279" s="196"/>
      <c r="BA279" s="196"/>
      <c r="BB279" s="196"/>
      <c r="BC279" s="196"/>
      <c r="BD279" s="196"/>
      <c r="BE279" s="196"/>
      <c r="BF279" s="196"/>
      <c r="BG279" s="196"/>
      <c r="BH279" s="196"/>
      <c r="BI279" s="196"/>
      <c r="BJ279" s="196"/>
      <c r="BK279" s="196"/>
    </row>
    <row r="280" spans="1:63" ht="15" customHeight="1" x14ac:dyDescent="0.2">
      <c r="A280"/>
      <c r="B280" s="1798"/>
      <c r="C280" s="1799"/>
      <c r="D280" s="1800"/>
      <c r="E280" s="1801"/>
      <c r="F280" s="1802"/>
      <c r="G280" s="1803"/>
      <c r="H280" s="1803"/>
      <c r="I280" s="1803"/>
      <c r="J280" s="1803"/>
      <c r="K280" s="1803"/>
      <c r="L280" s="1804"/>
      <c r="M280" s="897" t="str">
        <f t="shared" si="9"/>
        <v/>
      </c>
      <c r="N280" s="898" t="str">
        <f t="shared" si="10"/>
        <v/>
      </c>
      <c r="O280"/>
      <c r="P280"/>
      <c r="Q280"/>
      <c r="R280"/>
      <c r="S280"/>
      <c r="T280"/>
      <c r="AZ280" s="196"/>
      <c r="BA280" s="196"/>
      <c r="BB280" s="196"/>
      <c r="BC280" s="196"/>
      <c r="BD280" s="196"/>
      <c r="BE280" s="196"/>
      <c r="BF280" s="196"/>
      <c r="BG280" s="196"/>
      <c r="BH280" s="196"/>
      <c r="BI280" s="196"/>
      <c r="BJ280" s="196"/>
      <c r="BK280" s="196"/>
    </row>
    <row r="281" spans="1:63" ht="15" customHeight="1" x14ac:dyDescent="0.2">
      <c r="A281"/>
      <c r="B281" s="1798"/>
      <c r="C281" s="1799"/>
      <c r="D281" s="1800"/>
      <c r="E281" s="1801"/>
      <c r="F281" s="1802"/>
      <c r="G281" s="1803"/>
      <c r="H281" s="1803"/>
      <c r="I281" s="1803"/>
      <c r="J281" s="1803"/>
      <c r="K281" s="1803"/>
      <c r="L281" s="1804"/>
      <c r="M281" s="897" t="str">
        <f t="shared" si="9"/>
        <v/>
      </c>
      <c r="N281" s="898" t="str">
        <f t="shared" si="10"/>
        <v/>
      </c>
      <c r="O281"/>
      <c r="P281"/>
      <c r="Q281"/>
      <c r="R281"/>
      <c r="S281"/>
      <c r="T281"/>
      <c r="AZ281" s="196"/>
      <c r="BA281" s="196"/>
      <c r="BB281" s="196"/>
      <c r="BC281" s="196"/>
      <c r="BD281" s="196"/>
      <c r="BE281" s="196"/>
      <c r="BF281" s="196"/>
      <c r="BG281" s="196"/>
      <c r="BH281" s="196"/>
      <c r="BI281" s="196"/>
      <c r="BJ281" s="196"/>
      <c r="BK281" s="196"/>
    </row>
    <row r="282" spans="1:63" ht="15" customHeight="1" x14ac:dyDescent="0.2">
      <c r="A282"/>
      <c r="B282" s="1798"/>
      <c r="C282" s="1799"/>
      <c r="D282" s="1800"/>
      <c r="E282" s="1801"/>
      <c r="F282" s="1802"/>
      <c r="G282" s="1803"/>
      <c r="H282" s="1803"/>
      <c r="I282" s="1803"/>
      <c r="J282" s="1803"/>
      <c r="K282" s="1803"/>
      <c r="L282" s="1804"/>
      <c r="M282" s="897" t="str">
        <f t="shared" si="9"/>
        <v/>
      </c>
      <c r="N282" s="898" t="str">
        <f t="shared" si="10"/>
        <v/>
      </c>
      <c r="O282"/>
      <c r="P282"/>
      <c r="Q282"/>
      <c r="R282"/>
      <c r="S282"/>
      <c r="T282"/>
      <c r="AZ282" s="196"/>
      <c r="BA282" s="196"/>
      <c r="BB282" s="196"/>
      <c r="BC282" s="196"/>
      <c r="BD282" s="196"/>
      <c r="BE282" s="196"/>
      <c r="BF282" s="196"/>
      <c r="BG282" s="196"/>
      <c r="BH282" s="196"/>
      <c r="BI282" s="196"/>
      <c r="BJ282" s="196"/>
      <c r="BK282" s="196"/>
    </row>
    <row r="283" spans="1:63" ht="15" customHeight="1" x14ac:dyDescent="0.2">
      <c r="A283"/>
      <c r="B283" s="1798"/>
      <c r="C283" s="1799"/>
      <c r="D283" s="1800"/>
      <c r="E283" s="1801"/>
      <c r="F283" s="1802"/>
      <c r="G283" s="1803"/>
      <c r="H283" s="1803"/>
      <c r="I283" s="1803"/>
      <c r="J283" s="1803"/>
      <c r="K283" s="1803"/>
      <c r="L283" s="1804"/>
      <c r="M283" s="897" t="str">
        <f t="shared" si="9"/>
        <v/>
      </c>
      <c r="N283" s="898" t="str">
        <f t="shared" si="10"/>
        <v/>
      </c>
      <c r="O283"/>
      <c r="P283"/>
      <c r="Q283"/>
      <c r="R283"/>
      <c r="S283"/>
      <c r="T283"/>
      <c r="AZ283" s="196"/>
      <c r="BA283" s="196"/>
      <c r="BB283" s="196"/>
      <c r="BC283" s="196"/>
      <c r="BD283" s="196"/>
      <c r="BE283" s="196"/>
      <c r="BF283" s="196"/>
      <c r="BG283" s="196"/>
      <c r="BH283" s="196"/>
      <c r="BI283" s="196"/>
      <c r="BJ283" s="196"/>
      <c r="BK283" s="196"/>
    </row>
    <row r="284" spans="1:63" ht="15" customHeight="1" x14ac:dyDescent="0.2">
      <c r="A284"/>
      <c r="B284" s="1798"/>
      <c r="C284" s="1799"/>
      <c r="D284" s="1800"/>
      <c r="E284" s="1801"/>
      <c r="F284" s="1802"/>
      <c r="G284" s="1803"/>
      <c r="H284" s="1803"/>
      <c r="I284" s="1803"/>
      <c r="J284" s="1803"/>
      <c r="K284" s="1803"/>
      <c r="L284" s="1804"/>
      <c r="M284" s="897" t="str">
        <f t="shared" si="9"/>
        <v/>
      </c>
      <c r="N284" s="898" t="str">
        <f t="shared" si="10"/>
        <v/>
      </c>
      <c r="O284"/>
      <c r="P284"/>
      <c r="Q284"/>
      <c r="R284"/>
      <c r="S284"/>
      <c r="T284"/>
      <c r="AZ284" s="196"/>
      <c r="BA284" s="196"/>
      <c r="BB284" s="196"/>
      <c r="BC284" s="196"/>
      <c r="BD284" s="196"/>
      <c r="BE284" s="196"/>
      <c r="BF284" s="196"/>
      <c r="BG284" s="196"/>
      <c r="BH284" s="196"/>
      <c r="BI284" s="196"/>
      <c r="BJ284" s="196"/>
      <c r="BK284" s="196"/>
    </row>
    <row r="285" spans="1:63" ht="15" customHeight="1" x14ac:dyDescent="0.2">
      <c r="A285"/>
      <c r="B285" s="1798"/>
      <c r="C285" s="1799"/>
      <c r="D285" s="1800"/>
      <c r="E285" s="1801"/>
      <c r="F285" s="1802"/>
      <c r="G285" s="1803"/>
      <c r="H285" s="1803"/>
      <c r="I285" s="1803"/>
      <c r="J285" s="1803"/>
      <c r="K285" s="1803"/>
      <c r="L285" s="1804"/>
      <c r="M285" s="897" t="str">
        <f t="shared" si="9"/>
        <v/>
      </c>
      <c r="N285" s="898" t="str">
        <f t="shared" si="10"/>
        <v/>
      </c>
      <c r="O285"/>
      <c r="P285"/>
      <c r="Q285"/>
      <c r="R285"/>
      <c r="S285"/>
      <c r="T285"/>
      <c r="AZ285" s="196"/>
      <c r="BA285" s="196"/>
      <c r="BB285" s="196"/>
      <c r="BC285" s="196"/>
      <c r="BD285" s="196"/>
      <c r="BE285" s="196"/>
      <c r="BF285" s="196"/>
      <c r="BG285" s="196"/>
      <c r="BH285" s="196"/>
      <c r="BI285" s="196"/>
      <c r="BJ285" s="196"/>
      <c r="BK285" s="196"/>
    </row>
    <row r="286" spans="1:63" ht="15" customHeight="1" x14ac:dyDescent="0.2">
      <c r="A286"/>
      <c r="B286" s="1798"/>
      <c r="C286" s="1799"/>
      <c r="D286" s="1800"/>
      <c r="E286" s="1801"/>
      <c r="F286" s="1802"/>
      <c r="G286" s="1803"/>
      <c r="H286" s="1803"/>
      <c r="I286" s="1803"/>
      <c r="J286" s="1803"/>
      <c r="K286" s="1803"/>
      <c r="L286" s="1804"/>
      <c r="M286" s="897" t="str">
        <f t="shared" si="9"/>
        <v/>
      </c>
      <c r="N286" s="898" t="str">
        <f t="shared" si="10"/>
        <v/>
      </c>
      <c r="O286"/>
      <c r="P286"/>
      <c r="Q286"/>
      <c r="R286"/>
      <c r="S286"/>
      <c r="T286"/>
      <c r="AZ286" s="196"/>
      <c r="BA286" s="196"/>
      <c r="BB286" s="196"/>
      <c r="BC286" s="196"/>
      <c r="BD286" s="196"/>
      <c r="BE286" s="196"/>
      <c r="BF286" s="196"/>
      <c r="BG286" s="196"/>
      <c r="BH286" s="196"/>
      <c r="BI286" s="196"/>
      <c r="BJ286" s="196"/>
      <c r="BK286" s="196"/>
    </row>
    <row r="287" spans="1:63" ht="15" customHeight="1" x14ac:dyDescent="0.2">
      <c r="A287"/>
      <c r="B287" s="1798"/>
      <c r="C287" s="1799"/>
      <c r="D287" s="1800"/>
      <c r="E287" s="1801"/>
      <c r="F287" s="1802"/>
      <c r="G287" s="1803"/>
      <c r="H287" s="1803"/>
      <c r="I287" s="1803"/>
      <c r="J287" s="1803"/>
      <c r="K287" s="1803"/>
      <c r="L287" s="1804"/>
      <c r="M287" s="897" t="str">
        <f t="shared" si="9"/>
        <v/>
      </c>
      <c r="N287" s="898" t="str">
        <f t="shared" si="10"/>
        <v/>
      </c>
      <c r="O287"/>
      <c r="P287"/>
      <c r="Q287"/>
      <c r="R287"/>
      <c r="S287"/>
      <c r="T287"/>
      <c r="AZ287" s="196"/>
      <c r="BA287" s="196"/>
      <c r="BB287" s="196"/>
      <c r="BC287" s="196"/>
      <c r="BD287" s="196"/>
      <c r="BE287" s="196"/>
      <c r="BF287" s="196"/>
      <c r="BG287" s="196"/>
      <c r="BH287" s="196"/>
      <c r="BI287" s="196"/>
      <c r="BJ287" s="196"/>
      <c r="BK287" s="196"/>
    </row>
    <row r="288" spans="1:63" ht="15" customHeight="1" x14ac:dyDescent="0.2">
      <c r="A288"/>
      <c r="B288" s="1798"/>
      <c r="C288" s="1799"/>
      <c r="D288" s="1800"/>
      <c r="E288" s="1801"/>
      <c r="F288" s="1802"/>
      <c r="G288" s="1803"/>
      <c r="H288" s="1803"/>
      <c r="I288" s="1803"/>
      <c r="J288" s="1803"/>
      <c r="K288" s="1803"/>
      <c r="L288" s="1804"/>
      <c r="M288" s="897" t="str">
        <f t="shared" si="9"/>
        <v/>
      </c>
      <c r="N288" s="898" t="str">
        <f t="shared" si="10"/>
        <v/>
      </c>
      <c r="O288"/>
      <c r="P288"/>
      <c r="Q288"/>
      <c r="R288"/>
      <c r="S288"/>
      <c r="T288"/>
      <c r="AZ288" s="196"/>
      <c r="BA288" s="196"/>
      <c r="BB288" s="196"/>
      <c r="BC288" s="196"/>
      <c r="BD288" s="196"/>
      <c r="BE288" s="196"/>
      <c r="BF288" s="196"/>
      <c r="BG288" s="196"/>
      <c r="BH288" s="196"/>
      <c r="BI288" s="196"/>
      <c r="BJ288" s="196"/>
      <c r="BK288" s="196"/>
    </row>
    <row r="289" spans="1:63" ht="15" customHeight="1" x14ac:dyDescent="0.2">
      <c r="A289"/>
      <c r="B289" s="1798"/>
      <c r="C289" s="1799"/>
      <c r="D289" s="1800"/>
      <c r="E289" s="1801"/>
      <c r="F289" s="1802"/>
      <c r="G289" s="1803"/>
      <c r="H289" s="1803"/>
      <c r="I289" s="1803"/>
      <c r="J289" s="1803"/>
      <c r="K289" s="1803"/>
      <c r="L289" s="1804"/>
      <c r="M289" s="897" t="str">
        <f t="shared" si="9"/>
        <v/>
      </c>
      <c r="N289" s="898" t="str">
        <f t="shared" si="10"/>
        <v/>
      </c>
      <c r="O289"/>
      <c r="P289"/>
      <c r="Q289"/>
      <c r="R289"/>
      <c r="S289"/>
      <c r="T289"/>
      <c r="AZ289" s="196"/>
      <c r="BA289" s="196"/>
      <c r="BB289" s="196"/>
      <c r="BC289" s="196"/>
      <c r="BD289" s="196"/>
      <c r="BE289" s="196"/>
      <c r="BF289" s="196"/>
      <c r="BG289" s="196"/>
      <c r="BH289" s="196"/>
      <c r="BI289" s="196"/>
      <c r="BJ289" s="196"/>
      <c r="BK289" s="196"/>
    </row>
    <row r="290" spans="1:63" ht="15" customHeight="1" x14ac:dyDescent="0.2">
      <c r="A290"/>
      <c r="B290" s="1798"/>
      <c r="C290" s="1799"/>
      <c r="D290" s="1800"/>
      <c r="E290" s="1801"/>
      <c r="F290" s="1802"/>
      <c r="G290" s="1803"/>
      <c r="H290" s="1803"/>
      <c r="I290" s="1803"/>
      <c r="J290" s="1803"/>
      <c r="K290" s="1803"/>
      <c r="L290" s="1804"/>
      <c r="M290" s="897" t="str">
        <f t="shared" si="9"/>
        <v/>
      </c>
      <c r="N290" s="898" t="str">
        <f t="shared" si="10"/>
        <v/>
      </c>
      <c r="O290"/>
      <c r="P290"/>
      <c r="Q290"/>
      <c r="R290"/>
      <c r="S290"/>
      <c r="T290"/>
      <c r="AZ290" s="196"/>
      <c r="BA290" s="196"/>
      <c r="BB290" s="196"/>
      <c r="BC290" s="196"/>
      <c r="BD290" s="196"/>
      <c r="BE290" s="196"/>
      <c r="BF290" s="196"/>
      <c r="BG290" s="196"/>
      <c r="BH290" s="196"/>
      <c r="BI290" s="196"/>
      <c r="BJ290" s="196"/>
      <c r="BK290" s="196"/>
    </row>
    <row r="291" spans="1:63" ht="15" customHeight="1" x14ac:dyDescent="0.2">
      <c r="A291"/>
      <c r="B291" s="1798"/>
      <c r="C291" s="1799"/>
      <c r="D291" s="1800"/>
      <c r="E291" s="1801"/>
      <c r="F291" s="1802"/>
      <c r="G291" s="1803"/>
      <c r="H291" s="1803"/>
      <c r="I291" s="1803"/>
      <c r="J291" s="1803"/>
      <c r="K291" s="1803"/>
      <c r="L291" s="1804"/>
      <c r="M291" s="897" t="str">
        <f t="shared" si="9"/>
        <v/>
      </c>
      <c r="N291" s="898" t="str">
        <f t="shared" si="10"/>
        <v/>
      </c>
      <c r="O291"/>
      <c r="P291"/>
      <c r="Q291"/>
      <c r="R291"/>
      <c r="S291"/>
      <c r="T291"/>
      <c r="AZ291" s="196"/>
      <c r="BA291" s="196"/>
      <c r="BB291" s="196"/>
      <c r="BC291" s="196"/>
      <c r="BD291" s="196"/>
      <c r="BE291" s="196"/>
      <c r="BF291" s="196"/>
      <c r="BG291" s="196"/>
      <c r="BH291" s="196"/>
      <c r="BI291" s="196"/>
      <c r="BJ291" s="196"/>
      <c r="BK291" s="196"/>
    </row>
    <row r="292" spans="1:63" ht="15" customHeight="1" x14ac:dyDescent="0.2">
      <c r="A292"/>
      <c r="B292" s="1798"/>
      <c r="C292" s="1799"/>
      <c r="D292" s="1800"/>
      <c r="E292" s="1801"/>
      <c r="F292" s="1802"/>
      <c r="G292" s="1803"/>
      <c r="H292" s="1803"/>
      <c r="I292" s="1803"/>
      <c r="J292" s="1803"/>
      <c r="K292" s="1803"/>
      <c r="L292" s="1804"/>
      <c r="M292" s="897" t="str">
        <f t="shared" si="9"/>
        <v/>
      </c>
      <c r="N292" s="898" t="str">
        <f t="shared" si="10"/>
        <v/>
      </c>
      <c r="O292"/>
      <c r="P292"/>
      <c r="Q292"/>
      <c r="R292"/>
      <c r="S292"/>
      <c r="T292"/>
      <c r="AZ292" s="196"/>
      <c r="BA292" s="196"/>
      <c r="BB292" s="196"/>
      <c r="BC292" s="196"/>
      <c r="BD292" s="196"/>
      <c r="BE292" s="196"/>
      <c r="BF292" s="196"/>
      <c r="BG292" s="196"/>
      <c r="BH292" s="196"/>
      <c r="BI292" s="196"/>
      <c r="BJ292" s="196"/>
      <c r="BK292" s="196"/>
    </row>
    <row r="293" spans="1:63" ht="15" customHeight="1" x14ac:dyDescent="0.2">
      <c r="A293"/>
      <c r="B293" s="1798"/>
      <c r="C293" s="1799"/>
      <c r="D293" s="1800"/>
      <c r="E293" s="1801"/>
      <c r="F293" s="1802"/>
      <c r="G293" s="1803"/>
      <c r="H293" s="1803"/>
      <c r="I293" s="1803"/>
      <c r="J293" s="1803"/>
      <c r="K293" s="1803"/>
      <c r="L293" s="1804"/>
      <c r="M293" s="897" t="str">
        <f t="shared" si="9"/>
        <v/>
      </c>
      <c r="N293" s="898" t="str">
        <f t="shared" si="10"/>
        <v/>
      </c>
      <c r="O293"/>
      <c r="P293"/>
      <c r="Q293"/>
      <c r="R293"/>
      <c r="S293"/>
      <c r="T293"/>
      <c r="AZ293" s="196"/>
      <c r="BA293" s="196"/>
      <c r="BB293" s="196"/>
      <c r="BC293" s="196"/>
      <c r="BD293" s="196"/>
      <c r="BE293" s="196"/>
      <c r="BF293" s="196"/>
      <c r="BG293" s="196"/>
      <c r="BH293" s="196"/>
      <c r="BI293" s="196"/>
      <c r="BJ293" s="196"/>
      <c r="BK293" s="196"/>
    </row>
    <row r="294" spans="1:63" ht="15" customHeight="1" x14ac:dyDescent="0.2">
      <c r="A294"/>
      <c r="B294" s="1798"/>
      <c r="C294" s="1799"/>
      <c r="D294" s="1800"/>
      <c r="E294" s="1801"/>
      <c r="F294" s="1802"/>
      <c r="G294" s="1803"/>
      <c r="H294" s="1803"/>
      <c r="I294" s="1803"/>
      <c r="J294" s="1803"/>
      <c r="K294" s="1803"/>
      <c r="L294" s="1804"/>
      <c r="M294" s="897" t="str">
        <f t="shared" si="9"/>
        <v/>
      </c>
      <c r="N294" s="898" t="str">
        <f t="shared" si="10"/>
        <v/>
      </c>
      <c r="O294"/>
      <c r="P294"/>
      <c r="Q294"/>
      <c r="R294"/>
      <c r="S294"/>
      <c r="T294"/>
      <c r="AZ294" s="196"/>
      <c r="BA294" s="196"/>
      <c r="BB294" s="196"/>
      <c r="BC294" s="196"/>
      <c r="BD294" s="196"/>
      <c r="BE294" s="196"/>
      <c r="BF294" s="196"/>
      <c r="BG294" s="196"/>
      <c r="BH294" s="196"/>
      <c r="BI294" s="196"/>
      <c r="BJ294" s="196"/>
      <c r="BK294" s="196"/>
    </row>
    <row r="295" spans="1:63" ht="15" customHeight="1" x14ac:dyDescent="0.2">
      <c r="A295"/>
      <c r="B295" s="1798"/>
      <c r="C295" s="1799"/>
      <c r="D295" s="1800"/>
      <c r="E295" s="1801"/>
      <c r="F295" s="1802"/>
      <c r="G295" s="1803"/>
      <c r="H295" s="1803"/>
      <c r="I295" s="1803"/>
      <c r="J295" s="1803"/>
      <c r="K295" s="1803"/>
      <c r="L295" s="1804"/>
      <c r="M295" s="897" t="str">
        <f t="shared" ref="M295:M358" si="11">UPPER(C295)</f>
        <v/>
      </c>
      <c r="N295" s="898" t="str">
        <f t="shared" si="10"/>
        <v/>
      </c>
      <c r="O295"/>
      <c r="P295"/>
      <c r="Q295"/>
      <c r="R295"/>
      <c r="S295"/>
      <c r="T295"/>
      <c r="AZ295" s="196"/>
      <c r="BA295" s="196"/>
      <c r="BB295" s="196"/>
      <c r="BC295" s="196"/>
      <c r="BD295" s="196"/>
      <c r="BE295" s="196"/>
      <c r="BF295" s="196"/>
      <c r="BG295" s="196"/>
      <c r="BH295" s="196"/>
      <c r="BI295" s="196"/>
      <c r="BJ295" s="196"/>
      <c r="BK295" s="196"/>
    </row>
    <row r="296" spans="1:63" ht="15" customHeight="1" x14ac:dyDescent="0.2">
      <c r="A296"/>
      <c r="B296" s="1798"/>
      <c r="C296" s="1799"/>
      <c r="D296" s="1800"/>
      <c r="E296" s="1801"/>
      <c r="F296" s="1802"/>
      <c r="G296" s="1803"/>
      <c r="H296" s="1803"/>
      <c r="I296" s="1803"/>
      <c r="J296" s="1803"/>
      <c r="K296" s="1803"/>
      <c r="L296" s="1804"/>
      <c r="M296" s="897" t="str">
        <f t="shared" si="11"/>
        <v/>
      </c>
      <c r="N296" s="898" t="str">
        <f t="shared" si="10"/>
        <v/>
      </c>
      <c r="O296"/>
      <c r="P296"/>
      <c r="Q296"/>
      <c r="R296"/>
      <c r="S296"/>
      <c r="T296"/>
      <c r="AZ296" s="196"/>
      <c r="BA296" s="196"/>
      <c r="BB296" s="196"/>
      <c r="BC296" s="196"/>
      <c r="BD296" s="196"/>
      <c r="BE296" s="196"/>
      <c r="BF296" s="196"/>
      <c r="BG296" s="196"/>
      <c r="BH296" s="196"/>
      <c r="BI296" s="196"/>
      <c r="BJ296" s="196"/>
      <c r="BK296" s="196"/>
    </row>
    <row r="297" spans="1:63" ht="15" customHeight="1" x14ac:dyDescent="0.2">
      <c r="A297"/>
      <c r="B297" s="1798"/>
      <c r="C297" s="1799"/>
      <c r="D297" s="1800"/>
      <c r="E297" s="1801"/>
      <c r="F297" s="1802"/>
      <c r="G297" s="1803"/>
      <c r="H297" s="1803"/>
      <c r="I297" s="1803"/>
      <c r="J297" s="1803"/>
      <c r="K297" s="1803"/>
      <c r="L297" s="1804"/>
      <c r="M297" s="897" t="str">
        <f t="shared" si="11"/>
        <v/>
      </c>
      <c r="N297" s="898" t="str">
        <f t="shared" si="10"/>
        <v/>
      </c>
      <c r="O297"/>
      <c r="P297"/>
      <c r="Q297"/>
      <c r="R297"/>
      <c r="S297"/>
      <c r="T297"/>
      <c r="AZ297" s="196"/>
      <c r="BA297" s="196"/>
      <c r="BB297" s="196"/>
      <c r="BC297" s="196"/>
      <c r="BD297" s="196"/>
      <c r="BE297" s="196"/>
      <c r="BF297" s="196"/>
      <c r="BG297" s="196"/>
      <c r="BH297" s="196"/>
      <c r="BI297" s="196"/>
      <c r="BJ297" s="196"/>
      <c r="BK297" s="196"/>
    </row>
    <row r="298" spans="1:63" ht="15" customHeight="1" x14ac:dyDescent="0.2">
      <c r="A298"/>
      <c r="B298" s="1798"/>
      <c r="C298" s="1799"/>
      <c r="D298" s="1800"/>
      <c r="E298" s="1801"/>
      <c r="F298" s="1802"/>
      <c r="G298" s="1803"/>
      <c r="H298" s="1803"/>
      <c r="I298" s="1803"/>
      <c r="J298" s="1803"/>
      <c r="K298" s="1803"/>
      <c r="L298" s="1804"/>
      <c r="M298" s="897" t="str">
        <f t="shared" si="11"/>
        <v/>
      </c>
      <c r="N298" s="898" t="str">
        <f t="shared" si="10"/>
        <v/>
      </c>
      <c r="O298"/>
      <c r="P298"/>
      <c r="Q298"/>
      <c r="R298"/>
      <c r="S298"/>
      <c r="T298"/>
      <c r="AZ298" s="196"/>
      <c r="BA298" s="196"/>
      <c r="BB298" s="196"/>
      <c r="BC298" s="196"/>
      <c r="BD298" s="196"/>
      <c r="BE298" s="196"/>
      <c r="BF298" s="196"/>
      <c r="BG298" s="196"/>
      <c r="BH298" s="196"/>
      <c r="BI298" s="196"/>
      <c r="BJ298" s="196"/>
      <c r="BK298" s="196"/>
    </row>
    <row r="299" spans="1:63" ht="15" customHeight="1" x14ac:dyDescent="0.2">
      <c r="A299"/>
      <c r="B299" s="1798"/>
      <c r="C299" s="1799"/>
      <c r="D299" s="1800"/>
      <c r="E299" s="1801"/>
      <c r="F299" s="1802"/>
      <c r="G299" s="1803"/>
      <c r="H299" s="1803"/>
      <c r="I299" s="1803"/>
      <c r="J299" s="1803"/>
      <c r="K299" s="1803"/>
      <c r="L299" s="1804"/>
      <c r="M299" s="897" t="str">
        <f t="shared" si="11"/>
        <v/>
      </c>
      <c r="N299" s="898" t="str">
        <f t="shared" si="10"/>
        <v/>
      </c>
      <c r="O299"/>
      <c r="P299"/>
      <c r="Q299"/>
      <c r="R299"/>
      <c r="S299"/>
      <c r="T299"/>
      <c r="AZ299" s="196"/>
      <c r="BA299" s="196"/>
      <c r="BB299" s="196"/>
      <c r="BC299" s="196"/>
      <c r="BD299" s="196"/>
      <c r="BE299" s="196"/>
      <c r="BF299" s="196"/>
      <c r="BG299" s="196"/>
      <c r="BH299" s="196"/>
      <c r="BI299" s="196"/>
      <c r="BJ299" s="196"/>
      <c r="BK299" s="196"/>
    </row>
    <row r="300" spans="1:63" ht="15" customHeight="1" x14ac:dyDescent="0.2">
      <c r="A300"/>
      <c r="B300" s="1798"/>
      <c r="C300" s="1799"/>
      <c r="D300" s="1800"/>
      <c r="E300" s="1801"/>
      <c r="F300" s="1802"/>
      <c r="G300" s="1803"/>
      <c r="H300" s="1803"/>
      <c r="I300" s="1803"/>
      <c r="J300" s="1803"/>
      <c r="K300" s="1803"/>
      <c r="L300" s="1804"/>
      <c r="M300" s="897" t="str">
        <f t="shared" si="11"/>
        <v/>
      </c>
      <c r="N300" s="898" t="str">
        <f t="shared" si="10"/>
        <v/>
      </c>
      <c r="O300"/>
      <c r="P300"/>
      <c r="Q300"/>
      <c r="R300"/>
      <c r="S300"/>
      <c r="T300"/>
      <c r="AZ300" s="196"/>
      <c r="BA300" s="196"/>
      <c r="BB300" s="196"/>
      <c r="BC300" s="196"/>
      <c r="BD300" s="196"/>
      <c r="BE300" s="196"/>
      <c r="BF300" s="196"/>
      <c r="BG300" s="196"/>
      <c r="BH300" s="196"/>
      <c r="BI300" s="196"/>
      <c r="BJ300" s="196"/>
      <c r="BK300" s="196"/>
    </row>
    <row r="301" spans="1:63" ht="15" customHeight="1" x14ac:dyDescent="0.2">
      <c r="A301"/>
      <c r="B301" s="1798"/>
      <c r="C301" s="1799"/>
      <c r="D301" s="1800"/>
      <c r="E301" s="1801"/>
      <c r="F301" s="1802"/>
      <c r="G301" s="1803"/>
      <c r="H301" s="1803"/>
      <c r="I301" s="1803"/>
      <c r="J301" s="1803"/>
      <c r="K301" s="1803"/>
      <c r="L301" s="1804"/>
      <c r="M301" s="897" t="str">
        <f t="shared" si="11"/>
        <v/>
      </c>
      <c r="N301" s="898" t="str">
        <f t="shared" si="10"/>
        <v/>
      </c>
      <c r="O301"/>
      <c r="P301"/>
      <c r="Q301"/>
      <c r="R301"/>
      <c r="S301"/>
      <c r="T301"/>
      <c r="AZ301" s="196"/>
      <c r="BA301" s="196"/>
      <c r="BB301" s="196"/>
      <c r="BC301" s="196"/>
      <c r="BD301" s="196"/>
      <c r="BE301" s="196"/>
      <c r="BF301" s="196"/>
      <c r="BG301" s="196"/>
      <c r="BH301" s="196"/>
      <c r="BI301" s="196"/>
      <c r="BJ301" s="196"/>
      <c r="BK301" s="196"/>
    </row>
    <row r="302" spans="1:63" ht="15" customHeight="1" x14ac:dyDescent="0.2">
      <c r="A302"/>
      <c r="B302" s="1798"/>
      <c r="C302" s="1799"/>
      <c r="D302" s="1800"/>
      <c r="E302" s="1801"/>
      <c r="F302" s="1802"/>
      <c r="G302" s="1803"/>
      <c r="H302" s="1803"/>
      <c r="I302" s="1803"/>
      <c r="J302" s="1803"/>
      <c r="K302" s="1803"/>
      <c r="L302" s="1804"/>
      <c r="M302" s="897" t="str">
        <f t="shared" si="11"/>
        <v/>
      </c>
      <c r="N302" s="898" t="str">
        <f t="shared" si="10"/>
        <v/>
      </c>
      <c r="O302"/>
      <c r="P302"/>
      <c r="Q302"/>
      <c r="R302"/>
      <c r="S302"/>
      <c r="T302"/>
      <c r="AZ302" s="196"/>
      <c r="BA302" s="196"/>
      <c r="BB302" s="196"/>
      <c r="BC302" s="196"/>
      <c r="BD302" s="196"/>
      <c r="BE302" s="196"/>
      <c r="BF302" s="196"/>
      <c r="BG302" s="196"/>
      <c r="BH302" s="196"/>
      <c r="BI302" s="196"/>
      <c r="BJ302" s="196"/>
      <c r="BK302" s="196"/>
    </row>
    <row r="303" spans="1:63" ht="15" customHeight="1" x14ac:dyDescent="0.2">
      <c r="A303"/>
      <c r="B303" s="1798"/>
      <c r="C303" s="1799"/>
      <c r="D303" s="1800"/>
      <c r="E303" s="1801"/>
      <c r="F303" s="1802"/>
      <c r="G303" s="1803"/>
      <c r="H303" s="1803"/>
      <c r="I303" s="1803"/>
      <c r="J303" s="1803"/>
      <c r="K303" s="1803"/>
      <c r="L303" s="1804"/>
      <c r="M303" s="897" t="str">
        <f t="shared" si="11"/>
        <v/>
      </c>
      <c r="N303" s="898" t="str">
        <f t="shared" si="10"/>
        <v/>
      </c>
      <c r="O303"/>
      <c r="P303"/>
      <c r="Q303"/>
      <c r="R303"/>
      <c r="S303"/>
      <c r="T303"/>
      <c r="AZ303" s="196"/>
      <c r="BA303" s="196"/>
      <c r="BB303" s="196"/>
      <c r="BC303" s="196"/>
      <c r="BD303" s="196"/>
      <c r="BE303" s="196"/>
      <c r="BF303" s="196"/>
      <c r="BG303" s="196"/>
      <c r="BH303" s="196"/>
      <c r="BI303" s="196"/>
      <c r="BJ303" s="196"/>
      <c r="BK303" s="196"/>
    </row>
    <row r="304" spans="1:63" ht="15" customHeight="1" x14ac:dyDescent="0.2">
      <c r="A304"/>
      <c r="B304" s="1798"/>
      <c r="C304" s="1799"/>
      <c r="D304" s="1800"/>
      <c r="E304" s="1801"/>
      <c r="F304" s="1802"/>
      <c r="G304" s="1803"/>
      <c r="H304" s="1803"/>
      <c r="I304" s="1803"/>
      <c r="J304" s="1803"/>
      <c r="K304" s="1803"/>
      <c r="L304" s="1804"/>
      <c r="M304" s="897" t="str">
        <f t="shared" si="11"/>
        <v/>
      </c>
      <c r="N304" s="898" t="str">
        <f t="shared" si="10"/>
        <v/>
      </c>
      <c r="O304"/>
      <c r="P304"/>
      <c r="Q304"/>
      <c r="R304"/>
      <c r="S304"/>
      <c r="T304"/>
      <c r="AZ304" s="196"/>
      <c r="BA304" s="196"/>
      <c r="BB304" s="196"/>
      <c r="BC304" s="196"/>
      <c r="BD304" s="196"/>
      <c r="BE304" s="196"/>
      <c r="BF304" s="196"/>
      <c r="BG304" s="196"/>
      <c r="BH304" s="196"/>
      <c r="BI304" s="196"/>
      <c r="BJ304" s="196"/>
      <c r="BK304" s="196"/>
    </row>
    <row r="305" spans="1:63" ht="15" customHeight="1" x14ac:dyDescent="0.2">
      <c r="A305"/>
      <c r="B305" s="1798"/>
      <c r="C305" s="1799"/>
      <c r="D305" s="1800"/>
      <c r="E305" s="1801"/>
      <c r="F305" s="1802"/>
      <c r="G305" s="1803"/>
      <c r="H305" s="1803"/>
      <c r="I305" s="1803"/>
      <c r="J305" s="1803"/>
      <c r="K305" s="1803"/>
      <c r="L305" s="1804"/>
      <c r="M305" s="897" t="str">
        <f t="shared" si="11"/>
        <v/>
      </c>
      <c r="N305" s="898" t="str">
        <f t="shared" si="10"/>
        <v/>
      </c>
      <c r="O305"/>
      <c r="P305"/>
      <c r="Q305"/>
      <c r="R305"/>
      <c r="S305"/>
      <c r="T305"/>
      <c r="AZ305" s="196"/>
      <c r="BA305" s="196"/>
      <c r="BB305" s="196"/>
      <c r="BC305" s="196"/>
      <c r="BD305" s="196"/>
      <c r="BE305" s="196"/>
      <c r="BF305" s="196"/>
      <c r="BG305" s="196"/>
      <c r="BH305" s="196"/>
      <c r="BI305" s="196"/>
      <c r="BJ305" s="196"/>
      <c r="BK305" s="196"/>
    </row>
    <row r="306" spans="1:63" ht="15" customHeight="1" x14ac:dyDescent="0.2">
      <c r="A306"/>
      <c r="B306" s="1798"/>
      <c r="C306" s="1799"/>
      <c r="D306" s="1800"/>
      <c r="E306" s="1801"/>
      <c r="F306" s="1802"/>
      <c r="G306" s="1803"/>
      <c r="H306" s="1803"/>
      <c r="I306" s="1803"/>
      <c r="J306" s="1803"/>
      <c r="K306" s="1803"/>
      <c r="L306" s="1804"/>
      <c r="M306" s="897" t="str">
        <f t="shared" si="11"/>
        <v/>
      </c>
      <c r="N306" s="898" t="str">
        <f t="shared" si="10"/>
        <v/>
      </c>
      <c r="O306"/>
      <c r="P306"/>
      <c r="Q306"/>
      <c r="R306"/>
      <c r="S306"/>
      <c r="T306"/>
      <c r="AZ306" s="196"/>
      <c r="BA306" s="196"/>
      <c r="BB306" s="196"/>
      <c r="BC306" s="196"/>
      <c r="BD306" s="196"/>
      <c r="BE306" s="196"/>
      <c r="BF306" s="196"/>
      <c r="BG306" s="196"/>
      <c r="BH306" s="196"/>
      <c r="BI306" s="196"/>
      <c r="BJ306" s="196"/>
      <c r="BK306" s="196"/>
    </row>
    <row r="307" spans="1:63" ht="15" customHeight="1" x14ac:dyDescent="0.2">
      <c r="A307"/>
      <c r="B307" s="1798"/>
      <c r="C307" s="1799"/>
      <c r="D307" s="1800"/>
      <c r="E307" s="1801"/>
      <c r="F307" s="1802"/>
      <c r="G307" s="1803"/>
      <c r="H307" s="1803"/>
      <c r="I307" s="1803"/>
      <c r="J307" s="1803"/>
      <c r="K307" s="1803"/>
      <c r="L307" s="1804"/>
      <c r="M307" s="897" t="str">
        <f t="shared" si="11"/>
        <v/>
      </c>
      <c r="N307" s="898" t="str">
        <f t="shared" si="10"/>
        <v/>
      </c>
      <c r="O307"/>
      <c r="P307"/>
      <c r="Q307"/>
      <c r="R307"/>
      <c r="S307"/>
      <c r="T307"/>
      <c r="AZ307" s="196"/>
      <c r="BA307" s="196"/>
      <c r="BB307" s="196"/>
      <c r="BC307" s="196"/>
      <c r="BD307" s="196"/>
      <c r="BE307" s="196"/>
      <c r="BF307" s="196"/>
      <c r="BG307" s="196"/>
      <c r="BH307" s="196"/>
      <c r="BI307" s="196"/>
      <c r="BJ307" s="196"/>
      <c r="BK307" s="196"/>
    </row>
    <row r="308" spans="1:63" ht="15" customHeight="1" x14ac:dyDescent="0.2">
      <c r="A308"/>
      <c r="B308" s="1798"/>
      <c r="C308" s="1799"/>
      <c r="D308" s="1800"/>
      <c r="E308" s="1801"/>
      <c r="F308" s="1802"/>
      <c r="G308" s="1803"/>
      <c r="H308" s="1803"/>
      <c r="I308" s="1803"/>
      <c r="J308" s="1803"/>
      <c r="K308" s="1803"/>
      <c r="L308" s="1804"/>
      <c r="M308" s="897" t="str">
        <f t="shared" si="11"/>
        <v/>
      </c>
      <c r="N308" s="898" t="str">
        <f t="shared" si="10"/>
        <v/>
      </c>
      <c r="O308"/>
      <c r="P308"/>
      <c r="Q308"/>
      <c r="R308"/>
      <c r="S308"/>
      <c r="T308"/>
      <c r="AZ308" s="196"/>
      <c r="BA308" s="196"/>
      <c r="BB308" s="196"/>
      <c r="BC308" s="196"/>
      <c r="BD308" s="196"/>
      <c r="BE308" s="196"/>
      <c r="BF308" s="196"/>
      <c r="BG308" s="196"/>
      <c r="BH308" s="196"/>
      <c r="BI308" s="196"/>
      <c r="BJ308" s="196"/>
      <c r="BK308" s="196"/>
    </row>
    <row r="309" spans="1:63" ht="15" customHeight="1" x14ac:dyDescent="0.2">
      <c r="A309"/>
      <c r="B309" s="1798"/>
      <c r="C309" s="1799"/>
      <c r="D309" s="1800"/>
      <c r="E309" s="1801"/>
      <c r="F309" s="1802"/>
      <c r="G309" s="1803"/>
      <c r="H309" s="1803"/>
      <c r="I309" s="1803"/>
      <c r="J309" s="1803"/>
      <c r="K309" s="1803"/>
      <c r="L309" s="1804"/>
      <c r="M309" s="897" t="str">
        <f t="shared" si="11"/>
        <v/>
      </c>
      <c r="N309" s="898" t="str">
        <f t="shared" si="10"/>
        <v/>
      </c>
      <c r="O309"/>
      <c r="P309"/>
      <c r="Q309"/>
      <c r="R309"/>
      <c r="S309"/>
      <c r="T309"/>
      <c r="AZ309" s="196"/>
      <c r="BA309" s="196"/>
      <c r="BB309" s="196"/>
      <c r="BC309" s="196"/>
      <c r="BD309" s="196"/>
      <c r="BE309" s="196"/>
      <c r="BF309" s="196"/>
      <c r="BG309" s="196"/>
      <c r="BH309" s="196"/>
      <c r="BI309" s="196"/>
      <c r="BJ309" s="196"/>
      <c r="BK309" s="196"/>
    </row>
    <row r="310" spans="1:63" ht="15" customHeight="1" x14ac:dyDescent="0.2">
      <c r="A310"/>
      <c r="B310" s="1798"/>
      <c r="C310" s="1799"/>
      <c r="D310" s="1800"/>
      <c r="E310" s="1801"/>
      <c r="F310" s="1802"/>
      <c r="G310" s="1803"/>
      <c r="H310" s="1803"/>
      <c r="I310" s="1803"/>
      <c r="J310" s="1803"/>
      <c r="K310" s="1803"/>
      <c r="L310" s="1804"/>
      <c r="M310" s="897" t="str">
        <f t="shared" si="11"/>
        <v/>
      </c>
      <c r="N310" s="898" t="str">
        <f t="shared" si="10"/>
        <v/>
      </c>
      <c r="O310"/>
      <c r="P310"/>
      <c r="Q310"/>
      <c r="R310"/>
      <c r="S310"/>
      <c r="T310"/>
      <c r="AZ310" s="196"/>
      <c r="BA310" s="196"/>
      <c r="BB310" s="196"/>
      <c r="BC310" s="196"/>
      <c r="BD310" s="196"/>
      <c r="BE310" s="196"/>
      <c r="BF310" s="196"/>
      <c r="BG310" s="196"/>
      <c r="BH310" s="196"/>
      <c r="BI310" s="196"/>
      <c r="BJ310" s="196"/>
      <c r="BK310" s="196"/>
    </row>
    <row r="311" spans="1:63" ht="15" customHeight="1" x14ac:dyDescent="0.2">
      <c r="A311"/>
      <c r="B311" s="1798"/>
      <c r="C311" s="1799"/>
      <c r="D311" s="1800"/>
      <c r="E311" s="1801"/>
      <c r="F311" s="1802"/>
      <c r="G311" s="1803"/>
      <c r="H311" s="1803"/>
      <c r="I311" s="1803"/>
      <c r="J311" s="1803"/>
      <c r="K311" s="1803"/>
      <c r="L311" s="1804"/>
      <c r="M311" s="897" t="str">
        <f t="shared" si="11"/>
        <v/>
      </c>
      <c r="N311" s="898" t="str">
        <f t="shared" si="10"/>
        <v/>
      </c>
      <c r="O311"/>
      <c r="P311"/>
      <c r="Q311"/>
      <c r="R311"/>
      <c r="S311"/>
      <c r="T311"/>
      <c r="AZ311" s="196"/>
      <c r="BA311" s="196"/>
      <c r="BB311" s="196"/>
      <c r="BC311" s="196"/>
      <c r="BD311" s="196"/>
      <c r="BE311" s="196"/>
      <c r="BF311" s="196"/>
      <c r="BG311" s="196"/>
      <c r="BH311" s="196"/>
      <c r="BI311" s="196"/>
      <c r="BJ311" s="196"/>
      <c r="BK311" s="196"/>
    </row>
    <row r="312" spans="1:63" ht="15" customHeight="1" x14ac:dyDescent="0.2">
      <c r="A312"/>
      <c r="B312" s="1798"/>
      <c r="C312" s="1799"/>
      <c r="D312" s="1800"/>
      <c r="E312" s="1801"/>
      <c r="F312" s="1802"/>
      <c r="G312" s="1803"/>
      <c r="H312" s="1803"/>
      <c r="I312" s="1803"/>
      <c r="J312" s="1803"/>
      <c r="K312" s="1803"/>
      <c r="L312" s="1804"/>
      <c r="M312" s="897" t="str">
        <f t="shared" si="11"/>
        <v/>
      </c>
      <c r="N312" s="898" t="str">
        <f t="shared" si="10"/>
        <v/>
      </c>
      <c r="O312"/>
      <c r="P312"/>
      <c r="Q312"/>
      <c r="R312"/>
      <c r="S312"/>
      <c r="T312"/>
      <c r="AZ312" s="196"/>
      <c r="BA312" s="196"/>
      <c r="BB312" s="196"/>
      <c r="BC312" s="196"/>
      <c r="BD312" s="196"/>
      <c r="BE312" s="196"/>
      <c r="BF312" s="196"/>
      <c r="BG312" s="196"/>
      <c r="BH312" s="196"/>
      <c r="BI312" s="196"/>
      <c r="BJ312" s="196"/>
      <c r="BK312" s="196"/>
    </row>
    <row r="313" spans="1:63" ht="15" customHeight="1" x14ac:dyDescent="0.2">
      <c r="A313"/>
      <c r="B313" s="1798"/>
      <c r="C313" s="1799"/>
      <c r="D313" s="1800"/>
      <c r="E313" s="1801"/>
      <c r="F313" s="1802"/>
      <c r="G313" s="1803"/>
      <c r="H313" s="1803"/>
      <c r="I313" s="1803"/>
      <c r="J313" s="1803"/>
      <c r="K313" s="1803"/>
      <c r="L313" s="1804"/>
      <c r="M313" s="897" t="str">
        <f t="shared" si="11"/>
        <v/>
      </c>
      <c r="N313" s="898" t="str">
        <f t="shared" si="10"/>
        <v/>
      </c>
      <c r="O313"/>
      <c r="P313"/>
      <c r="Q313"/>
      <c r="R313"/>
      <c r="S313"/>
      <c r="T313"/>
      <c r="AZ313" s="196"/>
      <c r="BA313" s="196"/>
      <c r="BB313" s="196"/>
      <c r="BC313" s="196"/>
      <c r="BD313" s="196"/>
      <c r="BE313" s="196"/>
      <c r="BF313" s="196"/>
      <c r="BG313" s="196"/>
      <c r="BH313" s="196"/>
      <c r="BI313" s="196"/>
      <c r="BJ313" s="196"/>
      <c r="BK313" s="196"/>
    </row>
    <row r="314" spans="1:63" ht="15" customHeight="1" x14ac:dyDescent="0.2">
      <c r="A314"/>
      <c r="B314" s="1798"/>
      <c r="C314" s="1799"/>
      <c r="D314" s="1800"/>
      <c r="E314" s="1801"/>
      <c r="F314" s="1802"/>
      <c r="G314" s="1803"/>
      <c r="H314" s="1803"/>
      <c r="I314" s="1803"/>
      <c r="J314" s="1803"/>
      <c r="K314" s="1803"/>
      <c r="L314" s="1804"/>
      <c r="M314" s="897" t="str">
        <f t="shared" si="11"/>
        <v/>
      </c>
      <c r="N314" s="898" t="str">
        <f t="shared" si="10"/>
        <v/>
      </c>
      <c r="O314"/>
      <c r="P314"/>
      <c r="Q314"/>
      <c r="R314"/>
      <c r="S314"/>
      <c r="T314"/>
      <c r="AZ314" s="196"/>
      <c r="BA314" s="196"/>
      <c r="BB314" s="196"/>
      <c r="BC314" s="196"/>
      <c r="BD314" s="196"/>
      <c r="BE314" s="196"/>
      <c r="BF314" s="196"/>
      <c r="BG314" s="196"/>
      <c r="BH314" s="196"/>
      <c r="BI314" s="196"/>
      <c r="BJ314" s="196"/>
      <c r="BK314" s="196"/>
    </row>
    <row r="315" spans="1:63" ht="15" customHeight="1" x14ac:dyDescent="0.2">
      <c r="A315"/>
      <c r="B315" s="1798"/>
      <c r="C315" s="1799"/>
      <c r="D315" s="1800"/>
      <c r="E315" s="1801"/>
      <c r="F315" s="1802"/>
      <c r="G315" s="1803"/>
      <c r="H315" s="1803"/>
      <c r="I315" s="1803"/>
      <c r="J315" s="1803"/>
      <c r="K315" s="1803"/>
      <c r="L315" s="1804"/>
      <c r="M315" s="897" t="str">
        <f t="shared" si="11"/>
        <v/>
      </c>
      <c r="N315" s="898" t="str">
        <f t="shared" si="10"/>
        <v/>
      </c>
      <c r="O315"/>
      <c r="P315"/>
      <c r="Q315"/>
      <c r="R315"/>
      <c r="S315"/>
      <c r="T315"/>
      <c r="AZ315" s="196"/>
      <c r="BA315" s="196"/>
      <c r="BB315" s="196"/>
      <c r="BC315" s="196"/>
      <c r="BD315" s="196"/>
      <c r="BE315" s="196"/>
      <c r="BF315" s="196"/>
      <c r="BG315" s="196"/>
      <c r="BH315" s="196"/>
      <c r="BI315" s="196"/>
      <c r="BJ315" s="196"/>
      <c r="BK315" s="196"/>
    </row>
    <row r="316" spans="1:63" ht="15" customHeight="1" x14ac:dyDescent="0.2">
      <c r="A316"/>
      <c r="B316" s="1798"/>
      <c r="C316" s="1799"/>
      <c r="D316" s="1800"/>
      <c r="E316" s="1801"/>
      <c r="F316" s="1802"/>
      <c r="G316" s="1803"/>
      <c r="H316" s="1803"/>
      <c r="I316" s="1803"/>
      <c r="J316" s="1803"/>
      <c r="K316" s="1803"/>
      <c r="L316" s="1804"/>
      <c r="M316" s="897" t="str">
        <f t="shared" si="11"/>
        <v/>
      </c>
      <c r="N316" s="898" t="str">
        <f t="shared" si="10"/>
        <v/>
      </c>
      <c r="O316"/>
      <c r="P316"/>
      <c r="Q316"/>
      <c r="R316"/>
      <c r="S316"/>
      <c r="T316"/>
      <c r="AZ316" s="196"/>
      <c r="BA316" s="196"/>
      <c r="BB316" s="196"/>
      <c r="BC316" s="196"/>
      <c r="BD316" s="196"/>
      <c r="BE316" s="196"/>
      <c r="BF316" s="196"/>
      <c r="BG316" s="196"/>
      <c r="BH316" s="196"/>
      <c r="BI316" s="196"/>
      <c r="BJ316" s="196"/>
      <c r="BK316" s="196"/>
    </row>
    <row r="317" spans="1:63" ht="15" customHeight="1" x14ac:dyDescent="0.2">
      <c r="A317"/>
      <c r="B317" s="1798"/>
      <c r="C317" s="1799"/>
      <c r="D317" s="1800"/>
      <c r="E317" s="1801"/>
      <c r="F317" s="1802"/>
      <c r="G317" s="1803"/>
      <c r="H317" s="1803"/>
      <c r="I317" s="1803"/>
      <c r="J317" s="1803"/>
      <c r="K317" s="1803"/>
      <c r="L317" s="1804"/>
      <c r="M317" s="897" t="str">
        <f t="shared" si="11"/>
        <v/>
      </c>
      <c r="N317" s="898" t="str">
        <f t="shared" si="10"/>
        <v/>
      </c>
      <c r="O317"/>
      <c r="P317"/>
      <c r="Q317"/>
      <c r="R317"/>
      <c r="S317"/>
      <c r="T317"/>
      <c r="AZ317" s="196"/>
      <c r="BA317" s="196"/>
      <c r="BB317" s="196"/>
      <c r="BC317" s="196"/>
      <c r="BD317" s="196"/>
      <c r="BE317" s="196"/>
      <c r="BF317" s="196"/>
      <c r="BG317" s="196"/>
      <c r="BH317" s="196"/>
      <c r="BI317" s="196"/>
      <c r="BJ317" s="196"/>
      <c r="BK317" s="196"/>
    </row>
    <row r="318" spans="1:63" ht="15" customHeight="1" x14ac:dyDescent="0.2">
      <c r="A318"/>
      <c r="B318" s="1798"/>
      <c r="C318" s="1799"/>
      <c r="D318" s="1800"/>
      <c r="E318" s="1801"/>
      <c r="F318" s="1802"/>
      <c r="G318" s="1803"/>
      <c r="H318" s="1803"/>
      <c r="I318" s="1803"/>
      <c r="J318" s="1803"/>
      <c r="K318" s="1803"/>
      <c r="L318" s="1804"/>
      <c r="M318" s="897" t="str">
        <f t="shared" si="11"/>
        <v/>
      </c>
      <c r="N318" s="898" t="str">
        <f t="shared" si="10"/>
        <v/>
      </c>
      <c r="O318"/>
      <c r="P318"/>
      <c r="Q318"/>
      <c r="R318"/>
      <c r="S318"/>
      <c r="T318"/>
      <c r="AZ318" s="196"/>
      <c r="BA318" s="196"/>
      <c r="BB318" s="196"/>
      <c r="BC318" s="196"/>
      <c r="BD318" s="196"/>
      <c r="BE318" s="196"/>
      <c r="BF318" s="196"/>
      <c r="BG318" s="196"/>
      <c r="BH318" s="196"/>
      <c r="BI318" s="196"/>
      <c r="BJ318" s="196"/>
      <c r="BK318" s="196"/>
    </row>
    <row r="319" spans="1:63" ht="15" customHeight="1" x14ac:dyDescent="0.2">
      <c r="A319"/>
      <c r="B319" s="1798"/>
      <c r="C319" s="1799"/>
      <c r="D319" s="1800"/>
      <c r="E319" s="1801"/>
      <c r="F319" s="1802"/>
      <c r="G319" s="1803"/>
      <c r="H319" s="1803"/>
      <c r="I319" s="1803"/>
      <c r="J319" s="1803"/>
      <c r="K319" s="1803"/>
      <c r="L319" s="1804"/>
      <c r="M319" s="897" t="str">
        <f t="shared" si="11"/>
        <v/>
      </c>
      <c r="N319" s="898" t="str">
        <f t="shared" si="10"/>
        <v/>
      </c>
      <c r="O319"/>
      <c r="P319"/>
      <c r="Q319"/>
      <c r="R319"/>
      <c r="S319"/>
      <c r="T319"/>
      <c r="AZ319" s="196"/>
      <c r="BA319" s="196"/>
      <c r="BB319" s="196"/>
      <c r="BC319" s="196"/>
      <c r="BD319" s="196"/>
      <c r="BE319" s="196"/>
      <c r="BF319" s="196"/>
      <c r="BG319" s="196"/>
      <c r="BH319" s="196"/>
      <c r="BI319" s="196"/>
      <c r="BJ319" s="196"/>
      <c r="BK319" s="196"/>
    </row>
    <row r="320" spans="1:63" ht="15" customHeight="1" x14ac:dyDescent="0.2">
      <c r="A320"/>
      <c r="B320" s="1798"/>
      <c r="C320" s="1799"/>
      <c r="D320" s="1800"/>
      <c r="E320" s="1801"/>
      <c r="F320" s="1802"/>
      <c r="G320" s="1803"/>
      <c r="H320" s="1803"/>
      <c r="I320" s="1803"/>
      <c r="J320" s="1803"/>
      <c r="K320" s="1803"/>
      <c r="L320" s="1804"/>
      <c r="M320" s="897" t="str">
        <f t="shared" si="11"/>
        <v/>
      </c>
      <c r="N320" s="898" t="str">
        <f t="shared" si="10"/>
        <v/>
      </c>
      <c r="O320"/>
      <c r="P320"/>
      <c r="Q320"/>
      <c r="R320"/>
      <c r="S320"/>
      <c r="T320"/>
      <c r="AZ320" s="196"/>
      <c r="BA320" s="196"/>
      <c r="BB320" s="196"/>
      <c r="BC320" s="196"/>
      <c r="BD320" s="196"/>
      <c r="BE320" s="196"/>
      <c r="BF320" s="196"/>
      <c r="BG320" s="196"/>
      <c r="BH320" s="196"/>
      <c r="BI320" s="196"/>
      <c r="BJ320" s="196"/>
      <c r="BK320" s="196"/>
    </row>
    <row r="321" spans="1:63" ht="15" customHeight="1" x14ac:dyDescent="0.2">
      <c r="A321"/>
      <c r="B321" s="1798"/>
      <c r="C321" s="1799"/>
      <c r="D321" s="1800"/>
      <c r="E321" s="1801"/>
      <c r="F321" s="1802"/>
      <c r="G321" s="1803"/>
      <c r="H321" s="1803"/>
      <c r="I321" s="1803"/>
      <c r="J321" s="1803"/>
      <c r="K321" s="1803"/>
      <c r="L321" s="1804"/>
      <c r="M321" s="897" t="str">
        <f t="shared" si="11"/>
        <v/>
      </c>
      <c r="N321" s="898" t="str">
        <f t="shared" si="10"/>
        <v/>
      </c>
      <c r="O321"/>
      <c r="P321"/>
      <c r="Q321"/>
      <c r="R321"/>
      <c r="S321"/>
      <c r="T321"/>
      <c r="AZ321" s="196"/>
      <c r="BA321" s="196"/>
      <c r="BB321" s="196"/>
      <c r="BC321" s="196"/>
      <c r="BD321" s="196"/>
      <c r="BE321" s="196"/>
      <c r="BF321" s="196"/>
      <c r="BG321" s="196"/>
      <c r="BH321" s="196"/>
      <c r="BI321" s="196"/>
      <c r="BJ321" s="196"/>
      <c r="BK321" s="196"/>
    </row>
    <row r="322" spans="1:63" ht="15" customHeight="1" x14ac:dyDescent="0.2">
      <c r="A322"/>
      <c r="B322" s="1798"/>
      <c r="C322" s="1799"/>
      <c r="D322" s="1800"/>
      <c r="E322" s="1801"/>
      <c r="F322" s="1802"/>
      <c r="G322" s="1803"/>
      <c r="H322" s="1803"/>
      <c r="I322" s="1803"/>
      <c r="J322" s="1803"/>
      <c r="K322" s="1803"/>
      <c r="L322" s="1804"/>
      <c r="M322" s="897" t="str">
        <f t="shared" si="11"/>
        <v/>
      </c>
      <c r="N322" s="898" t="str">
        <f t="shared" si="10"/>
        <v/>
      </c>
      <c r="O322"/>
      <c r="P322"/>
      <c r="Q322"/>
      <c r="R322"/>
      <c r="S322"/>
      <c r="T322"/>
      <c r="AZ322" s="196"/>
      <c r="BA322" s="196"/>
      <c r="BB322" s="196"/>
      <c r="BC322" s="196"/>
      <c r="BD322" s="196"/>
      <c r="BE322" s="196"/>
      <c r="BF322" s="196"/>
      <c r="BG322" s="196"/>
      <c r="BH322" s="196"/>
      <c r="BI322" s="196"/>
      <c r="BJ322" s="196"/>
      <c r="BK322" s="196"/>
    </row>
    <row r="323" spans="1:63" ht="15" customHeight="1" x14ac:dyDescent="0.2">
      <c r="A323"/>
      <c r="B323" s="1798"/>
      <c r="C323" s="1799"/>
      <c r="D323" s="1800"/>
      <c r="E323" s="1801"/>
      <c r="F323" s="1802"/>
      <c r="G323" s="1803"/>
      <c r="H323" s="1803"/>
      <c r="I323" s="1803"/>
      <c r="J323" s="1803"/>
      <c r="K323" s="1803"/>
      <c r="L323" s="1804"/>
      <c r="M323" s="897" t="str">
        <f t="shared" si="11"/>
        <v/>
      </c>
      <c r="N323" s="898" t="str">
        <f t="shared" si="10"/>
        <v/>
      </c>
      <c r="O323"/>
      <c r="P323"/>
      <c r="Q323"/>
      <c r="R323"/>
      <c r="S323"/>
      <c r="T323"/>
      <c r="AZ323" s="196"/>
      <c r="BA323" s="196"/>
      <c r="BB323" s="196"/>
      <c r="BC323" s="196"/>
      <c r="BD323" s="196"/>
      <c r="BE323" s="196"/>
      <c r="BF323" s="196"/>
      <c r="BG323" s="196"/>
      <c r="BH323" s="196"/>
      <c r="BI323" s="196"/>
      <c r="BJ323" s="196"/>
      <c r="BK323" s="196"/>
    </row>
    <row r="324" spans="1:63" ht="15" customHeight="1" x14ac:dyDescent="0.2">
      <c r="A324"/>
      <c r="B324" s="1798"/>
      <c r="C324" s="1799"/>
      <c r="D324" s="1800"/>
      <c r="E324" s="1801"/>
      <c r="F324" s="1802"/>
      <c r="G324" s="1803"/>
      <c r="H324" s="1803"/>
      <c r="I324" s="1803"/>
      <c r="J324" s="1803"/>
      <c r="K324" s="1803"/>
      <c r="L324" s="1804"/>
      <c r="M324" s="897" t="str">
        <f t="shared" si="11"/>
        <v/>
      </c>
      <c r="N324" s="898" t="str">
        <f t="shared" ref="N324:N387" si="12">IF(AND(ISBLANK(D324),ISBLANK(E324)),"",TRUNC(D324)*12+IF(OR(D324&lt;0,AND(D324=0,E324&lt;0)),-1*ABS(E324),ABS(E324)))</f>
        <v/>
      </c>
      <c r="O324"/>
      <c r="P324"/>
      <c r="Q324"/>
      <c r="R324"/>
      <c r="S324"/>
      <c r="T324"/>
      <c r="AZ324" s="196"/>
      <c r="BA324" s="196"/>
      <c r="BB324" s="196"/>
      <c r="BC324" s="196"/>
      <c r="BD324" s="196"/>
      <c r="BE324" s="196"/>
      <c r="BF324" s="196"/>
      <c r="BG324" s="196"/>
      <c r="BH324" s="196"/>
      <c r="BI324" s="196"/>
      <c r="BJ324" s="196"/>
      <c r="BK324" s="196"/>
    </row>
    <row r="325" spans="1:63" ht="15" customHeight="1" x14ac:dyDescent="0.2">
      <c r="A325"/>
      <c r="B325" s="1798"/>
      <c r="C325" s="1799"/>
      <c r="D325" s="1800"/>
      <c r="E325" s="1801"/>
      <c r="F325" s="1802"/>
      <c r="G325" s="1803"/>
      <c r="H325" s="1803"/>
      <c r="I325" s="1803"/>
      <c r="J325" s="1803"/>
      <c r="K325" s="1803"/>
      <c r="L325" s="1804"/>
      <c r="M325" s="897" t="str">
        <f t="shared" si="11"/>
        <v/>
      </c>
      <c r="N325" s="898" t="str">
        <f t="shared" si="12"/>
        <v/>
      </c>
      <c r="O325"/>
      <c r="P325"/>
      <c r="Q325"/>
      <c r="R325"/>
      <c r="S325"/>
      <c r="T325"/>
      <c r="AZ325" s="196"/>
      <c r="BA325" s="196"/>
      <c r="BB325" s="196"/>
      <c r="BC325" s="196"/>
      <c r="BD325" s="196"/>
      <c r="BE325" s="196"/>
      <c r="BF325" s="196"/>
      <c r="BG325" s="196"/>
      <c r="BH325" s="196"/>
      <c r="BI325" s="196"/>
      <c r="BJ325" s="196"/>
      <c r="BK325" s="196"/>
    </row>
    <row r="326" spans="1:63" ht="15" customHeight="1" x14ac:dyDescent="0.2">
      <c r="A326"/>
      <c r="B326" s="1798"/>
      <c r="C326" s="1799"/>
      <c r="D326" s="1800"/>
      <c r="E326" s="1801"/>
      <c r="F326" s="1802"/>
      <c r="G326" s="1803"/>
      <c r="H326" s="1803"/>
      <c r="I326" s="1803"/>
      <c r="J326" s="1803"/>
      <c r="K326" s="1803"/>
      <c r="L326" s="1804"/>
      <c r="M326" s="897" t="str">
        <f t="shared" si="11"/>
        <v/>
      </c>
      <c r="N326" s="898" t="str">
        <f t="shared" si="12"/>
        <v/>
      </c>
      <c r="O326"/>
      <c r="P326"/>
      <c r="Q326"/>
      <c r="R326"/>
      <c r="S326"/>
      <c r="T326"/>
      <c r="AZ326" s="196"/>
      <c r="BA326" s="196"/>
      <c r="BB326" s="196"/>
      <c r="BC326" s="196"/>
      <c r="BD326" s="196"/>
      <c r="BE326" s="196"/>
      <c r="BF326" s="196"/>
      <c r="BG326" s="196"/>
      <c r="BH326" s="196"/>
      <c r="BI326" s="196"/>
      <c r="BJ326" s="196"/>
      <c r="BK326" s="196"/>
    </row>
    <row r="327" spans="1:63" ht="15" customHeight="1" x14ac:dyDescent="0.2">
      <c r="A327"/>
      <c r="B327" s="1798"/>
      <c r="C327" s="1799"/>
      <c r="D327" s="1800"/>
      <c r="E327" s="1801"/>
      <c r="F327" s="1802"/>
      <c r="G327" s="1803"/>
      <c r="H327" s="1803"/>
      <c r="I327" s="1803"/>
      <c r="J327" s="1803"/>
      <c r="K327" s="1803"/>
      <c r="L327" s="1804"/>
      <c r="M327" s="897" t="str">
        <f t="shared" si="11"/>
        <v/>
      </c>
      <c r="N327" s="898" t="str">
        <f t="shared" si="12"/>
        <v/>
      </c>
      <c r="O327"/>
      <c r="P327"/>
      <c r="Q327"/>
      <c r="R327"/>
      <c r="S327"/>
      <c r="T327"/>
      <c r="AZ327" s="196"/>
      <c r="BA327" s="196"/>
      <c r="BB327" s="196"/>
      <c r="BC327" s="196"/>
      <c r="BD327" s="196"/>
      <c r="BE327" s="196"/>
      <c r="BF327" s="196"/>
      <c r="BG327" s="196"/>
      <c r="BH327" s="196"/>
      <c r="BI327" s="196"/>
      <c r="BJ327" s="196"/>
      <c r="BK327" s="196"/>
    </row>
    <row r="328" spans="1:63" ht="15" customHeight="1" x14ac:dyDescent="0.2">
      <c r="A328"/>
      <c r="B328" s="1798"/>
      <c r="C328" s="1799"/>
      <c r="D328" s="1800"/>
      <c r="E328" s="1801"/>
      <c r="F328" s="1802"/>
      <c r="G328" s="1803"/>
      <c r="H328" s="1803"/>
      <c r="I328" s="1803"/>
      <c r="J328" s="1803"/>
      <c r="K328" s="1803"/>
      <c r="L328" s="1804"/>
      <c r="M328" s="897" t="str">
        <f t="shared" si="11"/>
        <v/>
      </c>
      <c r="N328" s="898" t="str">
        <f t="shared" si="12"/>
        <v/>
      </c>
      <c r="O328"/>
      <c r="P328"/>
      <c r="Q328"/>
      <c r="R328"/>
      <c r="S328"/>
      <c r="T328"/>
      <c r="AZ328" s="196"/>
      <c r="BA328" s="196"/>
      <c r="BB328" s="196"/>
      <c r="BC328" s="196"/>
      <c r="BD328" s="196"/>
      <c r="BE328" s="196"/>
      <c r="BF328" s="196"/>
      <c r="BG328" s="196"/>
      <c r="BH328" s="196"/>
      <c r="BI328" s="196"/>
      <c r="BJ328" s="196"/>
      <c r="BK328" s="196"/>
    </row>
    <row r="329" spans="1:63" ht="15" customHeight="1" x14ac:dyDescent="0.2">
      <c r="A329"/>
      <c r="B329" s="1798"/>
      <c r="C329" s="1799"/>
      <c r="D329" s="1800"/>
      <c r="E329" s="1801"/>
      <c r="F329" s="1802"/>
      <c r="G329" s="1803"/>
      <c r="H329" s="1803"/>
      <c r="I329" s="1803"/>
      <c r="J329" s="1803"/>
      <c r="K329" s="1803"/>
      <c r="L329" s="1804"/>
      <c r="M329" s="897" t="str">
        <f t="shared" si="11"/>
        <v/>
      </c>
      <c r="N329" s="898" t="str">
        <f t="shared" si="12"/>
        <v/>
      </c>
      <c r="O329"/>
      <c r="P329"/>
      <c r="Q329"/>
      <c r="R329"/>
      <c r="S329"/>
      <c r="T329"/>
      <c r="AZ329" s="196"/>
      <c r="BA329" s="196"/>
      <c r="BB329" s="196"/>
      <c r="BC329" s="196"/>
      <c r="BD329" s="196"/>
      <c r="BE329" s="196"/>
      <c r="BF329" s="196"/>
      <c r="BG329" s="196"/>
      <c r="BH329" s="196"/>
      <c r="BI329" s="196"/>
      <c r="BJ329" s="196"/>
      <c r="BK329" s="196"/>
    </row>
    <row r="330" spans="1:63" ht="15" customHeight="1" x14ac:dyDescent="0.2">
      <c r="A330"/>
      <c r="B330" s="1798"/>
      <c r="C330" s="1799"/>
      <c r="D330" s="1800"/>
      <c r="E330" s="1801"/>
      <c r="F330" s="1802"/>
      <c r="G330" s="1803"/>
      <c r="H330" s="1803"/>
      <c r="I330" s="1803"/>
      <c r="J330" s="1803"/>
      <c r="K330" s="1803"/>
      <c r="L330" s="1804"/>
      <c r="M330" s="897" t="str">
        <f t="shared" si="11"/>
        <v/>
      </c>
      <c r="N330" s="898" t="str">
        <f t="shared" si="12"/>
        <v/>
      </c>
      <c r="O330"/>
      <c r="P330"/>
      <c r="Q330"/>
      <c r="R330"/>
      <c r="S330"/>
      <c r="T330"/>
      <c r="AZ330" s="196"/>
      <c r="BA330" s="196"/>
      <c r="BB330" s="196"/>
      <c r="BC330" s="196"/>
      <c r="BD330" s="196"/>
      <c r="BE330" s="196"/>
      <c r="BF330" s="196"/>
      <c r="BG330" s="196"/>
      <c r="BH330" s="196"/>
      <c r="BI330" s="196"/>
      <c r="BJ330" s="196"/>
      <c r="BK330" s="196"/>
    </row>
    <row r="331" spans="1:63" ht="15" customHeight="1" x14ac:dyDescent="0.2">
      <c r="A331"/>
      <c r="B331" s="1798"/>
      <c r="C331" s="1799"/>
      <c r="D331" s="1800"/>
      <c r="E331" s="1801"/>
      <c r="F331" s="1802"/>
      <c r="G331" s="1803"/>
      <c r="H331" s="1803"/>
      <c r="I331" s="1803"/>
      <c r="J331" s="1803"/>
      <c r="K331" s="1803"/>
      <c r="L331" s="1804"/>
      <c r="M331" s="897" t="str">
        <f t="shared" si="11"/>
        <v/>
      </c>
      <c r="N331" s="898" t="str">
        <f t="shared" si="12"/>
        <v/>
      </c>
      <c r="O331"/>
      <c r="P331"/>
      <c r="Q331"/>
      <c r="R331"/>
      <c r="S331"/>
      <c r="T331"/>
      <c r="AZ331" s="196"/>
      <c r="BA331" s="196"/>
      <c r="BB331" s="196"/>
      <c r="BC331" s="196"/>
      <c r="BD331" s="196"/>
      <c r="BE331" s="196"/>
      <c r="BF331" s="196"/>
      <c r="BG331" s="196"/>
      <c r="BH331" s="196"/>
      <c r="BI331" s="196"/>
      <c r="BJ331" s="196"/>
      <c r="BK331" s="196"/>
    </row>
    <row r="332" spans="1:63" ht="15" customHeight="1" x14ac:dyDescent="0.2">
      <c r="A332"/>
      <c r="B332" s="1798"/>
      <c r="C332" s="1799"/>
      <c r="D332" s="1800"/>
      <c r="E332" s="1801"/>
      <c r="F332" s="1802"/>
      <c r="G332" s="1803"/>
      <c r="H332" s="1803"/>
      <c r="I332" s="1803"/>
      <c r="J332" s="1803"/>
      <c r="K332" s="1803"/>
      <c r="L332" s="1804"/>
      <c r="M332" s="897" t="str">
        <f t="shared" si="11"/>
        <v/>
      </c>
      <c r="N332" s="898" t="str">
        <f t="shared" si="12"/>
        <v/>
      </c>
      <c r="O332"/>
      <c r="P332"/>
      <c r="Q332"/>
      <c r="R332"/>
      <c r="S332"/>
      <c r="T332"/>
      <c r="AZ332" s="196"/>
      <c r="BA332" s="196"/>
      <c r="BB332" s="196"/>
      <c r="BC332" s="196"/>
      <c r="BD332" s="196"/>
      <c r="BE332" s="196"/>
      <c r="BF332" s="196"/>
      <c r="BG332" s="196"/>
      <c r="BH332" s="196"/>
      <c r="BI332" s="196"/>
      <c r="BJ332" s="196"/>
      <c r="BK332" s="196"/>
    </row>
    <row r="333" spans="1:63" ht="15" customHeight="1" x14ac:dyDescent="0.2">
      <c r="A333"/>
      <c r="B333" s="1798"/>
      <c r="C333" s="1799"/>
      <c r="D333" s="1800"/>
      <c r="E333" s="1801"/>
      <c r="F333" s="1802"/>
      <c r="G333" s="1803"/>
      <c r="H333" s="1803"/>
      <c r="I333" s="1803"/>
      <c r="J333" s="1803"/>
      <c r="K333" s="1803"/>
      <c r="L333" s="1804"/>
      <c r="M333" s="897" t="str">
        <f t="shared" si="11"/>
        <v/>
      </c>
      <c r="N333" s="898" t="str">
        <f t="shared" si="12"/>
        <v/>
      </c>
      <c r="O333"/>
      <c r="P333"/>
      <c r="Q333"/>
      <c r="R333"/>
      <c r="S333"/>
      <c r="T333"/>
      <c r="AZ333" s="196"/>
      <c r="BA333" s="196"/>
      <c r="BB333" s="196"/>
      <c r="BC333" s="196"/>
      <c r="BD333" s="196"/>
      <c r="BE333" s="196"/>
      <c r="BF333" s="196"/>
      <c r="BG333" s="196"/>
      <c r="BH333" s="196"/>
      <c r="BI333" s="196"/>
      <c r="BJ333" s="196"/>
      <c r="BK333" s="196"/>
    </row>
    <row r="334" spans="1:63" ht="15" customHeight="1" x14ac:dyDescent="0.2">
      <c r="A334"/>
      <c r="B334" s="1798"/>
      <c r="C334" s="1799"/>
      <c r="D334" s="1800"/>
      <c r="E334" s="1801"/>
      <c r="F334" s="1802"/>
      <c r="G334" s="1803"/>
      <c r="H334" s="1803"/>
      <c r="I334" s="1803"/>
      <c r="J334" s="1803"/>
      <c r="K334" s="1803"/>
      <c r="L334" s="1804"/>
      <c r="M334" s="897" t="str">
        <f t="shared" si="11"/>
        <v/>
      </c>
      <c r="N334" s="898" t="str">
        <f t="shared" si="12"/>
        <v/>
      </c>
      <c r="O334"/>
      <c r="P334"/>
      <c r="Q334"/>
      <c r="R334"/>
      <c r="S334"/>
      <c r="T334"/>
      <c r="AZ334" s="196"/>
      <c r="BA334" s="196"/>
      <c r="BB334" s="196"/>
      <c r="BC334" s="196"/>
      <c r="BD334" s="196"/>
      <c r="BE334" s="196"/>
      <c r="BF334" s="196"/>
      <c r="BG334" s="196"/>
      <c r="BH334" s="196"/>
      <c r="BI334" s="196"/>
      <c r="BJ334" s="196"/>
      <c r="BK334" s="196"/>
    </row>
    <row r="335" spans="1:63" ht="15" customHeight="1" x14ac:dyDescent="0.2">
      <c r="A335"/>
      <c r="B335" s="1798"/>
      <c r="C335" s="1799"/>
      <c r="D335" s="1800"/>
      <c r="E335" s="1801"/>
      <c r="F335" s="1802"/>
      <c r="G335" s="1803"/>
      <c r="H335" s="1803"/>
      <c r="I335" s="1803"/>
      <c r="J335" s="1803"/>
      <c r="K335" s="1803"/>
      <c r="L335" s="1804"/>
      <c r="M335" s="897" t="str">
        <f t="shared" si="11"/>
        <v/>
      </c>
      <c r="N335" s="898" t="str">
        <f t="shared" si="12"/>
        <v/>
      </c>
      <c r="O335"/>
      <c r="P335"/>
      <c r="Q335"/>
      <c r="R335"/>
      <c r="S335"/>
      <c r="T335"/>
      <c r="AZ335" s="196"/>
      <c r="BA335" s="196"/>
      <c r="BB335" s="196"/>
      <c r="BC335" s="196"/>
      <c r="BD335" s="196"/>
      <c r="BE335" s="196"/>
      <c r="BF335" s="196"/>
      <c r="BG335" s="196"/>
      <c r="BH335" s="196"/>
      <c r="BI335" s="196"/>
      <c r="BJ335" s="196"/>
      <c r="BK335" s="196"/>
    </row>
    <row r="336" spans="1:63" ht="15" customHeight="1" x14ac:dyDescent="0.2">
      <c r="A336"/>
      <c r="B336" s="1798"/>
      <c r="C336" s="1799"/>
      <c r="D336" s="1800"/>
      <c r="E336" s="1801"/>
      <c r="F336" s="1802"/>
      <c r="G336" s="1803"/>
      <c r="H336" s="1803"/>
      <c r="I336" s="1803"/>
      <c r="J336" s="1803"/>
      <c r="K336" s="1803"/>
      <c r="L336" s="1804"/>
      <c r="M336" s="897" t="str">
        <f t="shared" si="11"/>
        <v/>
      </c>
      <c r="N336" s="898" t="str">
        <f t="shared" si="12"/>
        <v/>
      </c>
      <c r="O336"/>
      <c r="P336"/>
      <c r="Q336"/>
      <c r="R336"/>
      <c r="S336"/>
      <c r="T336"/>
      <c r="AZ336" s="196"/>
      <c r="BA336" s="196"/>
      <c r="BB336" s="196"/>
      <c r="BC336" s="196"/>
      <c r="BD336" s="196"/>
      <c r="BE336" s="196"/>
      <c r="BF336" s="196"/>
      <c r="BG336" s="196"/>
      <c r="BH336" s="196"/>
      <c r="BI336" s="196"/>
      <c r="BJ336" s="196"/>
      <c r="BK336" s="196"/>
    </row>
    <row r="337" spans="1:63" ht="15" customHeight="1" x14ac:dyDescent="0.2">
      <c r="A337"/>
      <c r="B337" s="1798"/>
      <c r="C337" s="1799"/>
      <c r="D337" s="1800"/>
      <c r="E337" s="1801"/>
      <c r="F337" s="1802"/>
      <c r="G337" s="1803"/>
      <c r="H337" s="1803"/>
      <c r="I337" s="1803"/>
      <c r="J337" s="1803"/>
      <c r="K337" s="1803"/>
      <c r="L337" s="1804"/>
      <c r="M337" s="897" t="str">
        <f t="shared" si="11"/>
        <v/>
      </c>
      <c r="N337" s="898" t="str">
        <f t="shared" si="12"/>
        <v/>
      </c>
      <c r="O337"/>
      <c r="P337"/>
      <c r="Q337"/>
      <c r="R337"/>
      <c r="S337"/>
      <c r="T337"/>
      <c r="AZ337" s="196"/>
      <c r="BA337" s="196"/>
      <c r="BB337" s="196"/>
      <c r="BC337" s="196"/>
      <c r="BD337" s="196"/>
      <c r="BE337" s="196"/>
      <c r="BF337" s="196"/>
      <c r="BG337" s="196"/>
      <c r="BH337" s="196"/>
      <c r="BI337" s="196"/>
      <c r="BJ337" s="196"/>
      <c r="BK337" s="196"/>
    </row>
    <row r="338" spans="1:63" ht="15" customHeight="1" x14ac:dyDescent="0.2">
      <c r="A338"/>
      <c r="B338" s="1798"/>
      <c r="C338" s="1799"/>
      <c r="D338" s="1800"/>
      <c r="E338" s="1801"/>
      <c r="F338" s="1802"/>
      <c r="G338" s="1803"/>
      <c r="H338" s="1803"/>
      <c r="I338" s="1803"/>
      <c r="J338" s="1803"/>
      <c r="K338" s="1803"/>
      <c r="L338" s="1804"/>
      <c r="M338" s="897" t="str">
        <f t="shared" si="11"/>
        <v/>
      </c>
      <c r="N338" s="898" t="str">
        <f t="shared" si="12"/>
        <v/>
      </c>
      <c r="O338"/>
      <c r="P338"/>
      <c r="Q338"/>
      <c r="R338"/>
      <c r="S338"/>
      <c r="T338"/>
      <c r="AZ338" s="196"/>
      <c r="BA338" s="196"/>
      <c r="BB338" s="196"/>
      <c r="BC338" s="196"/>
      <c r="BD338" s="196"/>
      <c r="BE338" s="196"/>
      <c r="BF338" s="196"/>
      <c r="BG338" s="196"/>
      <c r="BH338" s="196"/>
      <c r="BI338" s="196"/>
      <c r="BJ338" s="196"/>
      <c r="BK338" s="196"/>
    </row>
    <row r="339" spans="1:63" ht="15" customHeight="1" x14ac:dyDescent="0.2">
      <c r="A339"/>
      <c r="B339" s="1798"/>
      <c r="C339" s="1799"/>
      <c r="D339" s="1800"/>
      <c r="E339" s="1801"/>
      <c r="F339" s="1802"/>
      <c r="G339" s="1803"/>
      <c r="H339" s="1803"/>
      <c r="I339" s="1803"/>
      <c r="J339" s="1803"/>
      <c r="K339" s="1803"/>
      <c r="L339" s="1804"/>
      <c r="M339" s="897" t="str">
        <f t="shared" si="11"/>
        <v/>
      </c>
      <c r="N339" s="898" t="str">
        <f t="shared" si="12"/>
        <v/>
      </c>
      <c r="O339"/>
      <c r="P339"/>
      <c r="Q339"/>
      <c r="R339"/>
      <c r="S339"/>
      <c r="T339"/>
      <c r="AZ339" s="196"/>
      <c r="BA339" s="196"/>
      <c r="BB339" s="196"/>
      <c r="BC339" s="196"/>
      <c r="BD339" s="196"/>
      <c r="BE339" s="196"/>
      <c r="BF339" s="196"/>
      <c r="BG339" s="196"/>
      <c r="BH339" s="196"/>
      <c r="BI339" s="196"/>
      <c r="BJ339" s="196"/>
      <c r="BK339" s="196"/>
    </row>
    <row r="340" spans="1:63" ht="15" customHeight="1" x14ac:dyDescent="0.2">
      <c r="A340"/>
      <c r="B340" s="1798"/>
      <c r="C340" s="1799"/>
      <c r="D340" s="1800"/>
      <c r="E340" s="1801"/>
      <c r="F340" s="1802"/>
      <c r="G340" s="1803"/>
      <c r="H340" s="1803"/>
      <c r="I340" s="1803"/>
      <c r="J340" s="1803"/>
      <c r="K340" s="1803"/>
      <c r="L340" s="1804"/>
      <c r="M340" s="897" t="str">
        <f t="shared" si="11"/>
        <v/>
      </c>
      <c r="N340" s="898" t="str">
        <f t="shared" si="12"/>
        <v/>
      </c>
      <c r="O340"/>
      <c r="P340"/>
      <c r="Q340"/>
      <c r="R340"/>
      <c r="S340"/>
      <c r="T340"/>
      <c r="AZ340" s="196"/>
      <c r="BA340" s="196"/>
      <c r="BB340" s="196"/>
      <c r="BC340" s="196"/>
      <c r="BD340" s="196"/>
      <c r="BE340" s="196"/>
      <c r="BF340" s="196"/>
      <c r="BG340" s="196"/>
      <c r="BH340" s="196"/>
      <c r="BI340" s="196"/>
      <c r="BJ340" s="196"/>
      <c r="BK340" s="196"/>
    </row>
    <row r="341" spans="1:63" ht="15" customHeight="1" x14ac:dyDescent="0.2">
      <c r="A341"/>
      <c r="B341" s="1798"/>
      <c r="C341" s="1799"/>
      <c r="D341" s="1800"/>
      <c r="E341" s="1801"/>
      <c r="F341" s="1802"/>
      <c r="G341" s="1803"/>
      <c r="H341" s="1803"/>
      <c r="I341" s="1803"/>
      <c r="J341" s="1803"/>
      <c r="K341" s="1803"/>
      <c r="L341" s="1804"/>
      <c r="M341" s="897" t="str">
        <f t="shared" si="11"/>
        <v/>
      </c>
      <c r="N341" s="898" t="str">
        <f t="shared" si="12"/>
        <v/>
      </c>
      <c r="O341"/>
      <c r="P341"/>
      <c r="Q341"/>
      <c r="R341"/>
      <c r="S341"/>
      <c r="T341"/>
      <c r="AZ341" s="196"/>
      <c r="BA341" s="196"/>
      <c r="BB341" s="196"/>
      <c r="BC341" s="196"/>
      <c r="BD341" s="196"/>
      <c r="BE341" s="196"/>
      <c r="BF341" s="196"/>
      <c r="BG341" s="196"/>
      <c r="BH341" s="196"/>
      <c r="BI341" s="196"/>
      <c r="BJ341" s="196"/>
      <c r="BK341" s="196"/>
    </row>
    <row r="342" spans="1:63" ht="15" customHeight="1" x14ac:dyDescent="0.2">
      <c r="A342"/>
      <c r="B342" s="1798"/>
      <c r="C342" s="1799"/>
      <c r="D342" s="1800"/>
      <c r="E342" s="1801"/>
      <c r="F342" s="1802"/>
      <c r="G342" s="1803"/>
      <c r="H342" s="1803"/>
      <c r="I342" s="1803"/>
      <c r="J342" s="1803"/>
      <c r="K342" s="1803"/>
      <c r="L342" s="1804"/>
      <c r="M342" s="897" t="str">
        <f t="shared" si="11"/>
        <v/>
      </c>
      <c r="N342" s="898" t="str">
        <f t="shared" si="12"/>
        <v/>
      </c>
      <c r="O342"/>
      <c r="P342"/>
      <c r="Q342"/>
      <c r="R342"/>
      <c r="S342"/>
      <c r="T342"/>
      <c r="AZ342" s="196"/>
      <c r="BA342" s="196"/>
      <c r="BB342" s="196"/>
      <c r="BC342" s="196"/>
      <c r="BD342" s="196"/>
      <c r="BE342" s="196"/>
      <c r="BF342" s="196"/>
      <c r="BG342" s="196"/>
      <c r="BH342" s="196"/>
      <c r="BI342" s="196"/>
      <c r="BJ342" s="196"/>
      <c r="BK342" s="196"/>
    </row>
    <row r="343" spans="1:63" ht="15" customHeight="1" x14ac:dyDescent="0.2">
      <c r="A343"/>
      <c r="B343" s="1798"/>
      <c r="C343" s="1799"/>
      <c r="D343" s="1800"/>
      <c r="E343" s="1801"/>
      <c r="F343" s="1802"/>
      <c r="G343" s="1803"/>
      <c r="H343" s="1803"/>
      <c r="I343" s="1803"/>
      <c r="J343" s="1803"/>
      <c r="K343" s="1803"/>
      <c r="L343" s="1804"/>
      <c r="M343" s="897" t="str">
        <f t="shared" si="11"/>
        <v/>
      </c>
      <c r="N343" s="898" t="str">
        <f t="shared" si="12"/>
        <v/>
      </c>
      <c r="O343"/>
      <c r="P343"/>
      <c r="Q343"/>
      <c r="R343"/>
      <c r="S343"/>
      <c r="T343"/>
      <c r="AZ343" s="196"/>
      <c r="BA343" s="196"/>
      <c r="BB343" s="196"/>
      <c r="BC343" s="196"/>
      <c r="BD343" s="196"/>
      <c r="BE343" s="196"/>
      <c r="BF343" s="196"/>
      <c r="BG343" s="196"/>
      <c r="BH343" s="196"/>
      <c r="BI343" s="196"/>
      <c r="BJ343" s="196"/>
      <c r="BK343" s="196"/>
    </row>
    <row r="344" spans="1:63" ht="15" customHeight="1" x14ac:dyDescent="0.2">
      <c r="A344"/>
      <c r="B344" s="1798"/>
      <c r="C344" s="1799"/>
      <c r="D344" s="1800"/>
      <c r="E344" s="1801"/>
      <c r="F344" s="1802"/>
      <c r="G344" s="1803"/>
      <c r="H344" s="1803"/>
      <c r="I344" s="1803"/>
      <c r="J344" s="1803"/>
      <c r="K344" s="1803"/>
      <c r="L344" s="1804"/>
      <c r="M344" s="897" t="str">
        <f t="shared" si="11"/>
        <v/>
      </c>
      <c r="N344" s="898" t="str">
        <f t="shared" si="12"/>
        <v/>
      </c>
      <c r="O344"/>
      <c r="P344"/>
      <c r="Q344"/>
      <c r="R344"/>
      <c r="S344"/>
      <c r="T344"/>
      <c r="AZ344" s="196"/>
      <c r="BA344" s="196"/>
      <c r="BB344" s="196"/>
      <c r="BC344" s="196"/>
      <c r="BD344" s="196"/>
      <c r="BE344" s="196"/>
      <c r="BF344" s="196"/>
      <c r="BG344" s="196"/>
      <c r="BH344" s="196"/>
      <c r="BI344" s="196"/>
      <c r="BJ344" s="196"/>
      <c r="BK344" s="196"/>
    </row>
    <row r="345" spans="1:63" ht="15" customHeight="1" x14ac:dyDescent="0.2">
      <c r="A345"/>
      <c r="B345" s="1798"/>
      <c r="C345" s="1799"/>
      <c r="D345" s="1800"/>
      <c r="E345" s="1801"/>
      <c r="F345" s="1802"/>
      <c r="G345" s="1803"/>
      <c r="H345" s="1803"/>
      <c r="I345" s="1803"/>
      <c r="J345" s="1803"/>
      <c r="K345" s="1803"/>
      <c r="L345" s="1804"/>
      <c r="M345" s="897" t="str">
        <f t="shared" si="11"/>
        <v/>
      </c>
      <c r="N345" s="898" t="str">
        <f t="shared" si="12"/>
        <v/>
      </c>
      <c r="O345"/>
      <c r="P345"/>
      <c r="Q345"/>
      <c r="R345"/>
      <c r="S345"/>
      <c r="T345"/>
      <c r="AZ345" s="196"/>
      <c r="BA345" s="196"/>
      <c r="BB345" s="196"/>
      <c r="BC345" s="196"/>
      <c r="BD345" s="196"/>
      <c r="BE345" s="196"/>
      <c r="BF345" s="196"/>
      <c r="BG345" s="196"/>
      <c r="BH345" s="196"/>
      <c r="BI345" s="196"/>
      <c r="BJ345" s="196"/>
      <c r="BK345" s="196"/>
    </row>
    <row r="346" spans="1:63" ht="15" customHeight="1" x14ac:dyDescent="0.2">
      <c r="A346"/>
      <c r="B346" s="1798"/>
      <c r="C346" s="1799"/>
      <c r="D346" s="1800"/>
      <c r="E346" s="1801"/>
      <c r="F346" s="1802"/>
      <c r="G346" s="1803"/>
      <c r="H346" s="1803"/>
      <c r="I346" s="1803"/>
      <c r="J346" s="1803"/>
      <c r="K346" s="1803"/>
      <c r="L346" s="1804"/>
      <c r="M346" s="897" t="str">
        <f t="shared" si="11"/>
        <v/>
      </c>
      <c r="N346" s="898" t="str">
        <f t="shared" si="12"/>
        <v/>
      </c>
      <c r="O346"/>
      <c r="P346"/>
      <c r="Q346"/>
      <c r="R346"/>
      <c r="S346"/>
      <c r="T346"/>
      <c r="AZ346" s="196"/>
      <c r="BA346" s="196"/>
      <c r="BB346" s="196"/>
      <c r="BC346" s="196"/>
      <c r="BD346" s="196"/>
      <c r="BE346" s="196"/>
      <c r="BF346" s="196"/>
      <c r="BG346" s="196"/>
      <c r="BH346" s="196"/>
      <c r="BI346" s="196"/>
      <c r="BJ346" s="196"/>
      <c r="BK346" s="196"/>
    </row>
    <row r="347" spans="1:63" ht="15" customHeight="1" x14ac:dyDescent="0.2">
      <c r="A347"/>
      <c r="B347" s="1798"/>
      <c r="C347" s="1799"/>
      <c r="D347" s="1800"/>
      <c r="E347" s="1801"/>
      <c r="F347" s="1802"/>
      <c r="G347" s="1803"/>
      <c r="H347" s="1803"/>
      <c r="I347" s="1803"/>
      <c r="J347" s="1803"/>
      <c r="K347" s="1803"/>
      <c r="L347" s="1804"/>
      <c r="M347" s="897" t="str">
        <f t="shared" si="11"/>
        <v/>
      </c>
      <c r="N347" s="898" t="str">
        <f t="shared" si="12"/>
        <v/>
      </c>
      <c r="O347"/>
      <c r="P347"/>
      <c r="Q347"/>
      <c r="R347"/>
      <c r="S347"/>
      <c r="T347"/>
      <c r="AZ347" s="196"/>
      <c r="BA347" s="196"/>
      <c r="BB347" s="196"/>
      <c r="BC347" s="196"/>
      <c r="BD347" s="196"/>
      <c r="BE347" s="196"/>
      <c r="BF347" s="196"/>
      <c r="BG347" s="196"/>
      <c r="BH347" s="196"/>
      <c r="BI347" s="196"/>
      <c r="BJ347" s="196"/>
      <c r="BK347" s="196"/>
    </row>
    <row r="348" spans="1:63" ht="15" customHeight="1" x14ac:dyDescent="0.2">
      <c r="A348"/>
      <c r="B348" s="1798"/>
      <c r="C348" s="1799"/>
      <c r="D348" s="1800"/>
      <c r="E348" s="1801"/>
      <c r="F348" s="1802"/>
      <c r="G348" s="1803"/>
      <c r="H348" s="1803"/>
      <c r="I348" s="1803"/>
      <c r="J348" s="1803"/>
      <c r="K348" s="1803"/>
      <c r="L348" s="1804"/>
      <c r="M348" s="897" t="str">
        <f t="shared" si="11"/>
        <v/>
      </c>
      <c r="N348" s="898" t="str">
        <f t="shared" si="12"/>
        <v/>
      </c>
      <c r="O348"/>
      <c r="P348"/>
      <c r="Q348"/>
      <c r="R348"/>
      <c r="S348"/>
      <c r="T348"/>
      <c r="AZ348" s="196"/>
      <c r="BA348" s="196"/>
      <c r="BB348" s="196"/>
      <c r="BC348" s="196"/>
      <c r="BD348" s="196"/>
      <c r="BE348" s="196"/>
      <c r="BF348" s="196"/>
      <c r="BG348" s="196"/>
      <c r="BH348" s="196"/>
      <c r="BI348" s="196"/>
      <c r="BJ348" s="196"/>
      <c r="BK348" s="196"/>
    </row>
    <row r="349" spans="1:63" ht="15" customHeight="1" x14ac:dyDescent="0.2">
      <c r="A349"/>
      <c r="B349" s="1798"/>
      <c r="C349" s="1799"/>
      <c r="D349" s="1800"/>
      <c r="E349" s="1801"/>
      <c r="F349" s="1802"/>
      <c r="G349" s="1803"/>
      <c r="H349" s="1803"/>
      <c r="I349" s="1803"/>
      <c r="J349" s="1803"/>
      <c r="K349" s="1803"/>
      <c r="L349" s="1804"/>
      <c r="M349" s="897" t="str">
        <f t="shared" si="11"/>
        <v/>
      </c>
      <c r="N349" s="898" t="str">
        <f t="shared" si="12"/>
        <v/>
      </c>
      <c r="O349"/>
      <c r="P349"/>
      <c r="Q349"/>
      <c r="R349"/>
      <c r="S349"/>
      <c r="T349"/>
      <c r="AZ349" s="196"/>
      <c r="BA349" s="196"/>
      <c r="BB349" s="196"/>
      <c r="BC349" s="196"/>
      <c r="BD349" s="196"/>
      <c r="BE349" s="196"/>
      <c r="BF349" s="196"/>
      <c r="BG349" s="196"/>
      <c r="BH349" s="196"/>
      <c r="BI349" s="196"/>
      <c r="BJ349" s="196"/>
      <c r="BK349" s="196"/>
    </row>
    <row r="350" spans="1:63" ht="15" customHeight="1" x14ac:dyDescent="0.2">
      <c r="A350"/>
      <c r="B350" s="1798"/>
      <c r="C350" s="1799"/>
      <c r="D350" s="1800"/>
      <c r="E350" s="1801"/>
      <c r="F350" s="1802"/>
      <c r="G350" s="1803"/>
      <c r="H350" s="1803"/>
      <c r="I350" s="1803"/>
      <c r="J350" s="1803"/>
      <c r="K350" s="1803"/>
      <c r="L350" s="1804"/>
      <c r="M350" s="897" t="str">
        <f t="shared" si="11"/>
        <v/>
      </c>
      <c r="N350" s="898" t="str">
        <f t="shared" si="12"/>
        <v/>
      </c>
      <c r="O350"/>
      <c r="P350"/>
      <c r="Q350"/>
      <c r="R350"/>
      <c r="S350"/>
      <c r="T350"/>
      <c r="AZ350" s="196"/>
      <c r="BA350" s="196"/>
      <c r="BB350" s="196"/>
      <c r="BC350" s="196"/>
      <c r="BD350" s="196"/>
      <c r="BE350" s="196"/>
      <c r="BF350" s="196"/>
      <c r="BG350" s="196"/>
      <c r="BH350" s="196"/>
      <c r="BI350" s="196"/>
      <c r="BJ350" s="196"/>
      <c r="BK350" s="196"/>
    </row>
    <row r="351" spans="1:63" ht="15" customHeight="1" x14ac:dyDescent="0.2">
      <c r="A351"/>
      <c r="B351" s="1798"/>
      <c r="C351" s="1799"/>
      <c r="D351" s="1800"/>
      <c r="E351" s="1801"/>
      <c r="F351" s="1802"/>
      <c r="G351" s="1803"/>
      <c r="H351" s="1803"/>
      <c r="I351" s="1803"/>
      <c r="J351" s="1803"/>
      <c r="K351" s="1803"/>
      <c r="L351" s="1804"/>
      <c r="M351" s="897" t="str">
        <f t="shared" si="11"/>
        <v/>
      </c>
      <c r="N351" s="898" t="str">
        <f t="shared" si="12"/>
        <v/>
      </c>
      <c r="O351"/>
      <c r="P351"/>
      <c r="Q351"/>
      <c r="R351"/>
      <c r="S351"/>
      <c r="T351"/>
      <c r="AZ351" s="196"/>
      <c r="BA351" s="196"/>
      <c r="BB351" s="196"/>
      <c r="BC351" s="196"/>
      <c r="BD351" s="196"/>
      <c r="BE351" s="196"/>
      <c r="BF351" s="196"/>
      <c r="BG351" s="196"/>
      <c r="BH351" s="196"/>
      <c r="BI351" s="196"/>
      <c r="BJ351" s="196"/>
      <c r="BK351" s="196"/>
    </row>
    <row r="352" spans="1:63" ht="15" customHeight="1" x14ac:dyDescent="0.2">
      <c r="A352"/>
      <c r="B352" s="1798"/>
      <c r="C352" s="1799"/>
      <c r="D352" s="1800"/>
      <c r="E352" s="1801"/>
      <c r="F352" s="1802"/>
      <c r="G352" s="1803"/>
      <c r="H352" s="1803"/>
      <c r="I352" s="1803"/>
      <c r="J352" s="1803"/>
      <c r="K352" s="1803"/>
      <c r="L352" s="1804"/>
      <c r="M352" s="897" t="str">
        <f t="shared" si="11"/>
        <v/>
      </c>
      <c r="N352" s="898" t="str">
        <f t="shared" si="12"/>
        <v/>
      </c>
      <c r="O352"/>
      <c r="P352"/>
      <c r="Q352"/>
      <c r="R352"/>
      <c r="S352"/>
      <c r="T352"/>
      <c r="AZ352" s="196"/>
      <c r="BA352" s="196"/>
      <c r="BB352" s="196"/>
      <c r="BC352" s="196"/>
      <c r="BD352" s="196"/>
      <c r="BE352" s="196"/>
      <c r="BF352" s="196"/>
      <c r="BG352" s="196"/>
      <c r="BH352" s="196"/>
      <c r="BI352" s="196"/>
      <c r="BJ352" s="196"/>
      <c r="BK352" s="196"/>
    </row>
    <row r="353" spans="1:63" ht="15" customHeight="1" x14ac:dyDescent="0.2">
      <c r="A353"/>
      <c r="B353" s="1798"/>
      <c r="C353" s="1799"/>
      <c r="D353" s="1800"/>
      <c r="E353" s="1801"/>
      <c r="F353" s="1802"/>
      <c r="G353" s="1803"/>
      <c r="H353" s="1803"/>
      <c r="I353" s="1803"/>
      <c r="J353" s="1803"/>
      <c r="K353" s="1803"/>
      <c r="L353" s="1804"/>
      <c r="M353" s="897" t="str">
        <f t="shared" si="11"/>
        <v/>
      </c>
      <c r="N353" s="898" t="str">
        <f t="shared" si="12"/>
        <v/>
      </c>
      <c r="O353"/>
      <c r="P353"/>
      <c r="Q353"/>
      <c r="R353"/>
      <c r="S353"/>
      <c r="T353"/>
      <c r="AZ353" s="196"/>
      <c r="BA353" s="196"/>
      <c r="BB353" s="196"/>
      <c r="BC353" s="196"/>
      <c r="BD353" s="196"/>
      <c r="BE353" s="196"/>
      <c r="BF353" s="196"/>
      <c r="BG353" s="196"/>
      <c r="BH353" s="196"/>
      <c r="BI353" s="196"/>
      <c r="BJ353" s="196"/>
      <c r="BK353" s="196"/>
    </row>
    <row r="354" spans="1:63" ht="15" customHeight="1" x14ac:dyDescent="0.2">
      <c r="A354"/>
      <c r="B354" s="1798"/>
      <c r="C354" s="1799"/>
      <c r="D354" s="1800"/>
      <c r="E354" s="1801"/>
      <c r="F354" s="1802"/>
      <c r="G354" s="1803"/>
      <c r="H354" s="1803"/>
      <c r="I354" s="1803"/>
      <c r="J354" s="1803"/>
      <c r="K354" s="1803"/>
      <c r="L354" s="1804"/>
      <c r="M354" s="897" t="str">
        <f t="shared" si="11"/>
        <v/>
      </c>
      <c r="N354" s="898" t="str">
        <f t="shared" si="12"/>
        <v/>
      </c>
      <c r="O354"/>
      <c r="P354"/>
      <c r="Q354"/>
      <c r="R354"/>
      <c r="S354"/>
      <c r="T354"/>
      <c r="AZ354" s="196"/>
      <c r="BA354" s="196"/>
      <c r="BB354" s="196"/>
      <c r="BC354" s="196"/>
      <c r="BD354" s="196"/>
      <c r="BE354" s="196"/>
      <c r="BF354" s="196"/>
      <c r="BG354" s="196"/>
      <c r="BH354" s="196"/>
      <c r="BI354" s="196"/>
      <c r="BJ354" s="196"/>
      <c r="BK354" s="196"/>
    </row>
    <row r="355" spans="1:63" ht="15" customHeight="1" x14ac:dyDescent="0.2">
      <c r="A355"/>
      <c r="B355" s="1798"/>
      <c r="C355" s="1799"/>
      <c r="D355" s="1800"/>
      <c r="E355" s="1801"/>
      <c r="F355" s="1802"/>
      <c r="G355" s="1803"/>
      <c r="H355" s="1803"/>
      <c r="I355" s="1803"/>
      <c r="J355" s="1803"/>
      <c r="K355" s="1803"/>
      <c r="L355" s="1804"/>
      <c r="M355" s="897" t="str">
        <f t="shared" si="11"/>
        <v/>
      </c>
      <c r="N355" s="898" t="str">
        <f t="shared" si="12"/>
        <v/>
      </c>
      <c r="O355"/>
      <c r="P355"/>
      <c r="Q355"/>
      <c r="R355"/>
      <c r="S355"/>
      <c r="T355"/>
      <c r="AZ355" s="196"/>
      <c r="BA355" s="196"/>
      <c r="BB355" s="196"/>
      <c r="BC355" s="196"/>
      <c r="BD355" s="196"/>
      <c r="BE355" s="196"/>
      <c r="BF355" s="196"/>
      <c r="BG355" s="196"/>
      <c r="BH355" s="196"/>
      <c r="BI355" s="196"/>
      <c r="BJ355" s="196"/>
      <c r="BK355" s="196"/>
    </row>
    <row r="356" spans="1:63" ht="15" customHeight="1" x14ac:dyDescent="0.2">
      <c r="A356"/>
      <c r="B356" s="1798"/>
      <c r="C356" s="1799"/>
      <c r="D356" s="1800"/>
      <c r="E356" s="1801"/>
      <c r="F356" s="1802"/>
      <c r="G356" s="1803"/>
      <c r="H356" s="1803"/>
      <c r="I356" s="1803"/>
      <c r="J356" s="1803"/>
      <c r="K356" s="1803"/>
      <c r="L356" s="1804"/>
      <c r="M356" s="897" t="str">
        <f t="shared" si="11"/>
        <v/>
      </c>
      <c r="N356" s="898" t="str">
        <f t="shared" si="12"/>
        <v/>
      </c>
      <c r="O356"/>
      <c r="P356"/>
      <c r="Q356"/>
      <c r="R356"/>
      <c r="S356"/>
      <c r="T356"/>
      <c r="AZ356" s="196"/>
      <c r="BA356" s="196"/>
      <c r="BB356" s="196"/>
      <c r="BC356" s="196"/>
      <c r="BD356" s="196"/>
      <c r="BE356" s="196"/>
      <c r="BF356" s="196"/>
      <c r="BG356" s="196"/>
      <c r="BH356" s="196"/>
      <c r="BI356" s="196"/>
      <c r="BJ356" s="196"/>
      <c r="BK356" s="196"/>
    </row>
    <row r="357" spans="1:63" ht="15" customHeight="1" x14ac:dyDescent="0.2">
      <c r="A357"/>
      <c r="B357" s="1798"/>
      <c r="C357" s="1799"/>
      <c r="D357" s="1800"/>
      <c r="E357" s="1801"/>
      <c r="F357" s="1802"/>
      <c r="G357" s="1803"/>
      <c r="H357" s="1803"/>
      <c r="I357" s="1803"/>
      <c r="J357" s="1803"/>
      <c r="K357" s="1803"/>
      <c r="L357" s="1804"/>
      <c r="M357" s="897" t="str">
        <f t="shared" si="11"/>
        <v/>
      </c>
      <c r="N357" s="898" t="str">
        <f t="shared" si="12"/>
        <v/>
      </c>
      <c r="O357"/>
      <c r="P357"/>
      <c r="Q357"/>
      <c r="R357"/>
      <c r="S357"/>
      <c r="T357"/>
      <c r="AZ357" s="196"/>
      <c r="BA357" s="196"/>
      <c r="BB357" s="196"/>
      <c r="BC357" s="196"/>
      <c r="BD357" s="196"/>
      <c r="BE357" s="196"/>
      <c r="BF357" s="196"/>
      <c r="BG357" s="196"/>
      <c r="BH357" s="196"/>
      <c r="BI357" s="196"/>
      <c r="BJ357" s="196"/>
      <c r="BK357" s="196"/>
    </row>
    <row r="358" spans="1:63" ht="15" customHeight="1" x14ac:dyDescent="0.2">
      <c r="A358"/>
      <c r="B358" s="1798"/>
      <c r="C358" s="1799"/>
      <c r="D358" s="1800"/>
      <c r="E358" s="1801"/>
      <c r="F358" s="1802"/>
      <c r="G358" s="1803"/>
      <c r="H358" s="1803"/>
      <c r="I358" s="1803"/>
      <c r="J358" s="1803"/>
      <c r="K358" s="1803"/>
      <c r="L358" s="1804"/>
      <c r="M358" s="897" t="str">
        <f t="shared" si="11"/>
        <v/>
      </c>
      <c r="N358" s="898" t="str">
        <f t="shared" si="12"/>
        <v/>
      </c>
      <c r="O358"/>
      <c r="P358"/>
      <c r="Q358"/>
      <c r="R358"/>
      <c r="S358"/>
      <c r="T358"/>
      <c r="AZ358" s="196"/>
      <c r="BA358" s="196"/>
      <c r="BB358" s="196"/>
      <c r="BC358" s="196"/>
      <c r="BD358" s="196"/>
      <c r="BE358" s="196"/>
      <c r="BF358" s="196"/>
      <c r="BG358" s="196"/>
      <c r="BH358" s="196"/>
      <c r="BI358" s="196"/>
      <c r="BJ358" s="196"/>
      <c r="BK358" s="196"/>
    </row>
    <row r="359" spans="1:63" ht="15" customHeight="1" x14ac:dyDescent="0.2">
      <c r="A359"/>
      <c r="B359" s="1798"/>
      <c r="C359" s="1799"/>
      <c r="D359" s="1800"/>
      <c r="E359" s="1801"/>
      <c r="F359" s="1802"/>
      <c r="G359" s="1803"/>
      <c r="H359" s="1803"/>
      <c r="I359" s="1803"/>
      <c r="J359" s="1803"/>
      <c r="K359" s="1803"/>
      <c r="L359" s="1804"/>
      <c r="M359" s="897" t="str">
        <f t="shared" ref="M359:M422" si="13">UPPER(C359)</f>
        <v/>
      </c>
      <c r="N359" s="898" t="str">
        <f t="shared" si="12"/>
        <v/>
      </c>
      <c r="O359"/>
      <c r="P359"/>
      <c r="Q359"/>
      <c r="R359"/>
      <c r="S359"/>
      <c r="T359"/>
      <c r="AZ359" s="196"/>
      <c r="BA359" s="196"/>
      <c r="BB359" s="196"/>
      <c r="BC359" s="196"/>
      <c r="BD359" s="196"/>
      <c r="BE359" s="196"/>
      <c r="BF359" s="196"/>
      <c r="BG359" s="196"/>
      <c r="BH359" s="196"/>
      <c r="BI359" s="196"/>
      <c r="BJ359" s="196"/>
      <c r="BK359" s="196"/>
    </row>
    <row r="360" spans="1:63" ht="15" customHeight="1" x14ac:dyDescent="0.2">
      <c r="A360"/>
      <c r="B360" s="1798"/>
      <c r="C360" s="1799"/>
      <c r="D360" s="1800"/>
      <c r="E360" s="1801"/>
      <c r="F360" s="1802"/>
      <c r="G360" s="1803"/>
      <c r="H360" s="1803"/>
      <c r="I360" s="1803"/>
      <c r="J360" s="1803"/>
      <c r="K360" s="1803"/>
      <c r="L360" s="1804"/>
      <c r="M360" s="897" t="str">
        <f t="shared" si="13"/>
        <v/>
      </c>
      <c r="N360" s="898" t="str">
        <f t="shared" si="12"/>
        <v/>
      </c>
      <c r="O360"/>
      <c r="P360"/>
      <c r="Q360"/>
      <c r="R360"/>
      <c r="S360"/>
      <c r="T360"/>
      <c r="AZ360" s="196"/>
      <c r="BA360" s="196"/>
      <c r="BB360" s="196"/>
      <c r="BC360" s="196"/>
      <c r="BD360" s="196"/>
      <c r="BE360" s="196"/>
      <c r="BF360" s="196"/>
      <c r="BG360" s="196"/>
      <c r="BH360" s="196"/>
      <c r="BI360" s="196"/>
      <c r="BJ360" s="196"/>
      <c r="BK360" s="196"/>
    </row>
    <row r="361" spans="1:63" ht="15" customHeight="1" x14ac:dyDescent="0.2">
      <c r="A361"/>
      <c r="B361" s="1798"/>
      <c r="C361" s="1799"/>
      <c r="D361" s="1800"/>
      <c r="E361" s="1801"/>
      <c r="F361" s="1802"/>
      <c r="G361" s="1803"/>
      <c r="H361" s="1803"/>
      <c r="I361" s="1803"/>
      <c r="J361" s="1803"/>
      <c r="K361" s="1803"/>
      <c r="L361" s="1804"/>
      <c r="M361" s="897" t="str">
        <f t="shared" si="13"/>
        <v/>
      </c>
      <c r="N361" s="898" t="str">
        <f t="shared" si="12"/>
        <v/>
      </c>
      <c r="O361"/>
      <c r="P361"/>
      <c r="Q361"/>
      <c r="R361"/>
      <c r="S361"/>
      <c r="T361"/>
      <c r="AZ361" s="196"/>
      <c r="BA361" s="196"/>
      <c r="BB361" s="196"/>
      <c r="BC361" s="196"/>
      <c r="BD361" s="196"/>
      <c r="BE361" s="196"/>
      <c r="BF361" s="196"/>
      <c r="BG361" s="196"/>
      <c r="BH361" s="196"/>
      <c r="BI361" s="196"/>
      <c r="BJ361" s="196"/>
      <c r="BK361" s="196"/>
    </row>
    <row r="362" spans="1:63" ht="15" customHeight="1" x14ac:dyDescent="0.2">
      <c r="A362"/>
      <c r="B362" s="1798"/>
      <c r="C362" s="1799"/>
      <c r="D362" s="1800"/>
      <c r="E362" s="1801"/>
      <c r="F362" s="1802"/>
      <c r="G362" s="1803"/>
      <c r="H362" s="1803"/>
      <c r="I362" s="1803"/>
      <c r="J362" s="1803"/>
      <c r="K362" s="1803"/>
      <c r="L362" s="1804"/>
      <c r="M362" s="897" t="str">
        <f t="shared" si="13"/>
        <v/>
      </c>
      <c r="N362" s="898" t="str">
        <f t="shared" si="12"/>
        <v/>
      </c>
      <c r="O362"/>
      <c r="P362"/>
      <c r="Q362"/>
      <c r="R362"/>
      <c r="S362"/>
      <c r="T362"/>
      <c r="AZ362" s="196"/>
      <c r="BA362" s="196"/>
      <c r="BB362" s="196"/>
      <c r="BC362" s="196"/>
      <c r="BD362" s="196"/>
      <c r="BE362" s="196"/>
      <c r="BF362" s="196"/>
      <c r="BG362" s="196"/>
      <c r="BH362" s="196"/>
      <c r="BI362" s="196"/>
      <c r="BJ362" s="196"/>
      <c r="BK362" s="196"/>
    </row>
    <row r="363" spans="1:63" ht="15" customHeight="1" x14ac:dyDescent="0.2">
      <c r="A363"/>
      <c r="B363" s="1798"/>
      <c r="C363" s="1799"/>
      <c r="D363" s="1800"/>
      <c r="E363" s="1801"/>
      <c r="F363" s="1802"/>
      <c r="G363" s="1803"/>
      <c r="H363" s="1803"/>
      <c r="I363" s="1803"/>
      <c r="J363" s="1803"/>
      <c r="K363" s="1803"/>
      <c r="L363" s="1804"/>
      <c r="M363" s="897" t="str">
        <f t="shared" si="13"/>
        <v/>
      </c>
      <c r="N363" s="898" t="str">
        <f t="shared" si="12"/>
        <v/>
      </c>
      <c r="O363"/>
      <c r="P363"/>
      <c r="Q363"/>
      <c r="R363"/>
      <c r="S363"/>
      <c r="T363"/>
      <c r="AZ363" s="196"/>
      <c r="BA363" s="196"/>
      <c r="BB363" s="196"/>
      <c r="BC363" s="196"/>
      <c r="BD363" s="196"/>
      <c r="BE363" s="196"/>
      <c r="BF363" s="196"/>
      <c r="BG363" s="196"/>
      <c r="BH363" s="196"/>
      <c r="BI363" s="196"/>
      <c r="BJ363" s="196"/>
      <c r="BK363" s="196"/>
    </row>
    <row r="364" spans="1:63" ht="15" customHeight="1" x14ac:dyDescent="0.2">
      <c r="A364"/>
      <c r="B364" s="1798"/>
      <c r="C364" s="1799"/>
      <c r="D364" s="1800"/>
      <c r="E364" s="1801"/>
      <c r="F364" s="1802"/>
      <c r="G364" s="1803"/>
      <c r="H364" s="1803"/>
      <c r="I364" s="1803"/>
      <c r="J364" s="1803"/>
      <c r="K364" s="1803"/>
      <c r="L364" s="1804"/>
      <c r="M364" s="897" t="str">
        <f t="shared" si="13"/>
        <v/>
      </c>
      <c r="N364" s="898" t="str">
        <f t="shared" si="12"/>
        <v/>
      </c>
      <c r="O364"/>
      <c r="P364"/>
      <c r="Q364"/>
      <c r="R364"/>
      <c r="S364"/>
      <c r="T364"/>
      <c r="AZ364" s="196"/>
      <c r="BA364" s="196"/>
      <c r="BB364" s="196"/>
      <c r="BC364" s="196"/>
      <c r="BD364" s="196"/>
      <c r="BE364" s="196"/>
      <c r="BF364" s="196"/>
      <c r="BG364" s="196"/>
      <c r="BH364" s="196"/>
      <c r="BI364" s="196"/>
      <c r="BJ364" s="196"/>
      <c r="BK364" s="196"/>
    </row>
    <row r="365" spans="1:63" ht="15" customHeight="1" x14ac:dyDescent="0.2">
      <c r="A365"/>
      <c r="B365" s="1798"/>
      <c r="C365" s="1799"/>
      <c r="D365" s="1800"/>
      <c r="E365" s="1801"/>
      <c r="F365" s="1802"/>
      <c r="G365" s="1803"/>
      <c r="H365" s="1803"/>
      <c r="I365" s="1803"/>
      <c r="J365" s="1803"/>
      <c r="K365" s="1803"/>
      <c r="L365" s="1804"/>
      <c r="M365" s="897" t="str">
        <f t="shared" si="13"/>
        <v/>
      </c>
      <c r="N365" s="898" t="str">
        <f t="shared" si="12"/>
        <v/>
      </c>
      <c r="O365"/>
      <c r="P365"/>
      <c r="Q365"/>
      <c r="R365"/>
      <c r="S365"/>
      <c r="T365"/>
      <c r="AZ365" s="196"/>
      <c r="BA365" s="196"/>
      <c r="BB365" s="196"/>
      <c r="BC365" s="196"/>
      <c r="BD365" s="196"/>
      <c r="BE365" s="196"/>
      <c r="BF365" s="196"/>
      <c r="BG365" s="196"/>
      <c r="BH365" s="196"/>
      <c r="BI365" s="196"/>
      <c r="BJ365" s="196"/>
      <c r="BK365" s="196"/>
    </row>
    <row r="366" spans="1:63" ht="15" customHeight="1" x14ac:dyDescent="0.2">
      <c r="A366"/>
      <c r="B366" s="1798"/>
      <c r="C366" s="1799"/>
      <c r="D366" s="1800"/>
      <c r="E366" s="1801"/>
      <c r="F366" s="1802"/>
      <c r="G366" s="1803"/>
      <c r="H366" s="1803"/>
      <c r="I366" s="1803"/>
      <c r="J366" s="1803"/>
      <c r="K366" s="1803"/>
      <c r="L366" s="1804"/>
      <c r="M366" s="897" t="str">
        <f t="shared" si="13"/>
        <v/>
      </c>
      <c r="N366" s="898" t="str">
        <f t="shared" si="12"/>
        <v/>
      </c>
      <c r="O366"/>
      <c r="P366"/>
      <c r="Q366"/>
      <c r="R366"/>
      <c r="S366"/>
      <c r="T366"/>
      <c r="AZ366" s="196"/>
      <c r="BA366" s="196"/>
      <c r="BB366" s="196"/>
      <c r="BC366" s="196"/>
      <c r="BD366" s="196"/>
      <c r="BE366" s="196"/>
      <c r="BF366" s="196"/>
      <c r="BG366" s="196"/>
      <c r="BH366" s="196"/>
      <c r="BI366" s="196"/>
      <c r="BJ366" s="196"/>
      <c r="BK366" s="196"/>
    </row>
    <row r="367" spans="1:63" ht="15" customHeight="1" x14ac:dyDescent="0.2">
      <c r="A367"/>
      <c r="B367" s="1798"/>
      <c r="C367" s="1799"/>
      <c r="D367" s="1800"/>
      <c r="E367" s="1801"/>
      <c r="F367" s="1802"/>
      <c r="G367" s="1803"/>
      <c r="H367" s="1803"/>
      <c r="I367" s="1803"/>
      <c r="J367" s="1803"/>
      <c r="K367" s="1803"/>
      <c r="L367" s="1804"/>
      <c r="M367" s="897" t="str">
        <f t="shared" si="13"/>
        <v/>
      </c>
      <c r="N367" s="898" t="str">
        <f t="shared" si="12"/>
        <v/>
      </c>
      <c r="O367"/>
      <c r="P367"/>
      <c r="Q367"/>
      <c r="R367"/>
      <c r="S367"/>
      <c r="T367"/>
      <c r="AZ367" s="196"/>
      <c r="BA367" s="196"/>
      <c r="BB367" s="196"/>
      <c r="BC367" s="196"/>
      <c r="BD367" s="196"/>
      <c r="BE367" s="196"/>
      <c r="BF367" s="196"/>
      <c r="BG367" s="196"/>
      <c r="BH367" s="196"/>
      <c r="BI367" s="196"/>
      <c r="BJ367" s="196"/>
      <c r="BK367" s="196"/>
    </row>
    <row r="368" spans="1:63" ht="15" customHeight="1" x14ac:dyDescent="0.2">
      <c r="A368"/>
      <c r="B368" s="1798"/>
      <c r="C368" s="1799"/>
      <c r="D368" s="1800"/>
      <c r="E368" s="1801"/>
      <c r="F368" s="1802"/>
      <c r="G368" s="1803"/>
      <c r="H368" s="1803"/>
      <c r="I368" s="1803"/>
      <c r="J368" s="1803"/>
      <c r="K368" s="1803"/>
      <c r="L368" s="1804"/>
      <c r="M368" s="897" t="str">
        <f t="shared" si="13"/>
        <v/>
      </c>
      <c r="N368" s="898" t="str">
        <f t="shared" si="12"/>
        <v/>
      </c>
      <c r="O368"/>
      <c r="P368"/>
      <c r="Q368"/>
      <c r="R368"/>
      <c r="S368"/>
      <c r="T368"/>
      <c r="AZ368" s="196"/>
      <c r="BA368" s="196"/>
      <c r="BB368" s="196"/>
      <c r="BC368" s="196"/>
      <c r="BD368" s="196"/>
      <c r="BE368" s="196"/>
      <c r="BF368" s="196"/>
      <c r="BG368" s="196"/>
      <c r="BH368" s="196"/>
      <c r="BI368" s="196"/>
      <c r="BJ368" s="196"/>
      <c r="BK368" s="196"/>
    </row>
    <row r="369" spans="1:63" ht="15" customHeight="1" x14ac:dyDescent="0.2">
      <c r="A369"/>
      <c r="B369" s="1798"/>
      <c r="C369" s="1799"/>
      <c r="D369" s="1800"/>
      <c r="E369" s="1801"/>
      <c r="F369" s="1802"/>
      <c r="G369" s="1803"/>
      <c r="H369" s="1803"/>
      <c r="I369" s="1803"/>
      <c r="J369" s="1803"/>
      <c r="K369" s="1803"/>
      <c r="L369" s="1804"/>
      <c r="M369" s="897" t="str">
        <f t="shared" si="13"/>
        <v/>
      </c>
      <c r="N369" s="898" t="str">
        <f t="shared" si="12"/>
        <v/>
      </c>
      <c r="O369"/>
      <c r="P369"/>
      <c r="Q369"/>
      <c r="R369"/>
      <c r="S369"/>
      <c r="T369"/>
      <c r="AZ369" s="196"/>
      <c r="BA369" s="196"/>
      <c r="BB369" s="196"/>
      <c r="BC369" s="196"/>
      <c r="BD369" s="196"/>
      <c r="BE369" s="196"/>
      <c r="BF369" s="196"/>
      <c r="BG369" s="196"/>
      <c r="BH369" s="196"/>
      <c r="BI369" s="196"/>
      <c r="BJ369" s="196"/>
      <c r="BK369" s="196"/>
    </row>
    <row r="370" spans="1:63" ht="15" customHeight="1" x14ac:dyDescent="0.2">
      <c r="A370"/>
      <c r="B370" s="1798"/>
      <c r="C370" s="1799"/>
      <c r="D370" s="1800"/>
      <c r="E370" s="1801"/>
      <c r="F370" s="1802"/>
      <c r="G370" s="1803"/>
      <c r="H370" s="1803"/>
      <c r="I370" s="1803"/>
      <c r="J370" s="1803"/>
      <c r="K370" s="1803"/>
      <c r="L370" s="1804"/>
      <c r="M370" s="897" t="str">
        <f t="shared" si="13"/>
        <v/>
      </c>
      <c r="N370" s="898" t="str">
        <f t="shared" si="12"/>
        <v/>
      </c>
      <c r="O370"/>
      <c r="P370"/>
      <c r="Q370"/>
      <c r="R370"/>
      <c r="S370"/>
      <c r="T370"/>
      <c r="AZ370" s="196"/>
      <c r="BA370" s="196"/>
      <c r="BB370" s="196"/>
      <c r="BC370" s="196"/>
      <c r="BD370" s="196"/>
      <c r="BE370" s="196"/>
      <c r="BF370" s="196"/>
      <c r="BG370" s="196"/>
      <c r="BH370" s="196"/>
      <c r="BI370" s="196"/>
      <c r="BJ370" s="196"/>
      <c r="BK370" s="196"/>
    </row>
    <row r="371" spans="1:63" ht="15" customHeight="1" x14ac:dyDescent="0.2">
      <c r="A371"/>
      <c r="B371" s="1798"/>
      <c r="C371" s="1799"/>
      <c r="D371" s="1800"/>
      <c r="E371" s="1801"/>
      <c r="F371" s="1802"/>
      <c r="G371" s="1803"/>
      <c r="H371" s="1803"/>
      <c r="I371" s="1803"/>
      <c r="J371" s="1803"/>
      <c r="K371" s="1803"/>
      <c r="L371" s="1804"/>
      <c r="M371" s="897" t="str">
        <f t="shared" si="13"/>
        <v/>
      </c>
      <c r="N371" s="898" t="str">
        <f t="shared" si="12"/>
        <v/>
      </c>
      <c r="O371"/>
      <c r="P371"/>
      <c r="Q371"/>
      <c r="R371"/>
      <c r="S371"/>
      <c r="T371"/>
      <c r="AZ371" s="196"/>
      <c r="BA371" s="196"/>
      <c r="BB371" s="196"/>
      <c r="BC371" s="196"/>
      <c r="BD371" s="196"/>
      <c r="BE371" s="196"/>
      <c r="BF371" s="196"/>
      <c r="BG371" s="196"/>
      <c r="BH371" s="196"/>
      <c r="BI371" s="196"/>
      <c r="BJ371" s="196"/>
      <c r="BK371" s="196"/>
    </row>
    <row r="372" spans="1:63" ht="15" customHeight="1" x14ac:dyDescent="0.2">
      <c r="A372"/>
      <c r="B372" s="1798"/>
      <c r="C372" s="1799"/>
      <c r="D372" s="1800"/>
      <c r="E372" s="1801"/>
      <c r="F372" s="1802"/>
      <c r="G372" s="1803"/>
      <c r="H372" s="1803"/>
      <c r="I372" s="1803"/>
      <c r="J372" s="1803"/>
      <c r="K372" s="1803"/>
      <c r="L372" s="1804"/>
      <c r="M372" s="897" t="str">
        <f t="shared" si="13"/>
        <v/>
      </c>
      <c r="N372" s="898" t="str">
        <f t="shared" si="12"/>
        <v/>
      </c>
      <c r="O372"/>
      <c r="P372"/>
      <c r="Q372"/>
      <c r="R372"/>
      <c r="S372"/>
      <c r="T372"/>
      <c r="AZ372" s="196"/>
      <c r="BA372" s="196"/>
      <c r="BB372" s="196"/>
      <c r="BC372" s="196"/>
      <c r="BD372" s="196"/>
      <c r="BE372" s="196"/>
      <c r="BF372" s="196"/>
      <c r="BG372" s="196"/>
      <c r="BH372" s="196"/>
      <c r="BI372" s="196"/>
      <c r="BJ372" s="196"/>
      <c r="BK372" s="196"/>
    </row>
    <row r="373" spans="1:63" ht="15" customHeight="1" x14ac:dyDescent="0.2">
      <c r="A373"/>
      <c r="B373" s="1798"/>
      <c r="C373" s="1799"/>
      <c r="D373" s="1800"/>
      <c r="E373" s="1801"/>
      <c r="F373" s="1802"/>
      <c r="G373" s="1803"/>
      <c r="H373" s="1803"/>
      <c r="I373" s="1803"/>
      <c r="J373" s="1803"/>
      <c r="K373" s="1803"/>
      <c r="L373" s="1804"/>
      <c r="M373" s="897" t="str">
        <f t="shared" si="13"/>
        <v/>
      </c>
      <c r="N373" s="898" t="str">
        <f t="shared" si="12"/>
        <v/>
      </c>
      <c r="O373"/>
      <c r="P373"/>
      <c r="Q373"/>
      <c r="R373"/>
      <c r="S373"/>
      <c r="T373"/>
      <c r="AZ373" s="196"/>
      <c r="BA373" s="196"/>
      <c r="BB373" s="196"/>
      <c r="BC373" s="196"/>
      <c r="BD373" s="196"/>
      <c r="BE373" s="196"/>
      <c r="BF373" s="196"/>
      <c r="BG373" s="196"/>
      <c r="BH373" s="196"/>
      <c r="BI373" s="196"/>
      <c r="BJ373" s="196"/>
      <c r="BK373" s="196"/>
    </row>
    <row r="374" spans="1:63" ht="15" customHeight="1" x14ac:dyDescent="0.2">
      <c r="A374"/>
      <c r="B374" s="1798"/>
      <c r="C374" s="1799"/>
      <c r="D374" s="1800"/>
      <c r="E374" s="1801"/>
      <c r="F374" s="1802"/>
      <c r="G374" s="1803"/>
      <c r="H374" s="1803"/>
      <c r="I374" s="1803"/>
      <c r="J374" s="1803"/>
      <c r="K374" s="1803"/>
      <c r="L374" s="1804"/>
      <c r="M374" s="897" t="str">
        <f t="shared" si="13"/>
        <v/>
      </c>
      <c r="N374" s="898" t="str">
        <f t="shared" si="12"/>
        <v/>
      </c>
      <c r="O374"/>
      <c r="P374"/>
      <c r="Q374"/>
      <c r="R374"/>
      <c r="S374"/>
      <c r="T374"/>
      <c r="AZ374" s="196"/>
      <c r="BA374" s="196"/>
      <c r="BB374" s="196"/>
      <c r="BC374" s="196"/>
      <c r="BD374" s="196"/>
      <c r="BE374" s="196"/>
      <c r="BF374" s="196"/>
      <c r="BG374" s="196"/>
      <c r="BH374" s="196"/>
      <c r="BI374" s="196"/>
      <c r="BJ374" s="196"/>
      <c r="BK374" s="196"/>
    </row>
    <row r="375" spans="1:63" ht="15" customHeight="1" x14ac:dyDescent="0.2">
      <c r="A375"/>
      <c r="B375" s="1798"/>
      <c r="C375" s="1799"/>
      <c r="D375" s="1800"/>
      <c r="E375" s="1801"/>
      <c r="F375" s="1802"/>
      <c r="G375" s="1803"/>
      <c r="H375" s="1803"/>
      <c r="I375" s="1803"/>
      <c r="J375" s="1803"/>
      <c r="K375" s="1803"/>
      <c r="L375" s="1804"/>
      <c r="M375" s="897" t="str">
        <f t="shared" si="13"/>
        <v/>
      </c>
      <c r="N375" s="898" t="str">
        <f t="shared" si="12"/>
        <v/>
      </c>
      <c r="O375"/>
      <c r="P375"/>
      <c r="Q375"/>
      <c r="R375"/>
      <c r="S375"/>
      <c r="T375"/>
      <c r="AZ375" s="196"/>
      <c r="BA375" s="196"/>
      <c r="BB375" s="196"/>
      <c r="BC375" s="196"/>
      <c r="BD375" s="196"/>
      <c r="BE375" s="196"/>
      <c r="BF375" s="196"/>
      <c r="BG375" s="196"/>
      <c r="BH375" s="196"/>
      <c r="BI375" s="196"/>
      <c r="BJ375" s="196"/>
      <c r="BK375" s="196"/>
    </row>
    <row r="376" spans="1:63" ht="15" customHeight="1" x14ac:dyDescent="0.2">
      <c r="A376"/>
      <c r="B376" s="1798"/>
      <c r="C376" s="1799"/>
      <c r="D376" s="1800"/>
      <c r="E376" s="1801"/>
      <c r="F376" s="1802"/>
      <c r="G376" s="1803"/>
      <c r="H376" s="1803"/>
      <c r="I376" s="1803"/>
      <c r="J376" s="1803"/>
      <c r="K376" s="1803"/>
      <c r="L376" s="1804"/>
      <c r="M376" s="897" t="str">
        <f t="shared" si="13"/>
        <v/>
      </c>
      <c r="N376" s="898" t="str">
        <f t="shared" si="12"/>
        <v/>
      </c>
      <c r="O376"/>
      <c r="P376"/>
      <c r="Q376"/>
      <c r="R376"/>
      <c r="S376"/>
      <c r="T376"/>
      <c r="AZ376" s="196"/>
      <c r="BA376" s="196"/>
      <c r="BB376" s="196"/>
      <c r="BC376" s="196"/>
      <c r="BD376" s="196"/>
      <c r="BE376" s="196"/>
      <c r="BF376" s="196"/>
      <c r="BG376" s="196"/>
      <c r="BH376" s="196"/>
      <c r="BI376" s="196"/>
      <c r="BJ376" s="196"/>
      <c r="BK376" s="196"/>
    </row>
    <row r="377" spans="1:63" ht="15" customHeight="1" x14ac:dyDescent="0.2">
      <c r="A377"/>
      <c r="B377" s="1798"/>
      <c r="C377" s="1799"/>
      <c r="D377" s="1800"/>
      <c r="E377" s="1801"/>
      <c r="F377" s="1802"/>
      <c r="G377" s="1803"/>
      <c r="H377" s="1803"/>
      <c r="I377" s="1803"/>
      <c r="J377" s="1803"/>
      <c r="K377" s="1803"/>
      <c r="L377" s="1804"/>
      <c r="M377" s="897" t="str">
        <f t="shared" si="13"/>
        <v/>
      </c>
      <c r="N377" s="898" t="str">
        <f t="shared" si="12"/>
        <v/>
      </c>
      <c r="O377"/>
      <c r="P377"/>
      <c r="Q377"/>
      <c r="R377"/>
      <c r="S377"/>
      <c r="T377"/>
      <c r="AZ377" s="196"/>
      <c r="BA377" s="196"/>
      <c r="BB377" s="196"/>
      <c r="BC377" s="196"/>
      <c r="BD377" s="196"/>
      <c r="BE377" s="196"/>
      <c r="BF377" s="196"/>
      <c r="BG377" s="196"/>
      <c r="BH377" s="196"/>
      <c r="BI377" s="196"/>
      <c r="BJ377" s="196"/>
      <c r="BK377" s="196"/>
    </row>
    <row r="378" spans="1:63" ht="15" customHeight="1" x14ac:dyDescent="0.2">
      <c r="A378"/>
      <c r="B378" s="1798"/>
      <c r="C378" s="1799"/>
      <c r="D378" s="1800"/>
      <c r="E378" s="1801"/>
      <c r="F378" s="1802"/>
      <c r="G378" s="1803"/>
      <c r="H378" s="1803"/>
      <c r="I378" s="1803"/>
      <c r="J378" s="1803"/>
      <c r="K378" s="1803"/>
      <c r="L378" s="1804"/>
      <c r="M378" s="897" t="str">
        <f t="shared" si="13"/>
        <v/>
      </c>
      <c r="N378" s="898" t="str">
        <f t="shared" si="12"/>
        <v/>
      </c>
      <c r="O378"/>
      <c r="P378"/>
      <c r="Q378"/>
      <c r="R378"/>
      <c r="S378"/>
      <c r="T378"/>
      <c r="AZ378" s="196"/>
      <c r="BA378" s="196"/>
      <c r="BB378" s="196"/>
      <c r="BC378" s="196"/>
      <c r="BD378" s="196"/>
      <c r="BE378" s="196"/>
      <c r="BF378" s="196"/>
      <c r="BG378" s="196"/>
      <c r="BH378" s="196"/>
      <c r="BI378" s="196"/>
      <c r="BJ378" s="196"/>
      <c r="BK378" s="196"/>
    </row>
    <row r="379" spans="1:63" ht="15" customHeight="1" x14ac:dyDescent="0.2">
      <c r="A379"/>
      <c r="B379" s="1798"/>
      <c r="C379" s="1799"/>
      <c r="D379" s="1800"/>
      <c r="E379" s="1801"/>
      <c r="F379" s="1802"/>
      <c r="G379" s="1803"/>
      <c r="H379" s="1803"/>
      <c r="I379" s="1803"/>
      <c r="J379" s="1803"/>
      <c r="K379" s="1803"/>
      <c r="L379" s="1804"/>
      <c r="M379" s="897" t="str">
        <f t="shared" si="13"/>
        <v/>
      </c>
      <c r="N379" s="898" t="str">
        <f t="shared" si="12"/>
        <v/>
      </c>
      <c r="O379"/>
      <c r="P379"/>
      <c r="Q379"/>
      <c r="R379"/>
      <c r="S379"/>
      <c r="T379"/>
      <c r="AZ379" s="196"/>
      <c r="BA379" s="196"/>
      <c r="BB379" s="196"/>
      <c r="BC379" s="196"/>
      <c r="BD379" s="196"/>
      <c r="BE379" s="196"/>
      <c r="BF379" s="196"/>
      <c r="BG379" s="196"/>
      <c r="BH379" s="196"/>
      <c r="BI379" s="196"/>
      <c r="BJ379" s="196"/>
      <c r="BK379" s="196"/>
    </row>
    <row r="380" spans="1:63" ht="15" customHeight="1" x14ac:dyDescent="0.2">
      <c r="A380"/>
      <c r="B380" s="1798"/>
      <c r="C380" s="1799"/>
      <c r="D380" s="1800"/>
      <c r="E380" s="1801"/>
      <c r="F380" s="1802"/>
      <c r="G380" s="1803"/>
      <c r="H380" s="1803"/>
      <c r="I380" s="1803"/>
      <c r="J380" s="1803"/>
      <c r="K380" s="1803"/>
      <c r="L380" s="1804"/>
      <c r="M380" s="897" t="str">
        <f t="shared" si="13"/>
        <v/>
      </c>
      <c r="N380" s="898" t="str">
        <f t="shared" si="12"/>
        <v/>
      </c>
      <c r="O380"/>
      <c r="P380"/>
      <c r="Q380"/>
      <c r="R380"/>
      <c r="S380"/>
      <c r="T380"/>
      <c r="AZ380" s="196"/>
      <c r="BA380" s="196"/>
      <c r="BB380" s="196"/>
      <c r="BC380" s="196"/>
      <c r="BD380" s="196"/>
      <c r="BE380" s="196"/>
      <c r="BF380" s="196"/>
      <c r="BG380" s="196"/>
      <c r="BH380" s="196"/>
      <c r="BI380" s="196"/>
      <c r="BJ380" s="196"/>
      <c r="BK380" s="196"/>
    </row>
    <row r="381" spans="1:63" ht="15" customHeight="1" x14ac:dyDescent="0.2">
      <c r="A381"/>
      <c r="B381" s="1798"/>
      <c r="C381" s="1799"/>
      <c r="D381" s="1800"/>
      <c r="E381" s="1801"/>
      <c r="F381" s="1802"/>
      <c r="G381" s="1803"/>
      <c r="H381" s="1803"/>
      <c r="I381" s="1803"/>
      <c r="J381" s="1803"/>
      <c r="K381" s="1803"/>
      <c r="L381" s="1804"/>
      <c r="M381" s="897" t="str">
        <f t="shared" si="13"/>
        <v/>
      </c>
      <c r="N381" s="898" t="str">
        <f t="shared" si="12"/>
        <v/>
      </c>
      <c r="O381"/>
      <c r="P381"/>
      <c r="Q381"/>
      <c r="R381"/>
      <c r="S381"/>
      <c r="T381"/>
      <c r="AZ381" s="196"/>
      <c r="BA381" s="196"/>
      <c r="BB381" s="196"/>
      <c r="BC381" s="196"/>
      <c r="BD381" s="196"/>
      <c r="BE381" s="196"/>
      <c r="BF381" s="196"/>
      <c r="BG381" s="196"/>
      <c r="BH381" s="196"/>
      <c r="BI381" s="196"/>
      <c r="BJ381" s="196"/>
      <c r="BK381" s="196"/>
    </row>
    <row r="382" spans="1:63" ht="15" customHeight="1" x14ac:dyDescent="0.2">
      <c r="A382"/>
      <c r="B382" s="1798"/>
      <c r="C382" s="1799"/>
      <c r="D382" s="1800"/>
      <c r="E382" s="1801"/>
      <c r="F382" s="1802"/>
      <c r="G382" s="1803"/>
      <c r="H382" s="1803"/>
      <c r="I382" s="1803"/>
      <c r="J382" s="1803"/>
      <c r="K382" s="1803"/>
      <c r="L382" s="1804"/>
      <c r="M382" s="897" t="str">
        <f t="shared" si="13"/>
        <v/>
      </c>
      <c r="N382" s="898" t="str">
        <f t="shared" si="12"/>
        <v/>
      </c>
      <c r="O382"/>
      <c r="P382"/>
      <c r="Q382"/>
      <c r="R382"/>
      <c r="S382"/>
      <c r="T382"/>
      <c r="AZ382" s="196"/>
      <c r="BA382" s="196"/>
      <c r="BB382" s="196"/>
      <c r="BC382" s="196"/>
      <c r="BD382" s="196"/>
      <c r="BE382" s="196"/>
      <c r="BF382" s="196"/>
      <c r="BG382" s="196"/>
      <c r="BH382" s="196"/>
      <c r="BI382" s="196"/>
      <c r="BJ382" s="196"/>
      <c r="BK382" s="196"/>
    </row>
    <row r="383" spans="1:63" ht="15" customHeight="1" x14ac:dyDescent="0.2">
      <c r="A383"/>
      <c r="B383" s="1798"/>
      <c r="C383" s="1799"/>
      <c r="D383" s="1800"/>
      <c r="E383" s="1801"/>
      <c r="F383" s="1802"/>
      <c r="G383" s="1803"/>
      <c r="H383" s="1803"/>
      <c r="I383" s="1803"/>
      <c r="J383" s="1803"/>
      <c r="K383" s="1803"/>
      <c r="L383" s="1804"/>
      <c r="M383" s="897" t="str">
        <f t="shared" si="13"/>
        <v/>
      </c>
      <c r="N383" s="898" t="str">
        <f t="shared" si="12"/>
        <v/>
      </c>
      <c r="O383"/>
      <c r="P383"/>
      <c r="Q383"/>
      <c r="R383"/>
      <c r="S383"/>
      <c r="T383"/>
      <c r="AZ383" s="196"/>
      <c r="BA383" s="196"/>
      <c r="BB383" s="196"/>
      <c r="BC383" s="196"/>
      <c r="BD383" s="196"/>
      <c r="BE383" s="196"/>
      <c r="BF383" s="196"/>
      <c r="BG383" s="196"/>
      <c r="BH383" s="196"/>
      <c r="BI383" s="196"/>
      <c r="BJ383" s="196"/>
      <c r="BK383" s="196"/>
    </row>
    <row r="384" spans="1:63" ht="15" customHeight="1" x14ac:dyDescent="0.2">
      <c r="A384"/>
      <c r="B384" s="1798"/>
      <c r="C384" s="1799"/>
      <c r="D384" s="1800"/>
      <c r="E384" s="1801"/>
      <c r="F384" s="1802"/>
      <c r="G384" s="1803"/>
      <c r="H384" s="1803"/>
      <c r="I384" s="1803"/>
      <c r="J384" s="1803"/>
      <c r="K384" s="1803"/>
      <c r="L384" s="1804"/>
      <c r="M384" s="897" t="str">
        <f t="shared" si="13"/>
        <v/>
      </c>
      <c r="N384" s="898" t="str">
        <f t="shared" si="12"/>
        <v/>
      </c>
      <c r="O384"/>
      <c r="P384"/>
      <c r="Q384"/>
      <c r="R384"/>
      <c r="S384"/>
      <c r="T384"/>
      <c r="AZ384" s="196"/>
      <c r="BA384" s="196"/>
      <c r="BB384" s="196"/>
      <c r="BC384" s="196"/>
      <c r="BD384" s="196"/>
      <c r="BE384" s="196"/>
      <c r="BF384" s="196"/>
      <c r="BG384" s="196"/>
      <c r="BH384" s="196"/>
      <c r="BI384" s="196"/>
      <c r="BJ384" s="196"/>
      <c r="BK384" s="196"/>
    </row>
    <row r="385" spans="1:63" ht="15" customHeight="1" x14ac:dyDescent="0.2">
      <c r="A385"/>
      <c r="B385" s="1798"/>
      <c r="C385" s="1799"/>
      <c r="D385" s="1800"/>
      <c r="E385" s="1801"/>
      <c r="F385" s="1802"/>
      <c r="G385" s="1803"/>
      <c r="H385" s="1803"/>
      <c r="I385" s="1803"/>
      <c r="J385" s="1803"/>
      <c r="K385" s="1803"/>
      <c r="L385" s="1804"/>
      <c r="M385" s="897" t="str">
        <f t="shared" si="13"/>
        <v/>
      </c>
      <c r="N385" s="898" t="str">
        <f t="shared" si="12"/>
        <v/>
      </c>
      <c r="O385"/>
      <c r="P385"/>
      <c r="Q385"/>
      <c r="R385"/>
      <c r="S385"/>
      <c r="T385"/>
      <c r="AZ385" s="196"/>
      <c r="BA385" s="196"/>
      <c r="BB385" s="196"/>
      <c r="BC385" s="196"/>
      <c r="BD385" s="196"/>
      <c r="BE385" s="196"/>
      <c r="BF385" s="196"/>
      <c r="BG385" s="196"/>
      <c r="BH385" s="196"/>
      <c r="BI385" s="196"/>
      <c r="BJ385" s="196"/>
      <c r="BK385" s="196"/>
    </row>
    <row r="386" spans="1:63" ht="15" customHeight="1" x14ac:dyDescent="0.2">
      <c r="A386"/>
      <c r="B386" s="1798"/>
      <c r="C386" s="1799"/>
      <c r="D386" s="1800"/>
      <c r="E386" s="1801"/>
      <c r="F386" s="1802"/>
      <c r="G386" s="1803"/>
      <c r="H386" s="1803"/>
      <c r="I386" s="1803"/>
      <c r="J386" s="1803"/>
      <c r="K386" s="1803"/>
      <c r="L386" s="1804"/>
      <c r="M386" s="897" t="str">
        <f t="shared" si="13"/>
        <v/>
      </c>
      <c r="N386" s="898" t="str">
        <f t="shared" si="12"/>
        <v/>
      </c>
      <c r="O386"/>
      <c r="P386"/>
      <c r="Q386"/>
      <c r="R386"/>
      <c r="S386"/>
      <c r="T386"/>
      <c r="AZ386" s="196"/>
      <c r="BA386" s="196"/>
      <c r="BB386" s="196"/>
      <c r="BC386" s="196"/>
      <c r="BD386" s="196"/>
      <c r="BE386" s="196"/>
      <c r="BF386" s="196"/>
      <c r="BG386" s="196"/>
      <c r="BH386" s="196"/>
      <c r="BI386" s="196"/>
      <c r="BJ386" s="196"/>
      <c r="BK386" s="196"/>
    </row>
    <row r="387" spans="1:63" ht="15" customHeight="1" x14ac:dyDescent="0.2">
      <c r="A387"/>
      <c r="B387" s="1798"/>
      <c r="C387" s="1799"/>
      <c r="D387" s="1800"/>
      <c r="E387" s="1801"/>
      <c r="F387" s="1802"/>
      <c r="G387" s="1803"/>
      <c r="H387" s="1803"/>
      <c r="I387" s="1803"/>
      <c r="J387" s="1803"/>
      <c r="K387" s="1803"/>
      <c r="L387" s="1804"/>
      <c r="M387" s="897" t="str">
        <f t="shared" si="13"/>
        <v/>
      </c>
      <c r="N387" s="898" t="str">
        <f t="shared" si="12"/>
        <v/>
      </c>
      <c r="O387"/>
      <c r="P387"/>
      <c r="Q387"/>
      <c r="R387"/>
      <c r="S387"/>
      <c r="T387"/>
      <c r="AZ387" s="196"/>
      <c r="BA387" s="196"/>
      <c r="BB387" s="196"/>
      <c r="BC387" s="196"/>
      <c r="BD387" s="196"/>
      <c r="BE387" s="196"/>
      <c r="BF387" s="196"/>
      <c r="BG387" s="196"/>
      <c r="BH387" s="196"/>
      <c r="BI387" s="196"/>
      <c r="BJ387" s="196"/>
      <c r="BK387" s="196"/>
    </row>
    <row r="388" spans="1:63" ht="15" customHeight="1" x14ac:dyDescent="0.2">
      <c r="A388"/>
      <c r="B388" s="1798"/>
      <c r="C388" s="1799"/>
      <c r="D388" s="1800"/>
      <c r="E388" s="1801"/>
      <c r="F388" s="1802"/>
      <c r="G388" s="1803"/>
      <c r="H388" s="1803"/>
      <c r="I388" s="1803"/>
      <c r="J388" s="1803"/>
      <c r="K388" s="1803"/>
      <c r="L388" s="1804"/>
      <c r="M388" s="897" t="str">
        <f t="shared" si="13"/>
        <v/>
      </c>
      <c r="N388" s="898" t="str">
        <f t="shared" ref="N388:N451" si="14">IF(AND(ISBLANK(D388),ISBLANK(E388)),"",TRUNC(D388)*12+IF(OR(D388&lt;0,AND(D388=0,E388&lt;0)),-1*ABS(E388),ABS(E388)))</f>
        <v/>
      </c>
      <c r="O388"/>
      <c r="P388"/>
      <c r="Q388"/>
      <c r="R388"/>
      <c r="S388"/>
      <c r="T388"/>
      <c r="AZ388" s="196"/>
      <c r="BA388" s="196"/>
      <c r="BB388" s="196"/>
      <c r="BC388" s="196"/>
      <c r="BD388" s="196"/>
      <c r="BE388" s="196"/>
      <c r="BF388" s="196"/>
      <c r="BG388" s="196"/>
      <c r="BH388" s="196"/>
      <c r="BI388" s="196"/>
      <c r="BJ388" s="196"/>
      <c r="BK388" s="196"/>
    </row>
    <row r="389" spans="1:63" ht="15" customHeight="1" x14ac:dyDescent="0.2">
      <c r="A389"/>
      <c r="B389" s="1798"/>
      <c r="C389" s="1799"/>
      <c r="D389" s="1800"/>
      <c r="E389" s="1801"/>
      <c r="F389" s="1802"/>
      <c r="G389" s="1803"/>
      <c r="H389" s="1803"/>
      <c r="I389" s="1803"/>
      <c r="J389" s="1803"/>
      <c r="K389" s="1803"/>
      <c r="L389" s="1804"/>
      <c r="M389" s="897" t="str">
        <f t="shared" si="13"/>
        <v/>
      </c>
      <c r="N389" s="898" t="str">
        <f t="shared" si="14"/>
        <v/>
      </c>
      <c r="O389"/>
      <c r="P389"/>
      <c r="Q389"/>
      <c r="R389"/>
      <c r="S389"/>
      <c r="T389"/>
      <c r="AZ389" s="196"/>
      <c r="BA389" s="196"/>
      <c r="BB389" s="196"/>
      <c r="BC389" s="196"/>
      <c r="BD389" s="196"/>
      <c r="BE389" s="196"/>
      <c r="BF389" s="196"/>
      <c r="BG389" s="196"/>
      <c r="BH389" s="196"/>
      <c r="BI389" s="196"/>
      <c r="BJ389" s="196"/>
      <c r="BK389" s="196"/>
    </row>
    <row r="390" spans="1:63" ht="15" customHeight="1" x14ac:dyDescent="0.2">
      <c r="A390"/>
      <c r="B390" s="1798"/>
      <c r="C390" s="1799"/>
      <c r="D390" s="1800"/>
      <c r="E390" s="1801"/>
      <c r="F390" s="1802"/>
      <c r="G390" s="1803"/>
      <c r="H390" s="1803"/>
      <c r="I390" s="1803"/>
      <c r="J390" s="1803"/>
      <c r="K390" s="1803"/>
      <c r="L390" s="1804"/>
      <c r="M390" s="897" t="str">
        <f t="shared" si="13"/>
        <v/>
      </c>
      <c r="N390" s="898" t="str">
        <f t="shared" si="14"/>
        <v/>
      </c>
      <c r="O390"/>
      <c r="P390"/>
      <c r="Q390"/>
      <c r="R390"/>
      <c r="S390"/>
      <c r="T390"/>
      <c r="AZ390" s="196"/>
      <c r="BA390" s="196"/>
      <c r="BB390" s="196"/>
      <c r="BC390" s="196"/>
      <c r="BD390" s="196"/>
      <c r="BE390" s="196"/>
      <c r="BF390" s="196"/>
      <c r="BG390" s="196"/>
      <c r="BH390" s="196"/>
      <c r="BI390" s="196"/>
      <c r="BJ390" s="196"/>
      <c r="BK390" s="196"/>
    </row>
    <row r="391" spans="1:63" ht="15" customHeight="1" x14ac:dyDescent="0.2">
      <c r="A391"/>
      <c r="B391" s="1798"/>
      <c r="C391" s="1799"/>
      <c r="D391" s="1800"/>
      <c r="E391" s="1801"/>
      <c r="F391" s="1802"/>
      <c r="G391" s="1803"/>
      <c r="H391" s="1803"/>
      <c r="I391" s="1803"/>
      <c r="J391" s="1803"/>
      <c r="K391" s="1803"/>
      <c r="L391" s="1804"/>
      <c r="M391" s="897" t="str">
        <f t="shared" si="13"/>
        <v/>
      </c>
      <c r="N391" s="898" t="str">
        <f t="shared" si="14"/>
        <v/>
      </c>
      <c r="O391"/>
      <c r="P391"/>
      <c r="Q391"/>
      <c r="R391"/>
      <c r="S391"/>
      <c r="T391"/>
      <c r="AZ391" s="196"/>
      <c r="BA391" s="196"/>
      <c r="BB391" s="196"/>
      <c r="BC391" s="196"/>
      <c r="BD391" s="196"/>
      <c r="BE391" s="196"/>
      <c r="BF391" s="196"/>
      <c r="BG391" s="196"/>
      <c r="BH391" s="196"/>
      <c r="BI391" s="196"/>
      <c r="BJ391" s="196"/>
      <c r="BK391" s="196"/>
    </row>
    <row r="392" spans="1:63" ht="15" customHeight="1" x14ac:dyDescent="0.2">
      <c r="A392"/>
      <c r="B392" s="1798"/>
      <c r="C392" s="1799"/>
      <c r="D392" s="1800"/>
      <c r="E392" s="1801"/>
      <c r="F392" s="1802"/>
      <c r="G392" s="1803"/>
      <c r="H392" s="1803"/>
      <c r="I392" s="1803"/>
      <c r="J392" s="1803"/>
      <c r="K392" s="1803"/>
      <c r="L392" s="1804"/>
      <c r="M392" s="897" t="str">
        <f t="shared" si="13"/>
        <v/>
      </c>
      <c r="N392" s="898" t="str">
        <f t="shared" si="14"/>
        <v/>
      </c>
      <c r="O392"/>
      <c r="P392"/>
      <c r="Q392"/>
      <c r="R392"/>
      <c r="S392"/>
      <c r="T392"/>
      <c r="AZ392" s="196"/>
      <c r="BA392" s="196"/>
      <c r="BB392" s="196"/>
      <c r="BC392" s="196"/>
      <c r="BD392" s="196"/>
      <c r="BE392" s="196"/>
      <c r="BF392" s="196"/>
      <c r="BG392" s="196"/>
      <c r="BH392" s="196"/>
      <c r="BI392" s="196"/>
      <c r="BJ392" s="196"/>
      <c r="BK392" s="196"/>
    </row>
    <row r="393" spans="1:63" ht="15" customHeight="1" x14ac:dyDescent="0.2">
      <c r="A393"/>
      <c r="B393" s="1798"/>
      <c r="C393" s="1799"/>
      <c r="D393" s="1800"/>
      <c r="E393" s="1801"/>
      <c r="F393" s="1802"/>
      <c r="G393" s="1803"/>
      <c r="H393" s="1803"/>
      <c r="I393" s="1803"/>
      <c r="J393" s="1803"/>
      <c r="K393" s="1803"/>
      <c r="L393" s="1804"/>
      <c r="M393" s="897" t="str">
        <f t="shared" si="13"/>
        <v/>
      </c>
      <c r="N393" s="898" t="str">
        <f t="shared" si="14"/>
        <v/>
      </c>
      <c r="O393"/>
      <c r="P393"/>
      <c r="Q393"/>
      <c r="R393"/>
      <c r="S393"/>
      <c r="T393"/>
      <c r="AZ393" s="196"/>
      <c r="BA393" s="196"/>
      <c r="BB393" s="196"/>
      <c r="BC393" s="196"/>
      <c r="BD393" s="196"/>
      <c r="BE393" s="196"/>
      <c r="BF393" s="196"/>
      <c r="BG393" s="196"/>
      <c r="BH393" s="196"/>
      <c r="BI393" s="196"/>
      <c r="BJ393" s="196"/>
      <c r="BK393" s="196"/>
    </row>
    <row r="394" spans="1:63" ht="15" customHeight="1" x14ac:dyDescent="0.2">
      <c r="A394"/>
      <c r="B394" s="1798"/>
      <c r="C394" s="1799"/>
      <c r="D394" s="1800"/>
      <c r="E394" s="1801"/>
      <c r="F394" s="1802"/>
      <c r="G394" s="1803"/>
      <c r="H394" s="1803"/>
      <c r="I394" s="1803"/>
      <c r="J394" s="1803"/>
      <c r="K394" s="1803"/>
      <c r="L394" s="1804"/>
      <c r="M394" s="897" t="str">
        <f t="shared" si="13"/>
        <v/>
      </c>
      <c r="N394" s="898" t="str">
        <f t="shared" si="14"/>
        <v/>
      </c>
      <c r="O394"/>
      <c r="P394"/>
      <c r="Q394"/>
      <c r="R394"/>
      <c r="S394"/>
      <c r="T394"/>
      <c r="AZ394" s="196"/>
      <c r="BA394" s="196"/>
      <c r="BB394" s="196"/>
      <c r="BC394" s="196"/>
      <c r="BD394" s="196"/>
      <c r="BE394" s="196"/>
      <c r="BF394" s="196"/>
      <c r="BG394" s="196"/>
      <c r="BH394" s="196"/>
      <c r="BI394" s="196"/>
      <c r="BJ394" s="196"/>
      <c r="BK394" s="196"/>
    </row>
    <row r="395" spans="1:63" ht="15" customHeight="1" x14ac:dyDescent="0.2">
      <c r="A395"/>
      <c r="B395" s="1798"/>
      <c r="C395" s="1799"/>
      <c r="D395" s="1800"/>
      <c r="E395" s="1801"/>
      <c r="F395" s="1802"/>
      <c r="G395" s="1803"/>
      <c r="H395" s="1803"/>
      <c r="I395" s="1803"/>
      <c r="J395" s="1803"/>
      <c r="K395" s="1803"/>
      <c r="L395" s="1804"/>
      <c r="M395" s="897" t="str">
        <f t="shared" si="13"/>
        <v/>
      </c>
      <c r="N395" s="898" t="str">
        <f t="shared" si="14"/>
        <v/>
      </c>
      <c r="O395"/>
      <c r="P395"/>
      <c r="Q395"/>
      <c r="R395"/>
      <c r="S395"/>
      <c r="T395"/>
      <c r="AZ395" s="196"/>
      <c r="BA395" s="196"/>
      <c r="BB395" s="196"/>
      <c r="BC395" s="196"/>
      <c r="BD395" s="196"/>
      <c r="BE395" s="196"/>
      <c r="BF395" s="196"/>
      <c r="BG395" s="196"/>
      <c r="BH395" s="196"/>
      <c r="BI395" s="196"/>
      <c r="BJ395" s="196"/>
      <c r="BK395" s="196"/>
    </row>
    <row r="396" spans="1:63" ht="15" customHeight="1" x14ac:dyDescent="0.2">
      <c r="A396"/>
      <c r="B396" s="1798"/>
      <c r="C396" s="1799"/>
      <c r="D396" s="1800"/>
      <c r="E396" s="1801"/>
      <c r="F396" s="1802"/>
      <c r="G396" s="1803"/>
      <c r="H396" s="1803"/>
      <c r="I396" s="1803"/>
      <c r="J396" s="1803"/>
      <c r="K396" s="1803"/>
      <c r="L396" s="1804"/>
      <c r="M396" s="897" t="str">
        <f t="shared" si="13"/>
        <v/>
      </c>
      <c r="N396" s="898" t="str">
        <f t="shared" si="14"/>
        <v/>
      </c>
      <c r="O396"/>
      <c r="P396"/>
      <c r="Q396"/>
      <c r="R396"/>
      <c r="S396"/>
      <c r="T396"/>
      <c r="AZ396" s="196"/>
      <c r="BA396" s="196"/>
      <c r="BB396" s="196"/>
      <c r="BC396" s="196"/>
      <c r="BD396" s="196"/>
      <c r="BE396" s="196"/>
      <c r="BF396" s="196"/>
      <c r="BG396" s="196"/>
      <c r="BH396" s="196"/>
      <c r="BI396" s="196"/>
      <c r="BJ396" s="196"/>
      <c r="BK396" s="196"/>
    </row>
    <row r="397" spans="1:63" ht="15" customHeight="1" x14ac:dyDescent="0.2">
      <c r="A397"/>
      <c r="B397" s="1798"/>
      <c r="C397" s="1799"/>
      <c r="D397" s="1800"/>
      <c r="E397" s="1801"/>
      <c r="F397" s="1802"/>
      <c r="G397" s="1803"/>
      <c r="H397" s="1803"/>
      <c r="I397" s="1803"/>
      <c r="J397" s="1803"/>
      <c r="K397" s="1803"/>
      <c r="L397" s="1804"/>
      <c r="M397" s="897" t="str">
        <f t="shared" si="13"/>
        <v/>
      </c>
      <c r="N397" s="898" t="str">
        <f t="shared" si="14"/>
        <v/>
      </c>
      <c r="O397"/>
      <c r="P397"/>
      <c r="Q397"/>
      <c r="R397"/>
      <c r="S397"/>
      <c r="T397"/>
      <c r="AZ397" s="196"/>
      <c r="BA397" s="196"/>
      <c r="BB397" s="196"/>
      <c r="BC397" s="196"/>
      <c r="BD397" s="196"/>
      <c r="BE397" s="196"/>
      <c r="BF397" s="196"/>
      <c r="BG397" s="196"/>
      <c r="BH397" s="196"/>
      <c r="BI397" s="196"/>
      <c r="BJ397" s="196"/>
      <c r="BK397" s="196"/>
    </row>
    <row r="398" spans="1:63" ht="15" customHeight="1" x14ac:dyDescent="0.2">
      <c r="A398"/>
      <c r="B398" s="1798"/>
      <c r="C398" s="1799"/>
      <c r="D398" s="1800"/>
      <c r="E398" s="1801"/>
      <c r="F398" s="1802"/>
      <c r="G398" s="1803"/>
      <c r="H398" s="1803"/>
      <c r="I398" s="1803"/>
      <c r="J398" s="1803"/>
      <c r="K398" s="1803"/>
      <c r="L398" s="1804"/>
      <c r="M398" s="897" t="str">
        <f t="shared" si="13"/>
        <v/>
      </c>
      <c r="N398" s="898" t="str">
        <f t="shared" si="14"/>
        <v/>
      </c>
      <c r="O398"/>
      <c r="P398"/>
      <c r="Q398"/>
      <c r="R398"/>
      <c r="S398"/>
      <c r="T398"/>
      <c r="AZ398" s="196"/>
      <c r="BA398" s="196"/>
      <c r="BB398" s="196"/>
      <c r="BC398" s="196"/>
      <c r="BD398" s="196"/>
      <c r="BE398" s="196"/>
      <c r="BF398" s="196"/>
      <c r="BG398" s="196"/>
      <c r="BH398" s="196"/>
      <c r="BI398" s="196"/>
      <c r="BJ398" s="196"/>
      <c r="BK398" s="196"/>
    </row>
    <row r="399" spans="1:63" ht="15" customHeight="1" x14ac:dyDescent="0.2">
      <c r="A399"/>
      <c r="B399" s="1798"/>
      <c r="C399" s="1799"/>
      <c r="D399" s="1800"/>
      <c r="E399" s="1801"/>
      <c r="F399" s="1802"/>
      <c r="G399" s="1803"/>
      <c r="H399" s="1803"/>
      <c r="I399" s="1803"/>
      <c r="J399" s="1803"/>
      <c r="K399" s="1803"/>
      <c r="L399" s="1804"/>
      <c r="M399" s="897" t="str">
        <f t="shared" si="13"/>
        <v/>
      </c>
      <c r="N399" s="898" t="str">
        <f t="shared" si="14"/>
        <v/>
      </c>
      <c r="O399"/>
      <c r="P399"/>
      <c r="Q399"/>
      <c r="R399"/>
      <c r="S399"/>
      <c r="T399"/>
      <c r="AZ399" s="196"/>
      <c r="BA399" s="196"/>
      <c r="BB399" s="196"/>
      <c r="BC399" s="196"/>
      <c r="BD399" s="196"/>
      <c r="BE399" s="196"/>
      <c r="BF399" s="196"/>
      <c r="BG399" s="196"/>
      <c r="BH399" s="196"/>
      <c r="BI399" s="196"/>
      <c r="BJ399" s="196"/>
      <c r="BK399" s="196"/>
    </row>
    <row r="400" spans="1:63" ht="15" customHeight="1" x14ac:dyDescent="0.2">
      <c r="A400"/>
      <c r="B400" s="1798"/>
      <c r="C400" s="1799"/>
      <c r="D400" s="1800"/>
      <c r="E400" s="1801"/>
      <c r="F400" s="1802"/>
      <c r="G400" s="1803"/>
      <c r="H400" s="1803"/>
      <c r="I400" s="1803"/>
      <c r="J400" s="1803"/>
      <c r="K400" s="1803"/>
      <c r="L400" s="1804"/>
      <c r="M400" s="897" t="str">
        <f t="shared" si="13"/>
        <v/>
      </c>
      <c r="N400" s="898" t="str">
        <f t="shared" si="14"/>
        <v/>
      </c>
      <c r="O400"/>
      <c r="P400"/>
      <c r="Q400"/>
      <c r="R400"/>
      <c r="S400"/>
      <c r="T400"/>
      <c r="AZ400" s="196"/>
      <c r="BA400" s="196"/>
      <c r="BB400" s="196"/>
      <c r="BC400" s="196"/>
      <c r="BD400" s="196"/>
      <c r="BE400" s="196"/>
      <c r="BF400" s="196"/>
      <c r="BG400" s="196"/>
      <c r="BH400" s="196"/>
      <c r="BI400" s="196"/>
      <c r="BJ400" s="196"/>
      <c r="BK400" s="196"/>
    </row>
    <row r="401" spans="1:63" ht="15" customHeight="1" x14ac:dyDescent="0.2">
      <c r="A401"/>
      <c r="B401" s="1798"/>
      <c r="C401" s="1799"/>
      <c r="D401" s="1800"/>
      <c r="E401" s="1801"/>
      <c r="F401" s="1802"/>
      <c r="G401" s="1803"/>
      <c r="H401" s="1803"/>
      <c r="I401" s="1803"/>
      <c r="J401" s="1803"/>
      <c r="K401" s="1803"/>
      <c r="L401" s="1804"/>
      <c r="M401" s="897" t="str">
        <f t="shared" si="13"/>
        <v/>
      </c>
      <c r="N401" s="898" t="str">
        <f t="shared" si="14"/>
        <v/>
      </c>
      <c r="O401"/>
      <c r="P401"/>
      <c r="Q401"/>
      <c r="R401"/>
      <c r="S401"/>
      <c r="T401"/>
      <c r="AZ401" s="196"/>
      <c r="BA401" s="196"/>
      <c r="BB401" s="196"/>
      <c r="BC401" s="196"/>
      <c r="BD401" s="196"/>
      <c r="BE401" s="196"/>
      <c r="BF401" s="196"/>
      <c r="BG401" s="196"/>
      <c r="BH401" s="196"/>
      <c r="BI401" s="196"/>
      <c r="BJ401" s="196"/>
      <c r="BK401" s="196"/>
    </row>
    <row r="402" spans="1:63" ht="15" customHeight="1" x14ac:dyDescent="0.2">
      <c r="A402"/>
      <c r="B402" s="1798"/>
      <c r="C402" s="1799"/>
      <c r="D402" s="1800"/>
      <c r="E402" s="1801"/>
      <c r="F402" s="1802"/>
      <c r="G402" s="1803"/>
      <c r="H402" s="1803"/>
      <c r="I402" s="1803"/>
      <c r="J402" s="1803"/>
      <c r="K402" s="1803"/>
      <c r="L402" s="1804"/>
      <c r="M402" s="897" t="str">
        <f t="shared" si="13"/>
        <v/>
      </c>
      <c r="N402" s="898" t="str">
        <f t="shared" si="14"/>
        <v/>
      </c>
      <c r="O402"/>
      <c r="P402"/>
      <c r="Q402"/>
      <c r="R402"/>
      <c r="S402"/>
      <c r="T402"/>
      <c r="AZ402" s="196"/>
      <c r="BA402" s="196"/>
      <c r="BB402" s="196"/>
      <c r="BC402" s="196"/>
      <c r="BD402" s="196"/>
      <c r="BE402" s="196"/>
      <c r="BF402" s="196"/>
      <c r="BG402" s="196"/>
      <c r="BH402" s="196"/>
      <c r="BI402" s="196"/>
      <c r="BJ402" s="196"/>
      <c r="BK402" s="196"/>
    </row>
    <row r="403" spans="1:63" ht="15" customHeight="1" x14ac:dyDescent="0.2">
      <c r="A403"/>
      <c r="B403" s="1798"/>
      <c r="C403" s="1799"/>
      <c r="D403" s="1800"/>
      <c r="E403" s="1801"/>
      <c r="F403" s="1802"/>
      <c r="G403" s="1803"/>
      <c r="H403" s="1803"/>
      <c r="I403" s="1803"/>
      <c r="J403" s="1803"/>
      <c r="K403" s="1803"/>
      <c r="L403" s="1804"/>
      <c r="M403" s="897" t="str">
        <f t="shared" si="13"/>
        <v/>
      </c>
      <c r="N403" s="898" t="str">
        <f t="shared" si="14"/>
        <v/>
      </c>
      <c r="O403"/>
      <c r="P403"/>
      <c r="Q403"/>
      <c r="R403"/>
      <c r="S403"/>
      <c r="T403"/>
      <c r="AZ403" s="196"/>
      <c r="BA403" s="196"/>
      <c r="BB403" s="196"/>
      <c r="BC403" s="196"/>
      <c r="BD403" s="196"/>
      <c r="BE403" s="196"/>
      <c r="BF403" s="196"/>
      <c r="BG403" s="196"/>
      <c r="BH403" s="196"/>
      <c r="BI403" s="196"/>
      <c r="BJ403" s="196"/>
      <c r="BK403" s="196"/>
    </row>
    <row r="404" spans="1:63" ht="15" customHeight="1" x14ac:dyDescent="0.2">
      <c r="A404"/>
      <c r="B404" s="1798"/>
      <c r="C404" s="1799"/>
      <c r="D404" s="1800"/>
      <c r="E404" s="1801"/>
      <c r="F404" s="1802"/>
      <c r="G404" s="1803"/>
      <c r="H404" s="1803"/>
      <c r="I404" s="1803"/>
      <c r="J404" s="1803"/>
      <c r="K404" s="1803"/>
      <c r="L404" s="1804"/>
      <c r="M404" s="897" t="str">
        <f t="shared" si="13"/>
        <v/>
      </c>
      <c r="N404" s="898" t="str">
        <f t="shared" si="14"/>
        <v/>
      </c>
      <c r="O404"/>
      <c r="P404"/>
      <c r="Q404"/>
      <c r="R404"/>
      <c r="S404"/>
      <c r="T404"/>
      <c r="AZ404" s="196"/>
      <c r="BA404" s="196"/>
      <c r="BB404" s="196"/>
      <c r="BC404" s="196"/>
      <c r="BD404" s="196"/>
      <c r="BE404" s="196"/>
      <c r="BF404" s="196"/>
      <c r="BG404" s="196"/>
      <c r="BH404" s="196"/>
      <c r="BI404" s="196"/>
      <c r="BJ404" s="196"/>
      <c r="BK404" s="196"/>
    </row>
    <row r="405" spans="1:63" ht="15" customHeight="1" x14ac:dyDescent="0.2">
      <c r="A405"/>
      <c r="B405" s="1798"/>
      <c r="C405" s="1799"/>
      <c r="D405" s="1800"/>
      <c r="E405" s="1801"/>
      <c r="F405" s="1802"/>
      <c r="G405" s="1803"/>
      <c r="H405" s="1803"/>
      <c r="I405" s="1803"/>
      <c r="J405" s="1803"/>
      <c r="K405" s="1803"/>
      <c r="L405" s="1804"/>
      <c r="M405" s="897" t="str">
        <f t="shared" si="13"/>
        <v/>
      </c>
      <c r="N405" s="898" t="str">
        <f t="shared" si="14"/>
        <v/>
      </c>
      <c r="O405"/>
      <c r="P405"/>
      <c r="Q405"/>
      <c r="R405"/>
      <c r="S405"/>
      <c r="T405"/>
      <c r="AZ405" s="196"/>
      <c r="BA405" s="196"/>
      <c r="BB405" s="196"/>
      <c r="BC405" s="196"/>
      <c r="BD405" s="196"/>
      <c r="BE405" s="196"/>
      <c r="BF405" s="196"/>
      <c r="BG405" s="196"/>
      <c r="BH405" s="196"/>
      <c r="BI405" s="196"/>
      <c r="BJ405" s="196"/>
      <c r="BK405" s="196"/>
    </row>
    <row r="406" spans="1:63" ht="15" customHeight="1" x14ac:dyDescent="0.2">
      <c r="A406"/>
      <c r="B406" s="1798"/>
      <c r="C406" s="1799"/>
      <c r="D406" s="1800"/>
      <c r="E406" s="1801"/>
      <c r="F406" s="1802"/>
      <c r="G406" s="1803"/>
      <c r="H406" s="1803"/>
      <c r="I406" s="1803"/>
      <c r="J406" s="1803"/>
      <c r="K406" s="1803"/>
      <c r="L406" s="1804"/>
      <c r="M406" s="897" t="str">
        <f t="shared" si="13"/>
        <v/>
      </c>
      <c r="N406" s="898" t="str">
        <f t="shared" si="14"/>
        <v/>
      </c>
      <c r="O406"/>
      <c r="P406"/>
      <c r="Q406"/>
      <c r="R406"/>
      <c r="S406"/>
      <c r="T406"/>
      <c r="AZ406" s="196"/>
      <c r="BA406" s="196"/>
      <c r="BB406" s="196"/>
      <c r="BC406" s="196"/>
      <c r="BD406" s="196"/>
      <c r="BE406" s="196"/>
      <c r="BF406" s="196"/>
      <c r="BG406" s="196"/>
      <c r="BH406" s="196"/>
      <c r="BI406" s="196"/>
      <c r="BJ406" s="196"/>
      <c r="BK406" s="196"/>
    </row>
    <row r="407" spans="1:63" ht="15" customHeight="1" x14ac:dyDescent="0.2">
      <c r="A407"/>
      <c r="B407" s="1798"/>
      <c r="C407" s="1799"/>
      <c r="D407" s="1800"/>
      <c r="E407" s="1801"/>
      <c r="F407" s="1802"/>
      <c r="G407" s="1803"/>
      <c r="H407" s="1803"/>
      <c r="I407" s="1803"/>
      <c r="J407" s="1803"/>
      <c r="K407" s="1803"/>
      <c r="L407" s="1804"/>
      <c r="M407" s="897" t="str">
        <f t="shared" si="13"/>
        <v/>
      </c>
      <c r="N407" s="898" t="str">
        <f t="shared" si="14"/>
        <v/>
      </c>
      <c r="O407"/>
      <c r="P407"/>
      <c r="Q407"/>
      <c r="R407"/>
      <c r="S407"/>
      <c r="T407"/>
      <c r="AZ407" s="196"/>
      <c r="BA407" s="196"/>
      <c r="BB407" s="196"/>
      <c r="BC407" s="196"/>
      <c r="BD407" s="196"/>
      <c r="BE407" s="196"/>
      <c r="BF407" s="196"/>
      <c r="BG407" s="196"/>
      <c r="BH407" s="196"/>
      <c r="BI407" s="196"/>
      <c r="BJ407" s="196"/>
      <c r="BK407" s="196"/>
    </row>
    <row r="408" spans="1:63" ht="15" customHeight="1" x14ac:dyDescent="0.2">
      <c r="A408"/>
      <c r="B408" s="1798"/>
      <c r="C408" s="1799"/>
      <c r="D408" s="1800"/>
      <c r="E408" s="1801"/>
      <c r="F408" s="1802"/>
      <c r="G408" s="1803"/>
      <c r="H408" s="1803"/>
      <c r="I408" s="1803"/>
      <c r="J408" s="1803"/>
      <c r="K408" s="1803"/>
      <c r="L408" s="1804"/>
      <c r="M408" s="897" t="str">
        <f t="shared" si="13"/>
        <v/>
      </c>
      <c r="N408" s="898" t="str">
        <f t="shared" si="14"/>
        <v/>
      </c>
      <c r="O408"/>
      <c r="P408"/>
      <c r="Q408"/>
      <c r="R408"/>
      <c r="S408"/>
      <c r="T408"/>
      <c r="AZ408" s="196"/>
      <c r="BA408" s="196"/>
      <c r="BB408" s="196"/>
      <c r="BC408" s="196"/>
      <c r="BD408" s="196"/>
      <c r="BE408" s="196"/>
      <c r="BF408" s="196"/>
      <c r="BG408" s="196"/>
      <c r="BH408" s="196"/>
      <c r="BI408" s="196"/>
      <c r="BJ408" s="196"/>
      <c r="BK408" s="196"/>
    </row>
    <row r="409" spans="1:63" ht="15" customHeight="1" x14ac:dyDescent="0.2">
      <c r="A409"/>
      <c r="B409" s="1798"/>
      <c r="C409" s="1799"/>
      <c r="D409" s="1800"/>
      <c r="E409" s="1801"/>
      <c r="F409" s="1802"/>
      <c r="G409" s="1803"/>
      <c r="H409" s="1803"/>
      <c r="I409" s="1803"/>
      <c r="J409" s="1803"/>
      <c r="K409" s="1803"/>
      <c r="L409" s="1804"/>
      <c r="M409" s="897" t="str">
        <f t="shared" si="13"/>
        <v/>
      </c>
      <c r="N409" s="898" t="str">
        <f t="shared" si="14"/>
        <v/>
      </c>
      <c r="O409"/>
      <c r="P409"/>
      <c r="Q409"/>
      <c r="R409"/>
      <c r="S409"/>
      <c r="T409"/>
      <c r="AZ409" s="196"/>
      <c r="BA409" s="196"/>
      <c r="BB409" s="196"/>
      <c r="BC409" s="196"/>
      <c r="BD409" s="196"/>
      <c r="BE409" s="196"/>
      <c r="BF409" s="196"/>
      <c r="BG409" s="196"/>
      <c r="BH409" s="196"/>
      <c r="BI409" s="196"/>
      <c r="BJ409" s="196"/>
      <c r="BK409" s="196"/>
    </row>
    <row r="410" spans="1:63" ht="15" customHeight="1" x14ac:dyDescent="0.2">
      <c r="A410"/>
      <c r="B410" s="1798"/>
      <c r="C410" s="1799"/>
      <c r="D410" s="1800"/>
      <c r="E410" s="1801"/>
      <c r="F410" s="1802"/>
      <c r="G410" s="1803"/>
      <c r="H410" s="1803"/>
      <c r="I410" s="1803"/>
      <c r="J410" s="1803"/>
      <c r="K410" s="1803"/>
      <c r="L410" s="1804"/>
      <c r="M410" s="897" t="str">
        <f t="shared" si="13"/>
        <v/>
      </c>
      <c r="N410" s="898" t="str">
        <f t="shared" si="14"/>
        <v/>
      </c>
      <c r="O410"/>
      <c r="P410"/>
      <c r="Q410"/>
      <c r="R410"/>
      <c r="S410"/>
      <c r="T410"/>
      <c r="AZ410" s="196"/>
      <c r="BA410" s="196"/>
      <c r="BB410" s="196"/>
      <c r="BC410" s="196"/>
      <c r="BD410" s="196"/>
      <c r="BE410" s="196"/>
      <c r="BF410" s="196"/>
      <c r="BG410" s="196"/>
      <c r="BH410" s="196"/>
      <c r="BI410" s="196"/>
      <c r="BJ410" s="196"/>
      <c r="BK410" s="196"/>
    </row>
    <row r="411" spans="1:63" ht="15" customHeight="1" x14ac:dyDescent="0.2">
      <c r="A411"/>
      <c r="B411" s="1798"/>
      <c r="C411" s="1799"/>
      <c r="D411" s="1800"/>
      <c r="E411" s="1801"/>
      <c r="F411" s="1802"/>
      <c r="G411" s="1803"/>
      <c r="H411" s="1803"/>
      <c r="I411" s="1803"/>
      <c r="J411" s="1803"/>
      <c r="K411" s="1803"/>
      <c r="L411" s="1804"/>
      <c r="M411" s="897" t="str">
        <f t="shared" si="13"/>
        <v/>
      </c>
      <c r="N411" s="898" t="str">
        <f t="shared" si="14"/>
        <v/>
      </c>
      <c r="O411"/>
      <c r="P411"/>
      <c r="Q411"/>
      <c r="R411"/>
      <c r="S411"/>
      <c r="T411"/>
      <c r="AZ411" s="196"/>
      <c r="BA411" s="196"/>
      <c r="BB411" s="196"/>
      <c r="BC411" s="196"/>
      <c r="BD411" s="196"/>
      <c r="BE411" s="196"/>
      <c r="BF411" s="196"/>
      <c r="BG411" s="196"/>
      <c r="BH411" s="196"/>
      <c r="BI411" s="196"/>
      <c r="BJ411" s="196"/>
      <c r="BK411" s="196"/>
    </row>
    <row r="412" spans="1:63" ht="15" customHeight="1" x14ac:dyDescent="0.2">
      <c r="A412"/>
      <c r="B412" s="1798"/>
      <c r="C412" s="1799"/>
      <c r="D412" s="1800"/>
      <c r="E412" s="1801"/>
      <c r="F412" s="1802"/>
      <c r="G412" s="1803"/>
      <c r="H412" s="1803"/>
      <c r="I412" s="1803"/>
      <c r="J412" s="1803"/>
      <c r="K412" s="1803"/>
      <c r="L412" s="1804"/>
      <c r="M412" s="897" t="str">
        <f t="shared" si="13"/>
        <v/>
      </c>
      <c r="N412" s="898" t="str">
        <f t="shared" si="14"/>
        <v/>
      </c>
      <c r="O412"/>
      <c r="P412"/>
      <c r="Q412"/>
      <c r="R412"/>
      <c r="S412"/>
      <c r="T412"/>
      <c r="AZ412" s="196"/>
      <c r="BA412" s="196"/>
      <c r="BB412" s="196"/>
      <c r="BC412" s="196"/>
      <c r="BD412" s="196"/>
      <c r="BE412" s="196"/>
      <c r="BF412" s="196"/>
      <c r="BG412" s="196"/>
      <c r="BH412" s="196"/>
      <c r="BI412" s="196"/>
      <c r="BJ412" s="196"/>
      <c r="BK412" s="196"/>
    </row>
    <row r="413" spans="1:63" ht="15" customHeight="1" x14ac:dyDescent="0.2">
      <c r="A413"/>
      <c r="B413" s="1798"/>
      <c r="C413" s="1799"/>
      <c r="D413" s="1800"/>
      <c r="E413" s="1801"/>
      <c r="F413" s="1802"/>
      <c r="G413" s="1803"/>
      <c r="H413" s="1803"/>
      <c r="I413" s="1803"/>
      <c r="J413" s="1803"/>
      <c r="K413" s="1803"/>
      <c r="L413" s="1804"/>
      <c r="M413" s="897" t="str">
        <f t="shared" si="13"/>
        <v/>
      </c>
      <c r="N413" s="898" t="str">
        <f t="shared" si="14"/>
        <v/>
      </c>
      <c r="O413"/>
      <c r="P413"/>
      <c r="Q413"/>
      <c r="R413"/>
      <c r="S413"/>
      <c r="T413"/>
      <c r="AZ413" s="196"/>
      <c r="BA413" s="196"/>
      <c r="BB413" s="196"/>
      <c r="BC413" s="196"/>
      <c r="BD413" s="196"/>
      <c r="BE413" s="196"/>
      <c r="BF413" s="196"/>
      <c r="BG413" s="196"/>
      <c r="BH413" s="196"/>
      <c r="BI413" s="196"/>
      <c r="BJ413" s="196"/>
      <c r="BK413" s="196"/>
    </row>
    <row r="414" spans="1:63" ht="15" customHeight="1" x14ac:dyDescent="0.2">
      <c r="A414"/>
      <c r="B414" s="1798"/>
      <c r="C414" s="1799"/>
      <c r="D414" s="1800"/>
      <c r="E414" s="1801"/>
      <c r="F414" s="1802"/>
      <c r="G414" s="1803"/>
      <c r="H414" s="1803"/>
      <c r="I414" s="1803"/>
      <c r="J414" s="1803"/>
      <c r="K414" s="1803"/>
      <c r="L414" s="1804"/>
      <c r="M414" s="897" t="str">
        <f t="shared" si="13"/>
        <v/>
      </c>
      <c r="N414" s="898" t="str">
        <f t="shared" si="14"/>
        <v/>
      </c>
      <c r="O414"/>
      <c r="P414"/>
      <c r="Q414"/>
      <c r="R414"/>
      <c r="S414"/>
      <c r="T414"/>
      <c r="AZ414" s="196"/>
      <c r="BA414" s="196"/>
      <c r="BB414" s="196"/>
      <c r="BC414" s="196"/>
      <c r="BD414" s="196"/>
      <c r="BE414" s="196"/>
      <c r="BF414" s="196"/>
      <c r="BG414" s="196"/>
      <c r="BH414" s="196"/>
      <c r="BI414" s="196"/>
      <c r="BJ414" s="196"/>
      <c r="BK414" s="196"/>
    </row>
    <row r="415" spans="1:63" ht="15" customHeight="1" x14ac:dyDescent="0.2">
      <c r="A415"/>
      <c r="B415" s="1798"/>
      <c r="C415" s="1799"/>
      <c r="D415" s="1800"/>
      <c r="E415" s="1801"/>
      <c r="F415" s="1802"/>
      <c r="G415" s="1803"/>
      <c r="H415" s="1803"/>
      <c r="I415" s="1803"/>
      <c r="J415" s="1803"/>
      <c r="K415" s="1803"/>
      <c r="L415" s="1804"/>
      <c r="M415" s="897" t="str">
        <f t="shared" si="13"/>
        <v/>
      </c>
      <c r="N415" s="898" t="str">
        <f t="shared" si="14"/>
        <v/>
      </c>
      <c r="O415"/>
      <c r="P415"/>
      <c r="Q415"/>
      <c r="R415"/>
      <c r="S415"/>
      <c r="T415"/>
      <c r="AZ415" s="196"/>
      <c r="BA415" s="196"/>
      <c r="BB415" s="196"/>
      <c r="BC415" s="196"/>
      <c r="BD415" s="196"/>
      <c r="BE415" s="196"/>
      <c r="BF415" s="196"/>
      <c r="BG415" s="196"/>
      <c r="BH415" s="196"/>
      <c r="BI415" s="196"/>
      <c r="BJ415" s="196"/>
      <c r="BK415" s="196"/>
    </row>
    <row r="416" spans="1:63" ht="15" customHeight="1" x14ac:dyDescent="0.2">
      <c r="A416"/>
      <c r="B416" s="1798"/>
      <c r="C416" s="1799"/>
      <c r="D416" s="1800"/>
      <c r="E416" s="1801"/>
      <c r="F416" s="1802"/>
      <c r="G416" s="1803"/>
      <c r="H416" s="1803"/>
      <c r="I416" s="1803"/>
      <c r="J416" s="1803"/>
      <c r="K416" s="1803"/>
      <c r="L416" s="1804"/>
      <c r="M416" s="897" t="str">
        <f t="shared" si="13"/>
        <v/>
      </c>
      <c r="N416" s="898" t="str">
        <f t="shared" si="14"/>
        <v/>
      </c>
      <c r="O416"/>
      <c r="P416"/>
      <c r="Q416"/>
      <c r="R416"/>
      <c r="S416"/>
      <c r="T416"/>
      <c r="AZ416" s="196"/>
      <c r="BA416" s="196"/>
      <c r="BB416" s="196"/>
      <c r="BC416" s="196"/>
      <c r="BD416" s="196"/>
      <c r="BE416" s="196"/>
      <c r="BF416" s="196"/>
      <c r="BG416" s="196"/>
      <c r="BH416" s="196"/>
      <c r="BI416" s="196"/>
      <c r="BJ416" s="196"/>
      <c r="BK416" s="196"/>
    </row>
    <row r="417" spans="1:63" ht="15" customHeight="1" x14ac:dyDescent="0.2">
      <c r="A417"/>
      <c r="B417" s="1798"/>
      <c r="C417" s="1799"/>
      <c r="D417" s="1800"/>
      <c r="E417" s="1801"/>
      <c r="F417" s="1802"/>
      <c r="G417" s="1803"/>
      <c r="H417" s="1803"/>
      <c r="I417" s="1803"/>
      <c r="J417" s="1803"/>
      <c r="K417" s="1803"/>
      <c r="L417" s="1804"/>
      <c r="M417" s="897" t="str">
        <f t="shared" si="13"/>
        <v/>
      </c>
      <c r="N417" s="898" t="str">
        <f t="shared" si="14"/>
        <v/>
      </c>
      <c r="O417"/>
      <c r="P417"/>
      <c r="Q417"/>
      <c r="R417"/>
      <c r="S417"/>
      <c r="T417"/>
      <c r="AZ417" s="196"/>
      <c r="BA417" s="196"/>
      <c r="BB417" s="196"/>
      <c r="BC417" s="196"/>
      <c r="BD417" s="196"/>
      <c r="BE417" s="196"/>
      <c r="BF417" s="196"/>
      <c r="BG417" s="196"/>
      <c r="BH417" s="196"/>
      <c r="BI417" s="196"/>
      <c r="BJ417" s="196"/>
      <c r="BK417" s="196"/>
    </row>
    <row r="418" spans="1:63" ht="15" customHeight="1" x14ac:dyDescent="0.2">
      <c r="A418"/>
      <c r="B418" s="1798"/>
      <c r="C418" s="1799"/>
      <c r="D418" s="1800"/>
      <c r="E418" s="1801"/>
      <c r="F418" s="1802"/>
      <c r="G418" s="1803"/>
      <c r="H418" s="1803"/>
      <c r="I418" s="1803"/>
      <c r="J418" s="1803"/>
      <c r="K418" s="1803"/>
      <c r="L418" s="1804"/>
      <c r="M418" s="897" t="str">
        <f t="shared" si="13"/>
        <v/>
      </c>
      <c r="N418" s="898" t="str">
        <f t="shared" si="14"/>
        <v/>
      </c>
      <c r="O418"/>
      <c r="P418"/>
      <c r="Q418"/>
      <c r="R418"/>
      <c r="S418"/>
      <c r="T418"/>
      <c r="AZ418" s="196"/>
      <c r="BA418" s="196"/>
      <c r="BB418" s="196"/>
      <c r="BC418" s="196"/>
      <c r="BD418" s="196"/>
      <c r="BE418" s="196"/>
      <c r="BF418" s="196"/>
      <c r="BG418" s="196"/>
      <c r="BH418" s="196"/>
      <c r="BI418" s="196"/>
      <c r="BJ418" s="196"/>
      <c r="BK418" s="196"/>
    </row>
    <row r="419" spans="1:63" ht="15" customHeight="1" x14ac:dyDescent="0.2">
      <c r="A419"/>
      <c r="B419" s="1798"/>
      <c r="C419" s="1799"/>
      <c r="D419" s="1800"/>
      <c r="E419" s="1801"/>
      <c r="F419" s="1802"/>
      <c r="G419" s="1803"/>
      <c r="H419" s="1803"/>
      <c r="I419" s="1803"/>
      <c r="J419" s="1803"/>
      <c r="K419" s="1803"/>
      <c r="L419" s="1804"/>
      <c r="M419" s="897" t="str">
        <f t="shared" si="13"/>
        <v/>
      </c>
      <c r="N419" s="898" t="str">
        <f t="shared" si="14"/>
        <v/>
      </c>
      <c r="O419"/>
      <c r="P419"/>
      <c r="Q419"/>
      <c r="R419"/>
      <c r="S419"/>
      <c r="T419"/>
      <c r="AZ419" s="196"/>
      <c r="BA419" s="196"/>
      <c r="BB419" s="196"/>
      <c r="BC419" s="196"/>
      <c r="BD419" s="196"/>
      <c r="BE419" s="196"/>
      <c r="BF419" s="196"/>
      <c r="BG419" s="196"/>
      <c r="BH419" s="196"/>
      <c r="BI419" s="196"/>
      <c r="BJ419" s="196"/>
      <c r="BK419" s="196"/>
    </row>
    <row r="420" spans="1:63" ht="15" customHeight="1" x14ac:dyDescent="0.2">
      <c r="A420"/>
      <c r="B420" s="1798"/>
      <c r="C420" s="1799"/>
      <c r="D420" s="1800"/>
      <c r="E420" s="1801"/>
      <c r="F420" s="1802"/>
      <c r="G420" s="1803"/>
      <c r="H420" s="1803"/>
      <c r="I420" s="1803"/>
      <c r="J420" s="1803"/>
      <c r="K420" s="1803"/>
      <c r="L420" s="1804"/>
      <c r="M420" s="897" t="str">
        <f t="shared" si="13"/>
        <v/>
      </c>
      <c r="N420" s="898" t="str">
        <f t="shared" si="14"/>
        <v/>
      </c>
      <c r="O420"/>
      <c r="P420"/>
      <c r="Q420"/>
      <c r="R420"/>
      <c r="S420"/>
      <c r="T420"/>
      <c r="AZ420" s="196"/>
      <c r="BA420" s="196"/>
      <c r="BB420" s="196"/>
      <c r="BC420" s="196"/>
      <c r="BD420" s="196"/>
      <c r="BE420" s="196"/>
      <c r="BF420" s="196"/>
      <c r="BG420" s="196"/>
      <c r="BH420" s="196"/>
      <c r="BI420" s="196"/>
      <c r="BJ420" s="196"/>
      <c r="BK420" s="196"/>
    </row>
    <row r="421" spans="1:63" ht="15" customHeight="1" x14ac:dyDescent="0.2">
      <c r="A421"/>
      <c r="B421" s="1798"/>
      <c r="C421" s="1799"/>
      <c r="D421" s="1800"/>
      <c r="E421" s="1801"/>
      <c r="F421" s="1802"/>
      <c r="G421" s="1803"/>
      <c r="H421" s="1803"/>
      <c r="I421" s="1803"/>
      <c r="J421" s="1803"/>
      <c r="K421" s="1803"/>
      <c r="L421" s="1804"/>
      <c r="M421" s="897" t="str">
        <f t="shared" si="13"/>
        <v/>
      </c>
      <c r="N421" s="898" t="str">
        <f t="shared" si="14"/>
        <v/>
      </c>
      <c r="O421"/>
      <c r="P421"/>
      <c r="Q421"/>
      <c r="R421"/>
      <c r="S421"/>
      <c r="T421"/>
      <c r="AZ421" s="196"/>
      <c r="BA421" s="196"/>
      <c r="BB421" s="196"/>
      <c r="BC421" s="196"/>
      <c r="BD421" s="196"/>
      <c r="BE421" s="196"/>
      <c r="BF421" s="196"/>
      <c r="BG421" s="196"/>
      <c r="BH421" s="196"/>
      <c r="BI421" s="196"/>
      <c r="BJ421" s="196"/>
      <c r="BK421" s="196"/>
    </row>
    <row r="422" spans="1:63" ht="15" customHeight="1" x14ac:dyDescent="0.2">
      <c r="A422"/>
      <c r="B422" s="1798"/>
      <c r="C422" s="1799"/>
      <c r="D422" s="1800"/>
      <c r="E422" s="1801"/>
      <c r="F422" s="1802"/>
      <c r="G422" s="1803"/>
      <c r="H422" s="1803"/>
      <c r="I422" s="1803"/>
      <c r="J422" s="1803"/>
      <c r="K422" s="1803"/>
      <c r="L422" s="1804"/>
      <c r="M422" s="897" t="str">
        <f t="shared" si="13"/>
        <v/>
      </c>
      <c r="N422" s="898" t="str">
        <f t="shared" si="14"/>
        <v/>
      </c>
      <c r="O422"/>
      <c r="P422"/>
      <c r="Q422"/>
      <c r="R422"/>
      <c r="S422"/>
      <c r="T422"/>
      <c r="AZ422" s="196"/>
      <c r="BA422" s="196"/>
      <c r="BB422" s="196"/>
      <c r="BC422" s="196"/>
      <c r="BD422" s="196"/>
      <c r="BE422" s="196"/>
      <c r="BF422" s="196"/>
      <c r="BG422" s="196"/>
      <c r="BH422" s="196"/>
      <c r="BI422" s="196"/>
      <c r="BJ422" s="196"/>
      <c r="BK422" s="196"/>
    </row>
    <row r="423" spans="1:63" ht="15" customHeight="1" x14ac:dyDescent="0.2">
      <c r="A423"/>
      <c r="B423" s="1798"/>
      <c r="C423" s="1799"/>
      <c r="D423" s="1800"/>
      <c r="E423" s="1801"/>
      <c r="F423" s="1802"/>
      <c r="G423" s="1803"/>
      <c r="H423" s="1803"/>
      <c r="I423" s="1803"/>
      <c r="J423" s="1803"/>
      <c r="K423" s="1803"/>
      <c r="L423" s="1804"/>
      <c r="M423" s="897" t="str">
        <f t="shared" ref="M423:M486" si="15">UPPER(C423)</f>
        <v/>
      </c>
      <c r="N423" s="898" t="str">
        <f t="shared" si="14"/>
        <v/>
      </c>
      <c r="O423"/>
      <c r="P423"/>
      <c r="Q423"/>
      <c r="R423"/>
      <c r="S423"/>
      <c r="T423"/>
      <c r="AZ423" s="196"/>
      <c r="BA423" s="196"/>
      <c r="BB423" s="196"/>
      <c r="BC423" s="196"/>
      <c r="BD423" s="196"/>
      <c r="BE423" s="196"/>
      <c r="BF423" s="196"/>
      <c r="BG423" s="196"/>
      <c r="BH423" s="196"/>
      <c r="BI423" s="196"/>
      <c r="BJ423" s="196"/>
      <c r="BK423" s="196"/>
    </row>
    <row r="424" spans="1:63" ht="15" customHeight="1" x14ac:dyDescent="0.2">
      <c r="A424"/>
      <c r="B424" s="1798"/>
      <c r="C424" s="1799"/>
      <c r="D424" s="1800"/>
      <c r="E424" s="1801"/>
      <c r="F424" s="1802"/>
      <c r="G424" s="1803"/>
      <c r="H424" s="1803"/>
      <c r="I424" s="1803"/>
      <c r="J424" s="1803"/>
      <c r="K424" s="1803"/>
      <c r="L424" s="1804"/>
      <c r="M424" s="897" t="str">
        <f t="shared" si="15"/>
        <v/>
      </c>
      <c r="N424" s="898" t="str">
        <f t="shared" si="14"/>
        <v/>
      </c>
      <c r="O424"/>
      <c r="P424"/>
      <c r="Q424"/>
      <c r="R424"/>
      <c r="S424"/>
      <c r="T424"/>
      <c r="AZ424" s="196"/>
      <c r="BA424" s="196"/>
      <c r="BB424" s="196"/>
      <c r="BC424" s="196"/>
      <c r="BD424" s="196"/>
      <c r="BE424" s="196"/>
      <c r="BF424" s="196"/>
      <c r="BG424" s="196"/>
      <c r="BH424" s="196"/>
      <c r="BI424" s="196"/>
      <c r="BJ424" s="196"/>
      <c r="BK424" s="196"/>
    </row>
    <row r="425" spans="1:63" ht="15" customHeight="1" x14ac:dyDescent="0.2">
      <c r="A425"/>
      <c r="B425" s="1798"/>
      <c r="C425" s="1799"/>
      <c r="D425" s="1800"/>
      <c r="E425" s="1801"/>
      <c r="F425" s="1802"/>
      <c r="G425" s="1803"/>
      <c r="H425" s="1803"/>
      <c r="I425" s="1803"/>
      <c r="J425" s="1803"/>
      <c r="K425" s="1803"/>
      <c r="L425" s="1804"/>
      <c r="M425" s="897" t="str">
        <f t="shared" si="15"/>
        <v/>
      </c>
      <c r="N425" s="898" t="str">
        <f t="shared" si="14"/>
        <v/>
      </c>
      <c r="O425"/>
      <c r="P425"/>
      <c r="Q425"/>
      <c r="R425"/>
      <c r="S425"/>
      <c r="T425"/>
      <c r="AZ425" s="196"/>
      <c r="BA425" s="196"/>
      <c r="BB425" s="196"/>
      <c r="BC425" s="196"/>
      <c r="BD425" s="196"/>
      <c r="BE425" s="196"/>
      <c r="BF425" s="196"/>
      <c r="BG425" s="196"/>
      <c r="BH425" s="196"/>
      <c r="BI425" s="196"/>
      <c r="BJ425" s="196"/>
      <c r="BK425" s="196"/>
    </row>
    <row r="426" spans="1:63" ht="15" customHeight="1" x14ac:dyDescent="0.2">
      <c r="A426"/>
      <c r="B426" s="1798"/>
      <c r="C426" s="1799"/>
      <c r="D426" s="1800"/>
      <c r="E426" s="1801"/>
      <c r="F426" s="1802"/>
      <c r="G426" s="1803"/>
      <c r="H426" s="1803"/>
      <c r="I426" s="1803"/>
      <c r="J426" s="1803"/>
      <c r="K426" s="1803"/>
      <c r="L426" s="1804"/>
      <c r="M426" s="897" t="str">
        <f t="shared" si="15"/>
        <v/>
      </c>
      <c r="N426" s="898" t="str">
        <f t="shared" si="14"/>
        <v/>
      </c>
      <c r="O426"/>
      <c r="P426"/>
      <c r="Q426"/>
      <c r="R426"/>
      <c r="S426"/>
      <c r="T426"/>
      <c r="AZ426" s="196"/>
      <c r="BA426" s="196"/>
      <c r="BB426" s="196"/>
      <c r="BC426" s="196"/>
      <c r="BD426" s="196"/>
      <c r="BE426" s="196"/>
      <c r="BF426" s="196"/>
      <c r="BG426" s="196"/>
      <c r="BH426" s="196"/>
      <c r="BI426" s="196"/>
      <c r="BJ426" s="196"/>
      <c r="BK426" s="196"/>
    </row>
    <row r="427" spans="1:63" ht="15" customHeight="1" x14ac:dyDescent="0.2">
      <c r="A427"/>
      <c r="B427" s="1798"/>
      <c r="C427" s="1799"/>
      <c r="D427" s="1800"/>
      <c r="E427" s="1801"/>
      <c r="F427" s="1802"/>
      <c r="G427" s="1803"/>
      <c r="H427" s="1803"/>
      <c r="I427" s="1803"/>
      <c r="J427" s="1803"/>
      <c r="K427" s="1803"/>
      <c r="L427" s="1804"/>
      <c r="M427" s="897" t="str">
        <f t="shared" si="15"/>
        <v/>
      </c>
      <c r="N427" s="898" t="str">
        <f t="shared" si="14"/>
        <v/>
      </c>
      <c r="O427"/>
      <c r="P427"/>
      <c r="Q427"/>
      <c r="R427"/>
      <c r="S427"/>
      <c r="T427"/>
      <c r="AZ427" s="196"/>
      <c r="BA427" s="196"/>
      <c r="BB427" s="196"/>
      <c r="BC427" s="196"/>
      <c r="BD427" s="196"/>
      <c r="BE427" s="196"/>
      <c r="BF427" s="196"/>
      <c r="BG427" s="196"/>
      <c r="BH427" s="196"/>
      <c r="BI427" s="196"/>
      <c r="BJ427" s="196"/>
      <c r="BK427" s="196"/>
    </row>
    <row r="428" spans="1:63" ht="15" customHeight="1" x14ac:dyDescent="0.2">
      <c r="A428"/>
      <c r="B428" s="1798"/>
      <c r="C428" s="1799"/>
      <c r="D428" s="1800"/>
      <c r="E428" s="1801"/>
      <c r="F428" s="1802"/>
      <c r="G428" s="1803"/>
      <c r="H428" s="1803"/>
      <c r="I428" s="1803"/>
      <c r="J428" s="1803"/>
      <c r="K428" s="1803"/>
      <c r="L428" s="1804"/>
      <c r="M428" s="897" t="str">
        <f t="shared" si="15"/>
        <v/>
      </c>
      <c r="N428" s="898" t="str">
        <f t="shared" si="14"/>
        <v/>
      </c>
      <c r="O428"/>
      <c r="P428"/>
      <c r="Q428"/>
      <c r="R428"/>
      <c r="S428"/>
      <c r="T428"/>
      <c r="AZ428" s="196"/>
      <c r="BA428" s="196"/>
      <c r="BB428" s="196"/>
      <c r="BC428" s="196"/>
      <c r="BD428" s="196"/>
      <c r="BE428" s="196"/>
      <c r="BF428" s="196"/>
      <c r="BG428" s="196"/>
      <c r="BH428" s="196"/>
      <c r="BI428" s="196"/>
      <c r="BJ428" s="196"/>
      <c r="BK428" s="196"/>
    </row>
    <row r="429" spans="1:63" ht="15" customHeight="1" x14ac:dyDescent="0.2">
      <c r="A429"/>
      <c r="B429" s="1798"/>
      <c r="C429" s="1799"/>
      <c r="D429" s="1800"/>
      <c r="E429" s="1801"/>
      <c r="F429" s="1802"/>
      <c r="G429" s="1803"/>
      <c r="H429" s="1803"/>
      <c r="I429" s="1803"/>
      <c r="J429" s="1803"/>
      <c r="K429" s="1803"/>
      <c r="L429" s="1804"/>
      <c r="M429" s="897" t="str">
        <f t="shared" si="15"/>
        <v/>
      </c>
      <c r="N429" s="898" t="str">
        <f t="shared" si="14"/>
        <v/>
      </c>
      <c r="O429"/>
      <c r="P429"/>
      <c r="Q429"/>
      <c r="R429"/>
      <c r="S429"/>
      <c r="T429"/>
      <c r="AZ429" s="196"/>
      <c r="BA429" s="196"/>
      <c r="BB429" s="196"/>
      <c r="BC429" s="196"/>
      <c r="BD429" s="196"/>
      <c r="BE429" s="196"/>
      <c r="BF429" s="196"/>
      <c r="BG429" s="196"/>
      <c r="BH429" s="196"/>
      <c r="BI429" s="196"/>
      <c r="BJ429" s="196"/>
      <c r="BK429" s="196"/>
    </row>
    <row r="430" spans="1:63" ht="15" customHeight="1" x14ac:dyDescent="0.2">
      <c r="A430"/>
      <c r="B430" s="1798"/>
      <c r="C430" s="1799"/>
      <c r="D430" s="1800"/>
      <c r="E430" s="1801"/>
      <c r="F430" s="1802"/>
      <c r="G430" s="1803"/>
      <c r="H430" s="1803"/>
      <c r="I430" s="1803"/>
      <c r="J430" s="1803"/>
      <c r="K430" s="1803"/>
      <c r="L430" s="1804"/>
      <c r="M430" s="897" t="str">
        <f t="shared" si="15"/>
        <v/>
      </c>
      <c r="N430" s="898" t="str">
        <f t="shared" si="14"/>
        <v/>
      </c>
      <c r="O430"/>
      <c r="P430"/>
      <c r="Q430"/>
      <c r="R430"/>
      <c r="S430"/>
      <c r="T430"/>
      <c r="AZ430" s="196"/>
      <c r="BA430" s="196"/>
      <c r="BB430" s="196"/>
      <c r="BC430" s="196"/>
      <c r="BD430" s="196"/>
      <c r="BE430" s="196"/>
      <c r="BF430" s="196"/>
      <c r="BG430" s="196"/>
      <c r="BH430" s="196"/>
      <c r="BI430" s="196"/>
      <c r="BJ430" s="196"/>
      <c r="BK430" s="196"/>
    </row>
    <row r="431" spans="1:63" ht="15" customHeight="1" x14ac:dyDescent="0.2">
      <c r="A431"/>
      <c r="B431" s="1798"/>
      <c r="C431" s="1799"/>
      <c r="D431" s="1800"/>
      <c r="E431" s="1801"/>
      <c r="F431" s="1802"/>
      <c r="G431" s="1803"/>
      <c r="H431" s="1803"/>
      <c r="I431" s="1803"/>
      <c r="J431" s="1803"/>
      <c r="K431" s="1803"/>
      <c r="L431" s="1804"/>
      <c r="M431" s="897" t="str">
        <f t="shared" si="15"/>
        <v/>
      </c>
      <c r="N431" s="898" t="str">
        <f t="shared" si="14"/>
        <v/>
      </c>
      <c r="O431"/>
      <c r="P431"/>
      <c r="Q431"/>
      <c r="R431"/>
      <c r="S431"/>
      <c r="T431"/>
      <c r="AZ431" s="196"/>
      <c r="BA431" s="196"/>
      <c r="BB431" s="196"/>
      <c r="BC431" s="196"/>
      <c r="BD431" s="196"/>
      <c r="BE431" s="196"/>
      <c r="BF431" s="196"/>
      <c r="BG431" s="196"/>
      <c r="BH431" s="196"/>
      <c r="BI431" s="196"/>
      <c r="BJ431" s="196"/>
      <c r="BK431" s="196"/>
    </row>
    <row r="432" spans="1:63" ht="15" customHeight="1" x14ac:dyDescent="0.2">
      <c r="A432"/>
      <c r="B432" s="1798"/>
      <c r="C432" s="1799"/>
      <c r="D432" s="1800"/>
      <c r="E432" s="1801"/>
      <c r="F432" s="1802"/>
      <c r="G432" s="1803"/>
      <c r="H432" s="1803"/>
      <c r="I432" s="1803"/>
      <c r="J432" s="1803"/>
      <c r="K432" s="1803"/>
      <c r="L432" s="1804"/>
      <c r="M432" s="897" t="str">
        <f t="shared" si="15"/>
        <v/>
      </c>
      <c r="N432" s="898" t="str">
        <f t="shared" si="14"/>
        <v/>
      </c>
      <c r="O432"/>
      <c r="P432"/>
      <c r="Q432"/>
      <c r="R432"/>
      <c r="S432"/>
      <c r="T432"/>
      <c r="AZ432" s="196"/>
      <c r="BA432" s="196"/>
      <c r="BB432" s="196"/>
      <c r="BC432" s="196"/>
      <c r="BD432" s="196"/>
      <c r="BE432" s="196"/>
      <c r="BF432" s="196"/>
      <c r="BG432" s="196"/>
      <c r="BH432" s="196"/>
      <c r="BI432" s="196"/>
      <c r="BJ432" s="196"/>
      <c r="BK432" s="196"/>
    </row>
    <row r="433" spans="1:63" ht="15" customHeight="1" x14ac:dyDescent="0.2">
      <c r="A433"/>
      <c r="B433" s="1798"/>
      <c r="C433" s="1799"/>
      <c r="D433" s="1800"/>
      <c r="E433" s="1801"/>
      <c r="F433" s="1802"/>
      <c r="G433" s="1803"/>
      <c r="H433" s="1803"/>
      <c r="I433" s="1803"/>
      <c r="J433" s="1803"/>
      <c r="K433" s="1803"/>
      <c r="L433" s="1804"/>
      <c r="M433" s="897" t="str">
        <f t="shared" si="15"/>
        <v/>
      </c>
      <c r="N433" s="898" t="str">
        <f t="shared" si="14"/>
        <v/>
      </c>
      <c r="O433"/>
      <c r="P433"/>
      <c r="Q433"/>
      <c r="R433"/>
      <c r="S433"/>
      <c r="T433"/>
      <c r="AZ433" s="196"/>
      <c r="BA433" s="196"/>
      <c r="BB433" s="196"/>
      <c r="BC433" s="196"/>
      <c r="BD433" s="196"/>
      <c r="BE433" s="196"/>
      <c r="BF433" s="196"/>
      <c r="BG433" s="196"/>
      <c r="BH433" s="196"/>
      <c r="BI433" s="196"/>
      <c r="BJ433" s="196"/>
      <c r="BK433" s="196"/>
    </row>
    <row r="434" spans="1:63" ht="15" customHeight="1" x14ac:dyDescent="0.2">
      <c r="A434"/>
      <c r="B434" s="1798"/>
      <c r="C434" s="1799"/>
      <c r="D434" s="1800"/>
      <c r="E434" s="1801"/>
      <c r="F434" s="1802"/>
      <c r="G434" s="1803"/>
      <c r="H434" s="1803"/>
      <c r="I434" s="1803"/>
      <c r="J434" s="1803"/>
      <c r="K434" s="1803"/>
      <c r="L434" s="1804"/>
      <c r="M434" s="897" t="str">
        <f t="shared" si="15"/>
        <v/>
      </c>
      <c r="N434" s="898" t="str">
        <f t="shared" si="14"/>
        <v/>
      </c>
      <c r="O434"/>
      <c r="P434"/>
      <c r="Q434"/>
      <c r="R434"/>
      <c r="S434"/>
      <c r="T434"/>
      <c r="AZ434" s="196"/>
      <c r="BA434" s="196"/>
      <c r="BB434" s="196"/>
      <c r="BC434" s="196"/>
      <c r="BD434" s="196"/>
      <c r="BE434" s="196"/>
      <c r="BF434" s="196"/>
      <c r="BG434" s="196"/>
      <c r="BH434" s="196"/>
      <c r="BI434" s="196"/>
      <c r="BJ434" s="196"/>
      <c r="BK434" s="196"/>
    </row>
    <row r="435" spans="1:63" ht="15" customHeight="1" x14ac:dyDescent="0.2">
      <c r="A435"/>
      <c r="B435" s="1798"/>
      <c r="C435" s="1799"/>
      <c r="D435" s="1800"/>
      <c r="E435" s="1801"/>
      <c r="F435" s="1802"/>
      <c r="G435" s="1803"/>
      <c r="H435" s="1803"/>
      <c r="I435" s="1803"/>
      <c r="J435" s="1803"/>
      <c r="K435" s="1803"/>
      <c r="L435" s="1804"/>
      <c r="M435" s="897" t="str">
        <f t="shared" si="15"/>
        <v/>
      </c>
      <c r="N435" s="898" t="str">
        <f t="shared" si="14"/>
        <v/>
      </c>
      <c r="O435"/>
      <c r="P435"/>
      <c r="Q435"/>
      <c r="R435"/>
      <c r="S435"/>
      <c r="T435"/>
      <c r="AZ435" s="196"/>
      <c r="BA435" s="196"/>
      <c r="BB435" s="196"/>
      <c r="BC435" s="196"/>
      <c r="BD435" s="196"/>
      <c r="BE435" s="196"/>
      <c r="BF435" s="196"/>
      <c r="BG435" s="196"/>
      <c r="BH435" s="196"/>
      <c r="BI435" s="196"/>
      <c r="BJ435" s="196"/>
      <c r="BK435" s="196"/>
    </row>
    <row r="436" spans="1:63" ht="15" customHeight="1" x14ac:dyDescent="0.2">
      <c r="A436"/>
      <c r="B436" s="1798"/>
      <c r="C436" s="1799"/>
      <c r="D436" s="1800"/>
      <c r="E436" s="1801"/>
      <c r="F436" s="1802"/>
      <c r="G436" s="1803"/>
      <c r="H436" s="1803"/>
      <c r="I436" s="1803"/>
      <c r="J436" s="1803"/>
      <c r="K436" s="1803"/>
      <c r="L436" s="1804"/>
      <c r="M436" s="897" t="str">
        <f t="shared" si="15"/>
        <v/>
      </c>
      <c r="N436" s="898" t="str">
        <f t="shared" si="14"/>
        <v/>
      </c>
      <c r="O436"/>
      <c r="P436"/>
      <c r="Q436"/>
      <c r="R436"/>
      <c r="S436"/>
      <c r="T436"/>
      <c r="AZ436" s="196"/>
      <c r="BA436" s="196"/>
      <c r="BB436" s="196"/>
      <c r="BC436" s="196"/>
      <c r="BD436" s="196"/>
      <c r="BE436" s="196"/>
      <c r="BF436" s="196"/>
      <c r="BG436" s="196"/>
      <c r="BH436" s="196"/>
      <c r="BI436" s="196"/>
      <c r="BJ436" s="196"/>
      <c r="BK436" s="196"/>
    </row>
    <row r="437" spans="1:63" ht="15" customHeight="1" x14ac:dyDescent="0.2">
      <c r="A437"/>
      <c r="B437" s="1798"/>
      <c r="C437" s="1799"/>
      <c r="D437" s="1800"/>
      <c r="E437" s="1801"/>
      <c r="F437" s="1802"/>
      <c r="G437" s="1803"/>
      <c r="H437" s="1803"/>
      <c r="I437" s="1803"/>
      <c r="J437" s="1803"/>
      <c r="K437" s="1803"/>
      <c r="L437" s="1804"/>
      <c r="M437" s="897" t="str">
        <f t="shared" si="15"/>
        <v/>
      </c>
      <c r="N437" s="898" t="str">
        <f t="shared" si="14"/>
        <v/>
      </c>
      <c r="O437"/>
      <c r="P437"/>
      <c r="Q437"/>
      <c r="R437"/>
      <c r="S437"/>
      <c r="T437"/>
      <c r="AZ437" s="196"/>
      <c r="BA437" s="196"/>
      <c r="BB437" s="196"/>
      <c r="BC437" s="196"/>
      <c r="BD437" s="196"/>
      <c r="BE437" s="196"/>
      <c r="BF437" s="196"/>
      <c r="BG437" s="196"/>
      <c r="BH437" s="196"/>
      <c r="BI437" s="196"/>
      <c r="BJ437" s="196"/>
      <c r="BK437" s="196"/>
    </row>
    <row r="438" spans="1:63" ht="15" customHeight="1" x14ac:dyDescent="0.2">
      <c r="A438"/>
      <c r="B438" s="1798"/>
      <c r="C438" s="1799"/>
      <c r="D438" s="1800"/>
      <c r="E438" s="1801"/>
      <c r="F438" s="1802"/>
      <c r="G438" s="1803"/>
      <c r="H438" s="1803"/>
      <c r="I438" s="1803"/>
      <c r="J438" s="1803"/>
      <c r="K438" s="1803"/>
      <c r="L438" s="1804"/>
      <c r="M438" s="897" t="str">
        <f t="shared" si="15"/>
        <v/>
      </c>
      <c r="N438" s="898" t="str">
        <f t="shared" si="14"/>
        <v/>
      </c>
      <c r="O438"/>
      <c r="P438"/>
      <c r="Q438"/>
      <c r="R438"/>
      <c r="S438"/>
      <c r="T438"/>
      <c r="AZ438" s="196"/>
      <c r="BA438" s="196"/>
      <c r="BB438" s="196"/>
      <c r="BC438" s="196"/>
      <c r="BD438" s="196"/>
      <c r="BE438" s="196"/>
      <c r="BF438" s="196"/>
      <c r="BG438" s="196"/>
      <c r="BH438" s="196"/>
      <c r="BI438" s="196"/>
      <c r="BJ438" s="196"/>
      <c r="BK438" s="196"/>
    </row>
    <row r="439" spans="1:63" ht="15" customHeight="1" x14ac:dyDescent="0.2">
      <c r="A439"/>
      <c r="B439" s="1798"/>
      <c r="C439" s="1799"/>
      <c r="D439" s="1800"/>
      <c r="E439" s="1801"/>
      <c r="F439" s="1802"/>
      <c r="G439" s="1803"/>
      <c r="H439" s="1803"/>
      <c r="I439" s="1803"/>
      <c r="J439" s="1803"/>
      <c r="K439" s="1803"/>
      <c r="L439" s="1804"/>
      <c r="M439" s="897" t="str">
        <f t="shared" si="15"/>
        <v/>
      </c>
      <c r="N439" s="898" t="str">
        <f t="shared" si="14"/>
        <v/>
      </c>
      <c r="O439"/>
      <c r="P439"/>
      <c r="Q439"/>
      <c r="R439"/>
      <c r="S439"/>
      <c r="T439"/>
      <c r="AZ439" s="196"/>
      <c r="BA439" s="196"/>
      <c r="BB439" s="196"/>
      <c r="BC439" s="196"/>
      <c r="BD439" s="196"/>
      <c r="BE439" s="196"/>
      <c r="BF439" s="196"/>
      <c r="BG439" s="196"/>
      <c r="BH439" s="196"/>
      <c r="BI439" s="196"/>
      <c r="BJ439" s="196"/>
      <c r="BK439" s="196"/>
    </row>
    <row r="440" spans="1:63" ht="15" customHeight="1" x14ac:dyDescent="0.2">
      <c r="A440"/>
      <c r="B440" s="1798"/>
      <c r="C440" s="1799"/>
      <c r="D440" s="1800"/>
      <c r="E440" s="1801"/>
      <c r="F440" s="1802"/>
      <c r="G440" s="1803"/>
      <c r="H440" s="1803"/>
      <c r="I440" s="1803"/>
      <c r="J440" s="1803"/>
      <c r="K440" s="1803"/>
      <c r="L440" s="1804"/>
      <c r="M440" s="897" t="str">
        <f t="shared" si="15"/>
        <v/>
      </c>
      <c r="N440" s="898" t="str">
        <f t="shared" si="14"/>
        <v/>
      </c>
      <c r="O440"/>
      <c r="P440"/>
      <c r="Q440"/>
      <c r="R440"/>
      <c r="S440"/>
      <c r="T440"/>
      <c r="AZ440" s="196"/>
      <c r="BA440" s="196"/>
      <c r="BB440" s="196"/>
      <c r="BC440" s="196"/>
      <c r="BD440" s="196"/>
      <c r="BE440" s="196"/>
      <c r="BF440" s="196"/>
      <c r="BG440" s="196"/>
      <c r="BH440" s="196"/>
      <c r="BI440" s="196"/>
      <c r="BJ440" s="196"/>
      <c r="BK440" s="196"/>
    </row>
    <row r="441" spans="1:63" ht="15" customHeight="1" x14ac:dyDescent="0.2">
      <c r="A441"/>
      <c r="B441" s="1798"/>
      <c r="C441" s="1799"/>
      <c r="D441" s="1800"/>
      <c r="E441" s="1801"/>
      <c r="F441" s="1802"/>
      <c r="G441" s="1803"/>
      <c r="H441" s="1803"/>
      <c r="I441" s="1803"/>
      <c r="J441" s="1803"/>
      <c r="K441" s="1803"/>
      <c r="L441" s="1804"/>
      <c r="M441" s="897" t="str">
        <f t="shared" si="15"/>
        <v/>
      </c>
      <c r="N441" s="898" t="str">
        <f t="shared" si="14"/>
        <v/>
      </c>
      <c r="O441"/>
      <c r="P441"/>
      <c r="Q441"/>
      <c r="R441"/>
      <c r="S441"/>
      <c r="T441"/>
      <c r="AZ441" s="196"/>
      <c r="BA441" s="196"/>
      <c r="BB441" s="196"/>
      <c r="BC441" s="196"/>
      <c r="BD441" s="196"/>
      <c r="BE441" s="196"/>
      <c r="BF441" s="196"/>
      <c r="BG441" s="196"/>
      <c r="BH441" s="196"/>
      <c r="BI441" s="196"/>
      <c r="BJ441" s="196"/>
      <c r="BK441" s="196"/>
    </row>
    <row r="442" spans="1:63" ht="15" customHeight="1" x14ac:dyDescent="0.2">
      <c r="A442"/>
      <c r="B442" s="1798"/>
      <c r="C442" s="1799"/>
      <c r="D442" s="1800"/>
      <c r="E442" s="1801"/>
      <c r="F442" s="1802"/>
      <c r="G442" s="1803"/>
      <c r="H442" s="1803"/>
      <c r="I442" s="1803"/>
      <c r="J442" s="1803"/>
      <c r="K442" s="1803"/>
      <c r="L442" s="1804"/>
      <c r="M442" s="897" t="str">
        <f t="shared" si="15"/>
        <v/>
      </c>
      <c r="N442" s="898" t="str">
        <f t="shared" si="14"/>
        <v/>
      </c>
      <c r="O442"/>
      <c r="P442"/>
      <c r="Q442"/>
      <c r="R442"/>
      <c r="S442"/>
      <c r="T442"/>
      <c r="AZ442" s="196"/>
      <c r="BA442" s="196"/>
      <c r="BB442" s="196"/>
      <c r="BC442" s="196"/>
      <c r="BD442" s="196"/>
      <c r="BE442" s="196"/>
      <c r="BF442" s="196"/>
      <c r="BG442" s="196"/>
      <c r="BH442" s="196"/>
      <c r="BI442" s="196"/>
      <c r="BJ442" s="196"/>
      <c r="BK442" s="196"/>
    </row>
    <row r="443" spans="1:63" ht="15" customHeight="1" x14ac:dyDescent="0.2">
      <c r="A443"/>
      <c r="B443" s="1798"/>
      <c r="C443" s="1799"/>
      <c r="D443" s="1800"/>
      <c r="E443" s="1801"/>
      <c r="F443" s="1802"/>
      <c r="G443" s="1803"/>
      <c r="H443" s="1803"/>
      <c r="I443" s="1803"/>
      <c r="J443" s="1803"/>
      <c r="K443" s="1803"/>
      <c r="L443" s="1804"/>
      <c r="M443" s="897" t="str">
        <f t="shared" si="15"/>
        <v/>
      </c>
      <c r="N443" s="898" t="str">
        <f t="shared" si="14"/>
        <v/>
      </c>
      <c r="O443"/>
      <c r="P443"/>
      <c r="Q443"/>
      <c r="R443"/>
      <c r="S443"/>
      <c r="T443"/>
      <c r="AZ443" s="196"/>
      <c r="BA443" s="196"/>
      <c r="BB443" s="196"/>
      <c r="BC443" s="196"/>
      <c r="BD443" s="196"/>
      <c r="BE443" s="196"/>
      <c r="BF443" s="196"/>
      <c r="BG443" s="196"/>
      <c r="BH443" s="196"/>
      <c r="BI443" s="196"/>
      <c r="BJ443" s="196"/>
      <c r="BK443" s="196"/>
    </row>
    <row r="444" spans="1:63" ht="15" customHeight="1" x14ac:dyDescent="0.2">
      <c r="A444"/>
      <c r="B444" s="1798"/>
      <c r="C444" s="1799"/>
      <c r="D444" s="1800"/>
      <c r="E444" s="1801"/>
      <c r="F444" s="1802"/>
      <c r="G444" s="1803"/>
      <c r="H444" s="1803"/>
      <c r="I444" s="1803"/>
      <c r="J444" s="1803"/>
      <c r="K444" s="1803"/>
      <c r="L444" s="1804"/>
      <c r="M444" s="897" t="str">
        <f t="shared" si="15"/>
        <v/>
      </c>
      <c r="N444" s="898" t="str">
        <f t="shared" si="14"/>
        <v/>
      </c>
      <c r="O444"/>
      <c r="P444"/>
      <c r="Q444"/>
      <c r="R444"/>
      <c r="S444"/>
      <c r="T444"/>
      <c r="AZ444" s="196"/>
      <c r="BA444" s="196"/>
      <c r="BB444" s="196"/>
      <c r="BC444" s="196"/>
      <c r="BD444" s="196"/>
      <c r="BE444" s="196"/>
      <c r="BF444" s="196"/>
      <c r="BG444" s="196"/>
      <c r="BH444" s="196"/>
      <c r="BI444" s="196"/>
      <c r="BJ444" s="196"/>
      <c r="BK444" s="196"/>
    </row>
    <row r="445" spans="1:63" ht="15" customHeight="1" x14ac:dyDescent="0.2">
      <c r="A445"/>
      <c r="B445" s="1798"/>
      <c r="C445" s="1799"/>
      <c r="D445" s="1800"/>
      <c r="E445" s="1801"/>
      <c r="F445" s="1802"/>
      <c r="G445" s="1803"/>
      <c r="H445" s="1803"/>
      <c r="I445" s="1803"/>
      <c r="J445" s="1803"/>
      <c r="K445" s="1803"/>
      <c r="L445" s="1804"/>
      <c r="M445" s="897" t="str">
        <f t="shared" si="15"/>
        <v/>
      </c>
      <c r="N445" s="898" t="str">
        <f t="shared" si="14"/>
        <v/>
      </c>
      <c r="O445"/>
      <c r="P445"/>
      <c r="Q445"/>
      <c r="R445"/>
      <c r="S445"/>
      <c r="T445"/>
      <c r="AZ445" s="196"/>
      <c r="BA445" s="196"/>
      <c r="BB445" s="196"/>
      <c r="BC445" s="196"/>
      <c r="BD445" s="196"/>
      <c r="BE445" s="196"/>
      <c r="BF445" s="196"/>
      <c r="BG445" s="196"/>
      <c r="BH445" s="196"/>
      <c r="BI445" s="196"/>
      <c r="BJ445" s="196"/>
      <c r="BK445" s="196"/>
    </row>
    <row r="446" spans="1:63" ht="15" customHeight="1" x14ac:dyDescent="0.2">
      <c r="A446"/>
      <c r="B446" s="1798"/>
      <c r="C446" s="1799"/>
      <c r="D446" s="1800"/>
      <c r="E446" s="1801"/>
      <c r="F446" s="1802"/>
      <c r="G446" s="1803"/>
      <c r="H446" s="1803"/>
      <c r="I446" s="1803"/>
      <c r="J446" s="1803"/>
      <c r="K446" s="1803"/>
      <c r="L446" s="1804"/>
      <c r="M446" s="897" t="str">
        <f t="shared" si="15"/>
        <v/>
      </c>
      <c r="N446" s="898" t="str">
        <f t="shared" si="14"/>
        <v/>
      </c>
      <c r="O446"/>
      <c r="P446"/>
      <c r="Q446"/>
      <c r="R446"/>
      <c r="S446"/>
      <c r="T446"/>
      <c r="AZ446" s="196"/>
      <c r="BA446" s="196"/>
      <c r="BB446" s="196"/>
      <c r="BC446" s="196"/>
      <c r="BD446" s="196"/>
      <c r="BE446" s="196"/>
      <c r="BF446" s="196"/>
      <c r="BG446" s="196"/>
      <c r="BH446" s="196"/>
      <c r="BI446" s="196"/>
      <c r="BJ446" s="196"/>
      <c r="BK446" s="196"/>
    </row>
    <row r="447" spans="1:63" ht="15" customHeight="1" x14ac:dyDescent="0.2">
      <c r="A447"/>
      <c r="B447" s="1798"/>
      <c r="C447" s="1799"/>
      <c r="D447" s="1800"/>
      <c r="E447" s="1801"/>
      <c r="F447" s="1802"/>
      <c r="G447" s="1803"/>
      <c r="H447" s="1803"/>
      <c r="I447" s="1803"/>
      <c r="J447" s="1803"/>
      <c r="K447" s="1803"/>
      <c r="L447" s="1804"/>
      <c r="M447" s="897" t="str">
        <f t="shared" si="15"/>
        <v/>
      </c>
      <c r="N447" s="898" t="str">
        <f t="shared" si="14"/>
        <v/>
      </c>
      <c r="O447"/>
      <c r="P447"/>
      <c r="Q447"/>
      <c r="R447"/>
      <c r="S447"/>
      <c r="T447"/>
      <c r="AZ447" s="196"/>
      <c r="BA447" s="196"/>
      <c r="BB447" s="196"/>
      <c r="BC447" s="196"/>
      <c r="BD447" s="196"/>
      <c r="BE447" s="196"/>
      <c r="BF447" s="196"/>
      <c r="BG447" s="196"/>
      <c r="BH447" s="196"/>
      <c r="BI447" s="196"/>
      <c r="BJ447" s="196"/>
      <c r="BK447" s="196"/>
    </row>
    <row r="448" spans="1:63" ht="15" customHeight="1" x14ac:dyDescent="0.2">
      <c r="A448"/>
      <c r="B448" s="1798"/>
      <c r="C448" s="1799"/>
      <c r="D448" s="1800"/>
      <c r="E448" s="1801"/>
      <c r="F448" s="1802"/>
      <c r="G448" s="1803"/>
      <c r="H448" s="1803"/>
      <c r="I448" s="1803"/>
      <c r="J448" s="1803"/>
      <c r="K448" s="1803"/>
      <c r="L448" s="1804"/>
      <c r="M448" s="897" t="str">
        <f t="shared" si="15"/>
        <v/>
      </c>
      <c r="N448" s="898" t="str">
        <f t="shared" si="14"/>
        <v/>
      </c>
      <c r="O448"/>
      <c r="P448"/>
      <c r="Q448"/>
      <c r="R448"/>
      <c r="S448"/>
      <c r="T448"/>
      <c r="AZ448" s="196"/>
      <c r="BA448" s="196"/>
      <c r="BB448" s="196"/>
      <c r="BC448" s="196"/>
      <c r="BD448" s="196"/>
      <c r="BE448" s="196"/>
      <c r="BF448" s="196"/>
      <c r="BG448" s="196"/>
      <c r="BH448" s="196"/>
      <c r="BI448" s="196"/>
      <c r="BJ448" s="196"/>
      <c r="BK448" s="196"/>
    </row>
    <row r="449" spans="1:63" ht="15" customHeight="1" x14ac:dyDescent="0.2">
      <c r="A449"/>
      <c r="B449" s="1798"/>
      <c r="C449" s="1799"/>
      <c r="D449" s="1800"/>
      <c r="E449" s="1801"/>
      <c r="F449" s="1802"/>
      <c r="G449" s="1803"/>
      <c r="H449" s="1803"/>
      <c r="I449" s="1803"/>
      <c r="J449" s="1803"/>
      <c r="K449" s="1803"/>
      <c r="L449" s="1804"/>
      <c r="M449" s="897" t="str">
        <f t="shared" si="15"/>
        <v/>
      </c>
      <c r="N449" s="898" t="str">
        <f t="shared" si="14"/>
        <v/>
      </c>
      <c r="O449"/>
      <c r="P449"/>
      <c r="Q449"/>
      <c r="R449"/>
      <c r="S449"/>
      <c r="T449"/>
      <c r="AZ449" s="196"/>
      <c r="BA449" s="196"/>
      <c r="BB449" s="196"/>
      <c r="BC449" s="196"/>
      <c r="BD449" s="196"/>
      <c r="BE449" s="196"/>
      <c r="BF449" s="196"/>
      <c r="BG449" s="196"/>
      <c r="BH449" s="196"/>
      <c r="BI449" s="196"/>
      <c r="BJ449" s="196"/>
      <c r="BK449" s="196"/>
    </row>
    <row r="450" spans="1:63" ht="15" customHeight="1" x14ac:dyDescent="0.2">
      <c r="A450"/>
      <c r="B450" s="1798"/>
      <c r="C450" s="1799"/>
      <c r="D450" s="1800"/>
      <c r="E450" s="1801"/>
      <c r="F450" s="1802"/>
      <c r="G450" s="1803"/>
      <c r="H450" s="1803"/>
      <c r="I450" s="1803"/>
      <c r="J450" s="1803"/>
      <c r="K450" s="1803"/>
      <c r="L450" s="1804"/>
      <c r="M450" s="897" t="str">
        <f t="shared" si="15"/>
        <v/>
      </c>
      <c r="N450" s="898" t="str">
        <f t="shared" si="14"/>
        <v/>
      </c>
      <c r="O450"/>
      <c r="P450"/>
      <c r="Q450"/>
      <c r="R450"/>
      <c r="S450"/>
      <c r="T450"/>
      <c r="AZ450" s="196"/>
      <c r="BA450" s="196"/>
      <c r="BB450" s="196"/>
      <c r="BC450" s="196"/>
      <c r="BD450" s="196"/>
      <c r="BE450" s="196"/>
      <c r="BF450" s="196"/>
      <c r="BG450" s="196"/>
      <c r="BH450" s="196"/>
      <c r="BI450" s="196"/>
      <c r="BJ450" s="196"/>
      <c r="BK450" s="196"/>
    </row>
    <row r="451" spans="1:63" ht="15" customHeight="1" x14ac:dyDescent="0.2">
      <c r="A451"/>
      <c r="B451" s="1798"/>
      <c r="C451" s="1799"/>
      <c r="D451" s="1800"/>
      <c r="E451" s="1801"/>
      <c r="F451" s="1802"/>
      <c r="G451" s="1803"/>
      <c r="H451" s="1803"/>
      <c r="I451" s="1803"/>
      <c r="J451" s="1803"/>
      <c r="K451" s="1803"/>
      <c r="L451" s="1804"/>
      <c r="M451" s="897" t="str">
        <f t="shared" si="15"/>
        <v/>
      </c>
      <c r="N451" s="898" t="str">
        <f t="shared" si="14"/>
        <v/>
      </c>
      <c r="O451"/>
      <c r="P451"/>
      <c r="Q451"/>
      <c r="R451"/>
      <c r="S451"/>
      <c r="T451"/>
      <c r="AZ451" s="196"/>
      <c r="BA451" s="196"/>
      <c r="BB451" s="196"/>
      <c r="BC451" s="196"/>
      <c r="BD451" s="196"/>
      <c r="BE451" s="196"/>
      <c r="BF451" s="196"/>
      <c r="BG451" s="196"/>
      <c r="BH451" s="196"/>
      <c r="BI451" s="196"/>
      <c r="BJ451" s="196"/>
      <c r="BK451" s="196"/>
    </row>
    <row r="452" spans="1:63" ht="15" customHeight="1" x14ac:dyDescent="0.2">
      <c r="A452"/>
      <c r="B452" s="1798"/>
      <c r="C452" s="1799"/>
      <c r="D452" s="1800"/>
      <c r="E452" s="1801"/>
      <c r="F452" s="1802"/>
      <c r="G452" s="1803"/>
      <c r="H452" s="1803"/>
      <c r="I452" s="1803"/>
      <c r="J452" s="1803"/>
      <c r="K452" s="1803"/>
      <c r="L452" s="1804"/>
      <c r="M452" s="897" t="str">
        <f t="shared" si="15"/>
        <v/>
      </c>
      <c r="N452" s="898" t="str">
        <f t="shared" ref="N452:N498" si="16">IF(AND(ISBLANK(D452),ISBLANK(E452)),"",TRUNC(D452)*12+IF(OR(D452&lt;0,AND(D452=0,E452&lt;0)),-1*ABS(E452),ABS(E452)))</f>
        <v/>
      </c>
      <c r="O452"/>
      <c r="P452"/>
      <c r="Q452"/>
      <c r="R452"/>
      <c r="S452"/>
      <c r="T452"/>
      <c r="AZ452" s="196"/>
      <c r="BA452" s="196"/>
      <c r="BB452" s="196"/>
      <c r="BC452" s="196"/>
      <c r="BD452" s="196"/>
      <c r="BE452" s="196"/>
      <c r="BF452" s="196"/>
      <c r="BG452" s="196"/>
      <c r="BH452" s="196"/>
      <c r="BI452" s="196"/>
      <c r="BJ452" s="196"/>
      <c r="BK452" s="196"/>
    </row>
    <row r="453" spans="1:63" ht="15" customHeight="1" x14ac:dyDescent="0.2">
      <c r="A453"/>
      <c r="B453" s="1798"/>
      <c r="C453" s="1799"/>
      <c r="D453" s="1800"/>
      <c r="E453" s="1801"/>
      <c r="F453" s="1802"/>
      <c r="G453" s="1803"/>
      <c r="H453" s="1803"/>
      <c r="I453" s="1803"/>
      <c r="J453" s="1803"/>
      <c r="K453" s="1803"/>
      <c r="L453" s="1804"/>
      <c r="M453" s="897" t="str">
        <f t="shared" si="15"/>
        <v/>
      </c>
      <c r="N453" s="898" t="str">
        <f t="shared" si="16"/>
        <v/>
      </c>
      <c r="O453"/>
      <c r="P453"/>
      <c r="Q453"/>
      <c r="R453"/>
      <c r="S453"/>
      <c r="T453"/>
      <c r="AZ453" s="196"/>
      <c r="BA453" s="196"/>
      <c r="BB453" s="196"/>
      <c r="BC453" s="196"/>
      <c r="BD453" s="196"/>
      <c r="BE453" s="196"/>
      <c r="BF453" s="196"/>
      <c r="BG453" s="196"/>
      <c r="BH453" s="196"/>
      <c r="BI453" s="196"/>
      <c r="BJ453" s="196"/>
      <c r="BK453" s="196"/>
    </row>
    <row r="454" spans="1:63" ht="15" customHeight="1" x14ac:dyDescent="0.2">
      <c r="A454"/>
      <c r="B454" s="1798"/>
      <c r="C454" s="1799"/>
      <c r="D454" s="1800"/>
      <c r="E454" s="1801"/>
      <c r="F454" s="1802"/>
      <c r="G454" s="1803"/>
      <c r="H454" s="1803"/>
      <c r="I454" s="1803"/>
      <c r="J454" s="1803"/>
      <c r="K454" s="1803"/>
      <c r="L454" s="1804"/>
      <c r="M454" s="897" t="str">
        <f t="shared" si="15"/>
        <v/>
      </c>
      <c r="N454" s="898" t="str">
        <f t="shared" si="16"/>
        <v/>
      </c>
      <c r="O454"/>
      <c r="P454"/>
      <c r="Q454"/>
      <c r="R454"/>
      <c r="S454"/>
      <c r="T454"/>
      <c r="AZ454" s="196"/>
      <c r="BA454" s="196"/>
      <c r="BB454" s="196"/>
      <c r="BC454" s="196"/>
      <c r="BD454" s="196"/>
      <c r="BE454" s="196"/>
      <c r="BF454" s="196"/>
      <c r="BG454" s="196"/>
      <c r="BH454" s="196"/>
      <c r="BI454" s="196"/>
      <c r="BJ454" s="196"/>
      <c r="BK454" s="196"/>
    </row>
    <row r="455" spans="1:63" ht="15" customHeight="1" x14ac:dyDescent="0.2">
      <c r="A455"/>
      <c r="B455" s="1798"/>
      <c r="C455" s="1799"/>
      <c r="D455" s="1800"/>
      <c r="E455" s="1801"/>
      <c r="F455" s="1802"/>
      <c r="G455" s="1803"/>
      <c r="H455" s="1803"/>
      <c r="I455" s="1803"/>
      <c r="J455" s="1803"/>
      <c r="K455" s="1803"/>
      <c r="L455" s="1804"/>
      <c r="M455" s="897" t="str">
        <f t="shared" si="15"/>
        <v/>
      </c>
      <c r="N455" s="898" t="str">
        <f t="shared" si="16"/>
        <v/>
      </c>
      <c r="O455"/>
      <c r="P455"/>
      <c r="Q455"/>
      <c r="R455"/>
      <c r="S455"/>
      <c r="T455"/>
      <c r="AZ455" s="196"/>
      <c r="BA455" s="196"/>
      <c r="BB455" s="196"/>
      <c r="BC455" s="196"/>
      <c r="BD455" s="196"/>
      <c r="BE455" s="196"/>
      <c r="BF455" s="196"/>
      <c r="BG455" s="196"/>
      <c r="BH455" s="196"/>
      <c r="BI455" s="196"/>
      <c r="BJ455" s="196"/>
      <c r="BK455" s="196" t="b">
        <v>0</v>
      </c>
    </row>
    <row r="456" spans="1:63" ht="15" customHeight="1" x14ac:dyDescent="0.2">
      <c r="A456"/>
      <c r="B456" s="1798"/>
      <c r="C456" s="1799"/>
      <c r="D456" s="1800"/>
      <c r="E456" s="1801"/>
      <c r="F456" s="1802"/>
      <c r="G456" s="1803"/>
      <c r="H456" s="1803"/>
      <c r="I456" s="1803"/>
      <c r="J456" s="1803"/>
      <c r="K456" s="1803"/>
      <c r="L456" s="1804"/>
      <c r="M456" s="897" t="str">
        <f t="shared" si="15"/>
        <v/>
      </c>
      <c r="N456" s="898" t="str">
        <f t="shared" si="16"/>
        <v/>
      </c>
      <c r="O456"/>
      <c r="P456"/>
      <c r="Q456"/>
      <c r="R456"/>
      <c r="S456"/>
      <c r="T456"/>
      <c r="AZ456" s="196"/>
      <c r="BA456" s="196"/>
      <c r="BB456" s="196"/>
      <c r="BC456" s="196"/>
      <c r="BD456" s="196"/>
      <c r="BE456" s="196"/>
      <c r="BF456" s="196"/>
      <c r="BG456" s="196"/>
      <c r="BH456" s="196"/>
      <c r="BI456" s="196"/>
      <c r="BJ456" s="196"/>
      <c r="BK456" s="196"/>
    </row>
    <row r="457" spans="1:63" ht="15" customHeight="1" x14ac:dyDescent="0.2">
      <c r="A457"/>
      <c r="B457" s="1798"/>
      <c r="C457" s="1799"/>
      <c r="D457" s="1800"/>
      <c r="E457" s="1801"/>
      <c r="F457" s="1802"/>
      <c r="G457" s="1803"/>
      <c r="H457" s="1803"/>
      <c r="I457" s="1803"/>
      <c r="J457" s="1803"/>
      <c r="K457" s="1803"/>
      <c r="L457" s="1804"/>
      <c r="M457" s="897" t="str">
        <f t="shared" si="15"/>
        <v/>
      </c>
      <c r="N457" s="898" t="str">
        <f t="shared" si="16"/>
        <v/>
      </c>
      <c r="O457"/>
      <c r="P457"/>
      <c r="Q457"/>
      <c r="R457"/>
      <c r="S457"/>
      <c r="T457"/>
      <c r="AZ457" s="196"/>
      <c r="BA457" s="196"/>
      <c r="BB457" s="196"/>
      <c r="BC457" s="196"/>
      <c r="BD457" s="196"/>
      <c r="BE457" s="196"/>
      <c r="BF457" s="196"/>
      <c r="BG457" s="196"/>
      <c r="BH457" s="196"/>
      <c r="BI457" s="196"/>
      <c r="BJ457" s="196"/>
      <c r="BK457" s="196"/>
    </row>
    <row r="458" spans="1:63" ht="15" customHeight="1" x14ac:dyDescent="0.2">
      <c r="A458"/>
      <c r="B458" s="1798"/>
      <c r="C458" s="1799"/>
      <c r="D458" s="1800"/>
      <c r="E458" s="1801"/>
      <c r="F458" s="1802"/>
      <c r="G458" s="1803"/>
      <c r="H458" s="1803"/>
      <c r="I458" s="1803"/>
      <c r="J458" s="1803"/>
      <c r="K458" s="1803"/>
      <c r="L458" s="1804"/>
      <c r="M458" s="897" t="str">
        <f t="shared" si="15"/>
        <v/>
      </c>
      <c r="N458" s="898" t="str">
        <f t="shared" si="16"/>
        <v/>
      </c>
      <c r="O458"/>
      <c r="P458"/>
      <c r="Q458"/>
      <c r="R458"/>
      <c r="S458"/>
      <c r="T458"/>
      <c r="AZ458" s="196"/>
      <c r="BA458" s="196"/>
      <c r="BB458" s="196"/>
      <c r="BC458" s="196"/>
      <c r="BD458" s="196"/>
      <c r="BE458" s="196"/>
      <c r="BF458" s="196"/>
      <c r="BG458" s="196"/>
      <c r="BH458" s="196"/>
      <c r="BI458" s="196"/>
      <c r="BJ458" s="196"/>
      <c r="BK458" s="196"/>
    </row>
    <row r="459" spans="1:63" ht="15" customHeight="1" x14ac:dyDescent="0.2">
      <c r="A459"/>
      <c r="B459" s="1798"/>
      <c r="C459" s="1799"/>
      <c r="D459" s="1800"/>
      <c r="E459" s="1801"/>
      <c r="F459" s="1802"/>
      <c r="G459" s="1803"/>
      <c r="H459" s="1803"/>
      <c r="I459" s="1803"/>
      <c r="J459" s="1803"/>
      <c r="K459" s="1803"/>
      <c r="L459" s="1804"/>
      <c r="M459" s="897" t="str">
        <f t="shared" si="15"/>
        <v/>
      </c>
      <c r="N459" s="898" t="str">
        <f t="shared" si="16"/>
        <v/>
      </c>
      <c r="O459"/>
      <c r="P459"/>
      <c r="Q459"/>
      <c r="R459"/>
      <c r="S459"/>
      <c r="T459"/>
      <c r="AZ459" s="196"/>
      <c r="BA459" s="196"/>
      <c r="BB459" s="196"/>
      <c r="BC459" s="196"/>
      <c r="BD459" s="196"/>
      <c r="BE459" s="196"/>
      <c r="BF459" s="196"/>
      <c r="BG459" s="196"/>
      <c r="BH459" s="196"/>
      <c r="BI459" s="196"/>
      <c r="BJ459" s="196"/>
      <c r="BK459" s="196"/>
    </row>
    <row r="460" spans="1:63" ht="15" customHeight="1" x14ac:dyDescent="0.2">
      <c r="A460"/>
      <c r="B460" s="1798"/>
      <c r="C460" s="1799"/>
      <c r="D460" s="1800"/>
      <c r="E460" s="1801"/>
      <c r="F460" s="1802"/>
      <c r="G460" s="1803"/>
      <c r="H460" s="1803"/>
      <c r="I460" s="1803"/>
      <c r="J460" s="1803"/>
      <c r="K460" s="1803"/>
      <c r="L460" s="1804"/>
      <c r="M460" s="897" t="str">
        <f t="shared" si="15"/>
        <v/>
      </c>
      <c r="N460" s="898" t="str">
        <f t="shared" si="16"/>
        <v/>
      </c>
      <c r="O460"/>
      <c r="P460"/>
      <c r="Q460"/>
      <c r="R460"/>
      <c r="S460"/>
      <c r="T460"/>
      <c r="AZ460" s="196"/>
      <c r="BA460" s="196"/>
      <c r="BB460" s="196"/>
      <c r="BC460" s="196"/>
      <c r="BD460" s="196"/>
      <c r="BE460" s="196"/>
      <c r="BF460" s="196"/>
      <c r="BG460" s="196"/>
      <c r="BH460" s="196"/>
      <c r="BI460" s="196"/>
      <c r="BJ460" s="196"/>
      <c r="BK460" s="196"/>
    </row>
    <row r="461" spans="1:63" ht="15" customHeight="1" x14ac:dyDescent="0.2">
      <c r="A461"/>
      <c r="B461" s="1798"/>
      <c r="C461" s="1799"/>
      <c r="D461" s="1800"/>
      <c r="E461" s="1801"/>
      <c r="F461" s="1802"/>
      <c r="G461" s="1803"/>
      <c r="H461" s="1803"/>
      <c r="I461" s="1803"/>
      <c r="J461" s="1803"/>
      <c r="K461" s="1803"/>
      <c r="L461" s="1804"/>
      <c r="M461" s="897" t="str">
        <f t="shared" si="15"/>
        <v/>
      </c>
      <c r="N461" s="898" t="str">
        <f t="shared" si="16"/>
        <v/>
      </c>
      <c r="O461"/>
      <c r="P461"/>
      <c r="Q461"/>
      <c r="R461"/>
      <c r="S461"/>
      <c r="T461"/>
      <c r="AZ461" s="196"/>
      <c r="BA461" s="196"/>
      <c r="BB461" s="196"/>
      <c r="BC461" s="196"/>
      <c r="BD461" s="196"/>
      <c r="BE461" s="196"/>
      <c r="BF461" s="196"/>
      <c r="BG461" s="196"/>
      <c r="BH461" s="196"/>
      <c r="BI461" s="196"/>
      <c r="BJ461" s="196"/>
      <c r="BK461" s="196"/>
    </row>
    <row r="462" spans="1:63" ht="15" customHeight="1" x14ac:dyDescent="0.2">
      <c r="A462"/>
      <c r="B462" s="1798"/>
      <c r="C462" s="1799"/>
      <c r="D462" s="1800"/>
      <c r="E462" s="1801"/>
      <c r="F462" s="1802"/>
      <c r="G462" s="1803"/>
      <c r="H462" s="1803"/>
      <c r="I462" s="1803"/>
      <c r="J462" s="1803"/>
      <c r="K462" s="1803"/>
      <c r="L462" s="1804"/>
      <c r="M462" s="897" t="str">
        <f t="shared" si="15"/>
        <v/>
      </c>
      <c r="N462" s="898" t="str">
        <f t="shared" si="16"/>
        <v/>
      </c>
      <c r="O462"/>
      <c r="P462"/>
      <c r="Q462"/>
      <c r="R462"/>
      <c r="S462"/>
      <c r="T462"/>
      <c r="AZ462" s="196"/>
      <c r="BA462" s="196"/>
      <c r="BB462" s="196"/>
      <c r="BC462" s="196"/>
      <c r="BD462" s="196"/>
      <c r="BE462" s="196"/>
      <c r="BF462" s="196"/>
      <c r="BG462" s="196"/>
      <c r="BH462" s="196"/>
      <c r="BI462" s="196"/>
      <c r="BJ462" s="196"/>
      <c r="BK462" s="196"/>
    </row>
    <row r="463" spans="1:63" ht="15" customHeight="1" x14ac:dyDescent="0.2">
      <c r="A463"/>
      <c r="B463" s="1798"/>
      <c r="C463" s="1799"/>
      <c r="D463" s="1800"/>
      <c r="E463" s="1801"/>
      <c r="F463" s="1802"/>
      <c r="G463" s="1803"/>
      <c r="H463" s="1803"/>
      <c r="I463" s="1803"/>
      <c r="J463" s="1803"/>
      <c r="K463" s="1803"/>
      <c r="L463" s="1804"/>
      <c r="M463" s="897" t="str">
        <f t="shared" si="15"/>
        <v/>
      </c>
      <c r="N463" s="898" t="str">
        <f t="shared" si="16"/>
        <v/>
      </c>
      <c r="O463"/>
      <c r="P463"/>
      <c r="Q463"/>
      <c r="R463"/>
      <c r="S463"/>
      <c r="T463"/>
      <c r="AZ463" s="196"/>
      <c r="BA463" s="196"/>
      <c r="BB463" s="196"/>
      <c r="BC463" s="196"/>
      <c r="BD463" s="196"/>
      <c r="BE463" s="196"/>
      <c r="BF463" s="196"/>
      <c r="BG463" s="196"/>
      <c r="BH463" s="196"/>
      <c r="BI463" s="196"/>
      <c r="BJ463" s="196"/>
      <c r="BK463" s="196"/>
    </row>
    <row r="464" spans="1:63" ht="15" customHeight="1" x14ac:dyDescent="0.2">
      <c r="A464"/>
      <c r="B464" s="1798"/>
      <c r="C464" s="1799"/>
      <c r="D464" s="1800"/>
      <c r="E464" s="1801"/>
      <c r="F464" s="1802"/>
      <c r="G464" s="1803"/>
      <c r="H464" s="1803"/>
      <c r="I464" s="1803"/>
      <c r="J464" s="1803"/>
      <c r="K464" s="1803"/>
      <c r="L464" s="1804"/>
      <c r="M464" s="897" t="str">
        <f t="shared" si="15"/>
        <v/>
      </c>
      <c r="N464" s="898" t="str">
        <f t="shared" si="16"/>
        <v/>
      </c>
      <c r="O464"/>
      <c r="P464"/>
      <c r="Q464"/>
      <c r="R464"/>
      <c r="S464"/>
      <c r="T464"/>
      <c r="AZ464" s="196"/>
      <c r="BA464" s="196"/>
      <c r="BB464" s="196"/>
      <c r="BC464" s="196"/>
      <c r="BD464" s="196"/>
      <c r="BE464" s="196"/>
      <c r="BF464" s="196"/>
      <c r="BG464" s="196"/>
      <c r="BH464" s="196"/>
      <c r="BI464" s="196"/>
      <c r="BJ464" s="196"/>
      <c r="BK464" s="196"/>
    </row>
    <row r="465" spans="1:63" ht="15" customHeight="1" x14ac:dyDescent="0.2">
      <c r="A465"/>
      <c r="B465" s="1798"/>
      <c r="C465" s="1799"/>
      <c r="D465" s="1800"/>
      <c r="E465" s="1801"/>
      <c r="F465" s="1802"/>
      <c r="G465" s="1803"/>
      <c r="H465" s="1803"/>
      <c r="I465" s="1803"/>
      <c r="J465" s="1803"/>
      <c r="K465" s="1803"/>
      <c r="L465" s="1804"/>
      <c r="M465" s="897" t="str">
        <f t="shared" si="15"/>
        <v/>
      </c>
      <c r="N465" s="898" t="str">
        <f t="shared" si="16"/>
        <v/>
      </c>
      <c r="O465"/>
      <c r="P465"/>
      <c r="Q465"/>
      <c r="R465"/>
      <c r="S465"/>
      <c r="T465"/>
      <c r="AZ465" s="196"/>
      <c r="BA465" s="196"/>
      <c r="BB465" s="196"/>
      <c r="BC465" s="196"/>
      <c r="BD465" s="196"/>
      <c r="BE465" s="196"/>
      <c r="BF465" s="196"/>
      <c r="BG465" s="196"/>
      <c r="BH465" s="196"/>
      <c r="BI465" s="196"/>
      <c r="BJ465" s="196"/>
      <c r="BK465" s="196"/>
    </row>
    <row r="466" spans="1:63" ht="15" customHeight="1" x14ac:dyDescent="0.2">
      <c r="A466"/>
      <c r="B466" s="1798"/>
      <c r="C466" s="1799"/>
      <c r="D466" s="1800"/>
      <c r="E466" s="1801"/>
      <c r="F466" s="1802"/>
      <c r="G466" s="1803"/>
      <c r="H466" s="1803"/>
      <c r="I466" s="1803"/>
      <c r="J466" s="1803"/>
      <c r="K466" s="1803"/>
      <c r="L466" s="1804"/>
      <c r="M466" s="897" t="str">
        <f t="shared" si="15"/>
        <v/>
      </c>
      <c r="N466" s="898" t="str">
        <f t="shared" si="16"/>
        <v/>
      </c>
      <c r="O466"/>
      <c r="P466"/>
      <c r="Q466"/>
      <c r="R466"/>
      <c r="S466"/>
      <c r="T466"/>
      <c r="AZ466" s="196"/>
      <c r="BA466" s="196"/>
      <c r="BB466" s="196"/>
      <c r="BC466" s="196"/>
      <c r="BD466" s="196"/>
      <c r="BE466" s="196"/>
      <c r="BF466" s="196"/>
      <c r="BG466" s="196"/>
      <c r="BH466" s="196"/>
      <c r="BI466" s="196"/>
      <c r="BJ466" s="196"/>
      <c r="BK466" s="196"/>
    </row>
    <row r="467" spans="1:63" ht="15" customHeight="1" x14ac:dyDescent="0.2">
      <c r="A467"/>
      <c r="B467" s="1798"/>
      <c r="C467" s="1799"/>
      <c r="D467" s="1800"/>
      <c r="E467" s="1801"/>
      <c r="F467" s="1802"/>
      <c r="G467" s="1803"/>
      <c r="H467" s="1803"/>
      <c r="I467" s="1803"/>
      <c r="J467" s="1803"/>
      <c r="K467" s="1803"/>
      <c r="L467" s="1804"/>
      <c r="M467" s="897" t="str">
        <f t="shared" si="15"/>
        <v/>
      </c>
      <c r="N467" s="898" t="str">
        <f t="shared" si="16"/>
        <v/>
      </c>
      <c r="O467"/>
      <c r="P467"/>
      <c r="Q467"/>
      <c r="R467"/>
      <c r="S467"/>
      <c r="T467"/>
      <c r="AZ467" s="196"/>
      <c r="BA467" s="196"/>
      <c r="BB467" s="196"/>
      <c r="BC467" s="196"/>
      <c r="BD467" s="196"/>
      <c r="BE467" s="196"/>
      <c r="BF467" s="196"/>
      <c r="BG467" s="196"/>
      <c r="BH467" s="196"/>
      <c r="BI467" s="196"/>
      <c r="BJ467" s="196"/>
      <c r="BK467" s="196"/>
    </row>
    <row r="468" spans="1:63" ht="15" customHeight="1" x14ac:dyDescent="0.2">
      <c r="A468"/>
      <c r="B468" s="1798"/>
      <c r="C468" s="1799"/>
      <c r="D468" s="1800"/>
      <c r="E468" s="1801"/>
      <c r="F468" s="1802"/>
      <c r="G468" s="1803"/>
      <c r="H468" s="1803"/>
      <c r="I468" s="1803"/>
      <c r="J468" s="1803"/>
      <c r="K468" s="1803"/>
      <c r="L468" s="1804"/>
      <c r="M468" s="897" t="str">
        <f t="shared" si="15"/>
        <v/>
      </c>
      <c r="N468" s="898" t="str">
        <f t="shared" si="16"/>
        <v/>
      </c>
      <c r="O468"/>
      <c r="P468"/>
      <c r="Q468"/>
      <c r="R468"/>
      <c r="S468"/>
      <c r="T468"/>
      <c r="AZ468" s="196"/>
      <c r="BA468" s="196"/>
      <c r="BB468" s="196"/>
      <c r="BC468" s="196"/>
      <c r="BD468" s="196"/>
      <c r="BE468" s="196"/>
      <c r="BF468" s="196"/>
      <c r="BG468" s="196"/>
      <c r="BH468" s="196"/>
      <c r="BI468" s="196"/>
      <c r="BJ468" s="196"/>
      <c r="BK468" s="196"/>
    </row>
    <row r="469" spans="1:63" ht="15" customHeight="1" x14ac:dyDescent="0.2">
      <c r="A469"/>
      <c r="B469" s="1798"/>
      <c r="C469" s="1799"/>
      <c r="D469" s="1800"/>
      <c r="E469" s="1801"/>
      <c r="F469" s="1802"/>
      <c r="G469" s="1803"/>
      <c r="H469" s="1803"/>
      <c r="I469" s="1803"/>
      <c r="J469" s="1803"/>
      <c r="K469" s="1803"/>
      <c r="L469" s="1804"/>
      <c r="M469" s="897" t="str">
        <f t="shared" si="15"/>
        <v/>
      </c>
      <c r="N469" s="898" t="str">
        <f t="shared" si="16"/>
        <v/>
      </c>
      <c r="O469"/>
      <c r="P469"/>
      <c r="Q469"/>
      <c r="R469"/>
      <c r="S469"/>
      <c r="T469"/>
      <c r="AZ469" s="196"/>
      <c r="BA469" s="196"/>
      <c r="BB469" s="196"/>
      <c r="BC469" s="196"/>
      <c r="BD469" s="196"/>
      <c r="BE469" s="196"/>
      <c r="BF469" s="196"/>
      <c r="BG469" s="196"/>
      <c r="BH469" s="196"/>
      <c r="BI469" s="196"/>
      <c r="BJ469" s="196"/>
      <c r="BK469" s="196"/>
    </row>
    <row r="470" spans="1:63" ht="15" customHeight="1" x14ac:dyDescent="0.2">
      <c r="A470"/>
      <c r="B470" s="1798"/>
      <c r="C470" s="1799"/>
      <c r="D470" s="1800"/>
      <c r="E470" s="1801"/>
      <c r="F470" s="1802"/>
      <c r="G470" s="1803"/>
      <c r="H470" s="1803"/>
      <c r="I470" s="1803"/>
      <c r="J470" s="1803"/>
      <c r="K470" s="1803"/>
      <c r="L470" s="1804"/>
      <c r="M470" s="897" t="str">
        <f t="shared" si="15"/>
        <v/>
      </c>
      <c r="N470" s="898" t="str">
        <f t="shared" si="16"/>
        <v/>
      </c>
      <c r="O470"/>
      <c r="P470"/>
      <c r="Q470"/>
      <c r="R470"/>
      <c r="S470"/>
      <c r="T470"/>
      <c r="AZ470" s="196"/>
      <c r="BA470" s="196"/>
      <c r="BB470" s="196"/>
      <c r="BC470" s="196"/>
      <c r="BD470" s="196"/>
      <c r="BE470" s="196"/>
      <c r="BF470" s="196"/>
      <c r="BG470" s="196"/>
      <c r="BH470" s="196"/>
      <c r="BI470" s="196"/>
      <c r="BJ470" s="196"/>
      <c r="BK470" s="196"/>
    </row>
    <row r="471" spans="1:63" ht="15" customHeight="1" x14ac:dyDescent="0.2">
      <c r="A471"/>
      <c r="B471" s="1798"/>
      <c r="C471" s="1799"/>
      <c r="D471" s="1800"/>
      <c r="E471" s="1801"/>
      <c r="F471" s="1802"/>
      <c r="G471" s="1803"/>
      <c r="H471" s="1803"/>
      <c r="I471" s="1803"/>
      <c r="J471" s="1803"/>
      <c r="K471" s="1803"/>
      <c r="L471" s="1804"/>
      <c r="M471" s="897" t="str">
        <f t="shared" si="15"/>
        <v/>
      </c>
      <c r="N471" s="898" t="str">
        <f t="shared" si="16"/>
        <v/>
      </c>
      <c r="O471"/>
      <c r="P471"/>
      <c r="Q471"/>
      <c r="R471"/>
      <c r="S471"/>
      <c r="T471"/>
      <c r="AZ471" s="196"/>
      <c r="BA471" s="196"/>
      <c r="BB471" s="196"/>
      <c r="BC471" s="196"/>
      <c r="BD471" s="196"/>
      <c r="BE471" s="196"/>
      <c r="BF471" s="196"/>
      <c r="BG471" s="196"/>
      <c r="BH471" s="196"/>
      <c r="BI471" s="196"/>
      <c r="BJ471" s="196"/>
      <c r="BK471" s="196"/>
    </row>
    <row r="472" spans="1:63" ht="15" customHeight="1" x14ac:dyDescent="0.2">
      <c r="A472"/>
      <c r="B472" s="1798"/>
      <c r="C472" s="1799"/>
      <c r="D472" s="1800"/>
      <c r="E472" s="1801"/>
      <c r="F472" s="1802"/>
      <c r="G472" s="1803"/>
      <c r="H472" s="1803"/>
      <c r="I472" s="1803"/>
      <c r="J472" s="1803"/>
      <c r="K472" s="1803"/>
      <c r="L472" s="1804"/>
      <c r="M472" s="897" t="str">
        <f t="shared" si="15"/>
        <v/>
      </c>
      <c r="N472" s="898" t="str">
        <f t="shared" si="16"/>
        <v/>
      </c>
      <c r="O472"/>
      <c r="P472"/>
      <c r="Q472"/>
      <c r="R472"/>
      <c r="S472"/>
      <c r="T472"/>
      <c r="AZ472" s="196"/>
      <c r="BA472" s="196"/>
      <c r="BB472" s="196"/>
      <c r="BC472" s="196"/>
      <c r="BD472" s="196"/>
      <c r="BE472" s="196"/>
      <c r="BF472" s="196"/>
      <c r="BG472" s="196"/>
      <c r="BH472" s="196"/>
      <c r="BI472" s="196"/>
      <c r="BJ472" s="196"/>
      <c r="BK472" s="196"/>
    </row>
    <row r="473" spans="1:63" ht="15" customHeight="1" x14ac:dyDescent="0.2">
      <c r="A473"/>
      <c r="B473" s="1798"/>
      <c r="C473" s="1799"/>
      <c r="D473" s="1800"/>
      <c r="E473" s="1801"/>
      <c r="F473" s="1802"/>
      <c r="G473" s="1803"/>
      <c r="H473" s="1803"/>
      <c r="I473" s="1803"/>
      <c r="J473" s="1803"/>
      <c r="K473" s="1803"/>
      <c r="L473" s="1804"/>
      <c r="M473" s="897" t="str">
        <f t="shared" si="15"/>
        <v/>
      </c>
      <c r="N473" s="898" t="str">
        <f t="shared" si="16"/>
        <v/>
      </c>
      <c r="O473"/>
      <c r="P473"/>
      <c r="Q473"/>
      <c r="R473"/>
      <c r="S473"/>
      <c r="T473"/>
      <c r="AZ473" s="196"/>
      <c r="BA473" s="196"/>
      <c r="BB473" s="196"/>
      <c r="BC473" s="196"/>
      <c r="BD473" s="196"/>
      <c r="BE473" s="196"/>
      <c r="BF473" s="196"/>
      <c r="BG473" s="196"/>
      <c r="BH473" s="196"/>
      <c r="BI473" s="196"/>
      <c r="BJ473" s="196"/>
      <c r="BK473" s="196"/>
    </row>
    <row r="474" spans="1:63" ht="15" customHeight="1" x14ac:dyDescent="0.2">
      <c r="A474"/>
      <c r="B474" s="1798"/>
      <c r="C474" s="1799"/>
      <c r="D474" s="1800"/>
      <c r="E474" s="1801"/>
      <c r="F474" s="1802"/>
      <c r="G474" s="1803"/>
      <c r="H474" s="1803"/>
      <c r="I474" s="1803"/>
      <c r="J474" s="1803"/>
      <c r="K474" s="1803"/>
      <c r="L474" s="1804"/>
      <c r="M474" s="897" t="str">
        <f t="shared" si="15"/>
        <v/>
      </c>
      <c r="N474" s="898" t="str">
        <f t="shared" si="16"/>
        <v/>
      </c>
      <c r="O474"/>
      <c r="P474"/>
      <c r="Q474"/>
      <c r="R474"/>
      <c r="S474"/>
      <c r="T474"/>
      <c r="AZ474" s="196"/>
      <c r="BA474" s="196"/>
      <c r="BB474" s="196"/>
      <c r="BC474" s="196"/>
      <c r="BD474" s="196"/>
      <c r="BE474" s="196"/>
      <c r="BF474" s="196"/>
      <c r="BG474" s="196"/>
      <c r="BH474" s="196"/>
      <c r="BI474" s="196"/>
      <c r="BJ474" s="196"/>
      <c r="BK474" s="196"/>
    </row>
    <row r="475" spans="1:63" ht="15" customHeight="1" x14ac:dyDescent="0.2">
      <c r="A475"/>
      <c r="B475" s="1798"/>
      <c r="C475" s="1799"/>
      <c r="D475" s="1800"/>
      <c r="E475" s="1801"/>
      <c r="F475" s="1802"/>
      <c r="G475" s="1803"/>
      <c r="H475" s="1803"/>
      <c r="I475" s="1803"/>
      <c r="J475" s="1803"/>
      <c r="K475" s="1803"/>
      <c r="L475" s="1804"/>
      <c r="M475" s="897" t="str">
        <f t="shared" si="15"/>
        <v/>
      </c>
      <c r="N475" s="898" t="str">
        <f t="shared" si="16"/>
        <v/>
      </c>
      <c r="O475"/>
      <c r="P475"/>
      <c r="Q475"/>
      <c r="R475"/>
      <c r="S475"/>
      <c r="T475"/>
      <c r="AZ475" s="196"/>
      <c r="BA475" s="196"/>
      <c r="BB475" s="196"/>
      <c r="BC475" s="196"/>
      <c r="BD475" s="196"/>
      <c r="BE475" s="196"/>
      <c r="BF475" s="196"/>
      <c r="BG475" s="196"/>
      <c r="BH475" s="196"/>
      <c r="BI475" s="196"/>
      <c r="BJ475" s="196"/>
      <c r="BK475" s="196"/>
    </row>
    <row r="476" spans="1:63" ht="15" customHeight="1" x14ac:dyDescent="0.2">
      <c r="A476"/>
      <c r="B476" s="1798"/>
      <c r="C476" s="1799"/>
      <c r="D476" s="1800"/>
      <c r="E476" s="1801"/>
      <c r="F476" s="1802"/>
      <c r="G476" s="1803"/>
      <c r="H476" s="1803"/>
      <c r="I476" s="1803"/>
      <c r="J476" s="1803"/>
      <c r="K476" s="1803"/>
      <c r="L476" s="1804"/>
      <c r="M476" s="897" t="str">
        <f t="shared" si="15"/>
        <v/>
      </c>
      <c r="N476" s="898" t="str">
        <f t="shared" si="16"/>
        <v/>
      </c>
      <c r="O476"/>
      <c r="P476"/>
      <c r="Q476"/>
      <c r="R476"/>
      <c r="S476"/>
      <c r="T476"/>
      <c r="AZ476" s="196"/>
      <c r="BA476" s="196"/>
      <c r="BB476" s="196"/>
      <c r="BC476" s="196"/>
      <c r="BD476" s="196"/>
      <c r="BE476" s="196"/>
      <c r="BF476" s="196"/>
      <c r="BG476" s="196"/>
      <c r="BH476" s="196"/>
      <c r="BI476" s="196"/>
      <c r="BJ476" s="196"/>
      <c r="BK476" s="196"/>
    </row>
    <row r="477" spans="1:63" ht="15" customHeight="1" x14ac:dyDescent="0.2">
      <c r="A477"/>
      <c r="B477" s="1798"/>
      <c r="C477" s="1799"/>
      <c r="D477" s="1800"/>
      <c r="E477" s="1801"/>
      <c r="F477" s="1802"/>
      <c r="G477" s="1803"/>
      <c r="H477" s="1803"/>
      <c r="I477" s="1803"/>
      <c r="J477" s="1803"/>
      <c r="K477" s="1803"/>
      <c r="L477" s="1804"/>
      <c r="M477" s="897" t="str">
        <f t="shared" si="15"/>
        <v/>
      </c>
      <c r="N477" s="898" t="str">
        <f t="shared" si="16"/>
        <v/>
      </c>
      <c r="O477"/>
      <c r="P477"/>
      <c r="Q477"/>
      <c r="R477"/>
      <c r="S477"/>
      <c r="T477"/>
      <c r="AZ477" s="196"/>
      <c r="BA477" s="196"/>
      <c r="BB477" s="196"/>
      <c r="BC477" s="196"/>
      <c r="BD477" s="196"/>
      <c r="BE477" s="196"/>
      <c r="BF477" s="196"/>
      <c r="BG477" s="196"/>
      <c r="BH477" s="196"/>
      <c r="BI477" s="196"/>
      <c r="BJ477" s="196"/>
      <c r="BK477" s="196"/>
    </row>
    <row r="478" spans="1:63" ht="15" customHeight="1" x14ac:dyDescent="0.2">
      <c r="A478"/>
      <c r="B478" s="1798"/>
      <c r="C478" s="1799"/>
      <c r="D478" s="1800"/>
      <c r="E478" s="1801"/>
      <c r="F478" s="1802"/>
      <c r="G478" s="1803"/>
      <c r="H478" s="1803"/>
      <c r="I478" s="1803"/>
      <c r="J478" s="1803"/>
      <c r="K478" s="1803"/>
      <c r="L478" s="1804"/>
      <c r="M478" s="897" t="str">
        <f t="shared" si="15"/>
        <v/>
      </c>
      <c r="N478" s="898" t="str">
        <f t="shared" si="16"/>
        <v/>
      </c>
      <c r="O478"/>
      <c r="P478"/>
      <c r="Q478"/>
      <c r="R478"/>
      <c r="S478"/>
      <c r="T478"/>
      <c r="AZ478" s="196"/>
      <c r="BA478" s="196"/>
      <c r="BB478" s="196"/>
      <c r="BC478" s="196"/>
      <c r="BD478" s="196"/>
      <c r="BE478" s="196"/>
      <c r="BF478" s="196"/>
      <c r="BG478" s="196"/>
      <c r="BH478" s="196"/>
      <c r="BI478" s="196"/>
      <c r="BJ478" s="196"/>
      <c r="BK478" s="196"/>
    </row>
    <row r="479" spans="1:63" ht="15" customHeight="1" x14ac:dyDescent="0.2">
      <c r="A479"/>
      <c r="B479" s="1798"/>
      <c r="C479" s="1799"/>
      <c r="D479" s="1800"/>
      <c r="E479" s="1801"/>
      <c r="F479" s="1802"/>
      <c r="G479" s="1803"/>
      <c r="H479" s="1803"/>
      <c r="I479" s="1803"/>
      <c r="J479" s="1803"/>
      <c r="K479" s="1803"/>
      <c r="L479" s="1804"/>
      <c r="M479" s="897" t="str">
        <f t="shared" si="15"/>
        <v/>
      </c>
      <c r="N479" s="898" t="str">
        <f t="shared" si="16"/>
        <v/>
      </c>
      <c r="O479"/>
      <c r="P479"/>
      <c r="Q479"/>
      <c r="R479"/>
      <c r="S479"/>
      <c r="T479"/>
      <c r="AZ479" s="196"/>
      <c r="BA479" s="196"/>
      <c r="BB479" s="196"/>
      <c r="BC479" s="196"/>
      <c r="BD479" s="196"/>
      <c r="BE479" s="196"/>
      <c r="BF479" s="196"/>
      <c r="BG479" s="196"/>
      <c r="BH479" s="196"/>
      <c r="BI479" s="196"/>
      <c r="BJ479" s="196"/>
      <c r="BK479" s="196"/>
    </row>
    <row r="480" spans="1:63" ht="15" customHeight="1" x14ac:dyDescent="0.2">
      <c r="A480"/>
      <c r="B480" s="1798"/>
      <c r="C480" s="1799"/>
      <c r="D480" s="1800"/>
      <c r="E480" s="1801"/>
      <c r="F480" s="1802"/>
      <c r="G480" s="1803"/>
      <c r="H480" s="1803"/>
      <c r="I480" s="1803"/>
      <c r="J480" s="1803"/>
      <c r="K480" s="1803"/>
      <c r="L480" s="1804"/>
      <c r="M480" s="897" t="str">
        <f t="shared" si="15"/>
        <v/>
      </c>
      <c r="N480" s="898" t="str">
        <f t="shared" si="16"/>
        <v/>
      </c>
      <c r="O480"/>
      <c r="P480"/>
      <c r="Q480"/>
      <c r="R480"/>
      <c r="S480"/>
      <c r="T480"/>
      <c r="AZ480" s="196"/>
      <c r="BA480" s="196"/>
      <c r="BB480" s="196"/>
      <c r="BC480" s="196"/>
      <c r="BD480" s="196"/>
      <c r="BE480" s="196"/>
      <c r="BF480" s="196"/>
      <c r="BG480" s="196"/>
      <c r="BH480" s="196"/>
      <c r="BI480" s="196"/>
      <c r="BJ480" s="196"/>
      <c r="BK480" s="196"/>
    </row>
    <row r="481" spans="1:63" ht="15" customHeight="1" x14ac:dyDescent="0.2">
      <c r="A481"/>
      <c r="B481" s="1798"/>
      <c r="C481" s="1799"/>
      <c r="D481" s="1800"/>
      <c r="E481" s="1801"/>
      <c r="F481" s="1802"/>
      <c r="G481" s="1803"/>
      <c r="H481" s="1803"/>
      <c r="I481" s="1803"/>
      <c r="J481" s="1803"/>
      <c r="K481" s="1803"/>
      <c r="L481" s="1804"/>
      <c r="M481" s="897" t="str">
        <f t="shared" si="15"/>
        <v/>
      </c>
      <c r="N481" s="898" t="str">
        <f t="shared" si="16"/>
        <v/>
      </c>
      <c r="O481"/>
      <c r="P481"/>
      <c r="Q481"/>
      <c r="R481"/>
      <c r="S481"/>
      <c r="T481"/>
      <c r="AZ481" s="196"/>
      <c r="BA481" s="196"/>
      <c r="BB481" s="196"/>
      <c r="BC481" s="196"/>
      <c r="BD481" s="196"/>
      <c r="BE481" s="196"/>
      <c r="BF481" s="196"/>
      <c r="BG481" s="196"/>
      <c r="BH481" s="196"/>
      <c r="BI481" s="196"/>
      <c r="BJ481" s="196"/>
      <c r="BK481" s="196"/>
    </row>
    <row r="482" spans="1:63" ht="15" customHeight="1" x14ac:dyDescent="0.2">
      <c r="A482"/>
      <c r="B482" s="1798"/>
      <c r="C482" s="1799"/>
      <c r="D482" s="1800"/>
      <c r="E482" s="1801"/>
      <c r="F482" s="1802"/>
      <c r="G482" s="1803"/>
      <c r="H482" s="1803"/>
      <c r="I482" s="1803"/>
      <c r="J482" s="1803"/>
      <c r="K482" s="1803"/>
      <c r="L482" s="1804"/>
      <c r="M482" s="897" t="str">
        <f t="shared" si="15"/>
        <v/>
      </c>
      <c r="N482" s="898" t="str">
        <f t="shared" si="16"/>
        <v/>
      </c>
      <c r="O482"/>
      <c r="P482"/>
      <c r="Q482"/>
      <c r="R482"/>
      <c r="S482"/>
      <c r="T482"/>
      <c r="AZ482" s="196"/>
      <c r="BA482" s="196"/>
      <c r="BB482" s="196"/>
      <c r="BC482" s="196"/>
      <c r="BD482" s="196"/>
      <c r="BE482" s="196"/>
      <c r="BF482" s="196"/>
      <c r="BG482" s="196"/>
      <c r="BH482" s="196"/>
      <c r="BI482" s="196"/>
      <c r="BJ482" s="196"/>
      <c r="BK482" s="196"/>
    </row>
    <row r="483" spans="1:63" ht="15" customHeight="1" x14ac:dyDescent="0.2">
      <c r="A483"/>
      <c r="B483" s="1798"/>
      <c r="C483" s="1799"/>
      <c r="D483" s="1800"/>
      <c r="E483" s="1801"/>
      <c r="F483" s="1802"/>
      <c r="G483" s="1803"/>
      <c r="H483" s="1803"/>
      <c r="I483" s="1803"/>
      <c r="J483" s="1803"/>
      <c r="K483" s="1803"/>
      <c r="L483" s="1804"/>
      <c r="M483" s="897" t="str">
        <f t="shared" si="15"/>
        <v/>
      </c>
      <c r="N483" s="898" t="str">
        <f t="shared" si="16"/>
        <v/>
      </c>
      <c r="O483"/>
      <c r="P483"/>
      <c r="Q483"/>
      <c r="R483"/>
      <c r="S483"/>
      <c r="T483"/>
      <c r="AZ483" s="196"/>
      <c r="BA483" s="196"/>
      <c r="BB483" s="196"/>
      <c r="BC483" s="196"/>
      <c r="BD483" s="196"/>
      <c r="BE483" s="196"/>
      <c r="BF483" s="196"/>
      <c r="BG483" s="196"/>
      <c r="BH483" s="196"/>
      <c r="BI483" s="196"/>
      <c r="BJ483" s="196"/>
      <c r="BK483" s="196"/>
    </row>
    <row r="484" spans="1:63" ht="15" customHeight="1" x14ac:dyDescent="0.2">
      <c r="A484"/>
      <c r="B484" s="1798"/>
      <c r="C484" s="1799"/>
      <c r="D484" s="1800"/>
      <c r="E484" s="1801"/>
      <c r="F484" s="1802"/>
      <c r="G484" s="1803"/>
      <c r="H484" s="1803"/>
      <c r="I484" s="1803"/>
      <c r="J484" s="1803"/>
      <c r="K484" s="1803"/>
      <c r="L484" s="1804"/>
      <c r="M484" s="897" t="str">
        <f t="shared" si="15"/>
        <v/>
      </c>
      <c r="N484" s="898" t="str">
        <f t="shared" si="16"/>
        <v/>
      </c>
      <c r="O484"/>
      <c r="P484"/>
      <c r="Q484"/>
      <c r="R484"/>
      <c r="S484"/>
      <c r="T484"/>
      <c r="AZ484" s="196"/>
      <c r="BA484" s="196"/>
      <c r="BB484" s="196"/>
      <c r="BC484" s="196"/>
      <c r="BD484" s="196"/>
      <c r="BE484" s="196"/>
      <c r="BF484" s="196"/>
      <c r="BG484" s="196"/>
      <c r="BH484" s="196"/>
      <c r="BI484" s="196"/>
      <c r="BJ484" s="196"/>
      <c r="BK484" s="196"/>
    </row>
    <row r="485" spans="1:63" ht="15" customHeight="1" x14ac:dyDescent="0.2">
      <c r="A485"/>
      <c r="B485" s="1798"/>
      <c r="C485" s="1799"/>
      <c r="D485" s="1800"/>
      <c r="E485" s="1801"/>
      <c r="F485" s="1802"/>
      <c r="G485" s="1803"/>
      <c r="H485" s="1803"/>
      <c r="I485" s="1803"/>
      <c r="J485" s="1803"/>
      <c r="K485" s="1803"/>
      <c r="L485" s="1804"/>
      <c r="M485" s="897" t="str">
        <f t="shared" si="15"/>
        <v/>
      </c>
      <c r="N485" s="898" t="str">
        <f t="shared" si="16"/>
        <v/>
      </c>
      <c r="O485"/>
      <c r="P485"/>
      <c r="Q485"/>
      <c r="R485"/>
      <c r="S485"/>
      <c r="T485"/>
      <c r="AZ485" s="196"/>
      <c r="BA485" s="196"/>
      <c r="BB485" s="196"/>
      <c r="BC485" s="196"/>
      <c r="BD485" s="196"/>
      <c r="BE485" s="196"/>
      <c r="BF485" s="196"/>
      <c r="BG485" s="196"/>
      <c r="BH485" s="196"/>
      <c r="BI485" s="196"/>
      <c r="BJ485" s="196"/>
      <c r="BK485" s="196"/>
    </row>
    <row r="486" spans="1:63" ht="15" customHeight="1" x14ac:dyDescent="0.2">
      <c r="A486"/>
      <c r="B486" s="1798"/>
      <c r="C486" s="1799"/>
      <c r="D486" s="1800"/>
      <c r="E486" s="1801"/>
      <c r="F486" s="1802"/>
      <c r="G486" s="1803"/>
      <c r="H486" s="1803"/>
      <c r="I486" s="1803"/>
      <c r="J486" s="1803"/>
      <c r="K486" s="1803"/>
      <c r="L486" s="1804"/>
      <c r="M486" s="897" t="str">
        <f t="shared" si="15"/>
        <v/>
      </c>
      <c r="N486" s="898" t="str">
        <f t="shared" si="16"/>
        <v/>
      </c>
      <c r="O486"/>
      <c r="P486"/>
      <c r="Q486"/>
      <c r="R486"/>
      <c r="S486"/>
      <c r="T486"/>
      <c r="AZ486" s="196"/>
      <c r="BA486" s="196"/>
      <c r="BB486" s="196"/>
      <c r="BC486" s="196"/>
      <c r="BD486" s="196"/>
      <c r="BE486" s="196"/>
      <c r="BF486" s="196"/>
      <c r="BG486" s="196"/>
      <c r="BH486" s="196"/>
      <c r="BI486" s="196"/>
      <c r="BJ486" s="196"/>
      <c r="BK486" s="196"/>
    </row>
    <row r="487" spans="1:63" ht="15" customHeight="1" x14ac:dyDescent="0.2">
      <c r="A487"/>
      <c r="B487" s="1798"/>
      <c r="C487" s="1799"/>
      <c r="D487" s="1800"/>
      <c r="E487" s="1801"/>
      <c r="F487" s="1802"/>
      <c r="G487" s="1803"/>
      <c r="H487" s="1803"/>
      <c r="I487" s="1803"/>
      <c r="J487" s="1803"/>
      <c r="K487" s="1803"/>
      <c r="L487" s="1804"/>
      <c r="M487" s="897" t="str">
        <f t="shared" ref="M487:M498" si="17">UPPER(C487)</f>
        <v/>
      </c>
      <c r="N487" s="898" t="str">
        <f t="shared" si="16"/>
        <v/>
      </c>
      <c r="O487"/>
      <c r="P487"/>
      <c r="Q487"/>
      <c r="R487"/>
      <c r="S487"/>
      <c r="T487"/>
      <c r="AZ487" s="196"/>
      <c r="BA487" s="196"/>
      <c r="BB487" s="196"/>
      <c r="BC487" s="196"/>
      <c r="BD487" s="196"/>
      <c r="BE487" s="196"/>
      <c r="BF487" s="196"/>
      <c r="BG487" s="196"/>
      <c r="BH487" s="196"/>
      <c r="BI487" s="196"/>
      <c r="BJ487" s="196"/>
      <c r="BK487" s="196"/>
    </row>
    <row r="488" spans="1:63" ht="15" customHeight="1" x14ac:dyDescent="0.2">
      <c r="A488"/>
      <c r="B488" s="1798"/>
      <c r="C488" s="1799"/>
      <c r="D488" s="1800"/>
      <c r="E488" s="1801"/>
      <c r="F488" s="1802"/>
      <c r="G488" s="1803"/>
      <c r="H488" s="1803"/>
      <c r="I488" s="1803"/>
      <c r="J488" s="1803"/>
      <c r="K488" s="1803"/>
      <c r="L488" s="1804"/>
      <c r="M488" s="897" t="str">
        <f t="shared" si="17"/>
        <v/>
      </c>
      <c r="N488" s="898" t="str">
        <f t="shared" si="16"/>
        <v/>
      </c>
      <c r="O488"/>
      <c r="P488"/>
      <c r="Q488"/>
      <c r="R488"/>
      <c r="S488"/>
      <c r="T488"/>
      <c r="AZ488" s="196"/>
      <c r="BA488" s="196"/>
      <c r="BB488" s="196"/>
      <c r="BC488" s="196"/>
      <c r="BD488" s="196"/>
      <c r="BE488" s="196"/>
      <c r="BF488" s="196"/>
      <c r="BG488" s="196"/>
      <c r="BH488" s="196"/>
      <c r="BI488" s="196"/>
      <c r="BJ488" s="196"/>
      <c r="BK488" s="196"/>
    </row>
    <row r="489" spans="1:63" ht="15" customHeight="1" x14ac:dyDescent="0.2">
      <c r="A489"/>
      <c r="B489" s="1798"/>
      <c r="C489" s="1799"/>
      <c r="D489" s="1800"/>
      <c r="E489" s="1801"/>
      <c r="F489" s="1802"/>
      <c r="G489" s="1803"/>
      <c r="H489" s="1803"/>
      <c r="I489" s="1803"/>
      <c r="J489" s="1803"/>
      <c r="K489" s="1803"/>
      <c r="L489" s="1804"/>
      <c r="M489" s="897" t="str">
        <f t="shared" si="17"/>
        <v/>
      </c>
      <c r="N489" s="898" t="str">
        <f t="shared" si="16"/>
        <v/>
      </c>
      <c r="O489"/>
      <c r="P489"/>
      <c r="Q489"/>
      <c r="R489"/>
      <c r="S489"/>
      <c r="T489"/>
      <c r="AZ489" s="196"/>
      <c r="BA489" s="196"/>
      <c r="BB489" s="196"/>
      <c r="BC489" s="196"/>
      <c r="BD489" s="196"/>
      <c r="BE489" s="196"/>
      <c r="BF489" s="196"/>
      <c r="BG489" s="196"/>
      <c r="BH489" s="196"/>
      <c r="BI489" s="196"/>
      <c r="BJ489" s="196"/>
      <c r="BK489" s="196"/>
    </row>
    <row r="490" spans="1:63" ht="15" customHeight="1" x14ac:dyDescent="0.2">
      <c r="A490"/>
      <c r="B490" s="1798"/>
      <c r="C490" s="1799"/>
      <c r="D490" s="1800"/>
      <c r="E490" s="1801"/>
      <c r="F490" s="1802"/>
      <c r="G490" s="1803"/>
      <c r="H490" s="1803"/>
      <c r="I490" s="1803"/>
      <c r="J490" s="1803"/>
      <c r="K490" s="1803"/>
      <c r="L490" s="1804"/>
      <c r="M490" s="897" t="str">
        <f t="shared" si="17"/>
        <v/>
      </c>
      <c r="N490" s="898" t="str">
        <f t="shared" si="16"/>
        <v/>
      </c>
      <c r="O490"/>
      <c r="P490"/>
      <c r="Q490"/>
      <c r="R490"/>
      <c r="S490"/>
      <c r="T490"/>
      <c r="AZ490" s="196"/>
      <c r="BA490" s="196"/>
      <c r="BB490" s="196"/>
      <c r="BC490" s="196"/>
      <c r="BD490" s="196"/>
      <c r="BE490" s="196"/>
      <c r="BF490" s="196"/>
      <c r="BG490" s="196"/>
      <c r="BH490" s="196"/>
      <c r="BI490" s="196"/>
      <c r="BJ490" s="196"/>
      <c r="BK490" s="196"/>
    </row>
    <row r="491" spans="1:63" ht="15" customHeight="1" x14ac:dyDescent="0.2">
      <c r="A491"/>
      <c r="B491" s="1798"/>
      <c r="C491" s="1799"/>
      <c r="D491" s="1800"/>
      <c r="E491" s="1801"/>
      <c r="F491" s="1802"/>
      <c r="G491" s="1803"/>
      <c r="H491" s="1803"/>
      <c r="I491" s="1803"/>
      <c r="J491" s="1803"/>
      <c r="K491" s="1803"/>
      <c r="L491" s="1804"/>
      <c r="M491" s="897" t="str">
        <f t="shared" si="17"/>
        <v/>
      </c>
      <c r="N491" s="898" t="str">
        <f t="shared" si="16"/>
        <v/>
      </c>
      <c r="O491"/>
      <c r="P491"/>
      <c r="Q491"/>
      <c r="R491"/>
      <c r="S491"/>
      <c r="T491"/>
      <c r="AZ491" s="196"/>
      <c r="BA491" s="196"/>
      <c r="BB491" s="196"/>
      <c r="BC491" s="196"/>
      <c r="BD491" s="196"/>
      <c r="BE491" s="196"/>
      <c r="BF491" s="196"/>
      <c r="BG491" s="196"/>
      <c r="BH491" s="196"/>
      <c r="BI491" s="196"/>
      <c r="BJ491" s="196"/>
      <c r="BK491" s="196"/>
    </row>
    <row r="492" spans="1:63" ht="15" customHeight="1" x14ac:dyDescent="0.2">
      <c r="A492"/>
      <c r="B492" s="1798"/>
      <c r="C492" s="1799"/>
      <c r="D492" s="1800"/>
      <c r="E492" s="1801"/>
      <c r="F492" s="1802"/>
      <c r="G492" s="1803"/>
      <c r="H492" s="1803"/>
      <c r="I492" s="1803"/>
      <c r="J492" s="1803"/>
      <c r="K492" s="1803"/>
      <c r="L492" s="1804"/>
      <c r="M492" s="897" t="str">
        <f t="shared" si="17"/>
        <v/>
      </c>
      <c r="N492" s="898" t="str">
        <f t="shared" si="16"/>
        <v/>
      </c>
      <c r="O492"/>
      <c r="P492"/>
      <c r="Q492"/>
      <c r="R492"/>
      <c r="S492"/>
      <c r="T492"/>
      <c r="AZ492" s="196"/>
      <c r="BA492" s="196"/>
      <c r="BB492" s="196"/>
      <c r="BC492" s="196"/>
      <c r="BD492" s="196"/>
      <c r="BE492" s="196"/>
      <c r="BF492" s="196"/>
      <c r="BG492" s="196"/>
      <c r="BH492" s="196"/>
      <c r="BI492" s="196"/>
      <c r="BJ492" s="196"/>
      <c r="BK492" s="196"/>
    </row>
    <row r="493" spans="1:63" ht="15" customHeight="1" x14ac:dyDescent="0.2">
      <c r="A493"/>
      <c r="B493" s="1798"/>
      <c r="C493" s="1799"/>
      <c r="D493" s="1800"/>
      <c r="E493" s="1801"/>
      <c r="F493" s="1802"/>
      <c r="G493" s="1803"/>
      <c r="H493" s="1803"/>
      <c r="I493" s="1803"/>
      <c r="J493" s="1803"/>
      <c r="K493" s="1803"/>
      <c r="L493" s="1804"/>
      <c r="M493" s="897" t="str">
        <f t="shared" si="17"/>
        <v/>
      </c>
      <c r="N493" s="898" t="str">
        <f t="shared" si="16"/>
        <v/>
      </c>
      <c r="O493"/>
      <c r="P493"/>
      <c r="Q493"/>
      <c r="R493"/>
      <c r="S493"/>
      <c r="T493"/>
      <c r="AZ493" s="196"/>
      <c r="BA493" s="196"/>
      <c r="BB493" s="196"/>
      <c r="BC493" s="196"/>
      <c r="BD493" s="196"/>
      <c r="BE493" s="196"/>
      <c r="BF493" s="196"/>
      <c r="BG493" s="196"/>
      <c r="BH493" s="196"/>
      <c r="BI493" s="196"/>
      <c r="BJ493" s="196"/>
      <c r="BK493" s="196"/>
    </row>
    <row r="494" spans="1:63" ht="15" customHeight="1" x14ac:dyDescent="0.2">
      <c r="A494"/>
      <c r="B494" s="1798"/>
      <c r="C494" s="1799"/>
      <c r="D494" s="1800"/>
      <c r="E494" s="1801"/>
      <c r="F494" s="1802"/>
      <c r="G494" s="1803"/>
      <c r="H494" s="1803"/>
      <c r="I494" s="1803"/>
      <c r="J494" s="1803"/>
      <c r="K494" s="1803"/>
      <c r="L494" s="1804"/>
      <c r="M494" s="897" t="str">
        <f t="shared" si="17"/>
        <v/>
      </c>
      <c r="N494" s="898" t="str">
        <f t="shared" si="16"/>
        <v/>
      </c>
      <c r="O494"/>
      <c r="P494"/>
      <c r="Q494"/>
      <c r="R494"/>
      <c r="S494"/>
      <c r="T494"/>
      <c r="AZ494" s="196"/>
      <c r="BA494" s="196"/>
      <c r="BB494" s="196"/>
      <c r="BC494" s="196"/>
      <c r="BD494" s="196"/>
      <c r="BE494" s="196"/>
      <c r="BF494" s="196"/>
      <c r="BG494" s="196"/>
      <c r="BH494" s="196"/>
      <c r="BI494" s="196"/>
      <c r="BJ494" s="196"/>
      <c r="BK494" s="196"/>
    </row>
    <row r="495" spans="1:63" ht="15" customHeight="1" x14ac:dyDescent="0.2">
      <c r="A495"/>
      <c r="B495" s="1798"/>
      <c r="C495" s="1799"/>
      <c r="D495" s="1800"/>
      <c r="E495" s="1801"/>
      <c r="F495" s="1802"/>
      <c r="G495" s="1803"/>
      <c r="H495" s="1803"/>
      <c r="I495" s="1803"/>
      <c r="J495" s="1803"/>
      <c r="K495" s="1803"/>
      <c r="L495" s="1804"/>
      <c r="M495" s="897" t="str">
        <f t="shared" si="17"/>
        <v/>
      </c>
      <c r="N495" s="898" t="str">
        <f t="shared" si="16"/>
        <v/>
      </c>
      <c r="O495"/>
      <c r="P495"/>
      <c r="Q495"/>
      <c r="R495"/>
      <c r="S495"/>
      <c r="T495"/>
      <c r="AZ495" s="196"/>
      <c r="BA495" s="196"/>
      <c r="BB495" s="196"/>
      <c r="BC495" s="196"/>
      <c r="BD495" s="196"/>
      <c r="BE495" s="196"/>
      <c r="BF495" s="196"/>
      <c r="BG495" s="196"/>
      <c r="BH495" s="196"/>
      <c r="BI495" s="196"/>
      <c r="BJ495" s="196"/>
      <c r="BK495" s="196"/>
    </row>
    <row r="496" spans="1:63" ht="15" customHeight="1" x14ac:dyDescent="0.2">
      <c r="A496"/>
      <c r="B496" s="1798"/>
      <c r="C496" s="1799"/>
      <c r="D496" s="1800"/>
      <c r="E496" s="1801"/>
      <c r="F496" s="1802"/>
      <c r="G496" s="1803"/>
      <c r="H496" s="1803"/>
      <c r="I496" s="1803"/>
      <c r="J496" s="1803"/>
      <c r="K496" s="1803"/>
      <c r="L496" s="1804"/>
      <c r="M496" s="897" t="str">
        <f t="shared" si="17"/>
        <v/>
      </c>
      <c r="N496" s="898" t="str">
        <f t="shared" si="16"/>
        <v/>
      </c>
      <c r="O496"/>
      <c r="P496"/>
      <c r="Q496"/>
      <c r="R496"/>
      <c r="S496"/>
      <c r="T496"/>
      <c r="AZ496" s="196"/>
      <c r="BA496" s="196"/>
      <c r="BB496" s="196"/>
      <c r="BC496" s="196"/>
      <c r="BD496" s="196"/>
      <c r="BE496" s="196"/>
      <c r="BF496" s="196"/>
      <c r="BG496" s="196"/>
      <c r="BH496" s="196"/>
      <c r="BI496" s="196"/>
      <c r="BJ496" s="196"/>
      <c r="BK496" s="196"/>
    </row>
    <row r="497" spans="1:63" ht="15" customHeight="1" x14ac:dyDescent="0.2">
      <c r="A497"/>
      <c r="B497" s="1798"/>
      <c r="C497" s="1799"/>
      <c r="D497" s="1800"/>
      <c r="E497" s="1801"/>
      <c r="F497" s="1802"/>
      <c r="G497" s="1803"/>
      <c r="H497" s="1803"/>
      <c r="I497" s="1803"/>
      <c r="J497" s="1803"/>
      <c r="K497" s="1803"/>
      <c r="L497" s="1804"/>
      <c r="M497" s="897" t="str">
        <f t="shared" si="17"/>
        <v/>
      </c>
      <c r="N497" s="898" t="str">
        <f t="shared" si="16"/>
        <v/>
      </c>
      <c r="O497"/>
      <c r="P497"/>
      <c r="Q497"/>
      <c r="R497"/>
      <c r="S497"/>
      <c r="T497"/>
      <c r="AZ497" s="196"/>
      <c r="BA497" s="196"/>
      <c r="BB497" s="196"/>
      <c r="BC497" s="196"/>
      <c r="BD497" s="196"/>
      <c r="BE497" s="196"/>
      <c r="BF497" s="196"/>
      <c r="BG497" s="196"/>
      <c r="BH497" s="196"/>
      <c r="BI497" s="196"/>
      <c r="BJ497" s="196"/>
      <c r="BK497" s="196"/>
    </row>
    <row r="498" spans="1:63" ht="15" customHeight="1" thickBot="1" x14ac:dyDescent="0.25">
      <c r="A498"/>
      <c r="B498" s="1805"/>
      <c r="C498" s="1806"/>
      <c r="D498" s="1807"/>
      <c r="E498" s="1808"/>
      <c r="F498" s="1809"/>
      <c r="G498" s="1810"/>
      <c r="H498" s="1810"/>
      <c r="I498" s="1810"/>
      <c r="J498" s="1810"/>
      <c r="K498" s="1810"/>
      <c r="L498" s="1811"/>
      <c r="M498" s="897" t="str">
        <f t="shared" si="17"/>
        <v/>
      </c>
      <c r="N498" s="898" t="str">
        <f t="shared" si="16"/>
        <v/>
      </c>
      <c r="O498"/>
      <c r="P498"/>
      <c r="Q498"/>
      <c r="R498"/>
      <c r="S498"/>
      <c r="T498"/>
      <c r="AZ498" s="196"/>
      <c r="BA498" s="196"/>
      <c r="BB498" s="196"/>
      <c r="BC498" s="196"/>
      <c r="BD498" s="196"/>
      <c r="BE498" s="196"/>
      <c r="BF498" s="196"/>
      <c r="BG498" s="196"/>
      <c r="BH498" s="196"/>
      <c r="BI498" s="196"/>
      <c r="BJ498" s="196"/>
      <c r="BK498" s="196"/>
    </row>
    <row r="499" spans="1:63" x14ac:dyDescent="0.2">
      <c r="B499" s="798"/>
      <c r="C499" s="798"/>
      <c r="D499" s="901"/>
      <c r="E499" s="904"/>
      <c r="F499" s="798"/>
      <c r="G499" s="799"/>
      <c r="H499" s="799"/>
      <c r="I499" s="799"/>
      <c r="J499" s="799"/>
      <c r="K499" s="799"/>
      <c r="L499" s="800"/>
    </row>
    <row r="500" spans="1:63" x14ac:dyDescent="0.2">
      <c r="B500" s="798"/>
      <c r="C500" s="798"/>
      <c r="D500" s="901"/>
      <c r="E500" s="904"/>
      <c r="F500" s="798"/>
      <c r="G500" s="799"/>
      <c r="H500" s="799"/>
      <c r="I500" s="799"/>
      <c r="J500" s="799"/>
      <c r="K500" s="799"/>
      <c r="L500" s="800"/>
    </row>
    <row r="501" spans="1:63" x14ac:dyDescent="0.2">
      <c r="B501" s="798"/>
      <c r="C501" s="798"/>
      <c r="D501" s="901"/>
      <c r="E501" s="904"/>
      <c r="F501" s="798"/>
      <c r="G501" s="799"/>
      <c r="H501" s="799"/>
      <c r="I501" s="799"/>
      <c r="J501" s="799"/>
      <c r="K501" s="799"/>
      <c r="L501" s="800"/>
    </row>
    <row r="502" spans="1:63" x14ac:dyDescent="0.2">
      <c r="B502" s="798"/>
      <c r="C502" s="798"/>
      <c r="D502" s="901"/>
      <c r="E502" s="904"/>
      <c r="F502" s="798"/>
      <c r="G502" s="799"/>
      <c r="H502" s="799"/>
      <c r="I502" s="799"/>
      <c r="J502" s="799"/>
      <c r="K502" s="799"/>
      <c r="L502" s="800"/>
    </row>
  </sheetData>
  <sheetProtection selectLockedCells="1"/>
  <mergeCells count="2">
    <mergeCell ref="D2:E2"/>
    <mergeCell ref="AD2:AE2"/>
  </mergeCells>
  <phoneticPr fontId="28" type="noConversion"/>
  <conditionalFormatting sqref="G3:G498">
    <cfRule type="expression" dxfId="501" priority="39" stopIfTrue="1">
      <formula>AND(M3&lt;&gt;"",G3="")</formula>
    </cfRule>
  </conditionalFormatting>
  <conditionalFormatting sqref="J3:J498">
    <cfRule type="expression" dxfId="500" priority="40" stopIfTrue="1">
      <formula>AND(M3="C",J3="")</formula>
    </cfRule>
  </conditionalFormatting>
  <conditionalFormatting sqref="H3:H498">
    <cfRule type="expression" dxfId="499" priority="2" stopIfTrue="1">
      <formula>AND(H3="",M3="C")</formula>
    </cfRule>
    <cfRule type="expression" dxfId="498" priority="45" stopIfTrue="1">
      <formula>AND(H3="",OR(M3="B",M3="G"))</formula>
    </cfRule>
  </conditionalFormatting>
  <conditionalFormatting sqref="I3:I498">
    <cfRule type="expression" dxfId="497" priority="46" stopIfTrue="1">
      <formula>AND(H3&lt;&gt;"",I3="")</formula>
    </cfRule>
  </conditionalFormatting>
  <conditionalFormatting sqref="K3:K498">
    <cfRule type="expression" dxfId="496" priority="3" stopIfTrue="1">
      <formula>AND(M3="C",K3="")</formula>
    </cfRule>
    <cfRule type="expression" dxfId="495" priority="47" stopIfTrue="1">
      <formula>AND(M3="C",K3="")</formula>
    </cfRule>
  </conditionalFormatting>
  <conditionalFormatting sqref="L3:L498">
    <cfRule type="expression" dxfId="494" priority="48" stopIfTrue="1">
      <formula>AND(M3="C",L3="",K3&lt;&gt;"")</formula>
    </cfRule>
  </conditionalFormatting>
  <conditionalFormatting sqref="C3:C498">
    <cfRule type="expression" dxfId="493" priority="18" stopIfTrue="1">
      <formula>AND(NOT(ISBLANK(B3)),ISBLANK(C3))</formula>
    </cfRule>
  </conditionalFormatting>
  <conditionalFormatting sqref="E3:E498">
    <cfRule type="expression" dxfId="492" priority="41" stopIfTrue="1">
      <formula>AND(NOT(ISBLANK(C3)),ISBLANK(E3))</formula>
    </cfRule>
  </conditionalFormatting>
  <conditionalFormatting sqref="D3:D498">
    <cfRule type="expression" dxfId="491" priority="43" stopIfTrue="1">
      <formula>AND(NOT(ISBLANK(C3)),ISBLANK(D3))</formula>
    </cfRule>
  </conditionalFormatting>
  <conditionalFormatting sqref="B3:L498">
    <cfRule type="expression" dxfId="490" priority="1" stopIfTrue="1">
      <formula>$BK3</formula>
    </cfRule>
  </conditionalFormatting>
  <dataValidations count="4">
    <dataValidation type="whole" allowBlank="1" showInputMessage="1" showErrorMessage="1" errorTitle="Dimensional Error" error="&quot;Feet&quot; must be a whole number between -100 and 100." sqref="D3:D498" xr:uid="{00000000-0002-0000-1100-000000000000}">
      <formula1>-100</formula1>
      <formula2>100</formula2>
    </dataValidation>
    <dataValidation type="decimal" allowBlank="1" showErrorMessage="1" errorTitle="Dimensional Error" error="&quot;Inches&quot; must be a number from -11.875  to 11.875." sqref="E3:E498" xr:uid="{00000000-0002-0000-1100-000001000000}">
      <formula1>-11.875</formula1>
      <formula2>11.875</formula2>
    </dataValidation>
    <dataValidation type="decimal" allowBlank="1" showInputMessage="1" showErrorMessage="1" errorTitle="Dimensional Error" error="&quot;Inches&quot; must be numeric.  No &quot;feet&quot; or &quot;inch&quot; symbols and no &quot;&lt;&quot; or &quot;&gt;&quot; - Negative numbers are to use &quot;-&quot;." sqref="H3:K498" xr:uid="{00000000-0002-0000-1100-000002000000}">
      <formula1>-1200</formula1>
      <formula2>1200</formula2>
    </dataValidation>
    <dataValidation type="decimal" operator="greaterThanOrEqual" allowBlank="1" showInputMessage="1" showErrorMessage="1" errorTitle="Dimensional Error" error="&quot;Inches&quot; must be numeric.  No &quot;inch&quot; symbols._x000a_Min Value = 1&quot;." sqref="G3:G498" xr:uid="{00000000-0002-0000-1100-000003000000}">
      <formula1>1</formula1>
    </dataValidation>
  </dataValidations>
  <pageMargins left="0.3" right="0.3" top="0.375" bottom="0.375" header="0.125" footer="0.25"/>
  <pageSetup scale="75" orientation="portrait" r:id="rId1"/>
  <headerFooter alignWithMargins="0">
    <oddHeader xml:space="preserve">&amp;C&amp;"Arial,Bold"&amp;18Section Information                                                   </oddHeader>
    <oddFooter>&amp;R&amp;7Printed: &amp;D &amp;T&amp;L&amp;7Version: 23.0413
File: &amp;F</oddFooter>
  </headerFooter>
  <colBreaks count="1" manualBreakCount="1">
    <brk id="50" max="1048575" man="1"/>
  </colBreaks>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AW301"/>
  <sheetViews>
    <sheetView showGridLines="0" zoomScaleNormal="100" workbookViewId="0">
      <selection activeCell="D27" sqref="D27"/>
    </sheetView>
  </sheetViews>
  <sheetFormatPr defaultRowHeight="12.75" x14ac:dyDescent="0.2"/>
  <cols>
    <col min="1" max="2" width="5.7109375" style="1" customWidth="1"/>
    <col min="3" max="3" width="15.7109375" style="1" customWidth="1"/>
    <col min="4" max="5" width="25.7109375" style="1" customWidth="1"/>
    <col min="6" max="6" width="10.7109375" style="1" customWidth="1"/>
    <col min="7" max="7" width="15.7109375" style="1" hidden="1" customWidth="1"/>
    <col min="8" max="14" width="5.7109375" style="1" hidden="1" customWidth="1"/>
    <col min="15" max="15" width="7.28515625" style="1" hidden="1" customWidth="1"/>
    <col min="16" max="16" width="4.140625" style="1" hidden="1" customWidth="1"/>
    <col min="17" max="17" width="13.85546875" style="1" hidden="1" customWidth="1"/>
    <col min="18" max="18" width="75.7109375" style="1" hidden="1" customWidth="1"/>
    <col min="19" max="19" width="3.7109375" style="1" customWidth="1"/>
    <col min="20" max="20" width="20" style="1" hidden="1" customWidth="1"/>
    <col min="21" max="21" width="12.7109375" style="1" hidden="1" customWidth="1"/>
    <col min="22" max="26" width="6.7109375" style="83" hidden="1" customWidth="1"/>
    <col min="27" max="27" width="20.7109375" style="83" hidden="1" customWidth="1"/>
    <col min="28" max="28" width="6.7109375" style="83" hidden="1" customWidth="1"/>
    <col min="29" max="29" width="2.7109375" style="1" customWidth="1"/>
    <col min="30" max="30" width="20.7109375" style="1" customWidth="1"/>
    <col min="31" max="31" width="12.7109375" style="1" customWidth="1"/>
    <col min="32" max="32" width="15.7109375" style="1201" customWidth="1"/>
    <col min="33" max="33" width="12.7109375" style="548" customWidth="1"/>
    <col min="34" max="34" width="10.7109375" style="1" customWidth="1"/>
    <col min="35" max="41" width="9.140625" style="1" hidden="1" customWidth="1"/>
    <col min="42" max="42" width="10.7109375" style="1" customWidth="1"/>
    <col min="43" max="43" width="9.140625" style="1"/>
    <col min="44" max="44" width="20.85546875" style="1" hidden="1" customWidth="1"/>
    <col min="45" max="45" width="9.140625" style="1"/>
    <col min="46" max="46" width="18.5703125" style="1" customWidth="1"/>
    <col min="47" max="47" width="13.140625" style="1" customWidth="1"/>
    <col min="48" max="48" width="14.140625" style="1" customWidth="1"/>
    <col min="49" max="16384" width="9.140625" style="1"/>
  </cols>
  <sheetData>
    <row r="1" spans="2:49" ht="15" x14ac:dyDescent="0.3">
      <c r="B1" s="4"/>
      <c r="D1" s="5"/>
      <c r="E1" s="5"/>
      <c r="F1" s="234" t="s">
        <v>64</v>
      </c>
      <c r="O1" s="234" t="s">
        <v>64</v>
      </c>
      <c r="S1" s="236" t="s">
        <v>697</v>
      </c>
      <c r="T1" s="31" t="s">
        <v>131</v>
      </c>
      <c r="U1" s="101">
        <f>MAX(COUNTA(V:V),1)</f>
        <v>1</v>
      </c>
      <c r="V1" s="35" t="s">
        <v>117</v>
      </c>
      <c r="W1" s="35">
        <v>1</v>
      </c>
      <c r="X1" s="54" t="s">
        <v>118</v>
      </c>
      <c r="Z1" s="84"/>
      <c r="AA1" s="83" t="s">
        <v>117</v>
      </c>
      <c r="AB1" s="83" t="b">
        <v>0</v>
      </c>
      <c r="AC1" s="235" t="s">
        <v>65</v>
      </c>
      <c r="AD1" s="86" t="s">
        <v>452</v>
      </c>
      <c r="AE1" s="1202" t="s">
        <v>453</v>
      </c>
      <c r="AF1" s="2651" t="s">
        <v>1182</v>
      </c>
      <c r="AG1" s="1912" t="s">
        <v>1179</v>
      </c>
      <c r="AH1" s="1203" t="s">
        <v>1181</v>
      </c>
      <c r="AI1" s="1016" t="s">
        <v>1121</v>
      </c>
      <c r="AJ1" s="1017"/>
      <c r="AK1" s="1017"/>
      <c r="AL1" s="1017"/>
      <c r="AM1" s="1017"/>
      <c r="AN1" s="1017"/>
      <c r="AO1" s="1017"/>
      <c r="AP1" s="235" t="s">
        <v>1180</v>
      </c>
      <c r="AQ1" s="235" t="s">
        <v>1381</v>
      </c>
      <c r="AR1" s="257" t="s">
        <v>1388</v>
      </c>
      <c r="AS1" s="235" t="s">
        <v>1382</v>
      </c>
      <c r="AT1" s="235"/>
      <c r="AW1" s="235"/>
    </row>
    <row r="2" spans="2:49" ht="13.5" thickBot="1" x14ac:dyDescent="0.25">
      <c r="T2" s="31" t="s">
        <v>132</v>
      </c>
      <c r="U2" s="101">
        <f>COUNTIF(Y:Y,FALSE)</f>
        <v>0</v>
      </c>
      <c r="V2" s="1628"/>
      <c r="X2" s="54"/>
      <c r="Z2" s="84"/>
      <c r="AC2" s="49">
        <f>IF(ISBLANK(W1),"",W1)</f>
        <v>1</v>
      </c>
      <c r="AD2" s="82" t="s">
        <v>117</v>
      </c>
      <c r="AE2" s="87" t="str">
        <f>IF(ISBLANK(Z1),"",Z1)</f>
        <v/>
      </c>
      <c r="AF2" s="2652"/>
      <c r="AG2" s="1914"/>
      <c r="AI2" s="1019" t="s">
        <v>598</v>
      </c>
      <c r="AJ2" s="1027" t="s">
        <v>1122</v>
      </c>
      <c r="AK2" s="1020"/>
      <c r="AL2" s="1020"/>
      <c r="AM2" s="1020"/>
      <c r="AN2" s="1020"/>
      <c r="AO2" s="1020"/>
      <c r="AR2" s="257" t="s">
        <v>1383</v>
      </c>
    </row>
    <row r="3" spans="2:49" ht="14.25" thickTop="1" thickBot="1" x14ac:dyDescent="0.25">
      <c r="C3" s="12" t="s">
        <v>66</v>
      </c>
      <c r="D3" s="2653" t="s">
        <v>1606</v>
      </c>
      <c r="E3" s="2654"/>
      <c r="G3" s="2655" t="s">
        <v>569</v>
      </c>
      <c r="H3" s="2656"/>
      <c r="I3" s="2656"/>
      <c r="J3" s="2656"/>
      <c r="K3" s="2656"/>
      <c r="L3" s="2656"/>
      <c r="M3" s="2656"/>
      <c r="N3" s="2656"/>
      <c r="O3" s="2657"/>
      <c r="T3" s="31" t="s">
        <v>461</v>
      </c>
      <c r="U3" s="1536" t="b">
        <v>0</v>
      </c>
      <c r="X3" s="54"/>
      <c r="Z3" s="84"/>
      <c r="AC3" s="1213" t="str">
        <f t="shared" ref="AC3:AC66" si="0">IF(ISBLANK(W2),"",W2)</f>
        <v/>
      </c>
      <c r="AD3" s="1204" t="str">
        <f t="shared" ref="AD3:AD66" si="1">IF(ISBLANK(V2),"",V2)</f>
        <v/>
      </c>
      <c r="AE3" s="1205" t="str">
        <f t="shared" ref="AE3:AE66" si="2">IF(ISBLANK(Z2),"",Z2)</f>
        <v/>
      </c>
      <c r="AF3" s="1210"/>
      <c r="AG3" s="1211"/>
      <c r="AI3" s="1018">
        <v>0</v>
      </c>
      <c r="AJ3" s="1021">
        <v>1.1499999999999999</v>
      </c>
      <c r="AK3" s="1021"/>
      <c r="AL3" s="1021"/>
      <c r="AM3" s="1021"/>
      <c r="AN3" s="1021"/>
      <c r="AO3" s="1021"/>
      <c r="AR3" s="633" t="s">
        <v>1384</v>
      </c>
    </row>
    <row r="4" spans="2:49" x14ac:dyDescent="0.2">
      <c r="C4" s="13" t="s">
        <v>67</v>
      </c>
      <c r="D4" s="2634" t="s">
        <v>1607</v>
      </c>
      <c r="E4" s="2635"/>
      <c r="G4" s="2664" t="s">
        <v>570</v>
      </c>
      <c r="H4" s="2658" t="s">
        <v>577</v>
      </c>
      <c r="I4" s="2658" t="s">
        <v>571</v>
      </c>
      <c r="J4" s="2658" t="s">
        <v>572</v>
      </c>
      <c r="K4" s="2658" t="s">
        <v>580</v>
      </c>
      <c r="L4" s="2658" t="s">
        <v>573</v>
      </c>
      <c r="M4" s="2658" t="s">
        <v>574</v>
      </c>
      <c r="N4" s="2658" t="s">
        <v>942</v>
      </c>
      <c r="O4" s="2661" t="s">
        <v>684</v>
      </c>
      <c r="T4" s="31" t="s">
        <v>1258</v>
      </c>
      <c r="U4" s="1536" t="b">
        <v>0</v>
      </c>
      <c r="X4" s="85"/>
      <c r="Z4" s="84"/>
      <c r="AC4" s="1213" t="str">
        <f t="shared" si="0"/>
        <v/>
      </c>
      <c r="AD4" s="1204" t="str">
        <f t="shared" si="1"/>
        <v/>
      </c>
      <c r="AE4" s="1205" t="str">
        <f t="shared" si="2"/>
        <v/>
      </c>
      <c r="AF4" s="1206"/>
      <c r="AG4" s="1207"/>
      <c r="AI4" s="1018" t="s">
        <v>1123</v>
      </c>
      <c r="AJ4" s="1021">
        <v>1.1499999999999999</v>
      </c>
      <c r="AK4" s="1022"/>
      <c r="AL4" s="1022"/>
      <c r="AM4" s="1022"/>
      <c r="AN4" s="1022"/>
      <c r="AO4" s="1022"/>
      <c r="AR4" s="633" t="s">
        <v>1389</v>
      </c>
    </row>
    <row r="5" spans="2:49" x14ac:dyDescent="0.2">
      <c r="C5" s="13" t="s">
        <v>68</v>
      </c>
      <c r="D5" s="2634" t="s">
        <v>1608</v>
      </c>
      <c r="E5" s="2635"/>
      <c r="G5" s="2665"/>
      <c r="H5" s="2659"/>
      <c r="I5" s="2659"/>
      <c r="J5" s="2659"/>
      <c r="K5" s="2659"/>
      <c r="L5" s="2659"/>
      <c r="M5" s="2659"/>
      <c r="N5" s="2659"/>
      <c r="O5" s="2662"/>
      <c r="T5" s="31" t="s">
        <v>792</v>
      </c>
      <c r="U5" s="1212" t="b">
        <v>0</v>
      </c>
      <c r="X5" s="85"/>
      <c r="Z5" s="84"/>
      <c r="AC5" s="1213" t="str">
        <f t="shared" si="0"/>
        <v/>
      </c>
      <c r="AD5" s="1204" t="str">
        <f t="shared" si="1"/>
        <v/>
      </c>
      <c r="AE5" s="1205" t="str">
        <f t="shared" si="2"/>
        <v/>
      </c>
      <c r="AF5" s="1206"/>
      <c r="AG5" s="1538"/>
      <c r="AI5" s="1014" t="s">
        <v>1124</v>
      </c>
      <c r="AJ5" s="1022">
        <v>0.87</v>
      </c>
      <c r="AK5" s="1022"/>
      <c r="AL5" s="1022"/>
      <c r="AM5" s="1022"/>
      <c r="AN5" s="1022"/>
      <c r="AO5" s="1022"/>
      <c r="AR5" s="633" t="s">
        <v>1385</v>
      </c>
    </row>
    <row r="6" spans="2:49" ht="13.5" thickBot="1" x14ac:dyDescent="0.25">
      <c r="C6" s="13" t="s">
        <v>69</v>
      </c>
      <c r="D6" s="2634" t="s">
        <v>1609</v>
      </c>
      <c r="E6" s="2635"/>
      <c r="G6" s="2666"/>
      <c r="H6" s="2660"/>
      <c r="I6" s="2660"/>
      <c r="J6" s="2660"/>
      <c r="K6" s="2660"/>
      <c r="L6" s="2660"/>
      <c r="M6" s="2660"/>
      <c r="N6" s="2660"/>
      <c r="O6" s="2663"/>
      <c r="T6" s="31" t="s">
        <v>791</v>
      </c>
      <c r="U6" s="1212" t="b">
        <v>0</v>
      </c>
      <c r="X6" s="85"/>
      <c r="Z6" s="84"/>
      <c r="AC6" s="1213" t="str">
        <f t="shared" si="0"/>
        <v/>
      </c>
      <c r="AD6" s="1204" t="str">
        <f t="shared" si="1"/>
        <v/>
      </c>
      <c r="AE6" s="1205" t="str">
        <f t="shared" si="2"/>
        <v/>
      </c>
      <c r="AF6" s="1206"/>
      <c r="AG6" s="1207"/>
      <c r="AI6" s="1014" t="s">
        <v>1125</v>
      </c>
      <c r="AJ6" s="1022">
        <v>1</v>
      </c>
      <c r="AK6" s="1022"/>
      <c r="AL6" s="1022"/>
      <c r="AM6" s="1022"/>
      <c r="AN6" s="1022"/>
      <c r="AO6" s="1022"/>
      <c r="AR6" s="633" t="s">
        <v>1386</v>
      </c>
    </row>
    <row r="7" spans="2:49" ht="13.5" thickTop="1" x14ac:dyDescent="0.2">
      <c r="C7" s="13" t="s">
        <v>70</v>
      </c>
      <c r="D7" s="2634" t="s">
        <v>1610</v>
      </c>
      <c r="E7" s="2635"/>
      <c r="G7" s="965" t="s">
        <v>575</v>
      </c>
      <c r="H7" s="966">
        <v>2.5</v>
      </c>
      <c r="I7" s="966">
        <v>2.5</v>
      </c>
      <c r="J7" s="966">
        <v>4</v>
      </c>
      <c r="K7" s="966">
        <v>3.5</v>
      </c>
      <c r="L7" s="1296">
        <v>1.5</v>
      </c>
      <c r="M7" s="967">
        <v>0.5625</v>
      </c>
      <c r="N7" s="966">
        <v>1</v>
      </c>
      <c r="O7" s="968">
        <v>2.5</v>
      </c>
      <c r="T7" s="31" t="s">
        <v>798</v>
      </c>
      <c r="U7" s="1212" t="b">
        <v>0</v>
      </c>
      <c r="X7" s="85"/>
      <c r="Z7" s="84"/>
      <c r="AC7" s="1213" t="str">
        <f t="shared" si="0"/>
        <v/>
      </c>
      <c r="AD7" s="1204" t="str">
        <f t="shared" si="1"/>
        <v/>
      </c>
      <c r="AE7" s="1205" t="str">
        <f t="shared" si="2"/>
        <v/>
      </c>
      <c r="AF7" s="1206"/>
      <c r="AG7" s="1207"/>
      <c r="AI7" s="1014" t="s">
        <v>1126</v>
      </c>
      <c r="AJ7" s="1022">
        <v>1.1499999999999999</v>
      </c>
      <c r="AK7" s="1022"/>
      <c r="AL7" s="1022"/>
      <c r="AM7" s="1022"/>
      <c r="AN7" s="1022"/>
      <c r="AO7" s="1022"/>
      <c r="AR7" s="633" t="s">
        <v>1387</v>
      </c>
    </row>
    <row r="8" spans="2:49" x14ac:dyDescent="0.2">
      <c r="C8" s="13" t="s">
        <v>71</v>
      </c>
      <c r="D8" s="2640">
        <v>45048</v>
      </c>
      <c r="E8" s="2641"/>
      <c r="G8" s="969" t="s">
        <v>1116</v>
      </c>
      <c r="H8" s="970">
        <v>2.5</v>
      </c>
      <c r="I8" s="970">
        <v>2.5</v>
      </c>
      <c r="J8" s="970">
        <v>4</v>
      </c>
      <c r="K8" s="970">
        <v>3.5</v>
      </c>
      <c r="L8" s="1297">
        <v>1.5</v>
      </c>
      <c r="M8" s="971">
        <v>0.5625</v>
      </c>
      <c r="N8" s="970">
        <v>1</v>
      </c>
      <c r="O8" s="972">
        <v>2.5</v>
      </c>
      <c r="T8" s="31" t="s">
        <v>1169</v>
      </c>
      <c r="U8" s="1212" t="b">
        <v>1</v>
      </c>
      <c r="X8" s="85"/>
      <c r="Z8" s="84"/>
      <c r="AC8" s="1213" t="str">
        <f t="shared" si="0"/>
        <v/>
      </c>
      <c r="AD8" s="1204" t="str">
        <f t="shared" si="1"/>
        <v/>
      </c>
      <c r="AE8" s="1205" t="str">
        <f t="shared" si="2"/>
        <v/>
      </c>
      <c r="AF8" s="1206"/>
      <c r="AG8" s="1207"/>
      <c r="AI8" s="1014" t="s">
        <v>1127</v>
      </c>
      <c r="AJ8" s="1022">
        <v>1</v>
      </c>
      <c r="AK8" s="1022"/>
      <c r="AL8" s="1022"/>
      <c r="AM8" s="1022"/>
      <c r="AN8" s="1022"/>
      <c r="AO8" s="1022"/>
      <c r="AU8" s="1686"/>
    </row>
    <row r="9" spans="2:49" x14ac:dyDescent="0.2">
      <c r="C9" s="13" t="s">
        <v>72</v>
      </c>
      <c r="D9" s="2634">
        <v>19</v>
      </c>
      <c r="E9" s="2635"/>
      <c r="G9" s="969" t="s">
        <v>1117</v>
      </c>
      <c r="H9" s="970">
        <v>2.5</v>
      </c>
      <c r="I9" s="970">
        <v>2.5</v>
      </c>
      <c r="J9" s="970">
        <v>4</v>
      </c>
      <c r="K9" s="970">
        <v>3.5</v>
      </c>
      <c r="L9" s="1297">
        <v>1.5</v>
      </c>
      <c r="M9" s="971">
        <v>0.5625</v>
      </c>
      <c r="N9" s="970">
        <v>1</v>
      </c>
      <c r="O9" s="972">
        <v>2.5</v>
      </c>
      <c r="T9" s="31" t="s">
        <v>1266</v>
      </c>
      <c r="U9" s="1212">
        <f>COUNTA(AF:AF)-1</f>
        <v>0</v>
      </c>
      <c r="X9" s="85"/>
      <c r="Z9" s="84"/>
      <c r="AC9" s="1213" t="str">
        <f t="shared" si="0"/>
        <v/>
      </c>
      <c r="AD9" s="1204" t="str">
        <f t="shared" si="1"/>
        <v/>
      </c>
      <c r="AE9" s="1205" t="str">
        <f t="shared" si="2"/>
        <v/>
      </c>
      <c r="AF9" s="1208"/>
      <c r="AG9" s="1207"/>
      <c r="AI9" s="1014" t="s">
        <v>1128</v>
      </c>
      <c r="AJ9" s="1022">
        <v>1.1499999999999999</v>
      </c>
      <c r="AK9" s="1022"/>
      <c r="AL9" s="1022"/>
      <c r="AM9" s="1022"/>
      <c r="AN9" s="1022"/>
      <c r="AO9" s="1022"/>
    </row>
    <row r="10" spans="2:49" ht="13.5" thickBot="1" x14ac:dyDescent="0.25">
      <c r="C10" s="14"/>
      <c r="D10" s="2644"/>
      <c r="E10" s="2645"/>
      <c r="G10" s="969" t="s">
        <v>1294</v>
      </c>
      <c r="H10" s="970">
        <v>5</v>
      </c>
      <c r="I10" s="970">
        <v>2.5</v>
      </c>
      <c r="J10" s="970">
        <v>6</v>
      </c>
      <c r="K10" s="970">
        <v>4</v>
      </c>
      <c r="L10" s="1297">
        <v>1.5</v>
      </c>
      <c r="M10" s="971">
        <v>0.8125</v>
      </c>
      <c r="N10" s="970">
        <v>2</v>
      </c>
      <c r="O10" s="972">
        <v>4</v>
      </c>
      <c r="R10" s="778"/>
      <c r="T10" s="31" t="s">
        <v>1259</v>
      </c>
      <c r="U10" s="1536" t="b">
        <v>1</v>
      </c>
      <c r="X10" s="85"/>
      <c r="Z10" s="84"/>
      <c r="AC10" s="1213" t="str">
        <f t="shared" si="0"/>
        <v/>
      </c>
      <c r="AD10" s="1204" t="str">
        <f t="shared" si="1"/>
        <v/>
      </c>
      <c r="AE10" s="1205" t="str">
        <f t="shared" si="2"/>
        <v/>
      </c>
      <c r="AF10" s="1206"/>
      <c r="AG10" s="1207"/>
      <c r="AI10" s="1015"/>
      <c r="AJ10" s="1022"/>
      <c r="AK10" s="1022"/>
      <c r="AL10" s="1022"/>
      <c r="AM10" s="1022"/>
      <c r="AN10" s="1022"/>
      <c r="AO10" s="1022"/>
    </row>
    <row r="11" spans="2:49" x14ac:dyDescent="0.2">
      <c r="C11" s="15" t="s">
        <v>83</v>
      </c>
      <c r="D11" s="2642" t="str">
        <f ca="1">IF(P34=0,"",OFFSET(R33,1+((P34-1)*6),0))</f>
        <v>8200 Woolery Way | Fallon, NV 89406 | www.newmill.com</v>
      </c>
      <c r="E11" s="2643"/>
      <c r="G11" s="969" t="s">
        <v>1295</v>
      </c>
      <c r="H11" s="970">
        <v>5</v>
      </c>
      <c r="I11" s="970">
        <v>4</v>
      </c>
      <c r="J11" s="970">
        <v>6</v>
      </c>
      <c r="K11" s="970">
        <v>4</v>
      </c>
      <c r="L11" s="1297">
        <v>1.5</v>
      </c>
      <c r="M11" s="971">
        <v>0.8125</v>
      </c>
      <c r="N11" s="970">
        <v>2</v>
      </c>
      <c r="O11" s="972">
        <v>4</v>
      </c>
      <c r="X11" s="85"/>
      <c r="Z11" s="84"/>
      <c r="AC11" s="1213" t="str">
        <f t="shared" si="0"/>
        <v/>
      </c>
      <c r="AD11" s="1204" t="str">
        <f t="shared" si="1"/>
        <v/>
      </c>
      <c r="AE11" s="1205" t="str">
        <f t="shared" si="2"/>
        <v/>
      </c>
      <c r="AF11" s="1206"/>
      <c r="AG11" s="1207"/>
      <c r="AI11" s="1015"/>
      <c r="AJ11" s="1022"/>
      <c r="AK11" s="1022"/>
      <c r="AL11" s="1022"/>
      <c r="AM11" s="1022"/>
      <c r="AN11" s="1022"/>
      <c r="AO11" s="1022"/>
    </row>
    <row r="12" spans="2:49" x14ac:dyDescent="0.2">
      <c r="C12" s="16" t="s">
        <v>84</v>
      </c>
      <c r="D12" s="2649" t="str">
        <f ca="1">IF(P34=0,"",OFFSET(R33,2+((P34-1)*6),0))</f>
        <v>775-428-0600</v>
      </c>
      <c r="E12" s="2650"/>
      <c r="G12" s="969" t="s">
        <v>1118</v>
      </c>
      <c r="H12" s="970">
        <v>5</v>
      </c>
      <c r="I12" s="970">
        <v>4</v>
      </c>
      <c r="J12" s="970">
        <v>6</v>
      </c>
      <c r="K12" s="970">
        <v>4</v>
      </c>
      <c r="L12" s="1297">
        <v>1.5</v>
      </c>
      <c r="M12" s="971">
        <v>0.8125</v>
      </c>
      <c r="N12" s="970">
        <v>2</v>
      </c>
      <c r="O12" s="972">
        <v>4</v>
      </c>
      <c r="R12" s="779"/>
      <c r="X12" s="85"/>
      <c r="Z12" s="84"/>
      <c r="AC12" s="1213" t="str">
        <f t="shared" si="0"/>
        <v/>
      </c>
      <c r="AD12" s="1204" t="str">
        <f t="shared" si="1"/>
        <v/>
      </c>
      <c r="AE12" s="1205" t="str">
        <f t="shared" si="2"/>
        <v/>
      </c>
      <c r="AF12" s="1206"/>
      <c r="AG12" s="1207"/>
      <c r="AI12" s="1023"/>
      <c r="AJ12" s="1024"/>
      <c r="AK12" s="1024"/>
      <c r="AL12" s="1024"/>
      <c r="AM12" s="1024"/>
      <c r="AN12" s="1024"/>
      <c r="AO12" s="1024"/>
    </row>
    <row r="13" spans="2:49" x14ac:dyDescent="0.2">
      <c r="C13" s="16" t="s">
        <v>85</v>
      </c>
      <c r="D13" s="2649" t="str">
        <f ca="1">IF(P34=0,"",OFFSET(R33,3+((P34-1)*6),0))</f>
        <v>775-867-2140</v>
      </c>
      <c r="E13" s="2650"/>
      <c r="G13" s="969" t="s">
        <v>1119</v>
      </c>
      <c r="H13" s="970">
        <v>5</v>
      </c>
      <c r="I13" s="970">
        <v>4</v>
      </c>
      <c r="J13" s="970">
        <v>6</v>
      </c>
      <c r="K13" s="970">
        <v>4</v>
      </c>
      <c r="L13" s="1297">
        <v>1.5</v>
      </c>
      <c r="M13" s="971">
        <v>0.8125</v>
      </c>
      <c r="N13" s="970">
        <v>2</v>
      </c>
      <c r="O13" s="972">
        <v>4</v>
      </c>
      <c r="T13" s="256"/>
      <c r="U13" s="257"/>
      <c r="X13" s="85"/>
      <c r="Z13" s="84"/>
      <c r="AC13" s="1213" t="str">
        <f t="shared" si="0"/>
        <v/>
      </c>
      <c r="AD13" s="1204" t="str">
        <f t="shared" si="1"/>
        <v/>
      </c>
      <c r="AE13" s="1205" t="str">
        <f t="shared" si="2"/>
        <v/>
      </c>
      <c r="AF13" s="1206"/>
      <c r="AG13" s="1207"/>
    </row>
    <row r="14" spans="2:49" x14ac:dyDescent="0.2">
      <c r="C14" s="16" t="s">
        <v>86</v>
      </c>
      <c r="D14" s="2649" t="str">
        <f ca="1">IF(P34=0,"",OFFSET(R33,4+((P34-1)*6),0))</f>
        <v>775-867-2169</v>
      </c>
      <c r="E14" s="2650"/>
      <c r="G14" s="969" t="s">
        <v>1120</v>
      </c>
      <c r="H14" s="970">
        <v>5</v>
      </c>
      <c r="I14" s="970">
        <v>4</v>
      </c>
      <c r="J14" s="970">
        <v>6</v>
      </c>
      <c r="K14" s="970">
        <v>4</v>
      </c>
      <c r="L14" s="1297">
        <v>1.5</v>
      </c>
      <c r="M14" s="971">
        <v>0.8125</v>
      </c>
      <c r="N14" s="970">
        <v>2</v>
      </c>
      <c r="O14" s="972">
        <v>4</v>
      </c>
      <c r="T14" s="256" t="s">
        <v>956</v>
      </c>
      <c r="U14" s="758">
        <v>45029</v>
      </c>
      <c r="X14" s="85"/>
      <c r="Z14" s="84"/>
      <c r="AC14" s="1213" t="str">
        <f t="shared" si="0"/>
        <v/>
      </c>
      <c r="AD14" s="1204" t="str">
        <f t="shared" si="1"/>
        <v/>
      </c>
      <c r="AE14" s="1205" t="str">
        <f t="shared" si="2"/>
        <v/>
      </c>
      <c r="AF14" s="1206"/>
      <c r="AG14" s="1209"/>
    </row>
    <row r="15" spans="2:49" ht="13.5" thickBot="1" x14ac:dyDescent="0.25">
      <c r="C15" s="17" t="s">
        <v>87</v>
      </c>
      <c r="D15" s="2636" t="str">
        <f ca="1">IF(P34=0,"",OFFSET(R33,5+((P34-1)*6),0))</f>
        <v>775-867-2060</v>
      </c>
      <c r="E15" s="2637"/>
      <c r="G15" s="973" t="s">
        <v>566</v>
      </c>
      <c r="H15" s="974">
        <v>7.5</v>
      </c>
      <c r="I15" s="974">
        <v>4</v>
      </c>
      <c r="J15" s="974">
        <v>6</v>
      </c>
      <c r="K15" s="974">
        <v>5</v>
      </c>
      <c r="L15" s="1298">
        <v>1.5</v>
      </c>
      <c r="M15" s="975">
        <v>0.8125</v>
      </c>
      <c r="N15" s="974">
        <v>3</v>
      </c>
      <c r="O15" s="976">
        <v>5</v>
      </c>
      <c r="T15" s="256" t="s">
        <v>954</v>
      </c>
      <c r="U15" s="854" t="str">
        <f>CONCATENATE(TEXT(U14,"yy"),".",TEXT(U14,"mmdd"))</f>
        <v>23.0413</v>
      </c>
      <c r="X15" s="85"/>
      <c r="Z15" s="84"/>
      <c r="AC15" s="1213" t="str">
        <f t="shared" si="0"/>
        <v/>
      </c>
      <c r="AD15" s="1204" t="str">
        <f t="shared" si="1"/>
        <v/>
      </c>
      <c r="AE15" s="1205" t="str">
        <f t="shared" si="2"/>
        <v/>
      </c>
      <c r="AF15" s="1208"/>
      <c r="AG15" s="1207"/>
    </row>
    <row r="16" spans="2:49" x14ac:dyDescent="0.2">
      <c r="D16" s="93" t="s">
        <v>698</v>
      </c>
      <c r="E16" s="634">
        <v>23.0413</v>
      </c>
      <c r="F16" s="82"/>
      <c r="T16" s="256" t="s">
        <v>955</v>
      </c>
      <c r="U16" s="855">
        <v>1</v>
      </c>
      <c r="X16" s="85"/>
      <c r="Z16" s="84"/>
      <c r="AC16" s="1213" t="str">
        <f t="shared" si="0"/>
        <v/>
      </c>
      <c r="AD16" s="1204" t="str">
        <f t="shared" si="1"/>
        <v/>
      </c>
      <c r="AE16" s="1205" t="str">
        <f t="shared" si="2"/>
        <v/>
      </c>
      <c r="AF16" s="1206"/>
      <c r="AG16" s="1207"/>
    </row>
    <row r="17" spans="3:33" ht="13.5" thickBot="1" x14ac:dyDescent="0.25">
      <c r="T17" s="256"/>
      <c r="U17" s="855" t="str">
        <f>CONCATENATE(TEXT(U14,"yy"),".",TEXT(U14,"mmdd"),".",TEXT(U16,"##"))</f>
        <v>23.0413.1</v>
      </c>
      <c r="X17" s="85"/>
      <c r="Z17" s="84"/>
      <c r="AC17" s="1213" t="str">
        <f t="shared" si="0"/>
        <v/>
      </c>
      <c r="AD17" s="1204" t="str">
        <f t="shared" si="1"/>
        <v/>
      </c>
      <c r="AE17" s="1205" t="str">
        <f t="shared" si="2"/>
        <v/>
      </c>
      <c r="AF17" s="1206"/>
      <c r="AG17" s="1207"/>
    </row>
    <row r="18" spans="3:33" ht="13.5" thickBot="1" x14ac:dyDescent="0.25">
      <c r="G18" s="2646" t="s">
        <v>1108</v>
      </c>
      <c r="H18" s="2647"/>
      <c r="I18" s="2647"/>
      <c r="J18" s="2647"/>
      <c r="K18" s="2647"/>
      <c r="L18" s="2647"/>
      <c r="M18" s="2648"/>
      <c r="X18" s="85"/>
      <c r="Z18" s="84"/>
      <c r="AC18" s="1213" t="str">
        <f t="shared" si="0"/>
        <v/>
      </c>
      <c r="AD18" s="1204" t="str">
        <f t="shared" si="1"/>
        <v/>
      </c>
      <c r="AE18" s="1205" t="str">
        <f t="shared" si="2"/>
        <v/>
      </c>
      <c r="AF18" s="1206"/>
      <c r="AG18" s="1207"/>
    </row>
    <row r="19" spans="3:33" ht="13.5" thickBot="1" x14ac:dyDescent="0.25">
      <c r="G19" s="2638" t="s">
        <v>650</v>
      </c>
      <c r="H19" s="2639"/>
      <c r="I19" s="2639"/>
      <c r="J19" s="2639"/>
      <c r="K19" s="2639"/>
      <c r="L19" s="977">
        <v>0.375</v>
      </c>
      <c r="M19" s="978" t="s">
        <v>576</v>
      </c>
      <c r="Z19" s="84"/>
      <c r="AC19" s="1213" t="str">
        <f t="shared" si="0"/>
        <v/>
      </c>
      <c r="AD19" s="1204" t="str">
        <f t="shared" si="1"/>
        <v/>
      </c>
      <c r="AE19" s="1205" t="str">
        <f t="shared" si="2"/>
        <v/>
      </c>
      <c r="AF19" s="1206"/>
      <c r="AG19" s="1207"/>
    </row>
    <row r="20" spans="3:33" ht="13.5" thickBot="1" x14ac:dyDescent="0.25">
      <c r="G20" s="2638" t="s">
        <v>653</v>
      </c>
      <c r="H20" s="2639"/>
      <c r="I20" s="2639"/>
      <c r="J20" s="2639"/>
      <c r="K20" s="2639"/>
      <c r="L20" s="979">
        <v>0.1875</v>
      </c>
      <c r="M20" s="633"/>
      <c r="AC20" s="1213" t="str">
        <f t="shared" si="0"/>
        <v/>
      </c>
      <c r="AD20" s="1204" t="str">
        <f t="shared" si="1"/>
        <v/>
      </c>
      <c r="AE20" s="1205" t="str">
        <f t="shared" si="2"/>
        <v/>
      </c>
      <c r="AF20" s="1206"/>
      <c r="AG20" s="1207"/>
    </row>
    <row r="21" spans="3:33" ht="13.5" thickBot="1" x14ac:dyDescent="0.25">
      <c r="G21" s="2638" t="s">
        <v>651</v>
      </c>
      <c r="H21" s="2639"/>
      <c r="I21" s="2639"/>
      <c r="J21" s="2639"/>
      <c r="K21" s="2639"/>
      <c r="L21" s="979">
        <v>0.5</v>
      </c>
      <c r="M21" s="633"/>
      <c r="AC21" s="1213" t="str">
        <f t="shared" si="0"/>
        <v/>
      </c>
      <c r="AD21" s="1204" t="str">
        <f t="shared" si="1"/>
        <v/>
      </c>
      <c r="AE21" s="1205" t="str">
        <f t="shared" si="2"/>
        <v/>
      </c>
      <c r="AF21" s="1206"/>
      <c r="AG21" s="1207"/>
    </row>
    <row r="22" spans="3:33" ht="13.5" thickBot="1" x14ac:dyDescent="0.25">
      <c r="G22" s="2638" t="s">
        <v>652</v>
      </c>
      <c r="H22" s="2639"/>
      <c r="I22" s="2639"/>
      <c r="J22" s="2639"/>
      <c r="K22" s="2639"/>
      <c r="L22" s="979">
        <v>0.25</v>
      </c>
      <c r="M22" s="633"/>
      <c r="AC22" s="1213" t="str">
        <f t="shared" si="0"/>
        <v/>
      </c>
      <c r="AD22" s="1204" t="str">
        <f t="shared" si="1"/>
        <v/>
      </c>
      <c r="AE22" s="1205" t="str">
        <f t="shared" si="2"/>
        <v/>
      </c>
      <c r="AF22" s="1206"/>
      <c r="AG22" s="1207"/>
    </row>
    <row r="23" spans="3:33" ht="13.5" thickBot="1" x14ac:dyDescent="0.25">
      <c r="G23" s="2638" t="s">
        <v>1109</v>
      </c>
      <c r="H23" s="2639"/>
      <c r="I23" s="2639"/>
      <c r="J23" s="2639"/>
      <c r="K23" s="2639"/>
      <c r="L23" s="977">
        <v>0.5</v>
      </c>
      <c r="M23" s="978" t="s">
        <v>576</v>
      </c>
      <c r="AC23" s="1213" t="str">
        <f t="shared" si="0"/>
        <v/>
      </c>
      <c r="AD23" s="1204" t="str">
        <f t="shared" si="1"/>
        <v/>
      </c>
      <c r="AE23" s="1205" t="str">
        <f t="shared" si="2"/>
        <v/>
      </c>
      <c r="AF23" s="1206"/>
      <c r="AG23" s="1207"/>
    </row>
    <row r="24" spans="3:33" x14ac:dyDescent="0.2">
      <c r="AC24" s="1213" t="str">
        <f t="shared" si="0"/>
        <v/>
      </c>
      <c r="AD24" s="1204" t="str">
        <f t="shared" si="1"/>
        <v/>
      </c>
      <c r="AE24" s="1205" t="str">
        <f t="shared" si="2"/>
        <v/>
      </c>
      <c r="AF24" s="1206"/>
      <c r="AG24" s="1207"/>
    </row>
    <row r="25" spans="3:33" x14ac:dyDescent="0.2">
      <c r="T25" s="256" t="s">
        <v>733</v>
      </c>
      <c r="U25" s="257">
        <v>3</v>
      </c>
      <c r="AC25" s="1213" t="str">
        <f t="shared" si="0"/>
        <v/>
      </c>
      <c r="AD25" s="1204" t="str">
        <f t="shared" si="1"/>
        <v/>
      </c>
      <c r="AE25" s="1205" t="str">
        <f t="shared" si="2"/>
        <v/>
      </c>
      <c r="AF25" s="1206"/>
      <c r="AG25" s="1207"/>
    </row>
    <row r="26" spans="3:33" x14ac:dyDescent="0.2">
      <c r="T26" s="256" t="s">
        <v>734</v>
      </c>
      <c r="U26" s="257">
        <v>3</v>
      </c>
      <c r="AC26" s="1213" t="str">
        <f t="shared" si="0"/>
        <v/>
      </c>
      <c r="AD26" s="1204" t="str">
        <f t="shared" si="1"/>
        <v/>
      </c>
      <c r="AE26" s="1205" t="str">
        <f t="shared" si="2"/>
        <v/>
      </c>
      <c r="AF26" s="1206"/>
      <c r="AG26" s="1207"/>
    </row>
    <row r="27" spans="3:33" ht="15" customHeight="1" x14ac:dyDescent="0.2">
      <c r="C27" s="91" t="s">
        <v>119</v>
      </c>
      <c r="D27" s="1627" t="s">
        <v>117</v>
      </c>
      <c r="T27" s="256" t="s">
        <v>940</v>
      </c>
      <c r="U27" s="633" t="s">
        <v>34</v>
      </c>
      <c r="AC27" s="1213" t="str">
        <f t="shared" si="0"/>
        <v/>
      </c>
      <c r="AD27" s="1204" t="str">
        <f t="shared" si="1"/>
        <v/>
      </c>
      <c r="AE27" s="1205" t="str">
        <f t="shared" si="2"/>
        <v/>
      </c>
      <c r="AF27" s="1206"/>
      <c r="AG27" s="1207"/>
    </row>
    <row r="28" spans="3:33" ht="24.95" customHeight="1" x14ac:dyDescent="0.2">
      <c r="AC28" s="1213" t="str">
        <f t="shared" si="0"/>
        <v/>
      </c>
      <c r="AD28" s="1204" t="str">
        <f t="shared" si="1"/>
        <v/>
      </c>
      <c r="AE28" s="1205" t="str">
        <f t="shared" si="2"/>
        <v/>
      </c>
      <c r="AF28" s="1206"/>
      <c r="AG28" s="1207"/>
    </row>
    <row r="29" spans="3:33" ht="15" customHeight="1" x14ac:dyDescent="0.2">
      <c r="D29" s="1526" t="str">
        <f>IF(ISBLANK(VLOOKUP(D27,V:Z,5,FALSE)),"",VLOOKUP(D27,V:Z,5,FALSE))</f>
        <v/>
      </c>
      <c r="O29" s="32"/>
      <c r="Q29" s="1" t="s">
        <v>747</v>
      </c>
      <c r="AC29" s="1213" t="str">
        <f t="shared" si="0"/>
        <v/>
      </c>
      <c r="AD29" s="1204" t="str">
        <f t="shared" si="1"/>
        <v/>
      </c>
      <c r="AE29" s="1205" t="str">
        <f t="shared" si="2"/>
        <v/>
      </c>
      <c r="AF29" s="1206"/>
      <c r="AG29" s="1207"/>
    </row>
    <row r="30" spans="3:33" ht="12.75" customHeight="1" x14ac:dyDescent="0.2">
      <c r="Q30" s="231" t="str">
        <f>VLOOKUP(D27,V:Z,3,FALSE)</f>
        <v>M</v>
      </c>
      <c r="R30" s="1" t="s">
        <v>685</v>
      </c>
      <c r="AC30" s="1213" t="str">
        <f t="shared" si="0"/>
        <v/>
      </c>
      <c r="AD30" s="1204" t="str">
        <f t="shared" si="1"/>
        <v/>
      </c>
      <c r="AE30" s="1205" t="str">
        <f t="shared" si="2"/>
        <v/>
      </c>
      <c r="AF30" s="1206"/>
      <c r="AG30" s="1207"/>
    </row>
    <row r="31" spans="3:33" ht="12.75" customHeight="1" x14ac:dyDescent="0.2">
      <c r="Q31" s="231">
        <f>VLOOKUP(D27,V:Z,2,FALSE)</f>
        <v>1</v>
      </c>
      <c r="R31" s="1" t="s">
        <v>686</v>
      </c>
      <c r="AC31" s="1213" t="str">
        <f t="shared" si="0"/>
        <v/>
      </c>
      <c r="AD31" s="1204" t="str">
        <f t="shared" si="1"/>
        <v/>
      </c>
      <c r="AE31" s="1205" t="str">
        <f t="shared" si="2"/>
        <v/>
      </c>
      <c r="AF31" s="1206"/>
      <c r="AG31" s="1207"/>
    </row>
    <row r="32" spans="3:33" ht="12.75" customHeight="1" x14ac:dyDescent="0.2">
      <c r="Q32" s="232" t="b">
        <v>0</v>
      </c>
      <c r="R32" s="1" t="s">
        <v>687</v>
      </c>
      <c r="AC32" s="1213" t="str">
        <f t="shared" si="0"/>
        <v/>
      </c>
      <c r="AD32" s="1204" t="str">
        <f t="shared" si="1"/>
        <v/>
      </c>
      <c r="AE32" s="1205" t="str">
        <f t="shared" si="2"/>
        <v/>
      </c>
      <c r="AF32" s="1206"/>
      <c r="AG32" s="1207"/>
    </row>
    <row r="33" spans="1:33" ht="12.75" customHeight="1" thickBot="1" x14ac:dyDescent="0.25">
      <c r="A33" s="124"/>
      <c r="Q33" s="91" t="b">
        <f>AND(Q31=U1,Q31&gt;1)</f>
        <v>0</v>
      </c>
      <c r="R33" s="1" t="s">
        <v>688</v>
      </c>
      <c r="AC33" s="1213" t="str">
        <f t="shared" si="0"/>
        <v/>
      </c>
      <c r="AD33" s="1204" t="str">
        <f t="shared" si="1"/>
        <v/>
      </c>
      <c r="AE33" s="1205" t="str">
        <f t="shared" si="2"/>
        <v/>
      </c>
      <c r="AF33" s="1206"/>
      <c r="AG33" s="1207"/>
    </row>
    <row r="34" spans="1:33" ht="12.75" customHeight="1" x14ac:dyDescent="0.2">
      <c r="P34" s="761">
        <v>6</v>
      </c>
      <c r="Q34" s="6" t="s">
        <v>83</v>
      </c>
      <c r="R34" s="9" t="s">
        <v>89</v>
      </c>
      <c r="AC34" s="1213" t="str">
        <f t="shared" si="0"/>
        <v/>
      </c>
      <c r="AD34" s="1204" t="str">
        <f t="shared" si="1"/>
        <v/>
      </c>
      <c r="AE34" s="1205" t="str">
        <f t="shared" si="2"/>
        <v/>
      </c>
      <c r="AF34" s="1206"/>
      <c r="AG34" s="1207"/>
    </row>
    <row r="35" spans="1:33" ht="12.75" customHeight="1" x14ac:dyDescent="0.2">
      <c r="Q35" s="7" t="s">
        <v>84</v>
      </c>
      <c r="R35" s="10" t="s">
        <v>91</v>
      </c>
      <c r="AC35" s="1213" t="str">
        <f t="shared" si="0"/>
        <v/>
      </c>
      <c r="AD35" s="1204" t="str">
        <f t="shared" si="1"/>
        <v/>
      </c>
      <c r="AE35" s="1205" t="str">
        <f t="shared" si="2"/>
        <v/>
      </c>
      <c r="AF35" s="1206"/>
      <c r="AG35" s="1207"/>
    </row>
    <row r="36" spans="1:33" ht="12.75" customHeight="1" x14ac:dyDescent="0.2">
      <c r="A36" s="1013"/>
      <c r="Q36" s="7" t="s">
        <v>85</v>
      </c>
      <c r="R36" s="10" t="s">
        <v>92</v>
      </c>
      <c r="AC36" s="1213" t="str">
        <f t="shared" si="0"/>
        <v/>
      </c>
      <c r="AD36" s="1204" t="str">
        <f t="shared" si="1"/>
        <v/>
      </c>
      <c r="AE36" s="1205" t="str">
        <f t="shared" si="2"/>
        <v/>
      </c>
      <c r="AF36" s="1206"/>
      <c r="AG36" s="1207"/>
    </row>
    <row r="37" spans="1:33" ht="12.75" customHeight="1" x14ac:dyDescent="0.2">
      <c r="Q37" s="7" t="s">
        <v>86</v>
      </c>
      <c r="R37" s="10" t="s">
        <v>93</v>
      </c>
      <c r="AC37" s="1213" t="str">
        <f t="shared" si="0"/>
        <v/>
      </c>
      <c r="AD37" s="1204" t="str">
        <f t="shared" si="1"/>
        <v/>
      </c>
      <c r="AE37" s="1205" t="str">
        <f t="shared" si="2"/>
        <v/>
      </c>
      <c r="AF37" s="1206"/>
      <c r="AG37" s="1207"/>
    </row>
    <row r="38" spans="1:33" ht="12.75" customHeight="1" thickBot="1" x14ac:dyDescent="0.25">
      <c r="Q38" s="8" t="s">
        <v>87</v>
      </c>
      <c r="R38" s="11" t="s">
        <v>94</v>
      </c>
      <c r="AC38" s="1213" t="str">
        <f t="shared" si="0"/>
        <v/>
      </c>
      <c r="AD38" s="1204" t="str">
        <f t="shared" si="1"/>
        <v/>
      </c>
      <c r="AE38" s="1205" t="str">
        <f t="shared" si="2"/>
        <v/>
      </c>
      <c r="AF38" s="1206"/>
      <c r="AG38" s="1207"/>
    </row>
    <row r="39" spans="1:33" ht="12.75" customHeight="1" thickBot="1" x14ac:dyDescent="0.25">
      <c r="AC39" s="1213" t="str">
        <f t="shared" si="0"/>
        <v/>
      </c>
      <c r="AD39" s="1204" t="str">
        <f t="shared" si="1"/>
        <v/>
      </c>
      <c r="AE39" s="1205" t="str">
        <f t="shared" si="2"/>
        <v/>
      </c>
      <c r="AF39" s="1206"/>
      <c r="AG39" s="1207"/>
    </row>
    <row r="40" spans="1:33" ht="12.75" customHeight="1" x14ac:dyDescent="0.2">
      <c r="Q40" s="6" t="s">
        <v>83</v>
      </c>
      <c r="R40" s="9" t="s">
        <v>809</v>
      </c>
      <c r="AC40" s="1213" t="str">
        <f t="shared" si="0"/>
        <v/>
      </c>
      <c r="AD40" s="1204" t="str">
        <f t="shared" si="1"/>
        <v/>
      </c>
      <c r="AE40" s="1205" t="str">
        <f t="shared" si="2"/>
        <v/>
      </c>
      <c r="AF40" s="1206"/>
      <c r="AG40" s="1207"/>
    </row>
    <row r="41" spans="1:33" ht="12.75" customHeight="1" x14ac:dyDescent="0.2">
      <c r="Q41" s="7" t="s">
        <v>84</v>
      </c>
      <c r="R41" s="10" t="s">
        <v>103</v>
      </c>
      <c r="AC41" s="1213" t="str">
        <f t="shared" si="0"/>
        <v/>
      </c>
      <c r="AD41" s="1204" t="str">
        <f t="shared" si="1"/>
        <v/>
      </c>
      <c r="AE41" s="1205" t="str">
        <f t="shared" si="2"/>
        <v/>
      </c>
      <c r="AF41" s="1206"/>
      <c r="AG41" s="1207"/>
    </row>
    <row r="42" spans="1:33" ht="12.75" customHeight="1" x14ac:dyDescent="0.2">
      <c r="Q42" s="7" t="s">
        <v>85</v>
      </c>
      <c r="R42" s="10" t="s">
        <v>104</v>
      </c>
      <c r="AC42" s="1213" t="str">
        <f t="shared" si="0"/>
        <v/>
      </c>
      <c r="AD42" s="1204" t="str">
        <f t="shared" si="1"/>
        <v/>
      </c>
      <c r="AE42" s="1205" t="str">
        <f t="shared" si="2"/>
        <v/>
      </c>
      <c r="AF42" s="1206"/>
      <c r="AG42" s="1207"/>
    </row>
    <row r="43" spans="1:33" ht="12.75" customHeight="1" x14ac:dyDescent="0.2">
      <c r="Q43" s="7" t="s">
        <v>86</v>
      </c>
      <c r="R43" s="10" t="s">
        <v>105</v>
      </c>
      <c r="AC43" s="1213" t="str">
        <f t="shared" si="0"/>
        <v/>
      </c>
      <c r="AD43" s="1204" t="str">
        <f t="shared" si="1"/>
        <v/>
      </c>
      <c r="AE43" s="1205" t="str">
        <f t="shared" si="2"/>
        <v/>
      </c>
      <c r="AF43" s="1206"/>
      <c r="AG43" s="1207"/>
    </row>
    <row r="44" spans="1:33" ht="12.75" customHeight="1" thickBot="1" x14ac:dyDescent="0.25">
      <c r="Q44" s="8" t="s">
        <v>87</v>
      </c>
      <c r="R44" s="11" t="s">
        <v>106</v>
      </c>
      <c r="AC44" s="1213" t="str">
        <f t="shared" si="0"/>
        <v/>
      </c>
      <c r="AD44" s="1204" t="str">
        <f t="shared" si="1"/>
        <v/>
      </c>
      <c r="AE44" s="1205" t="str">
        <f t="shared" si="2"/>
        <v/>
      </c>
      <c r="AF44" s="1206"/>
      <c r="AG44" s="1207"/>
    </row>
    <row r="45" spans="1:33" ht="12.75" customHeight="1" thickBot="1" x14ac:dyDescent="0.25">
      <c r="AC45" s="1213" t="str">
        <f t="shared" si="0"/>
        <v/>
      </c>
      <c r="AD45" s="1204" t="str">
        <f t="shared" si="1"/>
        <v/>
      </c>
      <c r="AE45" s="1205" t="str">
        <f t="shared" si="2"/>
        <v/>
      </c>
      <c r="AF45" s="1206"/>
      <c r="AG45" s="1207"/>
    </row>
    <row r="46" spans="1:33" ht="12.75" customHeight="1" x14ac:dyDescent="0.2">
      <c r="Q46" s="6" t="s">
        <v>83</v>
      </c>
      <c r="R46" s="9" t="s">
        <v>958</v>
      </c>
      <c r="AC46" s="1213" t="str">
        <f t="shared" si="0"/>
        <v/>
      </c>
      <c r="AD46" s="1204" t="str">
        <f t="shared" si="1"/>
        <v/>
      </c>
      <c r="AE46" s="1205" t="str">
        <f t="shared" si="2"/>
        <v/>
      </c>
      <c r="AF46" s="1206"/>
      <c r="AG46" s="1207"/>
    </row>
    <row r="47" spans="1:33" ht="12.75" customHeight="1" x14ac:dyDescent="0.2">
      <c r="Q47" s="7" t="s">
        <v>84</v>
      </c>
      <c r="R47" s="10" t="s">
        <v>99</v>
      </c>
      <c r="AC47" s="1213" t="str">
        <f t="shared" si="0"/>
        <v/>
      </c>
      <c r="AD47" s="1204" t="str">
        <f t="shared" si="1"/>
        <v/>
      </c>
      <c r="AE47" s="1205" t="str">
        <f t="shared" si="2"/>
        <v/>
      </c>
      <c r="AF47" s="1206"/>
      <c r="AG47" s="1207"/>
    </row>
    <row r="48" spans="1:33" ht="12.75" customHeight="1" x14ac:dyDescent="0.2">
      <c r="Q48" s="7" t="s">
        <v>85</v>
      </c>
      <c r="R48" s="10" t="s">
        <v>100</v>
      </c>
      <c r="AC48" s="1213" t="str">
        <f t="shared" si="0"/>
        <v/>
      </c>
      <c r="AD48" s="1204" t="str">
        <f t="shared" si="1"/>
        <v/>
      </c>
      <c r="AE48" s="1205" t="str">
        <f t="shared" si="2"/>
        <v/>
      </c>
      <c r="AF48" s="1206"/>
      <c r="AG48" s="1207"/>
    </row>
    <row r="49" spans="1:33" ht="12.75" customHeight="1" x14ac:dyDescent="0.2">
      <c r="Q49" s="7" t="s">
        <v>86</v>
      </c>
      <c r="R49" s="10" t="s">
        <v>101</v>
      </c>
      <c r="AC49" s="1213" t="str">
        <f t="shared" si="0"/>
        <v/>
      </c>
      <c r="AD49" s="1204" t="str">
        <f t="shared" si="1"/>
        <v/>
      </c>
      <c r="AE49" s="1205" t="str">
        <f t="shared" si="2"/>
        <v/>
      </c>
      <c r="AF49" s="1206"/>
      <c r="AG49" s="1207"/>
    </row>
    <row r="50" spans="1:33" ht="12.75" customHeight="1" thickBot="1" x14ac:dyDescent="0.25">
      <c r="Q50" s="8" t="s">
        <v>87</v>
      </c>
      <c r="R50" s="11" t="s">
        <v>102</v>
      </c>
      <c r="AC50" s="1213" t="str">
        <f t="shared" si="0"/>
        <v/>
      </c>
      <c r="AD50" s="1204" t="str">
        <f t="shared" si="1"/>
        <v/>
      </c>
      <c r="AE50" s="1205" t="str">
        <f t="shared" si="2"/>
        <v/>
      </c>
      <c r="AF50" s="1206"/>
      <c r="AG50" s="1207"/>
    </row>
    <row r="51" spans="1:33" ht="12.75" customHeight="1" thickBot="1" x14ac:dyDescent="0.25">
      <c r="AC51" s="1213" t="str">
        <f t="shared" si="0"/>
        <v/>
      </c>
      <c r="AD51" s="1204" t="str">
        <f t="shared" si="1"/>
        <v/>
      </c>
      <c r="AE51" s="1205" t="str">
        <f t="shared" si="2"/>
        <v/>
      </c>
      <c r="AF51" s="1206"/>
      <c r="AG51" s="1207"/>
    </row>
    <row r="52" spans="1:33" ht="12.75" customHeight="1" x14ac:dyDescent="0.2">
      <c r="Q52" s="6" t="s">
        <v>83</v>
      </c>
      <c r="R52" s="9" t="s">
        <v>959</v>
      </c>
      <c r="AC52" s="1213" t="str">
        <f t="shared" si="0"/>
        <v/>
      </c>
      <c r="AD52" s="1204" t="str">
        <f t="shared" si="1"/>
        <v/>
      </c>
      <c r="AE52" s="1205" t="str">
        <f t="shared" si="2"/>
        <v/>
      </c>
      <c r="AF52" s="1206"/>
      <c r="AG52" s="1207"/>
    </row>
    <row r="53" spans="1:33" ht="12.75" customHeight="1" x14ac:dyDescent="0.2">
      <c r="Q53" s="7" t="s">
        <v>84</v>
      </c>
      <c r="R53" s="10" t="s">
        <v>962</v>
      </c>
      <c r="AC53" s="1213" t="str">
        <f t="shared" si="0"/>
        <v/>
      </c>
      <c r="AD53" s="1204" t="str">
        <f t="shared" si="1"/>
        <v/>
      </c>
      <c r="AE53" s="1205" t="str">
        <f t="shared" si="2"/>
        <v/>
      </c>
      <c r="AF53" s="1206"/>
      <c r="AG53" s="1207"/>
    </row>
    <row r="54" spans="1:33" ht="12.75" customHeight="1" x14ac:dyDescent="0.2">
      <c r="Q54" s="7" t="s">
        <v>85</v>
      </c>
      <c r="R54" s="10" t="s">
        <v>693</v>
      </c>
      <c r="AC54" s="1213" t="str">
        <f t="shared" si="0"/>
        <v/>
      </c>
      <c r="AD54" s="1204" t="str">
        <f t="shared" si="1"/>
        <v/>
      </c>
      <c r="AE54" s="1205" t="str">
        <f t="shared" si="2"/>
        <v/>
      </c>
      <c r="AF54" s="1206"/>
      <c r="AG54" s="1207"/>
    </row>
    <row r="55" spans="1:33" ht="12.75" customHeight="1" x14ac:dyDescent="0.2">
      <c r="Q55" s="7" t="s">
        <v>86</v>
      </c>
      <c r="R55" s="10" t="s">
        <v>694</v>
      </c>
      <c r="AC55" s="1213" t="str">
        <f t="shared" si="0"/>
        <v/>
      </c>
      <c r="AD55" s="1204" t="str">
        <f t="shared" si="1"/>
        <v/>
      </c>
      <c r="AE55" s="1205" t="str">
        <f t="shared" si="2"/>
        <v/>
      </c>
      <c r="AF55" s="1206"/>
      <c r="AG55" s="1207"/>
    </row>
    <row r="56" spans="1:33" ht="12.75" customHeight="1" thickBot="1" x14ac:dyDescent="0.25">
      <c r="Q56" s="8" t="s">
        <v>87</v>
      </c>
      <c r="R56" s="11" t="s">
        <v>690</v>
      </c>
      <c r="AC56" s="1213" t="str">
        <f t="shared" si="0"/>
        <v/>
      </c>
      <c r="AD56" s="1204" t="str">
        <f t="shared" si="1"/>
        <v/>
      </c>
      <c r="AE56" s="1205" t="str">
        <f t="shared" si="2"/>
        <v/>
      </c>
      <c r="AF56" s="1206"/>
      <c r="AG56" s="1207"/>
    </row>
    <row r="57" spans="1:33" ht="12.75" customHeight="1" thickBot="1" x14ac:dyDescent="0.25">
      <c r="AC57" s="1213" t="str">
        <f t="shared" si="0"/>
        <v/>
      </c>
      <c r="AD57" s="1204" t="str">
        <f t="shared" si="1"/>
        <v/>
      </c>
      <c r="AE57" s="1205" t="str">
        <f t="shared" si="2"/>
        <v/>
      </c>
      <c r="AF57" s="1206"/>
      <c r="AG57" s="1207"/>
    </row>
    <row r="58" spans="1:33" ht="12.75" customHeight="1" x14ac:dyDescent="0.2">
      <c r="Q58" s="6" t="s">
        <v>83</v>
      </c>
      <c r="R58" s="9" t="s">
        <v>689</v>
      </c>
      <c r="AC58" s="1213" t="str">
        <f t="shared" si="0"/>
        <v/>
      </c>
      <c r="AD58" s="1204" t="str">
        <f t="shared" si="1"/>
        <v/>
      </c>
      <c r="AE58" s="1205" t="str">
        <f t="shared" si="2"/>
        <v/>
      </c>
      <c r="AF58" s="1206"/>
      <c r="AG58" s="1207"/>
    </row>
    <row r="59" spans="1:33" ht="12.75" customHeight="1" x14ac:dyDescent="0.2">
      <c r="Q59" s="7" t="s">
        <v>84</v>
      </c>
      <c r="R59" s="10" t="s">
        <v>691</v>
      </c>
      <c r="AC59" s="1213" t="str">
        <f t="shared" si="0"/>
        <v/>
      </c>
      <c r="AD59" s="1204" t="str">
        <f t="shared" si="1"/>
        <v/>
      </c>
      <c r="AE59" s="1205" t="str">
        <f t="shared" si="2"/>
        <v/>
      </c>
      <c r="AF59" s="1206"/>
      <c r="AG59" s="1207"/>
    </row>
    <row r="60" spans="1:33" ht="12.75" customHeight="1" x14ac:dyDescent="0.2">
      <c r="Q60" s="7" t="s">
        <v>85</v>
      </c>
      <c r="R60" s="10" t="s">
        <v>692</v>
      </c>
      <c r="AC60" s="1213" t="str">
        <f t="shared" si="0"/>
        <v/>
      </c>
      <c r="AD60" s="1204" t="str">
        <f t="shared" si="1"/>
        <v/>
      </c>
      <c r="AE60" s="1205" t="str">
        <f t="shared" si="2"/>
        <v/>
      </c>
      <c r="AF60" s="1206"/>
      <c r="AG60" s="1207"/>
    </row>
    <row r="61" spans="1:33" ht="12.75" customHeight="1" x14ac:dyDescent="0.2">
      <c r="A61" s="1197" t="s">
        <v>1171</v>
      </c>
      <c r="Q61" s="7" t="s">
        <v>86</v>
      </c>
      <c r="R61" s="10" t="s">
        <v>692</v>
      </c>
      <c r="AC61" s="1213" t="str">
        <f t="shared" si="0"/>
        <v/>
      </c>
      <c r="AD61" s="1204" t="str">
        <f t="shared" si="1"/>
        <v/>
      </c>
      <c r="AE61" s="1205" t="str">
        <f t="shared" si="2"/>
        <v/>
      </c>
      <c r="AF61" s="1206"/>
      <c r="AG61" s="1207"/>
    </row>
    <row r="62" spans="1:33" ht="12.75" customHeight="1" thickBot="1" x14ac:dyDescent="0.25">
      <c r="Q62" s="8" t="s">
        <v>87</v>
      </c>
      <c r="R62" s="11" t="s">
        <v>692</v>
      </c>
      <c r="AC62" s="1213" t="str">
        <f t="shared" si="0"/>
        <v/>
      </c>
      <c r="AD62" s="1204" t="str">
        <f t="shared" si="1"/>
        <v/>
      </c>
      <c r="AE62" s="1205" t="str">
        <f t="shared" si="2"/>
        <v/>
      </c>
      <c r="AF62" s="1206"/>
      <c r="AG62" s="1207"/>
    </row>
    <row r="63" spans="1:33" ht="12.75" customHeight="1" thickBot="1" x14ac:dyDescent="0.25">
      <c r="AC63" s="1213" t="str">
        <f t="shared" si="0"/>
        <v/>
      </c>
      <c r="AD63" s="1204" t="str">
        <f t="shared" si="1"/>
        <v/>
      </c>
      <c r="AE63" s="1205" t="str">
        <f t="shared" si="2"/>
        <v/>
      </c>
      <c r="AF63" s="1206"/>
      <c r="AG63" s="1207"/>
    </row>
    <row r="64" spans="1:33" ht="12.75" customHeight="1" x14ac:dyDescent="0.2">
      <c r="Q64" s="6" t="s">
        <v>83</v>
      </c>
      <c r="R64" s="9" t="s">
        <v>680</v>
      </c>
      <c r="AC64" s="1213" t="str">
        <f t="shared" si="0"/>
        <v/>
      </c>
      <c r="AD64" s="1204" t="str">
        <f t="shared" si="1"/>
        <v/>
      </c>
      <c r="AE64" s="1205" t="str">
        <f t="shared" si="2"/>
        <v/>
      </c>
      <c r="AF64" s="1206"/>
      <c r="AG64" s="1207"/>
    </row>
    <row r="65" spans="1:33" ht="12.75" customHeight="1" x14ac:dyDescent="0.2">
      <c r="Q65" s="7" t="s">
        <v>84</v>
      </c>
      <c r="R65" s="10" t="s">
        <v>960</v>
      </c>
      <c r="AC65" s="1213" t="str">
        <f t="shared" si="0"/>
        <v/>
      </c>
      <c r="AD65" s="1204" t="str">
        <f t="shared" si="1"/>
        <v/>
      </c>
      <c r="AE65" s="1205" t="str">
        <f t="shared" si="2"/>
        <v/>
      </c>
      <c r="AF65" s="1206"/>
      <c r="AG65" s="1207"/>
    </row>
    <row r="66" spans="1:33" ht="12.75" customHeight="1" x14ac:dyDescent="0.2">
      <c r="Q66" s="7" t="s">
        <v>85</v>
      </c>
      <c r="R66" s="10" t="s">
        <v>695</v>
      </c>
      <c r="AC66" s="1213" t="str">
        <f t="shared" si="0"/>
        <v/>
      </c>
      <c r="AD66" s="1204" t="str">
        <f t="shared" si="1"/>
        <v/>
      </c>
      <c r="AE66" s="1205" t="str">
        <f t="shared" si="2"/>
        <v/>
      </c>
      <c r="AF66" s="1206"/>
      <c r="AG66" s="1207"/>
    </row>
    <row r="67" spans="1:33" ht="12.75" customHeight="1" x14ac:dyDescent="0.2">
      <c r="Q67" s="7" t="s">
        <v>86</v>
      </c>
      <c r="R67" s="10" t="s">
        <v>961</v>
      </c>
      <c r="AC67" s="1213" t="str">
        <f t="shared" ref="AC67:AC130" si="3">IF(ISBLANK(W66),"",W66)</f>
        <v/>
      </c>
      <c r="AD67" s="1204" t="str">
        <f t="shared" ref="AD67:AD130" si="4">IF(ISBLANK(V66),"",V66)</f>
        <v/>
      </c>
      <c r="AE67" s="1205" t="str">
        <f t="shared" ref="AE67:AE130" si="5">IF(ISBLANK(Z66),"",Z66)</f>
        <v/>
      </c>
      <c r="AF67" s="1206"/>
      <c r="AG67" s="1207"/>
    </row>
    <row r="68" spans="1:33" ht="12.75" customHeight="1" thickBot="1" x14ac:dyDescent="0.25">
      <c r="Q68" s="8" t="s">
        <v>87</v>
      </c>
      <c r="R68" s="11" t="s">
        <v>696</v>
      </c>
      <c r="AC68" s="1213" t="str">
        <f t="shared" si="3"/>
        <v/>
      </c>
      <c r="AD68" s="1204" t="str">
        <f t="shared" si="4"/>
        <v/>
      </c>
      <c r="AE68" s="1205" t="str">
        <f t="shared" si="5"/>
        <v/>
      </c>
      <c r="AF68" s="1206"/>
      <c r="AG68" s="1207"/>
    </row>
    <row r="69" spans="1:33" ht="12.75" customHeight="1" thickBot="1" x14ac:dyDescent="0.25">
      <c r="AC69" s="1213" t="str">
        <f t="shared" si="3"/>
        <v/>
      </c>
      <c r="AD69" s="1204" t="str">
        <f t="shared" si="4"/>
        <v/>
      </c>
      <c r="AE69" s="1205" t="str">
        <f t="shared" si="5"/>
        <v/>
      </c>
      <c r="AF69" s="1206"/>
      <c r="AG69" s="1207"/>
    </row>
    <row r="70" spans="1:33" ht="12.75" customHeight="1" x14ac:dyDescent="0.2">
      <c r="Q70" s="6" t="s">
        <v>83</v>
      </c>
      <c r="R70" s="9" t="s">
        <v>945</v>
      </c>
      <c r="AC70" s="1213" t="str">
        <f t="shared" si="3"/>
        <v/>
      </c>
      <c r="AD70" s="1204" t="str">
        <f t="shared" si="4"/>
        <v/>
      </c>
      <c r="AE70" s="1205" t="str">
        <f t="shared" si="5"/>
        <v/>
      </c>
      <c r="AF70" s="1206"/>
      <c r="AG70" s="1207"/>
    </row>
    <row r="71" spans="1:33" ht="12.75" customHeight="1" x14ac:dyDescent="0.2">
      <c r="Q71" s="7" t="s">
        <v>84</v>
      </c>
      <c r="R71" s="10" t="s">
        <v>91</v>
      </c>
      <c r="AC71" s="1213" t="str">
        <f t="shared" si="3"/>
        <v/>
      </c>
      <c r="AD71" s="1204" t="str">
        <f t="shared" si="4"/>
        <v/>
      </c>
      <c r="AE71" s="1205" t="str">
        <f t="shared" si="5"/>
        <v/>
      </c>
      <c r="AF71" s="1206"/>
      <c r="AG71" s="1207"/>
    </row>
    <row r="72" spans="1:33" ht="12.75" customHeight="1" x14ac:dyDescent="0.2">
      <c r="Q72" s="7" t="s">
        <v>85</v>
      </c>
      <c r="R72" s="10" t="s">
        <v>92</v>
      </c>
      <c r="AC72" s="1213" t="str">
        <f t="shared" si="3"/>
        <v/>
      </c>
      <c r="AD72" s="1204" t="str">
        <f t="shared" si="4"/>
        <v/>
      </c>
      <c r="AE72" s="1205" t="str">
        <f t="shared" si="5"/>
        <v/>
      </c>
      <c r="AF72" s="1206"/>
      <c r="AG72" s="1207"/>
    </row>
    <row r="73" spans="1:33" ht="12.75" customHeight="1" x14ac:dyDescent="0.2">
      <c r="Q73" s="7" t="s">
        <v>86</v>
      </c>
      <c r="R73" s="10" t="s">
        <v>93</v>
      </c>
      <c r="AC73" s="1213" t="str">
        <f t="shared" si="3"/>
        <v/>
      </c>
      <c r="AD73" s="1204" t="str">
        <f t="shared" si="4"/>
        <v/>
      </c>
      <c r="AE73" s="1205" t="str">
        <f t="shared" si="5"/>
        <v/>
      </c>
      <c r="AF73" s="1206"/>
      <c r="AG73" s="1207"/>
    </row>
    <row r="74" spans="1:33" ht="12.75" customHeight="1" thickBot="1" x14ac:dyDescent="0.25">
      <c r="Q74" s="8" t="s">
        <v>87</v>
      </c>
      <c r="R74" s="11" t="s">
        <v>94</v>
      </c>
      <c r="AC74" s="1213" t="str">
        <f t="shared" si="3"/>
        <v/>
      </c>
      <c r="AD74" s="1204" t="str">
        <f t="shared" si="4"/>
        <v/>
      </c>
      <c r="AE74" s="1205" t="str">
        <f t="shared" si="5"/>
        <v/>
      </c>
      <c r="AF74" s="1206"/>
      <c r="AG74" s="1207"/>
    </row>
    <row r="75" spans="1:33" ht="12.75" customHeight="1" thickBot="1" x14ac:dyDescent="0.25">
      <c r="AC75" s="1213" t="str">
        <f t="shared" si="3"/>
        <v/>
      </c>
      <c r="AD75" s="1204" t="str">
        <f t="shared" si="4"/>
        <v/>
      </c>
      <c r="AE75" s="1205" t="str">
        <f t="shared" si="5"/>
        <v/>
      </c>
      <c r="AF75" s="1206"/>
      <c r="AG75" s="1207"/>
    </row>
    <row r="76" spans="1:33" ht="12.75" customHeight="1" x14ac:dyDescent="0.2">
      <c r="Q76" s="6" t="s">
        <v>83</v>
      </c>
      <c r="R76" s="9" t="s">
        <v>943</v>
      </c>
      <c r="AC76" s="1213" t="str">
        <f t="shared" si="3"/>
        <v/>
      </c>
      <c r="AD76" s="1204" t="str">
        <f t="shared" si="4"/>
        <v/>
      </c>
      <c r="AE76" s="1205" t="str">
        <f t="shared" si="5"/>
        <v/>
      </c>
      <c r="AF76" s="1206"/>
      <c r="AG76" s="1207"/>
    </row>
    <row r="77" spans="1:33" ht="12.75" customHeight="1" x14ac:dyDescent="0.2">
      <c r="A77" s="32"/>
      <c r="Q77" s="7" t="s">
        <v>84</v>
      </c>
      <c r="R77" s="10" t="s">
        <v>943</v>
      </c>
      <c r="AC77" s="1213" t="str">
        <f t="shared" si="3"/>
        <v/>
      </c>
      <c r="AD77" s="1204" t="str">
        <f t="shared" si="4"/>
        <v/>
      </c>
      <c r="AE77" s="1205" t="str">
        <f t="shared" si="5"/>
        <v/>
      </c>
      <c r="AF77" s="1206"/>
      <c r="AG77" s="1207"/>
    </row>
    <row r="78" spans="1:33" ht="12.75" customHeight="1" x14ac:dyDescent="0.2">
      <c r="Q78" s="7" t="s">
        <v>85</v>
      </c>
      <c r="R78" s="10" t="s">
        <v>943</v>
      </c>
      <c r="AC78" s="1213" t="str">
        <f t="shared" si="3"/>
        <v/>
      </c>
      <c r="AD78" s="1204" t="str">
        <f t="shared" si="4"/>
        <v/>
      </c>
      <c r="AE78" s="1205" t="str">
        <f t="shared" si="5"/>
        <v/>
      </c>
      <c r="AF78" s="1206"/>
      <c r="AG78" s="1207"/>
    </row>
    <row r="79" spans="1:33" ht="12.75" customHeight="1" x14ac:dyDescent="0.2">
      <c r="Q79" s="7" t="s">
        <v>86</v>
      </c>
      <c r="R79" s="10" t="s">
        <v>943</v>
      </c>
      <c r="AC79" s="1213" t="str">
        <f t="shared" si="3"/>
        <v/>
      </c>
      <c r="AD79" s="1204" t="str">
        <f t="shared" si="4"/>
        <v/>
      </c>
      <c r="AE79" s="1205" t="str">
        <f t="shared" si="5"/>
        <v/>
      </c>
      <c r="AF79" s="1206"/>
      <c r="AG79" s="1207"/>
    </row>
    <row r="80" spans="1:33" ht="12.75" customHeight="1" thickBot="1" x14ac:dyDescent="0.25">
      <c r="Q80" s="8" t="s">
        <v>87</v>
      </c>
      <c r="R80" s="11">
        <v>8</v>
      </c>
      <c r="AC80" s="1213" t="str">
        <f t="shared" si="3"/>
        <v/>
      </c>
      <c r="AD80" s="1204" t="str">
        <f t="shared" si="4"/>
        <v/>
      </c>
      <c r="AE80" s="1205" t="str">
        <f t="shared" si="5"/>
        <v/>
      </c>
      <c r="AF80" s="1206"/>
      <c r="AG80" s="1207"/>
    </row>
    <row r="81" spans="17:33" ht="12.75" customHeight="1" thickBot="1" x14ac:dyDescent="0.25">
      <c r="AC81" s="1213" t="str">
        <f t="shared" si="3"/>
        <v/>
      </c>
      <c r="AD81" s="1204" t="str">
        <f t="shared" si="4"/>
        <v/>
      </c>
      <c r="AE81" s="1205" t="str">
        <f t="shared" si="5"/>
        <v/>
      </c>
      <c r="AF81" s="1206"/>
      <c r="AG81" s="1207"/>
    </row>
    <row r="82" spans="17:33" ht="12.75" customHeight="1" x14ac:dyDescent="0.2">
      <c r="Q82" s="6" t="s">
        <v>83</v>
      </c>
      <c r="R82" s="9" t="s">
        <v>944</v>
      </c>
      <c r="AC82" s="1213" t="str">
        <f t="shared" si="3"/>
        <v/>
      </c>
      <c r="AD82" s="1204" t="str">
        <f t="shared" si="4"/>
        <v/>
      </c>
      <c r="AE82" s="1205" t="str">
        <f t="shared" si="5"/>
        <v/>
      </c>
      <c r="AF82" s="1206"/>
      <c r="AG82" s="1207"/>
    </row>
    <row r="83" spans="17:33" ht="12.75" customHeight="1" x14ac:dyDescent="0.2">
      <c r="Q83" s="7" t="s">
        <v>84</v>
      </c>
      <c r="R83" s="10" t="s">
        <v>944</v>
      </c>
      <c r="AC83" s="1213" t="str">
        <f t="shared" si="3"/>
        <v/>
      </c>
      <c r="AD83" s="1204" t="str">
        <f t="shared" si="4"/>
        <v/>
      </c>
      <c r="AE83" s="1205" t="str">
        <f t="shared" si="5"/>
        <v/>
      </c>
      <c r="AF83" s="1206"/>
      <c r="AG83" s="1207"/>
    </row>
    <row r="84" spans="17:33" ht="12.75" customHeight="1" x14ac:dyDescent="0.2">
      <c r="Q84" s="7" t="s">
        <v>85</v>
      </c>
      <c r="R84" s="10" t="s">
        <v>944</v>
      </c>
      <c r="AC84" s="1213" t="str">
        <f t="shared" si="3"/>
        <v/>
      </c>
      <c r="AD84" s="1204" t="str">
        <f t="shared" si="4"/>
        <v/>
      </c>
      <c r="AE84" s="1205" t="str">
        <f t="shared" si="5"/>
        <v/>
      </c>
      <c r="AF84" s="1206"/>
      <c r="AG84" s="1207"/>
    </row>
    <row r="85" spans="17:33" ht="12.75" customHeight="1" x14ac:dyDescent="0.2">
      <c r="Q85" s="7" t="s">
        <v>86</v>
      </c>
      <c r="R85" s="10" t="s">
        <v>944</v>
      </c>
      <c r="AC85" s="1213" t="str">
        <f t="shared" si="3"/>
        <v/>
      </c>
      <c r="AD85" s="1204" t="str">
        <f t="shared" si="4"/>
        <v/>
      </c>
      <c r="AE85" s="1205" t="str">
        <f t="shared" si="5"/>
        <v/>
      </c>
      <c r="AF85" s="1206"/>
      <c r="AG85" s="1207"/>
    </row>
    <row r="86" spans="17:33" ht="12.75" customHeight="1" thickBot="1" x14ac:dyDescent="0.25">
      <c r="Q86" s="8" t="s">
        <v>87</v>
      </c>
      <c r="R86" s="11">
        <v>9</v>
      </c>
      <c r="AC86" s="1213" t="str">
        <f t="shared" si="3"/>
        <v/>
      </c>
      <c r="AD86" s="1204" t="str">
        <f t="shared" si="4"/>
        <v/>
      </c>
      <c r="AE86" s="1205" t="str">
        <f t="shared" si="5"/>
        <v/>
      </c>
      <c r="AF86" s="1206"/>
      <c r="AG86" s="1207"/>
    </row>
    <row r="87" spans="17:33" ht="12.75" customHeight="1" x14ac:dyDescent="0.2">
      <c r="AC87" s="1213" t="str">
        <f t="shared" si="3"/>
        <v/>
      </c>
      <c r="AD87" s="1204" t="str">
        <f t="shared" si="4"/>
        <v/>
      </c>
      <c r="AE87" s="1205" t="str">
        <f t="shared" si="5"/>
        <v/>
      </c>
      <c r="AF87" s="1206"/>
      <c r="AG87" s="1207"/>
    </row>
    <row r="88" spans="17:33" ht="12.75" customHeight="1" x14ac:dyDescent="0.2">
      <c r="AC88" s="1213" t="str">
        <f t="shared" si="3"/>
        <v/>
      </c>
      <c r="AD88" s="1204" t="str">
        <f t="shared" si="4"/>
        <v/>
      </c>
      <c r="AE88" s="1205" t="str">
        <f t="shared" si="5"/>
        <v/>
      </c>
      <c r="AF88" s="1206"/>
      <c r="AG88" s="1207"/>
    </row>
    <row r="89" spans="17:33" ht="12.75" customHeight="1" x14ac:dyDescent="0.2">
      <c r="AC89" s="1213" t="str">
        <f t="shared" si="3"/>
        <v/>
      </c>
      <c r="AD89" s="1204" t="str">
        <f t="shared" si="4"/>
        <v/>
      </c>
      <c r="AE89" s="1205" t="str">
        <f t="shared" si="5"/>
        <v/>
      </c>
      <c r="AF89" s="1206"/>
      <c r="AG89" s="1207"/>
    </row>
    <row r="90" spans="17:33" ht="12.75" customHeight="1" x14ac:dyDescent="0.2">
      <c r="AC90" s="1213" t="str">
        <f t="shared" si="3"/>
        <v/>
      </c>
      <c r="AD90" s="1204" t="str">
        <f t="shared" si="4"/>
        <v/>
      </c>
      <c r="AE90" s="1205" t="str">
        <f t="shared" si="5"/>
        <v/>
      </c>
      <c r="AF90" s="1206"/>
      <c r="AG90" s="1207"/>
    </row>
    <row r="91" spans="17:33" ht="12.75" customHeight="1" x14ac:dyDescent="0.2">
      <c r="AC91" s="1213" t="str">
        <f t="shared" si="3"/>
        <v/>
      </c>
      <c r="AD91" s="1204" t="str">
        <f t="shared" si="4"/>
        <v/>
      </c>
      <c r="AE91" s="1205" t="str">
        <f t="shared" si="5"/>
        <v/>
      </c>
      <c r="AF91" s="1206"/>
      <c r="AG91" s="1207"/>
    </row>
    <row r="92" spans="17:33" ht="12.75" customHeight="1" x14ac:dyDescent="0.2">
      <c r="AC92" s="1213" t="str">
        <f t="shared" si="3"/>
        <v/>
      </c>
      <c r="AD92" s="1204" t="str">
        <f t="shared" si="4"/>
        <v/>
      </c>
      <c r="AE92" s="1205" t="str">
        <f t="shared" si="5"/>
        <v/>
      </c>
      <c r="AF92" s="1206"/>
      <c r="AG92" s="1207"/>
    </row>
    <row r="93" spans="17:33" ht="12.75" customHeight="1" x14ac:dyDescent="0.2">
      <c r="AC93" s="1213" t="str">
        <f t="shared" si="3"/>
        <v/>
      </c>
      <c r="AD93" s="1204" t="str">
        <f t="shared" si="4"/>
        <v/>
      </c>
      <c r="AE93" s="1205" t="str">
        <f t="shared" si="5"/>
        <v/>
      </c>
      <c r="AF93" s="1206"/>
      <c r="AG93" s="1207"/>
    </row>
    <row r="94" spans="17:33" x14ac:dyDescent="0.2">
      <c r="AC94" s="1213" t="str">
        <f t="shared" si="3"/>
        <v/>
      </c>
      <c r="AD94" s="1204" t="str">
        <f t="shared" si="4"/>
        <v/>
      </c>
      <c r="AE94" s="1205" t="str">
        <f t="shared" si="5"/>
        <v/>
      </c>
      <c r="AF94" s="1206"/>
      <c r="AG94" s="1207"/>
    </row>
    <row r="95" spans="17:33" x14ac:dyDescent="0.2">
      <c r="AC95" s="1213" t="str">
        <f t="shared" si="3"/>
        <v/>
      </c>
      <c r="AD95" s="1204" t="str">
        <f t="shared" si="4"/>
        <v/>
      </c>
      <c r="AE95" s="1205" t="str">
        <f t="shared" si="5"/>
        <v/>
      </c>
      <c r="AF95" s="1206"/>
      <c r="AG95" s="1207"/>
    </row>
    <row r="96" spans="17:33" x14ac:dyDescent="0.2">
      <c r="AC96" s="1213" t="str">
        <f t="shared" si="3"/>
        <v/>
      </c>
      <c r="AD96" s="1204" t="str">
        <f t="shared" si="4"/>
        <v/>
      </c>
      <c r="AE96" s="1205" t="str">
        <f t="shared" si="5"/>
        <v/>
      </c>
      <c r="AF96" s="1206"/>
      <c r="AG96" s="1207"/>
    </row>
    <row r="97" spans="29:33" x14ac:dyDescent="0.2">
      <c r="AC97" s="1213" t="str">
        <f t="shared" si="3"/>
        <v/>
      </c>
      <c r="AD97" s="1204" t="str">
        <f t="shared" si="4"/>
        <v/>
      </c>
      <c r="AE97" s="1205" t="str">
        <f t="shared" si="5"/>
        <v/>
      </c>
      <c r="AF97" s="1206"/>
      <c r="AG97" s="1207"/>
    </row>
    <row r="98" spans="29:33" x14ac:dyDescent="0.2">
      <c r="AC98" s="1213" t="str">
        <f t="shared" si="3"/>
        <v/>
      </c>
      <c r="AD98" s="1204" t="str">
        <f t="shared" si="4"/>
        <v/>
      </c>
      <c r="AE98" s="1205" t="str">
        <f t="shared" si="5"/>
        <v/>
      </c>
      <c r="AF98" s="1206"/>
      <c r="AG98" s="1207"/>
    </row>
    <row r="99" spans="29:33" x14ac:dyDescent="0.2">
      <c r="AC99" s="1213" t="str">
        <f t="shared" si="3"/>
        <v/>
      </c>
      <c r="AD99" s="1204" t="str">
        <f t="shared" si="4"/>
        <v/>
      </c>
      <c r="AE99" s="1205" t="str">
        <f t="shared" si="5"/>
        <v/>
      </c>
      <c r="AF99" s="1206"/>
      <c r="AG99" s="1207"/>
    </row>
    <row r="100" spans="29:33" x14ac:dyDescent="0.2">
      <c r="AC100" s="1213" t="str">
        <f t="shared" si="3"/>
        <v/>
      </c>
      <c r="AD100" s="1204" t="str">
        <f t="shared" si="4"/>
        <v/>
      </c>
      <c r="AE100" s="1205" t="str">
        <f t="shared" si="5"/>
        <v/>
      </c>
      <c r="AF100" s="1206"/>
      <c r="AG100" s="1207"/>
    </row>
    <row r="101" spans="29:33" x14ac:dyDescent="0.2">
      <c r="AC101" s="1213" t="str">
        <f t="shared" si="3"/>
        <v/>
      </c>
      <c r="AD101" s="1204" t="str">
        <f t="shared" si="4"/>
        <v/>
      </c>
      <c r="AE101" s="1205" t="str">
        <f t="shared" si="5"/>
        <v/>
      </c>
      <c r="AF101" s="1206"/>
      <c r="AG101" s="1207"/>
    </row>
    <row r="102" spans="29:33" x14ac:dyDescent="0.2">
      <c r="AC102" s="1213" t="str">
        <f t="shared" si="3"/>
        <v/>
      </c>
      <c r="AD102" s="1204" t="str">
        <f t="shared" si="4"/>
        <v/>
      </c>
      <c r="AE102" s="1205" t="str">
        <f t="shared" si="5"/>
        <v/>
      </c>
      <c r="AF102" s="1206"/>
      <c r="AG102" s="1207"/>
    </row>
    <row r="103" spans="29:33" x14ac:dyDescent="0.2">
      <c r="AC103" s="1213" t="str">
        <f t="shared" si="3"/>
        <v/>
      </c>
      <c r="AD103" s="1204" t="str">
        <f t="shared" si="4"/>
        <v/>
      </c>
      <c r="AE103" s="1205" t="str">
        <f t="shared" si="5"/>
        <v/>
      </c>
      <c r="AF103" s="1206"/>
      <c r="AG103" s="1207"/>
    </row>
    <row r="104" spans="29:33" x14ac:dyDescent="0.2">
      <c r="AC104" s="1213" t="str">
        <f t="shared" si="3"/>
        <v/>
      </c>
      <c r="AD104" s="1204" t="str">
        <f t="shared" si="4"/>
        <v/>
      </c>
      <c r="AE104" s="1205" t="str">
        <f t="shared" si="5"/>
        <v/>
      </c>
      <c r="AF104" s="1206"/>
      <c r="AG104" s="1207"/>
    </row>
    <row r="105" spans="29:33" x14ac:dyDescent="0.2">
      <c r="AC105" s="1213" t="str">
        <f t="shared" si="3"/>
        <v/>
      </c>
      <c r="AD105" s="1204" t="str">
        <f t="shared" si="4"/>
        <v/>
      </c>
      <c r="AE105" s="1205" t="str">
        <f t="shared" si="5"/>
        <v/>
      </c>
      <c r="AF105" s="1206"/>
      <c r="AG105" s="1207"/>
    </row>
    <row r="106" spans="29:33" x14ac:dyDescent="0.2">
      <c r="AC106" s="1213" t="str">
        <f t="shared" si="3"/>
        <v/>
      </c>
      <c r="AD106" s="1204" t="str">
        <f t="shared" si="4"/>
        <v/>
      </c>
      <c r="AE106" s="1205" t="str">
        <f t="shared" si="5"/>
        <v/>
      </c>
      <c r="AF106" s="1206"/>
      <c r="AG106" s="1207"/>
    </row>
    <row r="107" spans="29:33" x14ac:dyDescent="0.2">
      <c r="AC107" s="1213" t="str">
        <f t="shared" si="3"/>
        <v/>
      </c>
      <c r="AD107" s="1204" t="str">
        <f t="shared" si="4"/>
        <v/>
      </c>
      <c r="AE107" s="1205" t="str">
        <f t="shared" si="5"/>
        <v/>
      </c>
      <c r="AF107" s="1206"/>
      <c r="AG107" s="1207"/>
    </row>
    <row r="108" spans="29:33" x14ac:dyDescent="0.2">
      <c r="AC108" s="1213" t="str">
        <f t="shared" si="3"/>
        <v/>
      </c>
      <c r="AD108" s="1204" t="str">
        <f t="shared" si="4"/>
        <v/>
      </c>
      <c r="AE108" s="1205" t="str">
        <f t="shared" si="5"/>
        <v/>
      </c>
      <c r="AF108" s="1206"/>
      <c r="AG108" s="1207"/>
    </row>
    <row r="109" spans="29:33" x14ac:dyDescent="0.2">
      <c r="AC109" s="1213" t="str">
        <f t="shared" si="3"/>
        <v/>
      </c>
      <c r="AD109" s="1204" t="str">
        <f t="shared" si="4"/>
        <v/>
      </c>
      <c r="AE109" s="1205" t="str">
        <f t="shared" si="5"/>
        <v/>
      </c>
      <c r="AF109" s="1206"/>
      <c r="AG109" s="1207"/>
    </row>
    <row r="110" spans="29:33" x14ac:dyDescent="0.2">
      <c r="AC110" s="1213" t="str">
        <f t="shared" si="3"/>
        <v/>
      </c>
      <c r="AD110" s="1204" t="str">
        <f t="shared" si="4"/>
        <v/>
      </c>
      <c r="AE110" s="1205" t="str">
        <f t="shared" si="5"/>
        <v/>
      </c>
      <c r="AF110" s="1206"/>
      <c r="AG110" s="1207"/>
    </row>
    <row r="111" spans="29:33" x14ac:dyDescent="0.2">
      <c r="AC111" s="1213" t="str">
        <f t="shared" si="3"/>
        <v/>
      </c>
      <c r="AD111" s="1204" t="str">
        <f t="shared" si="4"/>
        <v/>
      </c>
      <c r="AE111" s="1205" t="str">
        <f t="shared" si="5"/>
        <v/>
      </c>
      <c r="AF111" s="1206"/>
      <c r="AG111" s="1207"/>
    </row>
    <row r="112" spans="29:33" x14ac:dyDescent="0.2">
      <c r="AC112" s="1213" t="str">
        <f t="shared" si="3"/>
        <v/>
      </c>
      <c r="AD112" s="1204" t="str">
        <f t="shared" si="4"/>
        <v/>
      </c>
      <c r="AE112" s="1205" t="str">
        <f t="shared" si="5"/>
        <v/>
      </c>
      <c r="AF112" s="1206"/>
      <c r="AG112" s="1207"/>
    </row>
    <row r="113" spans="29:33" x14ac:dyDescent="0.2">
      <c r="AC113" s="1213" t="str">
        <f t="shared" si="3"/>
        <v/>
      </c>
      <c r="AD113" s="1204" t="str">
        <f t="shared" si="4"/>
        <v/>
      </c>
      <c r="AE113" s="1205" t="str">
        <f t="shared" si="5"/>
        <v/>
      </c>
      <c r="AF113" s="1206"/>
      <c r="AG113" s="1207"/>
    </row>
    <row r="114" spans="29:33" x14ac:dyDescent="0.2">
      <c r="AC114" s="1213" t="str">
        <f t="shared" si="3"/>
        <v/>
      </c>
      <c r="AD114" s="1204" t="str">
        <f t="shared" si="4"/>
        <v/>
      </c>
      <c r="AE114" s="1205" t="str">
        <f t="shared" si="5"/>
        <v/>
      </c>
      <c r="AF114" s="1206"/>
      <c r="AG114" s="1207"/>
    </row>
    <row r="115" spans="29:33" x14ac:dyDescent="0.2">
      <c r="AC115" s="1213" t="str">
        <f t="shared" si="3"/>
        <v/>
      </c>
      <c r="AD115" s="1204" t="str">
        <f t="shared" si="4"/>
        <v/>
      </c>
      <c r="AE115" s="1205" t="str">
        <f t="shared" si="5"/>
        <v/>
      </c>
      <c r="AF115" s="1206"/>
      <c r="AG115" s="1207"/>
    </row>
    <row r="116" spans="29:33" x14ac:dyDescent="0.2">
      <c r="AC116" s="1213" t="str">
        <f t="shared" si="3"/>
        <v/>
      </c>
      <c r="AD116" s="1204" t="str">
        <f t="shared" si="4"/>
        <v/>
      </c>
      <c r="AE116" s="1205" t="str">
        <f t="shared" si="5"/>
        <v/>
      </c>
      <c r="AF116" s="1206"/>
      <c r="AG116" s="1207"/>
    </row>
    <row r="117" spans="29:33" x14ac:dyDescent="0.2">
      <c r="AC117" s="1213" t="str">
        <f t="shared" si="3"/>
        <v/>
      </c>
      <c r="AD117" s="1204" t="str">
        <f t="shared" si="4"/>
        <v/>
      </c>
      <c r="AE117" s="1205" t="str">
        <f t="shared" si="5"/>
        <v/>
      </c>
      <c r="AF117" s="1206"/>
      <c r="AG117" s="1207"/>
    </row>
    <row r="118" spans="29:33" x14ac:dyDescent="0.2">
      <c r="AC118" s="1213" t="str">
        <f t="shared" si="3"/>
        <v/>
      </c>
      <c r="AD118" s="1204" t="str">
        <f t="shared" si="4"/>
        <v/>
      </c>
      <c r="AE118" s="1205" t="str">
        <f t="shared" si="5"/>
        <v/>
      </c>
      <c r="AF118" s="1206"/>
      <c r="AG118" s="1207"/>
    </row>
    <row r="119" spans="29:33" x14ac:dyDescent="0.2">
      <c r="AC119" s="1213" t="str">
        <f t="shared" si="3"/>
        <v/>
      </c>
      <c r="AD119" s="1204" t="str">
        <f t="shared" si="4"/>
        <v/>
      </c>
      <c r="AE119" s="1205" t="str">
        <f t="shared" si="5"/>
        <v/>
      </c>
      <c r="AF119" s="1206"/>
      <c r="AG119" s="1207"/>
    </row>
    <row r="120" spans="29:33" x14ac:dyDescent="0.2">
      <c r="AC120" s="1213" t="str">
        <f t="shared" si="3"/>
        <v/>
      </c>
      <c r="AD120" s="1204" t="str">
        <f t="shared" si="4"/>
        <v/>
      </c>
      <c r="AE120" s="1205" t="str">
        <f t="shared" si="5"/>
        <v/>
      </c>
      <c r="AF120" s="1206"/>
      <c r="AG120" s="1207"/>
    </row>
    <row r="121" spans="29:33" x14ac:dyDescent="0.2">
      <c r="AC121" s="1213" t="str">
        <f t="shared" si="3"/>
        <v/>
      </c>
      <c r="AD121" s="1204" t="str">
        <f t="shared" si="4"/>
        <v/>
      </c>
      <c r="AE121" s="1205" t="str">
        <f t="shared" si="5"/>
        <v/>
      </c>
      <c r="AF121" s="1206"/>
      <c r="AG121" s="1207"/>
    </row>
    <row r="122" spans="29:33" x14ac:dyDescent="0.2">
      <c r="AC122" s="1213" t="str">
        <f t="shared" si="3"/>
        <v/>
      </c>
      <c r="AD122" s="1204" t="str">
        <f t="shared" si="4"/>
        <v/>
      </c>
      <c r="AE122" s="1205" t="str">
        <f t="shared" si="5"/>
        <v/>
      </c>
      <c r="AF122" s="1206"/>
      <c r="AG122" s="1207"/>
    </row>
    <row r="123" spans="29:33" x14ac:dyDescent="0.2">
      <c r="AC123" s="1213" t="str">
        <f t="shared" si="3"/>
        <v/>
      </c>
      <c r="AD123" s="1204" t="str">
        <f t="shared" si="4"/>
        <v/>
      </c>
      <c r="AE123" s="1205" t="str">
        <f t="shared" si="5"/>
        <v/>
      </c>
      <c r="AF123" s="1206"/>
      <c r="AG123" s="1207"/>
    </row>
    <row r="124" spans="29:33" x14ac:dyDescent="0.2">
      <c r="AC124" s="1213" t="str">
        <f t="shared" si="3"/>
        <v/>
      </c>
      <c r="AD124" s="1204" t="str">
        <f t="shared" si="4"/>
        <v/>
      </c>
      <c r="AE124" s="1205" t="str">
        <f t="shared" si="5"/>
        <v/>
      </c>
      <c r="AF124" s="1206"/>
      <c r="AG124" s="1207"/>
    </row>
    <row r="125" spans="29:33" x14ac:dyDescent="0.2">
      <c r="AC125" s="1213" t="str">
        <f t="shared" si="3"/>
        <v/>
      </c>
      <c r="AD125" s="1204" t="str">
        <f t="shared" si="4"/>
        <v/>
      </c>
      <c r="AE125" s="1205" t="str">
        <f t="shared" si="5"/>
        <v/>
      </c>
      <c r="AF125" s="1206"/>
      <c r="AG125" s="1207"/>
    </row>
    <row r="126" spans="29:33" x14ac:dyDescent="0.2">
      <c r="AC126" s="1213" t="str">
        <f t="shared" si="3"/>
        <v/>
      </c>
      <c r="AD126" s="1204" t="str">
        <f t="shared" si="4"/>
        <v/>
      </c>
      <c r="AE126" s="1205" t="str">
        <f t="shared" si="5"/>
        <v/>
      </c>
      <c r="AF126" s="1206"/>
      <c r="AG126" s="1207"/>
    </row>
    <row r="127" spans="29:33" x14ac:dyDescent="0.2">
      <c r="AC127" s="1213" t="str">
        <f t="shared" si="3"/>
        <v/>
      </c>
      <c r="AD127" s="1204" t="str">
        <f t="shared" si="4"/>
        <v/>
      </c>
      <c r="AE127" s="1205" t="str">
        <f t="shared" si="5"/>
        <v/>
      </c>
      <c r="AF127" s="1206"/>
      <c r="AG127" s="1207"/>
    </row>
    <row r="128" spans="29:33" x14ac:dyDescent="0.2">
      <c r="AC128" s="1213" t="str">
        <f t="shared" si="3"/>
        <v/>
      </c>
      <c r="AD128" s="1204" t="str">
        <f t="shared" si="4"/>
        <v/>
      </c>
      <c r="AE128" s="1205" t="str">
        <f t="shared" si="5"/>
        <v/>
      </c>
      <c r="AF128" s="1206"/>
      <c r="AG128" s="1207"/>
    </row>
    <row r="129" spans="29:33" x14ac:dyDescent="0.2">
      <c r="AC129" s="1213" t="str">
        <f t="shared" si="3"/>
        <v/>
      </c>
      <c r="AD129" s="1204" t="str">
        <f t="shared" si="4"/>
        <v/>
      </c>
      <c r="AE129" s="1205" t="str">
        <f t="shared" si="5"/>
        <v/>
      </c>
      <c r="AF129" s="1206"/>
      <c r="AG129" s="1207"/>
    </row>
    <row r="130" spans="29:33" x14ac:dyDescent="0.2">
      <c r="AC130" s="1213" t="str">
        <f t="shared" si="3"/>
        <v/>
      </c>
      <c r="AD130" s="1204" t="str">
        <f t="shared" si="4"/>
        <v/>
      </c>
      <c r="AE130" s="1205" t="str">
        <f t="shared" si="5"/>
        <v/>
      </c>
      <c r="AF130" s="1206"/>
      <c r="AG130" s="1207"/>
    </row>
    <row r="131" spans="29:33" x14ac:dyDescent="0.2">
      <c r="AC131" s="1213" t="str">
        <f t="shared" ref="AC131:AC194" si="6">IF(ISBLANK(W130),"",W130)</f>
        <v/>
      </c>
      <c r="AD131" s="1204" t="str">
        <f t="shared" ref="AD131:AD194" si="7">IF(ISBLANK(V130),"",V130)</f>
        <v/>
      </c>
      <c r="AE131" s="1205" t="str">
        <f t="shared" ref="AE131:AE194" si="8">IF(ISBLANK(Z130),"",Z130)</f>
        <v/>
      </c>
      <c r="AF131" s="1206"/>
      <c r="AG131" s="1207"/>
    </row>
    <row r="132" spans="29:33" x14ac:dyDescent="0.2">
      <c r="AC132" s="1213" t="str">
        <f t="shared" si="6"/>
        <v/>
      </c>
      <c r="AD132" s="1204" t="str">
        <f t="shared" si="7"/>
        <v/>
      </c>
      <c r="AE132" s="1205" t="str">
        <f t="shared" si="8"/>
        <v/>
      </c>
      <c r="AF132" s="1206"/>
      <c r="AG132" s="1207"/>
    </row>
    <row r="133" spans="29:33" x14ac:dyDescent="0.2">
      <c r="AC133" s="1213" t="str">
        <f t="shared" si="6"/>
        <v/>
      </c>
      <c r="AD133" s="1204" t="str">
        <f t="shared" si="7"/>
        <v/>
      </c>
      <c r="AE133" s="1205" t="str">
        <f t="shared" si="8"/>
        <v/>
      </c>
      <c r="AF133" s="1206"/>
      <c r="AG133" s="1207"/>
    </row>
    <row r="134" spans="29:33" x14ac:dyDescent="0.2">
      <c r="AC134" s="1213" t="str">
        <f t="shared" si="6"/>
        <v/>
      </c>
      <c r="AD134" s="1204" t="str">
        <f t="shared" si="7"/>
        <v/>
      </c>
      <c r="AE134" s="1205" t="str">
        <f t="shared" si="8"/>
        <v/>
      </c>
      <c r="AF134" s="1206"/>
      <c r="AG134" s="1207"/>
    </row>
    <row r="135" spans="29:33" x14ac:dyDescent="0.2">
      <c r="AC135" s="1213" t="str">
        <f t="shared" si="6"/>
        <v/>
      </c>
      <c r="AD135" s="1204" t="str">
        <f t="shared" si="7"/>
        <v/>
      </c>
      <c r="AE135" s="1205" t="str">
        <f t="shared" si="8"/>
        <v/>
      </c>
      <c r="AF135" s="1206"/>
      <c r="AG135" s="1207"/>
    </row>
    <row r="136" spans="29:33" x14ac:dyDescent="0.2">
      <c r="AC136" s="1213" t="str">
        <f t="shared" si="6"/>
        <v/>
      </c>
      <c r="AD136" s="1204" t="str">
        <f t="shared" si="7"/>
        <v/>
      </c>
      <c r="AE136" s="1205" t="str">
        <f t="shared" si="8"/>
        <v/>
      </c>
      <c r="AF136" s="1206"/>
      <c r="AG136" s="1207"/>
    </row>
    <row r="137" spans="29:33" x14ac:dyDescent="0.2">
      <c r="AC137" s="1213" t="str">
        <f t="shared" si="6"/>
        <v/>
      </c>
      <c r="AD137" s="1204" t="str">
        <f t="shared" si="7"/>
        <v/>
      </c>
      <c r="AE137" s="1205" t="str">
        <f t="shared" si="8"/>
        <v/>
      </c>
      <c r="AF137" s="1206"/>
      <c r="AG137" s="1207"/>
    </row>
    <row r="138" spans="29:33" x14ac:dyDescent="0.2">
      <c r="AC138" s="1213" t="str">
        <f t="shared" si="6"/>
        <v/>
      </c>
      <c r="AD138" s="1204" t="str">
        <f t="shared" si="7"/>
        <v/>
      </c>
      <c r="AE138" s="1205" t="str">
        <f t="shared" si="8"/>
        <v/>
      </c>
      <c r="AF138" s="1206"/>
      <c r="AG138" s="1207"/>
    </row>
    <row r="139" spans="29:33" x14ac:dyDescent="0.2">
      <c r="AC139" s="1213" t="str">
        <f t="shared" si="6"/>
        <v/>
      </c>
      <c r="AD139" s="1204" t="str">
        <f t="shared" si="7"/>
        <v/>
      </c>
      <c r="AE139" s="1205" t="str">
        <f t="shared" si="8"/>
        <v/>
      </c>
      <c r="AF139" s="1206"/>
      <c r="AG139" s="1207"/>
    </row>
    <row r="140" spans="29:33" x14ac:dyDescent="0.2">
      <c r="AC140" s="1213" t="str">
        <f t="shared" si="6"/>
        <v/>
      </c>
      <c r="AD140" s="1204" t="str">
        <f t="shared" si="7"/>
        <v/>
      </c>
      <c r="AE140" s="1205" t="str">
        <f t="shared" si="8"/>
        <v/>
      </c>
      <c r="AF140" s="1206"/>
      <c r="AG140" s="1207"/>
    </row>
    <row r="141" spans="29:33" x14ac:dyDescent="0.2">
      <c r="AC141" s="1213" t="str">
        <f t="shared" si="6"/>
        <v/>
      </c>
      <c r="AD141" s="1204" t="str">
        <f t="shared" si="7"/>
        <v/>
      </c>
      <c r="AE141" s="1205" t="str">
        <f t="shared" si="8"/>
        <v/>
      </c>
      <c r="AF141" s="1206"/>
      <c r="AG141" s="1207"/>
    </row>
    <row r="142" spans="29:33" x14ac:dyDescent="0.2">
      <c r="AC142" s="1213" t="str">
        <f t="shared" si="6"/>
        <v/>
      </c>
      <c r="AD142" s="1204" t="str">
        <f t="shared" si="7"/>
        <v/>
      </c>
      <c r="AE142" s="1205" t="str">
        <f t="shared" si="8"/>
        <v/>
      </c>
      <c r="AF142" s="1206"/>
      <c r="AG142" s="1207"/>
    </row>
    <row r="143" spans="29:33" x14ac:dyDescent="0.2">
      <c r="AC143" s="1213" t="str">
        <f t="shared" si="6"/>
        <v/>
      </c>
      <c r="AD143" s="1204" t="str">
        <f t="shared" si="7"/>
        <v/>
      </c>
      <c r="AE143" s="1205" t="str">
        <f t="shared" si="8"/>
        <v/>
      </c>
      <c r="AF143" s="1206"/>
      <c r="AG143" s="1207"/>
    </row>
    <row r="144" spans="29:33" x14ac:dyDescent="0.2">
      <c r="AC144" s="1213" t="str">
        <f t="shared" si="6"/>
        <v/>
      </c>
      <c r="AD144" s="1204" t="str">
        <f t="shared" si="7"/>
        <v/>
      </c>
      <c r="AE144" s="1205" t="str">
        <f t="shared" si="8"/>
        <v/>
      </c>
      <c r="AF144" s="1206"/>
      <c r="AG144" s="1207"/>
    </row>
    <row r="145" spans="29:33" x14ac:dyDescent="0.2">
      <c r="AC145" s="1213" t="str">
        <f t="shared" si="6"/>
        <v/>
      </c>
      <c r="AD145" s="1204" t="str">
        <f t="shared" si="7"/>
        <v/>
      </c>
      <c r="AE145" s="1205" t="str">
        <f t="shared" si="8"/>
        <v/>
      </c>
      <c r="AF145" s="1206"/>
      <c r="AG145" s="1207"/>
    </row>
    <row r="146" spans="29:33" x14ac:dyDescent="0.2">
      <c r="AC146" s="1213" t="str">
        <f t="shared" si="6"/>
        <v/>
      </c>
      <c r="AD146" s="1204" t="str">
        <f t="shared" si="7"/>
        <v/>
      </c>
      <c r="AE146" s="1205" t="str">
        <f t="shared" si="8"/>
        <v/>
      </c>
      <c r="AF146" s="1206"/>
      <c r="AG146" s="1207"/>
    </row>
    <row r="147" spans="29:33" x14ac:dyDescent="0.2">
      <c r="AC147" s="1213" t="str">
        <f t="shared" si="6"/>
        <v/>
      </c>
      <c r="AD147" s="1204" t="str">
        <f t="shared" si="7"/>
        <v/>
      </c>
      <c r="AE147" s="1205" t="str">
        <f t="shared" si="8"/>
        <v/>
      </c>
      <c r="AF147" s="1206"/>
      <c r="AG147" s="1207"/>
    </row>
    <row r="148" spans="29:33" x14ac:dyDescent="0.2">
      <c r="AC148" s="1213" t="str">
        <f t="shared" si="6"/>
        <v/>
      </c>
      <c r="AD148" s="1204" t="str">
        <f t="shared" si="7"/>
        <v/>
      </c>
      <c r="AE148" s="1205" t="str">
        <f t="shared" si="8"/>
        <v/>
      </c>
      <c r="AF148" s="1206"/>
      <c r="AG148" s="1207"/>
    </row>
    <row r="149" spans="29:33" x14ac:dyDescent="0.2">
      <c r="AC149" s="1213" t="str">
        <f t="shared" si="6"/>
        <v/>
      </c>
      <c r="AD149" s="1204" t="str">
        <f t="shared" si="7"/>
        <v/>
      </c>
      <c r="AE149" s="1205" t="str">
        <f t="shared" si="8"/>
        <v/>
      </c>
      <c r="AF149" s="1206"/>
      <c r="AG149" s="1207"/>
    </row>
    <row r="150" spans="29:33" x14ac:dyDescent="0.2">
      <c r="AC150" s="1213" t="str">
        <f t="shared" si="6"/>
        <v/>
      </c>
      <c r="AD150" s="1204" t="str">
        <f t="shared" si="7"/>
        <v/>
      </c>
      <c r="AE150" s="1205" t="str">
        <f t="shared" si="8"/>
        <v/>
      </c>
      <c r="AF150" s="1206"/>
      <c r="AG150" s="1207"/>
    </row>
    <row r="151" spans="29:33" x14ac:dyDescent="0.2">
      <c r="AC151" s="1213" t="str">
        <f t="shared" si="6"/>
        <v/>
      </c>
      <c r="AD151" s="1204" t="str">
        <f t="shared" si="7"/>
        <v/>
      </c>
      <c r="AE151" s="1205" t="str">
        <f t="shared" si="8"/>
        <v/>
      </c>
      <c r="AF151" s="1206"/>
      <c r="AG151" s="1207"/>
    </row>
    <row r="152" spans="29:33" x14ac:dyDescent="0.2">
      <c r="AC152" s="1213" t="str">
        <f t="shared" si="6"/>
        <v/>
      </c>
      <c r="AD152" s="1204" t="str">
        <f t="shared" si="7"/>
        <v/>
      </c>
      <c r="AE152" s="1205" t="str">
        <f t="shared" si="8"/>
        <v/>
      </c>
      <c r="AF152" s="1206"/>
      <c r="AG152" s="1207"/>
    </row>
    <row r="153" spans="29:33" x14ac:dyDescent="0.2">
      <c r="AC153" s="1213" t="str">
        <f t="shared" si="6"/>
        <v/>
      </c>
      <c r="AD153" s="1204" t="str">
        <f t="shared" si="7"/>
        <v/>
      </c>
      <c r="AE153" s="1205" t="str">
        <f t="shared" si="8"/>
        <v/>
      </c>
      <c r="AF153" s="1206"/>
      <c r="AG153" s="1207"/>
    </row>
    <row r="154" spans="29:33" x14ac:dyDescent="0.2">
      <c r="AC154" s="1213" t="str">
        <f t="shared" si="6"/>
        <v/>
      </c>
      <c r="AD154" s="1204" t="str">
        <f t="shared" si="7"/>
        <v/>
      </c>
      <c r="AE154" s="1205" t="str">
        <f t="shared" si="8"/>
        <v/>
      </c>
      <c r="AF154" s="1206"/>
      <c r="AG154" s="1207"/>
    </row>
    <row r="155" spans="29:33" x14ac:dyDescent="0.2">
      <c r="AC155" s="1213" t="str">
        <f t="shared" si="6"/>
        <v/>
      </c>
      <c r="AD155" s="1204" t="str">
        <f t="shared" si="7"/>
        <v/>
      </c>
      <c r="AE155" s="1205" t="str">
        <f t="shared" si="8"/>
        <v/>
      </c>
      <c r="AF155" s="1206"/>
      <c r="AG155" s="1207"/>
    </row>
    <row r="156" spans="29:33" x14ac:dyDescent="0.2">
      <c r="AC156" s="1213" t="str">
        <f t="shared" si="6"/>
        <v/>
      </c>
      <c r="AD156" s="1204" t="str">
        <f t="shared" si="7"/>
        <v/>
      </c>
      <c r="AE156" s="1205" t="str">
        <f t="shared" si="8"/>
        <v/>
      </c>
      <c r="AF156" s="1206"/>
      <c r="AG156" s="1207"/>
    </row>
    <row r="157" spans="29:33" x14ac:dyDescent="0.2">
      <c r="AC157" s="1213" t="str">
        <f t="shared" si="6"/>
        <v/>
      </c>
      <c r="AD157" s="1204" t="str">
        <f t="shared" si="7"/>
        <v/>
      </c>
      <c r="AE157" s="1205" t="str">
        <f t="shared" si="8"/>
        <v/>
      </c>
      <c r="AF157" s="1206"/>
      <c r="AG157" s="1207"/>
    </row>
    <row r="158" spans="29:33" x14ac:dyDescent="0.2">
      <c r="AC158" s="1213" t="str">
        <f t="shared" si="6"/>
        <v/>
      </c>
      <c r="AD158" s="1204" t="str">
        <f t="shared" si="7"/>
        <v/>
      </c>
      <c r="AE158" s="1205" t="str">
        <f t="shared" si="8"/>
        <v/>
      </c>
      <c r="AF158" s="1206"/>
      <c r="AG158" s="1207"/>
    </row>
    <row r="159" spans="29:33" x14ac:dyDescent="0.2">
      <c r="AC159" s="1213" t="str">
        <f t="shared" si="6"/>
        <v/>
      </c>
      <c r="AD159" s="1204" t="str">
        <f t="shared" si="7"/>
        <v/>
      </c>
      <c r="AE159" s="1205" t="str">
        <f t="shared" si="8"/>
        <v/>
      </c>
      <c r="AF159" s="1206"/>
      <c r="AG159" s="1207"/>
    </row>
    <row r="160" spans="29:33" x14ac:dyDescent="0.2">
      <c r="AC160" s="1213" t="str">
        <f t="shared" si="6"/>
        <v/>
      </c>
      <c r="AD160" s="1204" t="str">
        <f t="shared" si="7"/>
        <v/>
      </c>
      <c r="AE160" s="1205" t="str">
        <f t="shared" si="8"/>
        <v/>
      </c>
      <c r="AF160" s="1206"/>
      <c r="AG160" s="1207"/>
    </row>
    <row r="161" spans="29:33" x14ac:dyDescent="0.2">
      <c r="AC161" s="1213" t="str">
        <f t="shared" si="6"/>
        <v/>
      </c>
      <c r="AD161" s="1204" t="str">
        <f t="shared" si="7"/>
        <v/>
      </c>
      <c r="AE161" s="1205" t="str">
        <f t="shared" si="8"/>
        <v/>
      </c>
      <c r="AF161" s="1206"/>
      <c r="AG161" s="1207"/>
    </row>
    <row r="162" spans="29:33" x14ac:dyDescent="0.2">
      <c r="AC162" s="1213" t="str">
        <f t="shared" si="6"/>
        <v/>
      </c>
      <c r="AD162" s="1204" t="str">
        <f t="shared" si="7"/>
        <v/>
      </c>
      <c r="AE162" s="1205" t="str">
        <f t="shared" si="8"/>
        <v/>
      </c>
      <c r="AF162" s="1206"/>
      <c r="AG162" s="1207"/>
    </row>
    <row r="163" spans="29:33" x14ac:dyDescent="0.2">
      <c r="AC163" s="1213" t="str">
        <f t="shared" si="6"/>
        <v/>
      </c>
      <c r="AD163" s="1204" t="str">
        <f t="shared" si="7"/>
        <v/>
      </c>
      <c r="AE163" s="1205" t="str">
        <f t="shared" si="8"/>
        <v/>
      </c>
      <c r="AF163" s="1206"/>
      <c r="AG163" s="1207"/>
    </row>
    <row r="164" spans="29:33" x14ac:dyDescent="0.2">
      <c r="AC164" s="1213" t="str">
        <f t="shared" si="6"/>
        <v/>
      </c>
      <c r="AD164" s="1204" t="str">
        <f t="shared" si="7"/>
        <v/>
      </c>
      <c r="AE164" s="1205" t="str">
        <f t="shared" si="8"/>
        <v/>
      </c>
      <c r="AF164" s="1206"/>
      <c r="AG164" s="1207"/>
    </row>
    <row r="165" spans="29:33" x14ac:dyDescent="0.2">
      <c r="AC165" s="1213" t="str">
        <f t="shared" si="6"/>
        <v/>
      </c>
      <c r="AD165" s="1204" t="str">
        <f t="shared" si="7"/>
        <v/>
      </c>
      <c r="AE165" s="1205" t="str">
        <f t="shared" si="8"/>
        <v/>
      </c>
      <c r="AF165" s="1206"/>
      <c r="AG165" s="1207"/>
    </row>
    <row r="166" spans="29:33" x14ac:dyDescent="0.2">
      <c r="AC166" s="1213" t="str">
        <f t="shared" si="6"/>
        <v/>
      </c>
      <c r="AD166" s="1204" t="str">
        <f t="shared" si="7"/>
        <v/>
      </c>
      <c r="AE166" s="1205" t="str">
        <f t="shared" si="8"/>
        <v/>
      </c>
      <c r="AF166" s="1206"/>
      <c r="AG166" s="1207"/>
    </row>
    <row r="167" spans="29:33" x14ac:dyDescent="0.2">
      <c r="AC167" s="1213" t="str">
        <f t="shared" si="6"/>
        <v/>
      </c>
      <c r="AD167" s="1204" t="str">
        <f t="shared" si="7"/>
        <v/>
      </c>
      <c r="AE167" s="1205" t="str">
        <f t="shared" si="8"/>
        <v/>
      </c>
      <c r="AF167" s="1206"/>
      <c r="AG167" s="1207"/>
    </row>
    <row r="168" spans="29:33" x14ac:dyDescent="0.2">
      <c r="AC168" s="1213" t="str">
        <f t="shared" si="6"/>
        <v/>
      </c>
      <c r="AD168" s="1204" t="str">
        <f t="shared" si="7"/>
        <v/>
      </c>
      <c r="AE168" s="1205" t="str">
        <f t="shared" si="8"/>
        <v/>
      </c>
      <c r="AF168" s="1206"/>
      <c r="AG168" s="1207"/>
    </row>
    <row r="169" spans="29:33" x14ac:dyDescent="0.2">
      <c r="AC169" s="1213" t="str">
        <f t="shared" si="6"/>
        <v/>
      </c>
      <c r="AD169" s="1204" t="str">
        <f t="shared" si="7"/>
        <v/>
      </c>
      <c r="AE169" s="1205" t="str">
        <f t="shared" si="8"/>
        <v/>
      </c>
      <c r="AF169" s="1206"/>
      <c r="AG169" s="1207"/>
    </row>
    <row r="170" spans="29:33" x14ac:dyDescent="0.2">
      <c r="AC170" s="1213" t="str">
        <f t="shared" si="6"/>
        <v/>
      </c>
      <c r="AD170" s="1204" t="str">
        <f t="shared" si="7"/>
        <v/>
      </c>
      <c r="AE170" s="1205" t="str">
        <f t="shared" si="8"/>
        <v/>
      </c>
      <c r="AF170" s="1206"/>
      <c r="AG170" s="1207"/>
    </row>
    <row r="171" spans="29:33" x14ac:dyDescent="0.2">
      <c r="AC171" s="1213" t="str">
        <f t="shared" si="6"/>
        <v/>
      </c>
      <c r="AD171" s="1204" t="str">
        <f t="shared" si="7"/>
        <v/>
      </c>
      <c r="AE171" s="1205" t="str">
        <f t="shared" si="8"/>
        <v/>
      </c>
      <c r="AF171" s="1206"/>
      <c r="AG171" s="1207"/>
    </row>
    <row r="172" spans="29:33" x14ac:dyDescent="0.2">
      <c r="AC172" s="1213" t="str">
        <f t="shared" si="6"/>
        <v/>
      </c>
      <c r="AD172" s="1204" t="str">
        <f t="shared" si="7"/>
        <v/>
      </c>
      <c r="AE172" s="1205" t="str">
        <f t="shared" si="8"/>
        <v/>
      </c>
      <c r="AF172" s="1206"/>
      <c r="AG172" s="1207"/>
    </row>
    <row r="173" spans="29:33" x14ac:dyDescent="0.2">
      <c r="AC173" s="1213" t="str">
        <f t="shared" si="6"/>
        <v/>
      </c>
      <c r="AD173" s="1204" t="str">
        <f t="shared" si="7"/>
        <v/>
      </c>
      <c r="AE173" s="1205" t="str">
        <f t="shared" si="8"/>
        <v/>
      </c>
      <c r="AF173" s="1206"/>
      <c r="AG173" s="1207"/>
    </row>
    <row r="174" spans="29:33" x14ac:dyDescent="0.2">
      <c r="AC174" s="1213" t="str">
        <f t="shared" si="6"/>
        <v/>
      </c>
      <c r="AD174" s="1204" t="str">
        <f t="shared" si="7"/>
        <v/>
      </c>
      <c r="AE174" s="1205" t="str">
        <f t="shared" si="8"/>
        <v/>
      </c>
      <c r="AF174" s="1206"/>
      <c r="AG174" s="1207"/>
    </row>
    <row r="175" spans="29:33" x14ac:dyDescent="0.2">
      <c r="AC175" s="1213" t="str">
        <f t="shared" si="6"/>
        <v/>
      </c>
      <c r="AD175" s="1204" t="str">
        <f t="shared" si="7"/>
        <v/>
      </c>
      <c r="AE175" s="1205" t="str">
        <f t="shared" si="8"/>
        <v/>
      </c>
      <c r="AF175" s="1206"/>
      <c r="AG175" s="1207"/>
    </row>
    <row r="176" spans="29:33" x14ac:dyDescent="0.2">
      <c r="AC176" s="1213" t="str">
        <f t="shared" si="6"/>
        <v/>
      </c>
      <c r="AD176" s="1204" t="str">
        <f t="shared" si="7"/>
        <v/>
      </c>
      <c r="AE176" s="1205" t="str">
        <f t="shared" si="8"/>
        <v/>
      </c>
      <c r="AF176" s="1206"/>
      <c r="AG176" s="1207"/>
    </row>
    <row r="177" spans="29:33" x14ac:dyDescent="0.2">
      <c r="AC177" s="1213" t="str">
        <f t="shared" si="6"/>
        <v/>
      </c>
      <c r="AD177" s="1204" t="str">
        <f t="shared" si="7"/>
        <v/>
      </c>
      <c r="AE177" s="1205" t="str">
        <f t="shared" si="8"/>
        <v/>
      </c>
      <c r="AF177" s="1206"/>
      <c r="AG177" s="1207"/>
    </row>
    <row r="178" spans="29:33" x14ac:dyDescent="0.2">
      <c r="AC178" s="1213" t="str">
        <f t="shared" si="6"/>
        <v/>
      </c>
      <c r="AD178" s="1204" t="str">
        <f t="shared" si="7"/>
        <v/>
      </c>
      <c r="AE178" s="1205" t="str">
        <f t="shared" si="8"/>
        <v/>
      </c>
      <c r="AF178" s="1206"/>
      <c r="AG178" s="1207"/>
    </row>
    <row r="179" spans="29:33" x14ac:dyDescent="0.2">
      <c r="AC179" s="1213" t="str">
        <f t="shared" si="6"/>
        <v/>
      </c>
      <c r="AD179" s="1204" t="str">
        <f t="shared" si="7"/>
        <v/>
      </c>
      <c r="AE179" s="1205" t="str">
        <f t="shared" si="8"/>
        <v/>
      </c>
      <c r="AF179" s="1206"/>
      <c r="AG179" s="1207"/>
    </row>
    <row r="180" spans="29:33" x14ac:dyDescent="0.2">
      <c r="AC180" s="1213" t="str">
        <f t="shared" si="6"/>
        <v/>
      </c>
      <c r="AD180" s="1204" t="str">
        <f t="shared" si="7"/>
        <v/>
      </c>
      <c r="AE180" s="1205" t="str">
        <f t="shared" si="8"/>
        <v/>
      </c>
      <c r="AF180" s="1206"/>
      <c r="AG180" s="1207"/>
    </row>
    <row r="181" spans="29:33" x14ac:dyDescent="0.2">
      <c r="AC181" s="1213" t="str">
        <f t="shared" si="6"/>
        <v/>
      </c>
      <c r="AD181" s="1204" t="str">
        <f t="shared" si="7"/>
        <v/>
      </c>
      <c r="AE181" s="1205" t="str">
        <f t="shared" si="8"/>
        <v/>
      </c>
      <c r="AF181" s="1206"/>
      <c r="AG181" s="1207"/>
    </row>
    <row r="182" spans="29:33" x14ac:dyDescent="0.2">
      <c r="AC182" s="1213" t="str">
        <f t="shared" si="6"/>
        <v/>
      </c>
      <c r="AD182" s="1204" t="str">
        <f t="shared" si="7"/>
        <v/>
      </c>
      <c r="AE182" s="1205" t="str">
        <f t="shared" si="8"/>
        <v/>
      </c>
      <c r="AF182" s="1206"/>
      <c r="AG182" s="1207"/>
    </row>
    <row r="183" spans="29:33" x14ac:dyDescent="0.2">
      <c r="AC183" s="1213" t="str">
        <f t="shared" si="6"/>
        <v/>
      </c>
      <c r="AD183" s="1204" t="str">
        <f t="shared" si="7"/>
        <v/>
      </c>
      <c r="AE183" s="1205" t="str">
        <f t="shared" si="8"/>
        <v/>
      </c>
      <c r="AF183" s="1206"/>
      <c r="AG183" s="1207"/>
    </row>
    <row r="184" spans="29:33" x14ac:dyDescent="0.2">
      <c r="AC184" s="1213" t="str">
        <f t="shared" si="6"/>
        <v/>
      </c>
      <c r="AD184" s="1204" t="str">
        <f t="shared" si="7"/>
        <v/>
      </c>
      <c r="AE184" s="1205" t="str">
        <f t="shared" si="8"/>
        <v/>
      </c>
      <c r="AF184" s="1206"/>
      <c r="AG184" s="1207"/>
    </row>
    <row r="185" spans="29:33" x14ac:dyDescent="0.2">
      <c r="AC185" s="1213" t="str">
        <f t="shared" si="6"/>
        <v/>
      </c>
      <c r="AD185" s="1204" t="str">
        <f t="shared" si="7"/>
        <v/>
      </c>
      <c r="AE185" s="1205" t="str">
        <f t="shared" si="8"/>
        <v/>
      </c>
      <c r="AF185" s="1206"/>
      <c r="AG185" s="1207"/>
    </row>
    <row r="186" spans="29:33" x14ac:dyDescent="0.2">
      <c r="AC186" s="1213" t="str">
        <f t="shared" si="6"/>
        <v/>
      </c>
      <c r="AD186" s="1204" t="str">
        <f t="shared" si="7"/>
        <v/>
      </c>
      <c r="AE186" s="1205" t="str">
        <f t="shared" si="8"/>
        <v/>
      </c>
      <c r="AF186" s="1206"/>
      <c r="AG186" s="1207"/>
    </row>
    <row r="187" spans="29:33" x14ac:dyDescent="0.2">
      <c r="AC187" s="1213" t="str">
        <f t="shared" si="6"/>
        <v/>
      </c>
      <c r="AD187" s="1204" t="str">
        <f t="shared" si="7"/>
        <v/>
      </c>
      <c r="AE187" s="1205" t="str">
        <f t="shared" si="8"/>
        <v/>
      </c>
      <c r="AF187" s="1206"/>
      <c r="AG187" s="1207"/>
    </row>
    <row r="188" spans="29:33" x14ac:dyDescent="0.2">
      <c r="AC188" s="1213" t="str">
        <f t="shared" si="6"/>
        <v/>
      </c>
      <c r="AD188" s="1204" t="str">
        <f t="shared" si="7"/>
        <v/>
      </c>
      <c r="AE188" s="1205" t="str">
        <f t="shared" si="8"/>
        <v/>
      </c>
      <c r="AF188" s="1206"/>
      <c r="AG188" s="1207"/>
    </row>
    <row r="189" spans="29:33" x14ac:dyDescent="0.2">
      <c r="AC189" s="1213" t="str">
        <f t="shared" si="6"/>
        <v/>
      </c>
      <c r="AD189" s="1204" t="str">
        <f t="shared" si="7"/>
        <v/>
      </c>
      <c r="AE189" s="1205" t="str">
        <f t="shared" si="8"/>
        <v/>
      </c>
      <c r="AF189" s="1206"/>
      <c r="AG189" s="1207"/>
    </row>
    <row r="190" spans="29:33" x14ac:dyDescent="0.2">
      <c r="AC190" s="1213" t="str">
        <f t="shared" si="6"/>
        <v/>
      </c>
      <c r="AD190" s="1204" t="str">
        <f t="shared" si="7"/>
        <v/>
      </c>
      <c r="AE190" s="1205" t="str">
        <f t="shared" si="8"/>
        <v/>
      </c>
      <c r="AF190" s="1206"/>
      <c r="AG190" s="1207"/>
    </row>
    <row r="191" spans="29:33" x14ac:dyDescent="0.2">
      <c r="AC191" s="1213" t="str">
        <f t="shared" si="6"/>
        <v/>
      </c>
      <c r="AD191" s="1204" t="str">
        <f t="shared" si="7"/>
        <v/>
      </c>
      <c r="AE191" s="1205" t="str">
        <f t="shared" si="8"/>
        <v/>
      </c>
      <c r="AF191" s="1206"/>
      <c r="AG191" s="1207"/>
    </row>
    <row r="192" spans="29:33" x14ac:dyDescent="0.2">
      <c r="AC192" s="1213" t="str">
        <f t="shared" si="6"/>
        <v/>
      </c>
      <c r="AD192" s="1204" t="str">
        <f t="shared" si="7"/>
        <v/>
      </c>
      <c r="AE192" s="1205" t="str">
        <f t="shared" si="8"/>
        <v/>
      </c>
      <c r="AF192" s="1206"/>
      <c r="AG192" s="1207"/>
    </row>
    <row r="193" spans="29:33" x14ac:dyDescent="0.2">
      <c r="AC193" s="1213" t="str">
        <f t="shared" si="6"/>
        <v/>
      </c>
      <c r="AD193" s="1204" t="str">
        <f t="shared" si="7"/>
        <v/>
      </c>
      <c r="AE193" s="1205" t="str">
        <f t="shared" si="8"/>
        <v/>
      </c>
      <c r="AF193" s="1206"/>
      <c r="AG193" s="1207"/>
    </row>
    <row r="194" spans="29:33" x14ac:dyDescent="0.2">
      <c r="AC194" s="1213" t="str">
        <f t="shared" si="6"/>
        <v/>
      </c>
      <c r="AD194" s="1204" t="str">
        <f t="shared" si="7"/>
        <v/>
      </c>
      <c r="AE194" s="1205" t="str">
        <f t="shared" si="8"/>
        <v/>
      </c>
      <c r="AF194" s="1206"/>
      <c r="AG194" s="1207"/>
    </row>
    <row r="195" spans="29:33" x14ac:dyDescent="0.2">
      <c r="AC195" s="1213" t="str">
        <f t="shared" ref="AC195:AC258" si="9">IF(ISBLANK(W194),"",W194)</f>
        <v/>
      </c>
      <c r="AD195" s="1204" t="str">
        <f t="shared" ref="AD195:AD258" si="10">IF(ISBLANK(V194),"",V194)</f>
        <v/>
      </c>
      <c r="AE195" s="1205" t="str">
        <f t="shared" ref="AE195:AE258" si="11">IF(ISBLANK(Z194),"",Z194)</f>
        <v/>
      </c>
      <c r="AF195" s="1206"/>
      <c r="AG195" s="1207"/>
    </row>
    <row r="196" spans="29:33" x14ac:dyDescent="0.2">
      <c r="AC196" s="1213" t="str">
        <f t="shared" si="9"/>
        <v/>
      </c>
      <c r="AD196" s="1204" t="str">
        <f t="shared" si="10"/>
        <v/>
      </c>
      <c r="AE196" s="1205" t="str">
        <f t="shared" si="11"/>
        <v/>
      </c>
      <c r="AF196" s="1206"/>
      <c r="AG196" s="1207"/>
    </row>
    <row r="197" spans="29:33" x14ac:dyDescent="0.2">
      <c r="AC197" s="1213" t="str">
        <f t="shared" si="9"/>
        <v/>
      </c>
      <c r="AD197" s="1204" t="str">
        <f t="shared" si="10"/>
        <v/>
      </c>
      <c r="AE197" s="1205" t="str">
        <f t="shared" si="11"/>
        <v/>
      </c>
      <c r="AF197" s="1206"/>
      <c r="AG197" s="1207"/>
    </row>
    <row r="198" spans="29:33" x14ac:dyDescent="0.2">
      <c r="AC198" s="1213" t="str">
        <f t="shared" si="9"/>
        <v/>
      </c>
      <c r="AD198" s="1204" t="str">
        <f t="shared" si="10"/>
        <v/>
      </c>
      <c r="AE198" s="1205" t="str">
        <f t="shared" si="11"/>
        <v/>
      </c>
      <c r="AF198" s="1206"/>
      <c r="AG198" s="1207"/>
    </row>
    <row r="199" spans="29:33" x14ac:dyDescent="0.2">
      <c r="AC199" s="1213" t="str">
        <f t="shared" si="9"/>
        <v/>
      </c>
      <c r="AD199" s="1204" t="str">
        <f t="shared" si="10"/>
        <v/>
      </c>
      <c r="AE199" s="1205" t="str">
        <f t="shared" si="11"/>
        <v/>
      </c>
      <c r="AF199" s="1206"/>
      <c r="AG199" s="1207"/>
    </row>
    <row r="200" spans="29:33" x14ac:dyDescent="0.2">
      <c r="AC200" s="1213" t="str">
        <f t="shared" si="9"/>
        <v/>
      </c>
      <c r="AD200" s="1204" t="str">
        <f t="shared" si="10"/>
        <v/>
      </c>
      <c r="AE200" s="1205" t="str">
        <f t="shared" si="11"/>
        <v/>
      </c>
      <c r="AF200" s="1206"/>
      <c r="AG200" s="1207"/>
    </row>
    <row r="201" spans="29:33" x14ac:dyDescent="0.2">
      <c r="AC201" s="49" t="str">
        <f t="shared" si="9"/>
        <v/>
      </c>
      <c r="AD201" s="82" t="str">
        <f t="shared" si="10"/>
        <v/>
      </c>
      <c r="AE201" s="87" t="str">
        <f t="shared" si="11"/>
        <v/>
      </c>
    </row>
    <row r="202" spans="29:33" x14ac:dyDescent="0.2">
      <c r="AC202" s="49" t="str">
        <f t="shared" si="9"/>
        <v/>
      </c>
      <c r="AD202" s="82" t="str">
        <f t="shared" si="10"/>
        <v/>
      </c>
      <c r="AE202" s="87" t="str">
        <f t="shared" si="11"/>
        <v/>
      </c>
    </row>
    <row r="203" spans="29:33" x14ac:dyDescent="0.2">
      <c r="AC203" s="49" t="str">
        <f t="shared" si="9"/>
        <v/>
      </c>
      <c r="AD203" s="82" t="str">
        <f t="shared" si="10"/>
        <v/>
      </c>
      <c r="AE203" s="87" t="str">
        <f t="shared" si="11"/>
        <v/>
      </c>
    </row>
    <row r="204" spans="29:33" x14ac:dyDescent="0.2">
      <c r="AC204" s="49" t="str">
        <f t="shared" si="9"/>
        <v/>
      </c>
      <c r="AD204" s="82" t="str">
        <f t="shared" si="10"/>
        <v/>
      </c>
      <c r="AE204" s="87" t="str">
        <f t="shared" si="11"/>
        <v/>
      </c>
    </row>
    <row r="205" spans="29:33" x14ac:dyDescent="0.2">
      <c r="AC205" s="49" t="str">
        <f t="shared" si="9"/>
        <v/>
      </c>
      <c r="AD205" s="82" t="str">
        <f t="shared" si="10"/>
        <v/>
      </c>
      <c r="AE205" s="87" t="str">
        <f t="shared" si="11"/>
        <v/>
      </c>
    </row>
    <row r="206" spans="29:33" x14ac:dyDescent="0.2">
      <c r="AC206" s="49" t="str">
        <f t="shared" si="9"/>
        <v/>
      </c>
      <c r="AD206" s="82" t="str">
        <f t="shared" si="10"/>
        <v/>
      </c>
      <c r="AE206" s="87" t="str">
        <f t="shared" si="11"/>
        <v/>
      </c>
    </row>
    <row r="207" spans="29:33" x14ac:dyDescent="0.2">
      <c r="AC207" s="49" t="str">
        <f t="shared" si="9"/>
        <v/>
      </c>
      <c r="AD207" s="82" t="str">
        <f t="shared" si="10"/>
        <v/>
      </c>
      <c r="AE207" s="87" t="str">
        <f t="shared" si="11"/>
        <v/>
      </c>
    </row>
    <row r="208" spans="29:33" x14ac:dyDescent="0.2">
      <c r="AC208" s="49" t="str">
        <f t="shared" si="9"/>
        <v/>
      </c>
      <c r="AD208" s="82" t="str">
        <f t="shared" si="10"/>
        <v/>
      </c>
      <c r="AE208" s="87" t="str">
        <f t="shared" si="11"/>
        <v/>
      </c>
    </row>
    <row r="209" spans="29:31" x14ac:dyDescent="0.2">
      <c r="AC209" s="49" t="str">
        <f t="shared" si="9"/>
        <v/>
      </c>
      <c r="AD209" s="82" t="str">
        <f t="shared" si="10"/>
        <v/>
      </c>
      <c r="AE209" s="87" t="str">
        <f t="shared" si="11"/>
        <v/>
      </c>
    </row>
    <row r="210" spans="29:31" x14ac:dyDescent="0.2">
      <c r="AC210" s="49" t="str">
        <f t="shared" si="9"/>
        <v/>
      </c>
      <c r="AD210" s="82" t="str">
        <f t="shared" si="10"/>
        <v/>
      </c>
      <c r="AE210" s="87" t="str">
        <f t="shared" si="11"/>
        <v/>
      </c>
    </row>
    <row r="211" spans="29:31" x14ac:dyDescent="0.2">
      <c r="AC211" s="49" t="str">
        <f t="shared" si="9"/>
        <v/>
      </c>
      <c r="AD211" s="82" t="str">
        <f t="shared" si="10"/>
        <v/>
      </c>
      <c r="AE211" s="87" t="str">
        <f t="shared" si="11"/>
        <v/>
      </c>
    </row>
    <row r="212" spans="29:31" x14ac:dyDescent="0.2">
      <c r="AC212" s="49" t="str">
        <f t="shared" si="9"/>
        <v/>
      </c>
      <c r="AD212" s="82" t="str">
        <f t="shared" si="10"/>
        <v/>
      </c>
      <c r="AE212" s="87" t="str">
        <f t="shared" si="11"/>
        <v/>
      </c>
    </row>
    <row r="213" spans="29:31" x14ac:dyDescent="0.2">
      <c r="AC213" s="49" t="str">
        <f t="shared" si="9"/>
        <v/>
      </c>
      <c r="AD213" s="82" t="str">
        <f t="shared" si="10"/>
        <v/>
      </c>
      <c r="AE213" s="87" t="str">
        <f t="shared" si="11"/>
        <v/>
      </c>
    </row>
    <row r="214" spans="29:31" x14ac:dyDescent="0.2">
      <c r="AC214" s="49" t="str">
        <f t="shared" si="9"/>
        <v/>
      </c>
      <c r="AD214" s="82" t="str">
        <f t="shared" si="10"/>
        <v/>
      </c>
      <c r="AE214" s="87" t="str">
        <f t="shared" si="11"/>
        <v/>
      </c>
    </row>
    <row r="215" spans="29:31" x14ac:dyDescent="0.2">
      <c r="AC215" s="49" t="str">
        <f t="shared" si="9"/>
        <v/>
      </c>
      <c r="AD215" s="82" t="str">
        <f t="shared" si="10"/>
        <v/>
      </c>
      <c r="AE215" s="87" t="str">
        <f t="shared" si="11"/>
        <v/>
      </c>
    </row>
    <row r="216" spans="29:31" x14ac:dyDescent="0.2">
      <c r="AC216" s="49" t="str">
        <f t="shared" si="9"/>
        <v/>
      </c>
      <c r="AD216" s="82" t="str">
        <f t="shared" si="10"/>
        <v/>
      </c>
      <c r="AE216" s="87" t="str">
        <f t="shared" si="11"/>
        <v/>
      </c>
    </row>
    <row r="217" spans="29:31" x14ac:dyDescent="0.2">
      <c r="AC217" s="49" t="str">
        <f t="shared" si="9"/>
        <v/>
      </c>
      <c r="AD217" s="82" t="str">
        <f t="shared" si="10"/>
        <v/>
      </c>
      <c r="AE217" s="87" t="str">
        <f t="shared" si="11"/>
        <v/>
      </c>
    </row>
    <row r="218" spans="29:31" x14ac:dyDescent="0.2">
      <c r="AC218" s="49" t="str">
        <f t="shared" si="9"/>
        <v/>
      </c>
      <c r="AD218" s="82" t="str">
        <f t="shared" si="10"/>
        <v/>
      </c>
      <c r="AE218" s="87" t="str">
        <f t="shared" si="11"/>
        <v/>
      </c>
    </row>
    <row r="219" spans="29:31" x14ac:dyDescent="0.2">
      <c r="AC219" s="49" t="str">
        <f t="shared" si="9"/>
        <v/>
      </c>
      <c r="AD219" s="82" t="str">
        <f t="shared" si="10"/>
        <v/>
      </c>
      <c r="AE219" s="87" t="str">
        <f t="shared" si="11"/>
        <v/>
      </c>
    </row>
    <row r="220" spans="29:31" x14ac:dyDescent="0.2">
      <c r="AC220" s="49" t="str">
        <f t="shared" si="9"/>
        <v/>
      </c>
      <c r="AD220" s="82" t="str">
        <f t="shared" si="10"/>
        <v/>
      </c>
      <c r="AE220" s="87" t="str">
        <f t="shared" si="11"/>
        <v/>
      </c>
    </row>
    <row r="221" spans="29:31" x14ac:dyDescent="0.2">
      <c r="AC221" s="49" t="str">
        <f t="shared" si="9"/>
        <v/>
      </c>
      <c r="AD221" s="82" t="str">
        <f t="shared" si="10"/>
        <v/>
      </c>
      <c r="AE221" s="87" t="str">
        <f t="shared" si="11"/>
        <v/>
      </c>
    </row>
    <row r="222" spans="29:31" x14ac:dyDescent="0.2">
      <c r="AC222" s="49" t="str">
        <f t="shared" si="9"/>
        <v/>
      </c>
      <c r="AD222" s="82" t="str">
        <f t="shared" si="10"/>
        <v/>
      </c>
      <c r="AE222" s="87" t="str">
        <f t="shared" si="11"/>
        <v/>
      </c>
    </row>
    <row r="223" spans="29:31" x14ac:dyDescent="0.2">
      <c r="AC223" s="49" t="str">
        <f t="shared" si="9"/>
        <v/>
      </c>
      <c r="AD223" s="82" t="str">
        <f t="shared" si="10"/>
        <v/>
      </c>
      <c r="AE223" s="87" t="str">
        <f t="shared" si="11"/>
        <v/>
      </c>
    </row>
    <row r="224" spans="29:31" x14ac:dyDescent="0.2">
      <c r="AC224" s="49" t="str">
        <f t="shared" si="9"/>
        <v/>
      </c>
      <c r="AD224" s="82" t="str">
        <f t="shared" si="10"/>
        <v/>
      </c>
      <c r="AE224" s="87" t="str">
        <f t="shared" si="11"/>
        <v/>
      </c>
    </row>
    <row r="225" spans="29:31" x14ac:dyDescent="0.2">
      <c r="AC225" s="49" t="str">
        <f t="shared" si="9"/>
        <v/>
      </c>
      <c r="AD225" s="82" t="str">
        <f t="shared" si="10"/>
        <v/>
      </c>
      <c r="AE225" s="87" t="str">
        <f t="shared" si="11"/>
        <v/>
      </c>
    </row>
    <row r="226" spans="29:31" x14ac:dyDescent="0.2">
      <c r="AC226" s="49" t="str">
        <f t="shared" si="9"/>
        <v/>
      </c>
      <c r="AD226" s="82" t="str">
        <f t="shared" si="10"/>
        <v/>
      </c>
      <c r="AE226" s="87" t="str">
        <f t="shared" si="11"/>
        <v/>
      </c>
    </row>
    <row r="227" spans="29:31" x14ac:dyDescent="0.2">
      <c r="AC227" s="49" t="str">
        <f t="shared" si="9"/>
        <v/>
      </c>
      <c r="AD227" s="82" t="str">
        <f t="shared" si="10"/>
        <v/>
      </c>
      <c r="AE227" s="87" t="str">
        <f t="shared" si="11"/>
        <v/>
      </c>
    </row>
    <row r="228" spans="29:31" x14ac:dyDescent="0.2">
      <c r="AC228" s="49" t="str">
        <f t="shared" si="9"/>
        <v/>
      </c>
      <c r="AD228" s="82" t="str">
        <f t="shared" si="10"/>
        <v/>
      </c>
      <c r="AE228" s="87" t="str">
        <f t="shared" si="11"/>
        <v/>
      </c>
    </row>
    <row r="229" spans="29:31" x14ac:dyDescent="0.2">
      <c r="AC229" s="49" t="str">
        <f t="shared" si="9"/>
        <v/>
      </c>
      <c r="AD229" s="82" t="str">
        <f t="shared" si="10"/>
        <v/>
      </c>
      <c r="AE229" s="87" t="str">
        <f t="shared" si="11"/>
        <v/>
      </c>
    </row>
    <row r="230" spans="29:31" x14ac:dyDescent="0.2">
      <c r="AC230" s="49" t="str">
        <f t="shared" si="9"/>
        <v/>
      </c>
      <c r="AD230" s="82" t="str">
        <f t="shared" si="10"/>
        <v/>
      </c>
      <c r="AE230" s="87" t="str">
        <f t="shared" si="11"/>
        <v/>
      </c>
    </row>
    <row r="231" spans="29:31" x14ac:dyDescent="0.2">
      <c r="AC231" s="49" t="str">
        <f t="shared" si="9"/>
        <v/>
      </c>
      <c r="AD231" s="82" t="str">
        <f t="shared" si="10"/>
        <v/>
      </c>
      <c r="AE231" s="87" t="str">
        <f t="shared" si="11"/>
        <v/>
      </c>
    </row>
    <row r="232" spans="29:31" x14ac:dyDescent="0.2">
      <c r="AC232" s="49" t="str">
        <f t="shared" si="9"/>
        <v/>
      </c>
      <c r="AD232" s="82" t="str">
        <f t="shared" si="10"/>
        <v/>
      </c>
      <c r="AE232" s="87" t="str">
        <f t="shared" si="11"/>
        <v/>
      </c>
    </row>
    <row r="233" spans="29:31" x14ac:dyDescent="0.2">
      <c r="AC233" s="49" t="str">
        <f t="shared" si="9"/>
        <v/>
      </c>
      <c r="AD233" s="82" t="str">
        <f t="shared" si="10"/>
        <v/>
      </c>
      <c r="AE233" s="87" t="str">
        <f t="shared" si="11"/>
        <v/>
      </c>
    </row>
    <row r="234" spans="29:31" x14ac:dyDescent="0.2">
      <c r="AC234" s="49" t="str">
        <f t="shared" si="9"/>
        <v/>
      </c>
      <c r="AD234" s="82" t="str">
        <f t="shared" si="10"/>
        <v/>
      </c>
      <c r="AE234" s="87" t="str">
        <f t="shared" si="11"/>
        <v/>
      </c>
    </row>
    <row r="235" spans="29:31" x14ac:dyDescent="0.2">
      <c r="AC235" s="49" t="str">
        <f t="shared" si="9"/>
        <v/>
      </c>
      <c r="AD235" s="82" t="str">
        <f t="shared" si="10"/>
        <v/>
      </c>
      <c r="AE235" s="87" t="str">
        <f t="shared" si="11"/>
        <v/>
      </c>
    </row>
    <row r="236" spans="29:31" x14ac:dyDescent="0.2">
      <c r="AC236" s="49" t="str">
        <f t="shared" si="9"/>
        <v/>
      </c>
      <c r="AD236" s="82" t="str">
        <f t="shared" si="10"/>
        <v/>
      </c>
      <c r="AE236" s="87" t="str">
        <f t="shared" si="11"/>
        <v/>
      </c>
    </row>
    <row r="237" spans="29:31" x14ac:dyDescent="0.2">
      <c r="AC237" s="49" t="str">
        <f t="shared" si="9"/>
        <v/>
      </c>
      <c r="AD237" s="82" t="str">
        <f t="shared" si="10"/>
        <v/>
      </c>
      <c r="AE237" s="87" t="str">
        <f t="shared" si="11"/>
        <v/>
      </c>
    </row>
    <row r="238" spans="29:31" x14ac:dyDescent="0.2">
      <c r="AC238" s="49" t="str">
        <f t="shared" si="9"/>
        <v/>
      </c>
      <c r="AD238" s="82" t="str">
        <f t="shared" si="10"/>
        <v/>
      </c>
      <c r="AE238" s="87" t="str">
        <f t="shared" si="11"/>
        <v/>
      </c>
    </row>
    <row r="239" spans="29:31" x14ac:dyDescent="0.2">
      <c r="AC239" s="49" t="str">
        <f t="shared" si="9"/>
        <v/>
      </c>
      <c r="AD239" s="82" t="str">
        <f t="shared" si="10"/>
        <v/>
      </c>
      <c r="AE239" s="87" t="str">
        <f t="shared" si="11"/>
        <v/>
      </c>
    </row>
    <row r="240" spans="29:31" x14ac:dyDescent="0.2">
      <c r="AC240" s="49" t="str">
        <f t="shared" si="9"/>
        <v/>
      </c>
      <c r="AD240" s="82" t="str">
        <f t="shared" si="10"/>
        <v/>
      </c>
      <c r="AE240" s="87" t="str">
        <f t="shared" si="11"/>
        <v/>
      </c>
    </row>
    <row r="241" spans="29:31" x14ac:dyDescent="0.2">
      <c r="AC241" s="49" t="str">
        <f t="shared" si="9"/>
        <v/>
      </c>
      <c r="AD241" s="82" t="str">
        <f t="shared" si="10"/>
        <v/>
      </c>
      <c r="AE241" s="87" t="str">
        <f t="shared" si="11"/>
        <v/>
      </c>
    </row>
    <row r="242" spans="29:31" x14ac:dyDescent="0.2">
      <c r="AC242" s="49" t="str">
        <f t="shared" si="9"/>
        <v/>
      </c>
      <c r="AD242" s="82" t="str">
        <f t="shared" si="10"/>
        <v/>
      </c>
      <c r="AE242" s="87" t="str">
        <f t="shared" si="11"/>
        <v/>
      </c>
    </row>
    <row r="243" spans="29:31" x14ac:dyDescent="0.2">
      <c r="AC243" s="49" t="str">
        <f t="shared" si="9"/>
        <v/>
      </c>
      <c r="AD243" s="82" t="str">
        <f t="shared" si="10"/>
        <v/>
      </c>
      <c r="AE243" s="87" t="str">
        <f t="shared" si="11"/>
        <v/>
      </c>
    </row>
    <row r="244" spans="29:31" x14ac:dyDescent="0.2">
      <c r="AC244" s="49" t="str">
        <f t="shared" si="9"/>
        <v/>
      </c>
      <c r="AD244" s="82" t="str">
        <f t="shared" si="10"/>
        <v/>
      </c>
      <c r="AE244" s="87" t="str">
        <f t="shared" si="11"/>
        <v/>
      </c>
    </row>
    <row r="245" spans="29:31" x14ac:dyDescent="0.2">
      <c r="AC245" s="49" t="str">
        <f t="shared" si="9"/>
        <v/>
      </c>
      <c r="AD245" s="82" t="str">
        <f t="shared" si="10"/>
        <v/>
      </c>
      <c r="AE245" s="87" t="str">
        <f t="shared" si="11"/>
        <v/>
      </c>
    </row>
    <row r="246" spans="29:31" x14ac:dyDescent="0.2">
      <c r="AC246" s="49" t="str">
        <f t="shared" si="9"/>
        <v/>
      </c>
      <c r="AD246" s="82" t="str">
        <f t="shared" si="10"/>
        <v/>
      </c>
      <c r="AE246" s="87" t="str">
        <f t="shared" si="11"/>
        <v/>
      </c>
    </row>
    <row r="247" spans="29:31" x14ac:dyDescent="0.2">
      <c r="AC247" s="49" t="str">
        <f t="shared" si="9"/>
        <v/>
      </c>
      <c r="AD247" s="82" t="str">
        <f t="shared" si="10"/>
        <v/>
      </c>
      <c r="AE247" s="87" t="str">
        <f t="shared" si="11"/>
        <v/>
      </c>
    </row>
    <row r="248" spans="29:31" x14ac:dyDescent="0.2">
      <c r="AC248" s="49" t="str">
        <f t="shared" si="9"/>
        <v/>
      </c>
      <c r="AD248" s="82" t="str">
        <f t="shared" si="10"/>
        <v/>
      </c>
      <c r="AE248" s="87" t="str">
        <f t="shared" si="11"/>
        <v/>
      </c>
    </row>
    <row r="249" spans="29:31" x14ac:dyDescent="0.2">
      <c r="AC249" s="49" t="str">
        <f t="shared" si="9"/>
        <v/>
      </c>
      <c r="AD249" s="82" t="str">
        <f t="shared" si="10"/>
        <v/>
      </c>
      <c r="AE249" s="87" t="str">
        <f t="shared" si="11"/>
        <v/>
      </c>
    </row>
    <row r="250" spans="29:31" x14ac:dyDescent="0.2">
      <c r="AC250" s="49" t="str">
        <f t="shared" si="9"/>
        <v/>
      </c>
      <c r="AD250" s="82" t="str">
        <f t="shared" si="10"/>
        <v/>
      </c>
      <c r="AE250" s="87" t="str">
        <f t="shared" si="11"/>
        <v/>
      </c>
    </row>
    <row r="251" spans="29:31" x14ac:dyDescent="0.2">
      <c r="AC251" s="49" t="str">
        <f t="shared" si="9"/>
        <v/>
      </c>
      <c r="AD251" s="82" t="str">
        <f t="shared" si="10"/>
        <v/>
      </c>
      <c r="AE251" s="87" t="str">
        <f t="shared" si="11"/>
        <v/>
      </c>
    </row>
    <row r="252" spans="29:31" x14ac:dyDescent="0.2">
      <c r="AC252" s="49" t="str">
        <f t="shared" si="9"/>
        <v/>
      </c>
      <c r="AD252" s="82" t="str">
        <f t="shared" si="10"/>
        <v/>
      </c>
      <c r="AE252" s="87" t="str">
        <f t="shared" si="11"/>
        <v/>
      </c>
    </row>
    <row r="253" spans="29:31" x14ac:dyDescent="0.2">
      <c r="AC253" s="49" t="str">
        <f t="shared" si="9"/>
        <v/>
      </c>
      <c r="AD253" s="82" t="str">
        <f t="shared" si="10"/>
        <v/>
      </c>
      <c r="AE253" s="87" t="str">
        <f t="shared" si="11"/>
        <v/>
      </c>
    </row>
    <row r="254" spans="29:31" x14ac:dyDescent="0.2">
      <c r="AC254" s="49" t="str">
        <f t="shared" si="9"/>
        <v/>
      </c>
      <c r="AD254" s="82" t="str">
        <f t="shared" si="10"/>
        <v/>
      </c>
      <c r="AE254" s="87" t="str">
        <f t="shared" si="11"/>
        <v/>
      </c>
    </row>
    <row r="255" spans="29:31" x14ac:dyDescent="0.2">
      <c r="AC255" s="49" t="str">
        <f t="shared" si="9"/>
        <v/>
      </c>
      <c r="AD255" s="82" t="str">
        <f t="shared" si="10"/>
        <v/>
      </c>
      <c r="AE255" s="87" t="str">
        <f t="shared" si="11"/>
        <v/>
      </c>
    </row>
    <row r="256" spans="29:31" x14ac:dyDescent="0.2">
      <c r="AC256" s="49" t="str">
        <f t="shared" si="9"/>
        <v/>
      </c>
      <c r="AD256" s="82" t="str">
        <f t="shared" si="10"/>
        <v/>
      </c>
      <c r="AE256" s="87" t="str">
        <f t="shared" si="11"/>
        <v/>
      </c>
    </row>
    <row r="257" spans="29:31" x14ac:dyDescent="0.2">
      <c r="AC257" s="49" t="str">
        <f t="shared" si="9"/>
        <v/>
      </c>
      <c r="AD257" s="82" t="str">
        <f t="shared" si="10"/>
        <v/>
      </c>
      <c r="AE257" s="87" t="str">
        <f t="shared" si="11"/>
        <v/>
      </c>
    </row>
    <row r="258" spans="29:31" x14ac:dyDescent="0.2">
      <c r="AC258" s="49" t="str">
        <f t="shared" si="9"/>
        <v/>
      </c>
      <c r="AD258" s="82" t="str">
        <f t="shared" si="10"/>
        <v/>
      </c>
      <c r="AE258" s="87" t="str">
        <f t="shared" si="11"/>
        <v/>
      </c>
    </row>
    <row r="259" spans="29:31" x14ac:dyDescent="0.2">
      <c r="AC259" s="49" t="str">
        <f t="shared" ref="AC259:AC301" si="12">IF(ISBLANK(W258),"",W258)</f>
        <v/>
      </c>
      <c r="AD259" s="82" t="str">
        <f t="shared" ref="AD259:AD301" si="13">IF(ISBLANK(V258),"",V258)</f>
        <v/>
      </c>
      <c r="AE259" s="87" t="str">
        <f t="shared" ref="AE259:AE301" si="14">IF(ISBLANK(Z258),"",Z258)</f>
        <v/>
      </c>
    </row>
    <row r="260" spans="29:31" x14ac:dyDescent="0.2">
      <c r="AC260" s="49" t="str">
        <f t="shared" si="12"/>
        <v/>
      </c>
      <c r="AD260" s="82" t="str">
        <f t="shared" si="13"/>
        <v/>
      </c>
      <c r="AE260" s="87" t="str">
        <f t="shared" si="14"/>
        <v/>
      </c>
    </row>
    <row r="261" spans="29:31" x14ac:dyDescent="0.2">
      <c r="AC261" s="49" t="str">
        <f t="shared" si="12"/>
        <v/>
      </c>
      <c r="AD261" s="82" t="str">
        <f t="shared" si="13"/>
        <v/>
      </c>
      <c r="AE261" s="87" t="str">
        <f t="shared" si="14"/>
        <v/>
      </c>
    </row>
    <row r="262" spans="29:31" x14ac:dyDescent="0.2">
      <c r="AC262" s="49" t="str">
        <f t="shared" si="12"/>
        <v/>
      </c>
      <c r="AD262" s="82" t="str">
        <f t="shared" si="13"/>
        <v/>
      </c>
      <c r="AE262" s="87" t="str">
        <f t="shared" si="14"/>
        <v/>
      </c>
    </row>
    <row r="263" spans="29:31" x14ac:dyDescent="0.2">
      <c r="AC263" s="49" t="str">
        <f t="shared" si="12"/>
        <v/>
      </c>
      <c r="AD263" s="82" t="str">
        <f t="shared" si="13"/>
        <v/>
      </c>
      <c r="AE263" s="87" t="str">
        <f t="shared" si="14"/>
        <v/>
      </c>
    </row>
    <row r="264" spans="29:31" x14ac:dyDescent="0.2">
      <c r="AC264" s="49" t="str">
        <f t="shared" si="12"/>
        <v/>
      </c>
      <c r="AD264" s="82" t="str">
        <f t="shared" si="13"/>
        <v/>
      </c>
      <c r="AE264" s="87" t="str">
        <f t="shared" si="14"/>
        <v/>
      </c>
    </row>
    <row r="265" spans="29:31" x14ac:dyDescent="0.2">
      <c r="AC265" s="49" t="str">
        <f t="shared" si="12"/>
        <v/>
      </c>
      <c r="AD265" s="82" t="str">
        <f t="shared" si="13"/>
        <v/>
      </c>
      <c r="AE265" s="87" t="str">
        <f t="shared" si="14"/>
        <v/>
      </c>
    </row>
    <row r="266" spans="29:31" x14ac:dyDescent="0.2">
      <c r="AC266" s="49" t="str">
        <f t="shared" si="12"/>
        <v/>
      </c>
      <c r="AD266" s="82" t="str">
        <f t="shared" si="13"/>
        <v/>
      </c>
      <c r="AE266" s="87" t="str">
        <f t="shared" si="14"/>
        <v/>
      </c>
    </row>
    <row r="267" spans="29:31" x14ac:dyDescent="0.2">
      <c r="AC267" s="49" t="str">
        <f t="shared" si="12"/>
        <v/>
      </c>
      <c r="AD267" s="82" t="str">
        <f t="shared" si="13"/>
        <v/>
      </c>
      <c r="AE267" s="87" t="str">
        <f t="shared" si="14"/>
        <v/>
      </c>
    </row>
    <row r="268" spans="29:31" x14ac:dyDescent="0.2">
      <c r="AC268" s="49" t="str">
        <f t="shared" si="12"/>
        <v/>
      </c>
      <c r="AD268" s="82" t="str">
        <f t="shared" si="13"/>
        <v/>
      </c>
      <c r="AE268" s="87" t="str">
        <f t="shared" si="14"/>
        <v/>
      </c>
    </row>
    <row r="269" spans="29:31" x14ac:dyDescent="0.2">
      <c r="AC269" s="49" t="str">
        <f t="shared" si="12"/>
        <v/>
      </c>
      <c r="AD269" s="82" t="str">
        <f t="shared" si="13"/>
        <v/>
      </c>
      <c r="AE269" s="87" t="str">
        <f t="shared" si="14"/>
        <v/>
      </c>
    </row>
    <row r="270" spans="29:31" x14ac:dyDescent="0.2">
      <c r="AC270" s="49" t="str">
        <f t="shared" si="12"/>
        <v/>
      </c>
      <c r="AD270" s="82" t="str">
        <f t="shared" si="13"/>
        <v/>
      </c>
      <c r="AE270" s="87" t="str">
        <f t="shared" si="14"/>
        <v/>
      </c>
    </row>
    <row r="271" spans="29:31" x14ac:dyDescent="0.2">
      <c r="AC271" s="49" t="str">
        <f t="shared" si="12"/>
        <v/>
      </c>
      <c r="AD271" s="82" t="str">
        <f t="shared" si="13"/>
        <v/>
      </c>
      <c r="AE271" s="87" t="str">
        <f t="shared" si="14"/>
        <v/>
      </c>
    </row>
    <row r="272" spans="29:31" x14ac:dyDescent="0.2">
      <c r="AC272" s="49" t="str">
        <f t="shared" si="12"/>
        <v/>
      </c>
      <c r="AD272" s="82" t="str">
        <f t="shared" si="13"/>
        <v/>
      </c>
      <c r="AE272" s="87" t="str">
        <f t="shared" si="14"/>
        <v/>
      </c>
    </row>
    <row r="273" spans="29:31" x14ac:dyDescent="0.2">
      <c r="AC273" s="49" t="str">
        <f t="shared" si="12"/>
        <v/>
      </c>
      <c r="AD273" s="82" t="str">
        <f t="shared" si="13"/>
        <v/>
      </c>
      <c r="AE273" s="87" t="str">
        <f t="shared" si="14"/>
        <v/>
      </c>
    </row>
    <row r="274" spans="29:31" x14ac:dyDescent="0.2">
      <c r="AC274" s="49" t="str">
        <f t="shared" si="12"/>
        <v/>
      </c>
      <c r="AD274" s="82" t="str">
        <f t="shared" si="13"/>
        <v/>
      </c>
      <c r="AE274" s="87" t="str">
        <f t="shared" si="14"/>
        <v/>
      </c>
    </row>
    <row r="275" spans="29:31" x14ac:dyDescent="0.2">
      <c r="AC275" s="49" t="str">
        <f t="shared" si="12"/>
        <v/>
      </c>
      <c r="AD275" s="82" t="str">
        <f t="shared" si="13"/>
        <v/>
      </c>
      <c r="AE275" s="87" t="str">
        <f t="shared" si="14"/>
        <v/>
      </c>
    </row>
    <row r="276" spans="29:31" x14ac:dyDescent="0.2">
      <c r="AC276" s="49" t="str">
        <f t="shared" si="12"/>
        <v/>
      </c>
      <c r="AD276" s="82" t="str">
        <f t="shared" si="13"/>
        <v/>
      </c>
      <c r="AE276" s="87" t="str">
        <f t="shared" si="14"/>
        <v/>
      </c>
    </row>
    <row r="277" spans="29:31" x14ac:dyDescent="0.2">
      <c r="AC277" s="49" t="str">
        <f t="shared" si="12"/>
        <v/>
      </c>
      <c r="AD277" s="82" t="str">
        <f t="shared" si="13"/>
        <v/>
      </c>
      <c r="AE277" s="87" t="str">
        <f t="shared" si="14"/>
        <v/>
      </c>
    </row>
    <row r="278" spans="29:31" x14ac:dyDescent="0.2">
      <c r="AC278" s="49" t="str">
        <f t="shared" si="12"/>
        <v/>
      </c>
      <c r="AD278" s="82" t="str">
        <f t="shared" si="13"/>
        <v/>
      </c>
      <c r="AE278" s="87" t="str">
        <f t="shared" si="14"/>
        <v/>
      </c>
    </row>
    <row r="279" spans="29:31" x14ac:dyDescent="0.2">
      <c r="AC279" s="49" t="str">
        <f t="shared" si="12"/>
        <v/>
      </c>
      <c r="AD279" s="82" t="str">
        <f t="shared" si="13"/>
        <v/>
      </c>
      <c r="AE279" s="87" t="str">
        <f t="shared" si="14"/>
        <v/>
      </c>
    </row>
    <row r="280" spans="29:31" x14ac:dyDescent="0.2">
      <c r="AC280" s="49" t="str">
        <f t="shared" si="12"/>
        <v/>
      </c>
      <c r="AD280" s="82" t="str">
        <f t="shared" si="13"/>
        <v/>
      </c>
      <c r="AE280" s="87" t="str">
        <f t="shared" si="14"/>
        <v/>
      </c>
    </row>
    <row r="281" spans="29:31" x14ac:dyDescent="0.2">
      <c r="AC281" s="49" t="str">
        <f t="shared" si="12"/>
        <v/>
      </c>
      <c r="AD281" s="82" t="str">
        <f t="shared" si="13"/>
        <v/>
      </c>
      <c r="AE281" s="87" t="str">
        <f t="shared" si="14"/>
        <v/>
      </c>
    </row>
    <row r="282" spans="29:31" x14ac:dyDescent="0.2">
      <c r="AC282" s="49" t="str">
        <f t="shared" si="12"/>
        <v/>
      </c>
      <c r="AD282" s="82" t="str">
        <f t="shared" si="13"/>
        <v/>
      </c>
      <c r="AE282" s="87" t="str">
        <f t="shared" si="14"/>
        <v/>
      </c>
    </row>
    <row r="283" spans="29:31" x14ac:dyDescent="0.2">
      <c r="AC283" s="49" t="str">
        <f t="shared" si="12"/>
        <v/>
      </c>
      <c r="AD283" s="82" t="str">
        <f t="shared" si="13"/>
        <v/>
      </c>
      <c r="AE283" s="87" t="str">
        <f t="shared" si="14"/>
        <v/>
      </c>
    </row>
    <row r="284" spans="29:31" x14ac:dyDescent="0.2">
      <c r="AC284" s="49" t="str">
        <f t="shared" si="12"/>
        <v/>
      </c>
      <c r="AD284" s="82" t="str">
        <f t="shared" si="13"/>
        <v/>
      </c>
      <c r="AE284" s="87" t="str">
        <f t="shared" si="14"/>
        <v/>
      </c>
    </row>
    <row r="285" spans="29:31" x14ac:dyDescent="0.2">
      <c r="AC285" s="49" t="str">
        <f t="shared" si="12"/>
        <v/>
      </c>
      <c r="AD285" s="82" t="str">
        <f t="shared" si="13"/>
        <v/>
      </c>
      <c r="AE285" s="87" t="str">
        <f t="shared" si="14"/>
        <v/>
      </c>
    </row>
    <row r="286" spans="29:31" x14ac:dyDescent="0.2">
      <c r="AC286" s="49" t="str">
        <f t="shared" si="12"/>
        <v/>
      </c>
      <c r="AD286" s="82" t="str">
        <f t="shared" si="13"/>
        <v/>
      </c>
      <c r="AE286" s="87" t="str">
        <f t="shared" si="14"/>
        <v/>
      </c>
    </row>
    <row r="287" spans="29:31" x14ac:dyDescent="0.2">
      <c r="AC287" s="49" t="str">
        <f t="shared" si="12"/>
        <v/>
      </c>
      <c r="AD287" s="82" t="str">
        <f t="shared" si="13"/>
        <v/>
      </c>
      <c r="AE287" s="87" t="str">
        <f t="shared" si="14"/>
        <v/>
      </c>
    </row>
    <row r="288" spans="29:31" x14ac:dyDescent="0.2">
      <c r="AC288" s="49" t="str">
        <f t="shared" si="12"/>
        <v/>
      </c>
      <c r="AD288" s="82" t="str">
        <f t="shared" si="13"/>
        <v/>
      </c>
      <c r="AE288" s="87" t="str">
        <f t="shared" si="14"/>
        <v/>
      </c>
    </row>
    <row r="289" spans="29:31" x14ac:dyDescent="0.2">
      <c r="AC289" s="49" t="str">
        <f t="shared" si="12"/>
        <v/>
      </c>
      <c r="AD289" s="82" t="str">
        <f t="shared" si="13"/>
        <v/>
      </c>
      <c r="AE289" s="87" t="str">
        <f t="shared" si="14"/>
        <v/>
      </c>
    </row>
    <row r="290" spans="29:31" x14ac:dyDescent="0.2">
      <c r="AC290" s="49" t="str">
        <f t="shared" si="12"/>
        <v/>
      </c>
      <c r="AD290" s="82" t="str">
        <f t="shared" si="13"/>
        <v/>
      </c>
      <c r="AE290" s="87" t="str">
        <f t="shared" si="14"/>
        <v/>
      </c>
    </row>
    <row r="291" spans="29:31" x14ac:dyDescent="0.2">
      <c r="AC291" s="49" t="str">
        <f t="shared" si="12"/>
        <v/>
      </c>
      <c r="AD291" s="82" t="str">
        <f t="shared" si="13"/>
        <v/>
      </c>
      <c r="AE291" s="87" t="str">
        <f t="shared" si="14"/>
        <v/>
      </c>
    </row>
    <row r="292" spans="29:31" x14ac:dyDescent="0.2">
      <c r="AC292" s="49" t="str">
        <f t="shared" si="12"/>
        <v/>
      </c>
      <c r="AD292" s="82" t="str">
        <f t="shared" si="13"/>
        <v/>
      </c>
      <c r="AE292" s="87" t="str">
        <f t="shared" si="14"/>
        <v/>
      </c>
    </row>
    <row r="293" spans="29:31" x14ac:dyDescent="0.2">
      <c r="AC293" s="49" t="str">
        <f t="shared" si="12"/>
        <v/>
      </c>
      <c r="AD293" s="82" t="str">
        <f t="shared" si="13"/>
        <v/>
      </c>
      <c r="AE293" s="87" t="str">
        <f t="shared" si="14"/>
        <v/>
      </c>
    </row>
    <row r="294" spans="29:31" x14ac:dyDescent="0.2">
      <c r="AC294" s="49" t="str">
        <f t="shared" si="12"/>
        <v/>
      </c>
      <c r="AD294" s="82" t="str">
        <f t="shared" si="13"/>
        <v/>
      </c>
      <c r="AE294" s="87" t="str">
        <f t="shared" si="14"/>
        <v/>
      </c>
    </row>
    <row r="295" spans="29:31" x14ac:dyDescent="0.2">
      <c r="AC295" s="49" t="str">
        <f t="shared" si="12"/>
        <v/>
      </c>
      <c r="AD295" s="82" t="str">
        <f t="shared" si="13"/>
        <v/>
      </c>
      <c r="AE295" s="87" t="str">
        <f t="shared" si="14"/>
        <v/>
      </c>
    </row>
    <row r="296" spans="29:31" x14ac:dyDescent="0.2">
      <c r="AC296" s="49" t="str">
        <f t="shared" si="12"/>
        <v/>
      </c>
      <c r="AD296" s="82" t="str">
        <f t="shared" si="13"/>
        <v/>
      </c>
      <c r="AE296" s="87" t="str">
        <f t="shared" si="14"/>
        <v/>
      </c>
    </row>
    <row r="297" spans="29:31" x14ac:dyDescent="0.2">
      <c r="AC297" s="49" t="str">
        <f t="shared" si="12"/>
        <v/>
      </c>
      <c r="AD297" s="82" t="str">
        <f t="shared" si="13"/>
        <v/>
      </c>
      <c r="AE297" s="87" t="str">
        <f t="shared" si="14"/>
        <v/>
      </c>
    </row>
    <row r="298" spans="29:31" x14ac:dyDescent="0.2">
      <c r="AC298" s="49" t="str">
        <f t="shared" si="12"/>
        <v/>
      </c>
      <c r="AD298" s="82" t="str">
        <f t="shared" si="13"/>
        <v/>
      </c>
      <c r="AE298" s="87" t="str">
        <f t="shared" si="14"/>
        <v/>
      </c>
    </row>
    <row r="299" spans="29:31" x14ac:dyDescent="0.2">
      <c r="AC299" s="49" t="str">
        <f t="shared" si="12"/>
        <v/>
      </c>
      <c r="AD299" s="82" t="str">
        <f t="shared" si="13"/>
        <v/>
      </c>
      <c r="AE299" s="87" t="str">
        <f t="shared" si="14"/>
        <v/>
      </c>
    </row>
    <row r="300" spans="29:31" x14ac:dyDescent="0.2">
      <c r="AC300" s="49" t="str">
        <f t="shared" si="12"/>
        <v/>
      </c>
      <c r="AD300" s="82" t="str">
        <f t="shared" si="13"/>
        <v/>
      </c>
      <c r="AE300" s="87" t="str">
        <f t="shared" si="14"/>
        <v/>
      </c>
    </row>
    <row r="301" spans="29:31" x14ac:dyDescent="0.2">
      <c r="AC301" s="49" t="str">
        <f t="shared" si="12"/>
        <v/>
      </c>
      <c r="AD301" s="82" t="str">
        <f t="shared" si="13"/>
        <v/>
      </c>
      <c r="AE301" s="87" t="str">
        <f t="shared" si="14"/>
        <v/>
      </c>
    </row>
  </sheetData>
  <sheetProtection algorithmName="SHA-512" hashValue="/gTMTVdFSLaoB54e391qb6ZJvtE54FIN9VPGMflXZIiJJ3gRhPCRYdQ+S8eauhRpfnqYNadSy5uJWXyOBdoOtg==" saltValue="HtYRG1VeWRIE4PLiAf00RA==" spinCount="100000" sheet="1" objects="1" scenarios="1" selectLockedCells="1"/>
  <dataConsolidate link="1"/>
  <mergeCells count="31">
    <mergeCell ref="AF1:AF2"/>
    <mergeCell ref="AG1:AG2"/>
    <mergeCell ref="G23:K23"/>
    <mergeCell ref="D3:E3"/>
    <mergeCell ref="D4:E4"/>
    <mergeCell ref="D5:E5"/>
    <mergeCell ref="G3:O3"/>
    <mergeCell ref="J4:J6"/>
    <mergeCell ref="K4:K6"/>
    <mergeCell ref="L4:L6"/>
    <mergeCell ref="M4:M6"/>
    <mergeCell ref="N4:N6"/>
    <mergeCell ref="O4:O6"/>
    <mergeCell ref="G4:G6"/>
    <mergeCell ref="H4:H6"/>
    <mergeCell ref="I4:I6"/>
    <mergeCell ref="D6:E6"/>
    <mergeCell ref="D15:E15"/>
    <mergeCell ref="G22:K22"/>
    <mergeCell ref="G20:K20"/>
    <mergeCell ref="G19:K19"/>
    <mergeCell ref="D7:E7"/>
    <mergeCell ref="D8:E8"/>
    <mergeCell ref="D9:E9"/>
    <mergeCell ref="D11:E11"/>
    <mergeCell ref="D10:E10"/>
    <mergeCell ref="G18:M18"/>
    <mergeCell ref="D12:E12"/>
    <mergeCell ref="D13:E13"/>
    <mergeCell ref="D14:E14"/>
    <mergeCell ref="G21:K21"/>
  </mergeCells>
  <phoneticPr fontId="0" type="noConversion"/>
  <conditionalFormatting sqref="AE2:AE301">
    <cfRule type="expression" dxfId="489" priority="2" stopIfTrue="1">
      <formula>AD2&lt;&gt;""</formula>
    </cfRule>
  </conditionalFormatting>
  <conditionalFormatting sqref="AC2:AD301">
    <cfRule type="cellIs" dxfId="488" priority="3" stopIfTrue="1" operator="notEqual">
      <formula>""</formula>
    </cfRule>
  </conditionalFormatting>
  <conditionalFormatting sqref="AF3:AG302">
    <cfRule type="expression" dxfId="487" priority="1">
      <formula>NOT(ISBLANK(AF3))</formula>
    </cfRule>
  </conditionalFormatting>
  <dataValidations count="2">
    <dataValidation type="list" allowBlank="1" showErrorMessage="1" errorTitle="Invalid Release Name" error="You must select a Release Name from the provided list." sqref="D27" xr:uid="{00000000-0002-0000-1200-000000000000}">
      <formula1>OFFSET($V$1,0,0,$U$1)</formula1>
    </dataValidation>
    <dataValidation type="list" allowBlank="1" showInputMessage="1" showErrorMessage="1" sqref="U27" xr:uid="{00000000-0002-0000-1200-000001000000}">
      <formula1>"Y,N"</formula1>
    </dataValidation>
  </dataValidations>
  <printOptions headings="1"/>
  <pageMargins left="0.3" right="0.3" top="0.5" bottom="0.5" header="0" footer="0.25"/>
  <pageSetup orientation="portrait" r:id="rId1"/>
  <headerFooter alignWithMargins="0"/>
  <drawing r:id="rId2"/>
  <legacyDrawing r:id="rId3"/>
  <controls>
    <mc:AlternateContent xmlns:mc="http://schemas.openxmlformats.org/markup-compatibility/2006">
      <mc:Choice Requires="x14">
        <control shapeId="414967" r:id="rId4" name="cmdAcceptChanges">
          <controlPr defaultSize="0" autoFill="0" autoLine="0" r:id="rId5">
            <anchor>
              <from>
                <xdr:col>4</xdr:col>
                <xdr:colOff>390525</xdr:colOff>
                <xdr:row>26</xdr:row>
                <xdr:rowOff>104775</xdr:rowOff>
              </from>
              <to>
                <xdr:col>4</xdr:col>
                <xdr:colOff>1609725</xdr:colOff>
                <xdr:row>28</xdr:row>
                <xdr:rowOff>142875</xdr:rowOff>
              </to>
            </anchor>
          </controlPr>
        </control>
      </mc:Choice>
      <mc:Fallback>
        <control shapeId="414967" r:id="rId4" name="cmdAcceptChanges"/>
      </mc:Fallback>
    </mc:AlternateContent>
    <mc:AlternateContent xmlns:mc="http://schemas.openxmlformats.org/markup-compatibility/2006">
      <mc:Choice Requires="x14">
        <control shapeId="414815" r:id="rId6" name="ckbxRel4Fab">
          <controlPr defaultSize="0" autoLine="0" linkedCell="Q32" r:id="rId7">
            <anchor>
              <from>
                <xdr:col>2</xdr:col>
                <xdr:colOff>1038225</xdr:colOff>
                <xdr:row>27</xdr:row>
                <xdr:rowOff>47625</xdr:rowOff>
              </from>
              <to>
                <xdr:col>4</xdr:col>
                <xdr:colOff>114300</xdr:colOff>
                <xdr:row>27</xdr:row>
                <xdr:rowOff>295275</xdr:rowOff>
              </to>
            </anchor>
          </controlPr>
        </control>
      </mc:Choice>
      <mc:Fallback>
        <control shapeId="414815" r:id="rId6" name="ckbxRel4Fab"/>
      </mc:Fallback>
    </mc:AlternateContent>
    <mc:AlternateContent xmlns:mc="http://schemas.openxmlformats.org/markup-compatibility/2006">
      <mc:Choice Requires="x14">
        <control shapeId="414802" r:id="rId8" name="cmdAddView">
          <controlPr defaultSize="0" autoFill="0" autoLine="0" r:id="rId9">
            <anchor moveWithCells="1">
              <from>
                <xdr:col>2</xdr:col>
                <xdr:colOff>523875</xdr:colOff>
                <xdr:row>29</xdr:row>
                <xdr:rowOff>114300</xdr:rowOff>
              </from>
              <to>
                <xdr:col>3</xdr:col>
                <xdr:colOff>809625</xdr:colOff>
                <xdr:row>32</xdr:row>
                <xdr:rowOff>76200</xdr:rowOff>
              </to>
            </anchor>
          </controlPr>
        </control>
      </mc:Choice>
      <mc:Fallback>
        <control shapeId="414802" r:id="rId8" name="cmdAddView"/>
      </mc:Fallback>
    </mc:AlternateContent>
    <mc:AlternateContent xmlns:mc="http://schemas.openxmlformats.org/markup-compatibility/2006">
      <mc:Choice Requires="x14">
        <control shapeId="414826" r:id="rId10" name="cmdDeleteView">
          <controlPr defaultSize="0" disabled="1" autoFill="0" autoLine="0" r:id="rId11">
            <anchor moveWithCells="1">
              <from>
                <xdr:col>3</xdr:col>
                <xdr:colOff>876300</xdr:colOff>
                <xdr:row>29</xdr:row>
                <xdr:rowOff>114300</xdr:rowOff>
              </from>
              <to>
                <xdr:col>4</xdr:col>
                <xdr:colOff>495300</xdr:colOff>
                <xdr:row>32</xdr:row>
                <xdr:rowOff>85725</xdr:rowOff>
              </to>
            </anchor>
          </controlPr>
        </control>
      </mc:Choice>
      <mc:Fallback>
        <control shapeId="414826" r:id="rId10" name="cmdDeleteView"/>
      </mc:Fallback>
    </mc:AlternateContent>
    <mc:AlternateContent xmlns:mc="http://schemas.openxmlformats.org/markup-compatibility/2006">
      <mc:Choice Requires="x14">
        <control shapeId="414910" r:id="rId12" name="ckbxAutoCalcBOM">
          <controlPr defaultSize="0" disabled="1" autoLine="0" r:id="rId13">
            <anchor>
              <from>
                <xdr:col>4</xdr:col>
                <xdr:colOff>342900</xdr:colOff>
                <xdr:row>17</xdr:row>
                <xdr:rowOff>28575</xdr:rowOff>
              </from>
              <to>
                <xdr:col>4</xdr:col>
                <xdr:colOff>1466850</xdr:colOff>
                <xdr:row>18</xdr:row>
                <xdr:rowOff>85725</xdr:rowOff>
              </to>
            </anchor>
          </controlPr>
        </control>
      </mc:Choice>
      <mc:Fallback>
        <control shapeId="414910" r:id="rId12" name="ckbxAutoCalcBOM"/>
      </mc:Fallback>
    </mc:AlternateContent>
    <mc:AlternateContent xmlns:mc="http://schemas.openxmlformats.org/markup-compatibility/2006">
      <mc:Choice Requires="x14">
        <control shapeId="414927" r:id="rId14" name="cmdCreateSeq">
          <controlPr defaultSize="0" disabled="1" autoFill="0" autoLine="0" r:id="rId15">
            <anchor moveWithCells="1">
              <from>
                <xdr:col>2</xdr:col>
                <xdr:colOff>523875</xdr:colOff>
                <xdr:row>32</xdr:row>
                <xdr:rowOff>152400</xdr:rowOff>
              </from>
              <to>
                <xdr:col>3</xdr:col>
                <xdr:colOff>809625</xdr:colOff>
                <xdr:row>35</xdr:row>
                <xdr:rowOff>114300</xdr:rowOff>
              </to>
            </anchor>
          </controlPr>
        </control>
      </mc:Choice>
      <mc:Fallback>
        <control shapeId="414927" r:id="rId14" name="cmdCreateSeq"/>
      </mc:Fallback>
    </mc:AlternateContent>
    <mc:AlternateContent xmlns:mc="http://schemas.openxmlformats.org/markup-compatibility/2006">
      <mc:Choice Requires="x14">
        <control shapeId="414933" r:id="rId16" name="ckbxPrintLedger">
          <controlPr defaultSize="0" autoLine="0" r:id="rId17">
            <anchor moveWithCells="1" sizeWithCells="1">
              <from>
                <xdr:col>4</xdr:col>
                <xdr:colOff>342900</xdr:colOff>
                <xdr:row>19</xdr:row>
                <xdr:rowOff>123825</xdr:rowOff>
              </from>
              <to>
                <xdr:col>4</xdr:col>
                <xdr:colOff>1257300</xdr:colOff>
                <xdr:row>21</xdr:row>
                <xdr:rowOff>9525</xdr:rowOff>
              </to>
            </anchor>
          </controlPr>
        </control>
      </mc:Choice>
      <mc:Fallback>
        <control shapeId="414933" r:id="rId16" name="ckbxPrintLedger"/>
      </mc:Fallback>
    </mc:AlternateContent>
    <mc:AlternateContent xmlns:mc="http://schemas.openxmlformats.org/markup-compatibility/2006">
      <mc:Choice Requires="x14">
        <control shapeId="414934" r:id="rId18" name="ckbxPrint_PTP">
          <controlPr defaultSize="0" autoLine="0" r:id="rId19">
            <anchor moveWithCells="1" sizeWithCells="1">
              <from>
                <xdr:col>4</xdr:col>
                <xdr:colOff>342900</xdr:colOff>
                <xdr:row>20</xdr:row>
                <xdr:rowOff>142875</xdr:rowOff>
              </from>
              <to>
                <xdr:col>4</xdr:col>
                <xdr:colOff>1200150</xdr:colOff>
                <xdr:row>22</xdr:row>
                <xdr:rowOff>28575</xdr:rowOff>
              </to>
            </anchor>
          </controlPr>
        </control>
      </mc:Choice>
      <mc:Fallback>
        <control shapeId="414934" r:id="rId18" name="ckbxPrint_PTP"/>
      </mc:Fallback>
    </mc:AlternateContent>
    <mc:AlternateContent xmlns:mc="http://schemas.openxmlformats.org/markup-compatibility/2006">
      <mc:Choice Requires="x14">
        <control shapeId="414948" r:id="rId20" name="ckbxExpMarg">
          <controlPr defaultSize="0" autoLine="0" r:id="rId21">
            <anchor moveWithCells="1">
              <from>
                <xdr:col>4</xdr:col>
                <xdr:colOff>342900</xdr:colOff>
                <xdr:row>22</xdr:row>
                <xdr:rowOff>0</xdr:rowOff>
              </from>
              <to>
                <xdr:col>4</xdr:col>
                <xdr:colOff>1447800</xdr:colOff>
                <xdr:row>23</xdr:row>
                <xdr:rowOff>57150</xdr:rowOff>
              </to>
            </anchor>
          </controlPr>
        </control>
      </mc:Choice>
      <mc:Fallback>
        <control shapeId="414948" r:id="rId20" name="ckbxExpMarg"/>
      </mc:Fallback>
    </mc:AlternateContent>
    <mc:AlternateContent xmlns:mc="http://schemas.openxmlformats.org/markup-compatibility/2006">
      <mc:Choice Requires="x14">
        <control shapeId="414953" r:id="rId22" name="cmdPRxSeq">
          <controlPr defaultSize="0" autoFill="0" autoLine="0" r:id="rId23">
            <anchor moveWithCells="1">
              <from>
                <xdr:col>3</xdr:col>
                <xdr:colOff>876300</xdr:colOff>
                <xdr:row>32</xdr:row>
                <xdr:rowOff>152400</xdr:rowOff>
              </from>
              <to>
                <xdr:col>4</xdr:col>
                <xdr:colOff>495300</xdr:colOff>
                <xdr:row>35</xdr:row>
                <xdr:rowOff>123825</xdr:rowOff>
              </to>
            </anchor>
          </controlPr>
        </control>
      </mc:Choice>
      <mc:Fallback>
        <control shapeId="414953" r:id="rId22" name="cmdPRxSeq"/>
      </mc:Fallback>
    </mc:AlternateContent>
    <mc:AlternateContent xmlns:mc="http://schemas.openxmlformats.org/markup-compatibility/2006">
      <mc:Choice Requires="x14">
        <control shapeId="414966" r:id="rId24" name="ckbxShowChanges">
          <controlPr defaultSize="0" autoFill="0" autoLine="0" linkedCell="U10" r:id="rId25">
            <anchor>
              <from>
                <xdr:col>4</xdr:col>
                <xdr:colOff>342900</xdr:colOff>
                <xdr:row>24</xdr:row>
                <xdr:rowOff>133350</xdr:rowOff>
              </from>
              <to>
                <xdr:col>4</xdr:col>
                <xdr:colOff>1666875</xdr:colOff>
                <xdr:row>26</xdr:row>
                <xdr:rowOff>38100</xdr:rowOff>
              </to>
            </anchor>
          </controlPr>
        </control>
      </mc:Choice>
      <mc:Fallback>
        <control shapeId="414966" r:id="rId24" name="ckbxShowChanges"/>
      </mc:Fallback>
    </mc:AlternateContent>
    <mc:AlternateContent xmlns:mc="http://schemas.openxmlformats.org/markup-compatibility/2006">
      <mc:Choice Requires="x14">
        <control shapeId="414911" r:id="rId26" name="Group Box 191">
          <controlPr defaultSize="0" autoFill="0" autoPict="0">
            <anchor moveWithCells="1" sizeWithCells="1">
              <from>
                <xdr:col>4</xdr:col>
                <xdr:colOff>228600</xdr:colOff>
                <xdr:row>16</xdr:row>
                <xdr:rowOff>76200</xdr:rowOff>
              </from>
              <to>
                <xdr:col>5</xdr:col>
                <xdr:colOff>76200</xdr:colOff>
                <xdr:row>18</xdr:row>
                <xdr:rowOff>133350</xdr:rowOff>
              </to>
            </anchor>
          </controlPr>
        </control>
      </mc:Choice>
    </mc:AlternateContent>
    <mc:AlternateContent xmlns:mc="http://schemas.openxmlformats.org/markup-compatibility/2006">
      <mc:Choice Requires="x14">
        <control shapeId="414932" r:id="rId27" name="Group Box 212">
          <controlPr defaultSize="0" autoFill="0" autoPict="0">
            <anchor moveWithCells="1" sizeWithCells="1">
              <from>
                <xdr:col>4</xdr:col>
                <xdr:colOff>228600</xdr:colOff>
                <xdr:row>19</xdr:row>
                <xdr:rowOff>57150</xdr:rowOff>
              </from>
              <to>
                <xdr:col>5</xdr:col>
                <xdr:colOff>85725</xdr:colOff>
                <xdr:row>23</xdr:row>
                <xdr:rowOff>66675</xdr:rowOff>
              </to>
            </anchor>
          </controlPr>
        </control>
      </mc:Choice>
    </mc:AlternateContent>
    <mc:AlternateContent xmlns:mc="http://schemas.openxmlformats.org/markup-compatibility/2006">
      <mc:Choice Requires="x14">
        <control shapeId="414955" r:id="rId28" name="Group Box 235">
          <controlPr defaultSize="0" autoFill="0" autoPict="0">
            <anchor moveWithCells="1" sizeWithCells="1">
              <from>
                <xdr:col>1</xdr:col>
                <xdr:colOff>85725</xdr:colOff>
                <xdr:row>16</xdr:row>
                <xdr:rowOff>76200</xdr:rowOff>
              </from>
              <to>
                <xdr:col>3</xdr:col>
                <xdr:colOff>1704975</xdr:colOff>
                <xdr:row>21</xdr:row>
                <xdr:rowOff>66675</xdr:rowOff>
              </to>
            </anchor>
          </controlPr>
        </control>
      </mc:Choice>
    </mc:AlternateContent>
    <mc:AlternateContent xmlns:mc="http://schemas.openxmlformats.org/markup-compatibility/2006">
      <mc:Choice Requires="x14">
        <control shapeId="414956" r:id="rId29" name="Option Button 236">
          <controlPr defaultSize="0" autoFill="0" autoLine="0" autoPict="0">
            <anchor moveWithCells="1" sizeWithCells="1">
              <from>
                <xdr:col>1</xdr:col>
                <xdr:colOff>171450</xdr:colOff>
                <xdr:row>17</xdr:row>
                <xdr:rowOff>9525</xdr:rowOff>
              </from>
              <to>
                <xdr:col>2</xdr:col>
                <xdr:colOff>819150</xdr:colOff>
                <xdr:row>18</xdr:row>
                <xdr:rowOff>57150</xdr:rowOff>
              </to>
            </anchor>
          </controlPr>
        </control>
      </mc:Choice>
    </mc:AlternateContent>
    <mc:AlternateContent xmlns:mc="http://schemas.openxmlformats.org/markup-compatibility/2006">
      <mc:Choice Requires="x14">
        <control shapeId="414957" r:id="rId30" name="Option Button 237">
          <controlPr defaultSize="0" autoFill="0" autoLine="0" autoPict="0">
            <anchor moveWithCells="1" sizeWithCells="1">
              <from>
                <xdr:col>1</xdr:col>
                <xdr:colOff>171450</xdr:colOff>
                <xdr:row>18</xdr:row>
                <xdr:rowOff>57150</xdr:rowOff>
              </from>
              <to>
                <xdr:col>2</xdr:col>
                <xdr:colOff>819150</xdr:colOff>
                <xdr:row>19</xdr:row>
                <xdr:rowOff>104775</xdr:rowOff>
              </to>
            </anchor>
          </controlPr>
        </control>
      </mc:Choice>
    </mc:AlternateContent>
    <mc:AlternateContent xmlns:mc="http://schemas.openxmlformats.org/markup-compatibility/2006">
      <mc:Choice Requires="x14">
        <control shapeId="414958" r:id="rId31" name="Option Button 238">
          <controlPr defaultSize="0" autoFill="0" autoLine="0" autoPict="0">
            <anchor moveWithCells="1" sizeWithCells="1">
              <from>
                <xdr:col>1</xdr:col>
                <xdr:colOff>171450</xdr:colOff>
                <xdr:row>19</xdr:row>
                <xdr:rowOff>114300</xdr:rowOff>
              </from>
              <to>
                <xdr:col>2</xdr:col>
                <xdr:colOff>819150</xdr:colOff>
                <xdr:row>20</xdr:row>
                <xdr:rowOff>171450</xdr:rowOff>
              </to>
            </anchor>
          </controlPr>
        </control>
      </mc:Choice>
    </mc:AlternateContent>
    <mc:AlternateContent xmlns:mc="http://schemas.openxmlformats.org/markup-compatibility/2006">
      <mc:Choice Requires="x14">
        <control shapeId="414959" r:id="rId32" name="Option Button 239">
          <controlPr defaultSize="0" autoFill="0" autoLine="0" autoPict="0">
            <anchor moveWithCells="1" sizeWithCells="1">
              <from>
                <xdr:col>2</xdr:col>
                <xdr:colOff>714375</xdr:colOff>
                <xdr:row>17</xdr:row>
                <xdr:rowOff>9525</xdr:rowOff>
              </from>
              <to>
                <xdr:col>3</xdr:col>
                <xdr:colOff>695325</xdr:colOff>
                <xdr:row>18</xdr:row>
                <xdr:rowOff>57150</xdr:rowOff>
              </to>
            </anchor>
          </controlPr>
        </control>
      </mc:Choice>
    </mc:AlternateContent>
    <mc:AlternateContent xmlns:mc="http://schemas.openxmlformats.org/markup-compatibility/2006">
      <mc:Choice Requires="x14">
        <control shapeId="414960" r:id="rId33" name="Option Button 240">
          <controlPr defaultSize="0" autoFill="0" autoLine="0" autoPict="0">
            <anchor moveWithCells="1" sizeWithCells="1">
              <from>
                <xdr:col>2</xdr:col>
                <xdr:colOff>714375</xdr:colOff>
                <xdr:row>18</xdr:row>
                <xdr:rowOff>57150</xdr:rowOff>
              </from>
              <to>
                <xdr:col>3</xdr:col>
                <xdr:colOff>695325</xdr:colOff>
                <xdr:row>19</xdr:row>
                <xdr:rowOff>104775</xdr:rowOff>
              </to>
            </anchor>
          </controlPr>
        </control>
      </mc:Choice>
    </mc:AlternateContent>
    <mc:AlternateContent xmlns:mc="http://schemas.openxmlformats.org/markup-compatibility/2006">
      <mc:Choice Requires="x14">
        <control shapeId="414961" r:id="rId34" name="Option Button 241">
          <controlPr defaultSize="0" autoFill="0" autoLine="0" autoPict="0">
            <anchor moveWithCells="1" sizeWithCells="1">
              <from>
                <xdr:col>2</xdr:col>
                <xdr:colOff>714375</xdr:colOff>
                <xdr:row>19</xdr:row>
                <xdr:rowOff>114300</xdr:rowOff>
              </from>
              <to>
                <xdr:col>3</xdr:col>
                <xdr:colOff>695325</xdr:colOff>
                <xdr:row>20</xdr:row>
                <xdr:rowOff>171450</xdr:rowOff>
              </to>
            </anchor>
          </controlPr>
        </control>
      </mc:Choice>
    </mc:AlternateContent>
    <mc:AlternateContent xmlns:mc="http://schemas.openxmlformats.org/markup-compatibility/2006">
      <mc:Choice Requires="x14">
        <control shapeId="414962" r:id="rId35" name="Option Button 242">
          <controlPr defaultSize="0" autoFill="0" autoLine="0" autoPict="0">
            <anchor moveWithCells="1" sizeWithCells="1">
              <from>
                <xdr:col>3</xdr:col>
                <xdr:colOff>590550</xdr:colOff>
                <xdr:row>17</xdr:row>
                <xdr:rowOff>9525</xdr:rowOff>
              </from>
              <to>
                <xdr:col>3</xdr:col>
                <xdr:colOff>1619250</xdr:colOff>
                <xdr:row>18</xdr:row>
                <xdr:rowOff>57150</xdr:rowOff>
              </to>
            </anchor>
          </controlPr>
        </control>
      </mc:Choice>
    </mc:AlternateContent>
    <mc:AlternateContent xmlns:mc="http://schemas.openxmlformats.org/markup-compatibility/2006">
      <mc:Choice Requires="x14">
        <control shapeId="414963" r:id="rId36" name="Option Button 243">
          <controlPr defaultSize="0" autoFill="0" autoLine="0" autoPict="0">
            <anchor moveWithCells="1" sizeWithCells="1">
              <from>
                <xdr:col>3</xdr:col>
                <xdr:colOff>590550</xdr:colOff>
                <xdr:row>18</xdr:row>
                <xdr:rowOff>57150</xdr:rowOff>
              </from>
              <to>
                <xdr:col>3</xdr:col>
                <xdr:colOff>1619250</xdr:colOff>
                <xdr:row>19</xdr:row>
                <xdr:rowOff>104775</xdr:rowOff>
              </to>
            </anchor>
          </controlPr>
        </control>
      </mc:Choice>
    </mc:AlternateContent>
    <mc:AlternateContent xmlns:mc="http://schemas.openxmlformats.org/markup-compatibility/2006">
      <mc:Choice Requires="x14">
        <control shapeId="414964" r:id="rId37" name="Option Button 244">
          <controlPr defaultSize="0" autoFill="0" autoLine="0" autoPict="0">
            <anchor moveWithCells="1" sizeWithCells="1">
              <from>
                <xdr:col>3</xdr:col>
                <xdr:colOff>590550</xdr:colOff>
                <xdr:row>19</xdr:row>
                <xdr:rowOff>114300</xdr:rowOff>
              </from>
              <to>
                <xdr:col>3</xdr:col>
                <xdr:colOff>1619250</xdr:colOff>
                <xdr:row>20</xdr:row>
                <xdr:rowOff>171450</xdr:rowOff>
              </to>
            </anchor>
          </controlPr>
        </control>
      </mc:Choice>
    </mc:AlternateContent>
    <mc:AlternateContent xmlns:mc="http://schemas.openxmlformats.org/markup-compatibility/2006">
      <mc:Choice Requires="x14">
        <control shapeId="414970" r:id="rId38" name="Group Box 250">
          <controlPr defaultSize="0" autoFill="0" autoPict="0">
            <anchor>
              <from>
                <xdr:col>4</xdr:col>
                <xdr:colOff>228600</xdr:colOff>
                <xdr:row>24</xdr:row>
                <xdr:rowOff>0</xdr:rowOff>
              </from>
              <to>
                <xdr:col>5</xdr:col>
                <xdr:colOff>85725</xdr:colOff>
                <xdr:row>29</xdr:row>
                <xdr:rowOff>47625</xdr:rowOff>
              </to>
            </anchor>
          </controlPr>
        </control>
      </mc:Choice>
    </mc:AlternateContent>
  </controls>
  <tableParts count="1">
    <tablePart r:id="rId39"/>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39D79-71BC-4241-9203-79A6865B10CD}">
  <sheetPr codeName="Sheet31">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822">
        <f>IF(ISBLANK('Job Info.'!D8),"",'Job Info.'!D8)</f>
        <v>45048</v>
      </c>
      <c r="G1" s="1822"/>
      <c r="H1" s="374"/>
    </row>
    <row r="2" spans="1:8" ht="39.950000000000003" customHeight="1" x14ac:dyDescent="0.2">
      <c r="A2" s="18" t="s">
        <v>41</v>
      </c>
      <c r="B2" s="374"/>
      <c r="C2" s="374"/>
      <c r="D2" s="374"/>
      <c r="E2" s="460" t="s">
        <v>21</v>
      </c>
      <c r="F2" s="541">
        <v>2</v>
      </c>
      <c r="G2" s="541">
        <v>2</v>
      </c>
      <c r="H2" s="374"/>
    </row>
    <row r="3" spans="1:8" ht="6" customHeight="1" x14ac:dyDescent="0.2">
      <c r="A3" s="374"/>
      <c r="B3" s="374"/>
      <c r="C3" s="374"/>
      <c r="D3" s="374"/>
      <c r="E3" s="374"/>
      <c r="F3" s="374"/>
      <c r="G3" s="374"/>
      <c r="H3" s="374"/>
    </row>
    <row r="4" spans="1:8" ht="15.95" customHeight="1" x14ac:dyDescent="0.2">
      <c r="A4" s="471" t="s">
        <v>1</v>
      </c>
      <c r="B4" s="1824" t="str">
        <f>IF(ISBLANK('Job Info.'!D3),"",'Job Info.'!D3)</f>
        <v>MINDEN UPS BLDG 1</v>
      </c>
      <c r="C4" s="1825"/>
      <c r="D4" s="471" t="s">
        <v>2</v>
      </c>
      <c r="E4" s="1824" t="str">
        <f>IF(ISBLANK('Job Info.'!D5),"",'Job Info.'!D5)</f>
        <v>NN22-0071</v>
      </c>
      <c r="F4" s="1824"/>
      <c r="G4" s="1824"/>
      <c r="H4" s="1825"/>
    </row>
    <row r="5" spans="1:8" ht="15.95" customHeight="1" x14ac:dyDescent="0.2">
      <c r="A5" s="471" t="s">
        <v>3</v>
      </c>
      <c r="B5" s="1824" t="str">
        <f>IF(ISBLANK('Job Info.'!D4),"",'Job Info.'!D4)</f>
        <v>MINDEN, NV</v>
      </c>
      <c r="C5" s="1825"/>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823" t="s">
        <v>15</v>
      </c>
      <c r="C7" s="1823"/>
      <c r="D7" s="1823"/>
      <c r="E7" s="1823"/>
      <c r="F7" s="1823"/>
      <c r="G7" s="1823"/>
      <c r="H7" s="1823"/>
    </row>
    <row r="8" spans="1:8" ht="15" customHeight="1" x14ac:dyDescent="0.2">
      <c r="A8" s="1051" t="s">
        <v>1404</v>
      </c>
      <c r="B8" s="1828" t="s">
        <v>1588</v>
      </c>
      <c r="C8" s="1828"/>
      <c r="D8" s="1828"/>
      <c r="E8" s="1828"/>
      <c r="F8" s="1828"/>
      <c r="G8" s="1828"/>
      <c r="H8" s="1828"/>
    </row>
    <row r="9" spans="1:8" ht="15" customHeight="1" x14ac:dyDescent="0.2">
      <c r="A9" s="1052"/>
      <c r="B9" s="1827" t="s">
        <v>1589</v>
      </c>
      <c r="C9" s="1827"/>
      <c r="D9" s="1827"/>
      <c r="E9" s="1827"/>
      <c r="F9" s="1827"/>
      <c r="G9" s="1827"/>
      <c r="H9" s="1827"/>
    </row>
    <row r="10" spans="1:8" ht="15" customHeight="1" x14ac:dyDescent="0.2">
      <c r="A10" s="1052" t="s">
        <v>1405</v>
      </c>
      <c r="B10" s="1827" t="s">
        <v>1590</v>
      </c>
      <c r="C10" s="1827"/>
      <c r="D10" s="1827"/>
      <c r="E10" s="1827"/>
      <c r="F10" s="1827"/>
      <c r="G10" s="1827"/>
      <c r="H10" s="1827"/>
    </row>
    <row r="11" spans="1:8" ht="15" customHeight="1" x14ac:dyDescent="0.2">
      <c r="A11" s="1052"/>
      <c r="B11" s="1827" t="s">
        <v>1591</v>
      </c>
      <c r="C11" s="1827"/>
      <c r="D11" s="1827"/>
      <c r="E11" s="1827"/>
      <c r="F11" s="1827"/>
      <c r="G11" s="1827"/>
      <c r="H11" s="1827"/>
    </row>
    <row r="12" spans="1:8" ht="15" customHeight="1" x14ac:dyDescent="0.2">
      <c r="A12" s="1052" t="s">
        <v>1409</v>
      </c>
      <c r="B12" s="1827" t="s">
        <v>1588</v>
      </c>
      <c r="C12" s="1827"/>
      <c r="D12" s="1827"/>
      <c r="E12" s="1827"/>
      <c r="F12" s="1827"/>
      <c r="G12" s="1827"/>
      <c r="H12" s="1827"/>
    </row>
    <row r="13" spans="1:8" ht="15" customHeight="1" x14ac:dyDescent="0.2">
      <c r="A13" s="1052"/>
      <c r="B13" s="1827" t="s">
        <v>1589</v>
      </c>
      <c r="C13" s="1827"/>
      <c r="D13" s="1827"/>
      <c r="E13" s="1827"/>
      <c r="F13" s="1827"/>
      <c r="G13" s="1827"/>
      <c r="H13" s="1827"/>
    </row>
    <row r="14" spans="1:8" ht="15" customHeight="1" x14ac:dyDescent="0.2">
      <c r="A14" s="1052" t="s">
        <v>1410</v>
      </c>
      <c r="B14" s="1827" t="s">
        <v>1590</v>
      </c>
      <c r="C14" s="1827"/>
      <c r="D14" s="1827"/>
      <c r="E14" s="1827"/>
      <c r="F14" s="1827"/>
      <c r="G14" s="1827"/>
      <c r="H14" s="1827"/>
    </row>
    <row r="15" spans="1:8" ht="15" customHeight="1" x14ac:dyDescent="0.2">
      <c r="A15" s="1052"/>
      <c r="B15" s="1827" t="s">
        <v>1591</v>
      </c>
      <c r="C15" s="1827"/>
      <c r="D15" s="1827"/>
      <c r="E15" s="1827"/>
      <c r="F15" s="1827"/>
      <c r="G15" s="1827"/>
      <c r="H15" s="1827"/>
    </row>
    <row r="16" spans="1:8" ht="15" customHeight="1" x14ac:dyDescent="0.2">
      <c r="A16" s="1052" t="s">
        <v>1414</v>
      </c>
      <c r="B16" s="1827" t="s">
        <v>1588</v>
      </c>
      <c r="C16" s="1827"/>
      <c r="D16" s="1827"/>
      <c r="E16" s="1827"/>
      <c r="F16" s="1827"/>
      <c r="G16" s="1827"/>
      <c r="H16" s="1827"/>
    </row>
    <row r="17" spans="1:8" ht="15" customHeight="1" x14ac:dyDescent="0.2">
      <c r="A17" s="1052"/>
      <c r="B17" s="1827" t="s">
        <v>1589</v>
      </c>
      <c r="C17" s="1827"/>
      <c r="D17" s="1827"/>
      <c r="E17" s="1827"/>
      <c r="F17" s="1827"/>
      <c r="G17" s="1827"/>
      <c r="H17" s="1827"/>
    </row>
    <row r="18" spans="1:8" ht="15" customHeight="1" x14ac:dyDescent="0.2">
      <c r="A18" s="1052" t="s">
        <v>1415</v>
      </c>
      <c r="B18" s="1827" t="s">
        <v>1590</v>
      </c>
      <c r="C18" s="1827"/>
      <c r="D18" s="1827"/>
      <c r="E18" s="1827"/>
      <c r="F18" s="1827"/>
      <c r="G18" s="1827"/>
      <c r="H18" s="1827"/>
    </row>
    <row r="19" spans="1:8" ht="15" customHeight="1" x14ac:dyDescent="0.2">
      <c r="A19" s="1052"/>
      <c r="B19" s="1827" t="s">
        <v>1591</v>
      </c>
      <c r="C19" s="1827"/>
      <c r="D19" s="1827"/>
      <c r="E19" s="1827"/>
      <c r="F19" s="1827"/>
      <c r="G19" s="1827"/>
      <c r="H19" s="1827"/>
    </row>
    <row r="20" spans="1:8" ht="15" customHeight="1" x14ac:dyDescent="0.2">
      <c r="A20" s="1052" t="s">
        <v>1420</v>
      </c>
      <c r="B20" s="1827" t="s">
        <v>1588</v>
      </c>
      <c r="C20" s="1827"/>
      <c r="D20" s="1827"/>
      <c r="E20" s="1827"/>
      <c r="F20" s="1827"/>
      <c r="G20" s="1827"/>
      <c r="H20" s="1827"/>
    </row>
    <row r="21" spans="1:8" ht="15" customHeight="1" x14ac:dyDescent="0.2">
      <c r="A21" s="1052"/>
      <c r="B21" s="1827" t="s">
        <v>1589</v>
      </c>
      <c r="C21" s="1827"/>
      <c r="D21" s="1827"/>
      <c r="E21" s="1827"/>
      <c r="F21" s="1827"/>
      <c r="G21" s="1827"/>
      <c r="H21" s="1827"/>
    </row>
    <row r="22" spans="1:8" ht="15" customHeight="1" x14ac:dyDescent="0.2">
      <c r="A22" s="1052" t="s">
        <v>1421</v>
      </c>
      <c r="B22" s="1827" t="s">
        <v>1590</v>
      </c>
      <c r="C22" s="1827"/>
      <c r="D22" s="1827"/>
      <c r="E22" s="1827"/>
      <c r="F22" s="1827"/>
      <c r="G22" s="1827"/>
      <c r="H22" s="1827"/>
    </row>
    <row r="23" spans="1:8" ht="15" customHeight="1" x14ac:dyDescent="0.2">
      <c r="A23" s="1052"/>
      <c r="B23" s="1827" t="s">
        <v>1591</v>
      </c>
      <c r="C23" s="1827"/>
      <c r="D23" s="1827"/>
      <c r="E23" s="1827"/>
      <c r="F23" s="1827"/>
      <c r="G23" s="1827"/>
      <c r="H23" s="1827"/>
    </row>
    <row r="24" spans="1:8" ht="15" customHeight="1" x14ac:dyDescent="0.2">
      <c r="A24" s="1052" t="s">
        <v>1423</v>
      </c>
      <c r="B24" s="1827" t="s">
        <v>1588</v>
      </c>
      <c r="C24" s="1827"/>
      <c r="D24" s="1827"/>
      <c r="E24" s="1827"/>
      <c r="F24" s="1827"/>
      <c r="G24" s="1827"/>
      <c r="H24" s="1827"/>
    </row>
    <row r="25" spans="1:8" ht="15" customHeight="1" x14ac:dyDescent="0.2">
      <c r="A25" s="1052"/>
      <c r="B25" s="1827" t="s">
        <v>1589</v>
      </c>
      <c r="C25" s="1827"/>
      <c r="D25" s="1827"/>
      <c r="E25" s="1827"/>
      <c r="F25" s="1827"/>
      <c r="G25" s="1827"/>
      <c r="H25" s="1827"/>
    </row>
    <row r="26" spans="1:8" ht="15" customHeight="1" x14ac:dyDescent="0.2">
      <c r="A26" s="1052" t="s">
        <v>1424</v>
      </c>
      <c r="B26" s="1827" t="s">
        <v>1590</v>
      </c>
      <c r="C26" s="1827"/>
      <c r="D26" s="1827"/>
      <c r="E26" s="1827"/>
      <c r="F26" s="1827"/>
      <c r="G26" s="1827"/>
      <c r="H26" s="1827"/>
    </row>
    <row r="27" spans="1:8" ht="15" customHeight="1" x14ac:dyDescent="0.2">
      <c r="A27" s="1052"/>
      <c r="B27" s="1827" t="s">
        <v>1591</v>
      </c>
      <c r="C27" s="1827"/>
      <c r="D27" s="1827"/>
      <c r="E27" s="1827"/>
      <c r="F27" s="1827"/>
      <c r="G27" s="1827"/>
      <c r="H27" s="1827"/>
    </row>
    <row r="28" spans="1:8" ht="15" customHeight="1" x14ac:dyDescent="0.2">
      <c r="A28" s="1052" t="s">
        <v>1425</v>
      </c>
      <c r="B28" s="1827" t="s">
        <v>1588</v>
      </c>
      <c r="C28" s="1827"/>
      <c r="D28" s="1827"/>
      <c r="E28" s="1827"/>
      <c r="F28" s="1827"/>
      <c r="G28" s="1827"/>
      <c r="H28" s="1827"/>
    </row>
    <row r="29" spans="1:8" ht="15" customHeight="1" x14ac:dyDescent="0.2">
      <c r="A29" s="1052"/>
      <c r="B29" s="1827" t="s">
        <v>1589</v>
      </c>
      <c r="C29" s="1827"/>
      <c r="D29" s="1827"/>
      <c r="E29" s="1827"/>
      <c r="F29" s="1827"/>
      <c r="G29" s="1827"/>
      <c r="H29" s="1827"/>
    </row>
    <row r="30" spans="1:8" ht="15" customHeight="1" x14ac:dyDescent="0.2">
      <c r="A30" s="1052" t="s">
        <v>1426</v>
      </c>
      <c r="B30" s="1827" t="s">
        <v>1590</v>
      </c>
      <c r="C30" s="1827"/>
      <c r="D30" s="1827"/>
      <c r="E30" s="1827"/>
      <c r="F30" s="1827"/>
      <c r="G30" s="1827"/>
      <c r="H30" s="1827"/>
    </row>
    <row r="31" spans="1:8" ht="15" customHeight="1" x14ac:dyDescent="0.2">
      <c r="A31" s="1052"/>
      <c r="B31" s="1827" t="s">
        <v>1591</v>
      </c>
      <c r="C31" s="1827"/>
      <c r="D31" s="1827"/>
      <c r="E31" s="1827"/>
      <c r="F31" s="1827"/>
      <c r="G31" s="1827"/>
      <c r="H31" s="1827"/>
    </row>
    <row r="32" spans="1:8" ht="15" customHeight="1" x14ac:dyDescent="0.2">
      <c r="A32" s="1052" t="s">
        <v>1427</v>
      </c>
      <c r="B32" s="1827" t="s">
        <v>1590</v>
      </c>
      <c r="C32" s="1827"/>
      <c r="D32" s="1827"/>
      <c r="E32" s="1827"/>
      <c r="F32" s="1827"/>
      <c r="G32" s="1827"/>
      <c r="H32" s="1827"/>
    </row>
    <row r="33" spans="1:8" ht="15" customHeight="1" x14ac:dyDescent="0.2">
      <c r="A33" s="1052"/>
      <c r="B33" s="1827" t="s">
        <v>1591</v>
      </c>
      <c r="C33" s="1827"/>
      <c r="D33" s="1827"/>
      <c r="E33" s="1827"/>
      <c r="F33" s="1827"/>
      <c r="G33" s="1827"/>
      <c r="H33" s="1827"/>
    </row>
    <row r="34" spans="1:8" ht="15" customHeight="1" x14ac:dyDescent="0.2">
      <c r="A34" s="1052" t="s">
        <v>1429</v>
      </c>
      <c r="B34" s="1827" t="s">
        <v>1590</v>
      </c>
      <c r="C34" s="1827"/>
      <c r="D34" s="1827"/>
      <c r="E34" s="1827"/>
      <c r="F34" s="1827"/>
      <c r="G34" s="1827"/>
      <c r="H34" s="1827"/>
    </row>
    <row r="35" spans="1:8" ht="15" customHeight="1" x14ac:dyDescent="0.2">
      <c r="A35" s="1052"/>
      <c r="B35" s="1827" t="s">
        <v>1591</v>
      </c>
      <c r="C35" s="1827"/>
      <c r="D35" s="1827"/>
      <c r="E35" s="1827"/>
      <c r="F35" s="1827"/>
      <c r="G35" s="1827"/>
      <c r="H35" s="1827"/>
    </row>
    <row r="36" spans="1:8" ht="15" customHeight="1" x14ac:dyDescent="0.2">
      <c r="A36" s="1052"/>
      <c r="B36" s="1827"/>
      <c r="C36" s="1827"/>
      <c r="D36" s="1827"/>
      <c r="E36" s="1827"/>
      <c r="F36" s="1827"/>
      <c r="G36" s="1827"/>
      <c r="H36" s="1827"/>
    </row>
    <row r="37" spans="1:8" ht="15" customHeight="1" x14ac:dyDescent="0.2">
      <c r="A37" s="1052"/>
      <c r="B37" s="1827"/>
      <c r="C37" s="1827"/>
      <c r="D37" s="1827"/>
      <c r="E37" s="1827"/>
      <c r="F37" s="1827"/>
      <c r="G37" s="1827"/>
      <c r="H37" s="1827"/>
    </row>
    <row r="38" spans="1:8" ht="15" customHeight="1" x14ac:dyDescent="0.2">
      <c r="A38" s="1052"/>
      <c r="B38" s="1827"/>
      <c r="C38" s="1827"/>
      <c r="D38" s="1827"/>
      <c r="E38" s="1827"/>
      <c r="F38" s="1827"/>
      <c r="G38" s="1827"/>
      <c r="H38" s="1827"/>
    </row>
    <row r="39" spans="1:8" ht="15" customHeight="1" x14ac:dyDescent="0.2">
      <c r="A39" s="1052"/>
      <c r="B39" s="1827"/>
      <c r="C39" s="1827"/>
      <c r="D39" s="1827"/>
      <c r="E39" s="1827"/>
      <c r="F39" s="1827"/>
      <c r="G39" s="1827"/>
      <c r="H39" s="1827"/>
    </row>
    <row r="40" spans="1:8" ht="15" customHeight="1" x14ac:dyDescent="0.2">
      <c r="A40" s="1052"/>
      <c r="B40" s="1827"/>
      <c r="C40" s="1827"/>
      <c r="D40" s="1827"/>
      <c r="E40" s="1827"/>
      <c r="F40" s="1827"/>
      <c r="G40" s="1827"/>
      <c r="H40" s="1827"/>
    </row>
    <row r="41" spans="1:8" ht="15" customHeight="1" x14ac:dyDescent="0.2">
      <c r="A41" s="1052"/>
      <c r="B41" s="1827"/>
      <c r="C41" s="1827"/>
      <c r="D41" s="1827"/>
      <c r="E41" s="1827"/>
      <c r="F41" s="1827"/>
      <c r="G41" s="1827"/>
      <c r="H41" s="1827"/>
    </row>
    <row r="42" spans="1:8" ht="15" customHeight="1" x14ac:dyDescent="0.2">
      <c r="A42" s="1052"/>
      <c r="B42" s="1827"/>
      <c r="C42" s="1827"/>
      <c r="D42" s="1827"/>
      <c r="E42" s="1827"/>
      <c r="F42" s="1827"/>
      <c r="G42" s="1827"/>
      <c r="H42" s="1827"/>
    </row>
    <row r="43" spans="1:8" ht="15" customHeight="1" x14ac:dyDescent="0.2">
      <c r="A43" s="1052"/>
      <c r="B43" s="1827"/>
      <c r="C43" s="1827"/>
      <c r="D43" s="1827"/>
      <c r="E43" s="1827"/>
      <c r="F43" s="1827"/>
      <c r="G43" s="1827"/>
      <c r="H43" s="1827"/>
    </row>
    <row r="44" spans="1:8" ht="15" customHeight="1" x14ac:dyDescent="0.2">
      <c r="A44" s="1052"/>
      <c r="B44" s="1827"/>
      <c r="C44" s="1827"/>
      <c r="D44" s="1827"/>
      <c r="E44" s="1827"/>
      <c r="F44" s="1827"/>
      <c r="G44" s="1827"/>
      <c r="H44" s="1827"/>
    </row>
    <row r="45" spans="1:8" ht="15" customHeight="1" x14ac:dyDescent="0.2">
      <c r="A45" s="1052"/>
      <c r="B45" s="1827"/>
      <c r="C45" s="1827"/>
      <c r="D45" s="1827"/>
      <c r="E45" s="1827"/>
      <c r="F45" s="1827"/>
      <c r="G45" s="1827"/>
      <c r="H45" s="1827"/>
    </row>
    <row r="46" spans="1:8" ht="15" customHeight="1" x14ac:dyDescent="0.2">
      <c r="A46" s="1052"/>
      <c r="B46" s="1827"/>
      <c r="C46" s="1827"/>
      <c r="D46" s="1827"/>
      <c r="E46" s="1827"/>
      <c r="F46" s="1827"/>
      <c r="G46" s="1827"/>
      <c r="H46" s="1827"/>
    </row>
    <row r="47" spans="1:8" ht="15" customHeight="1" x14ac:dyDescent="0.2">
      <c r="A47" s="1053"/>
      <c r="B47" s="1826"/>
      <c r="C47" s="1826"/>
      <c r="D47" s="1826"/>
      <c r="E47" s="1826"/>
      <c r="F47" s="1826"/>
      <c r="G47" s="1826"/>
      <c r="H47" s="1826"/>
    </row>
    <row r="59" spans="1:1" x14ac:dyDescent="0.2">
      <c r="A59" s="633" t="s">
        <v>1019</v>
      </c>
    </row>
    <row r="60" spans="1:1" hidden="1" x14ac:dyDescent="0.2">
      <c r="A60" s="892" t="s">
        <v>148</v>
      </c>
    </row>
    <row r="61" spans="1:1" hidden="1" x14ac:dyDescent="0.2">
      <c r="A61" s="894" t="s">
        <v>1611</v>
      </c>
    </row>
    <row r="62" spans="1:1" hidden="1" x14ac:dyDescent="0.2"/>
    <row r="63" spans="1:1" hidden="1" x14ac:dyDescent="0.2"/>
    <row r="64" spans="1:1" hidden="1" x14ac:dyDescent="0.2"/>
    <row r="65" spans="1:1" x14ac:dyDescent="0.2">
      <c r="A65" s="633" t="s">
        <v>1020</v>
      </c>
    </row>
  </sheetData>
  <sheetProtection algorithmName="SHA-512" hashValue="rMBqs5UAWTrxq6PEgBVXvk4WJjNSExHyk8PoTx1ZCBdIfCLzPHX1M1wIXHl8TJCP71Zd5xTDYRgj/B7JuNHzpw==" saltValue="G+wLdomARNJMIcnVRopDgg=="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85C1F-469A-40F6-A99D-48B3E45163D3}">
  <sheetPr codeName="Sheet37">
    <tabColor rgb="FFFF6600"/>
  </sheetPr>
  <dimension ref="A1:V100"/>
  <sheetViews>
    <sheetView showGridLines="0" zoomScaleNormal="100" zoomScaleSheetLayoutView="100" workbookViewId="0">
      <selection activeCell="A11" sqref="A11"/>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48" t="str">
        <f>IF(L1="","",VLOOKUP(L1,'Job Info.'!X:AA,4,FALSE))</f>
        <v>Master</v>
      </c>
      <c r="E1" s="1848"/>
      <c r="F1" s="1848"/>
      <c r="G1" s="1849" t="s">
        <v>95</v>
      </c>
      <c r="H1" s="1850"/>
      <c r="I1" s="1851" t="str">
        <f ca="1">'Job Info.'!D12</f>
        <v>775-428-0600</v>
      </c>
      <c r="J1" s="1852"/>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53" t="str">
        <f>IF(L1="","",IF(VLOOKUP(L1,'Job Info.'!X:Z,2,FALSE),"Released for Fabrication",""))</f>
        <v/>
      </c>
      <c r="E2" s="1854"/>
      <c r="F2" s="1855"/>
      <c r="G2" s="1849" t="s">
        <v>96</v>
      </c>
      <c r="H2" s="1849"/>
      <c r="I2" s="1851" t="str">
        <f ca="1">'Job Info.'!D13</f>
        <v>775-867-2140</v>
      </c>
      <c r="J2" s="1852"/>
      <c r="S2" s="633"/>
      <c r="T2" s="633" t="s">
        <v>1267</v>
      </c>
    </row>
    <row r="3" spans="1:22" ht="12.95" customHeight="1" x14ac:dyDescent="0.2">
      <c r="A3" s="374"/>
      <c r="B3" s="374"/>
      <c r="C3" s="374"/>
      <c r="D3" s="1856"/>
      <c r="E3" s="1857"/>
      <c r="F3" s="1858"/>
      <c r="G3" s="1849" t="s">
        <v>98</v>
      </c>
      <c r="H3" s="1849"/>
      <c r="I3" s="1851" t="str">
        <f ca="1">'Job Info.'!D14</f>
        <v>775-867-2169</v>
      </c>
      <c r="J3" s="1852"/>
      <c r="S3" s="633"/>
      <c r="T3" s="633" t="s">
        <v>1268</v>
      </c>
    </row>
    <row r="4" spans="1:22" ht="12.95" customHeight="1" thickBot="1" x14ac:dyDescent="0.25">
      <c r="A4" s="374"/>
      <c r="B4" s="374"/>
      <c r="C4" s="374"/>
      <c r="D4" s="1859" t="str">
        <f>IF(L1="","",IF(VLOOKUP(L1,'Job Info.'!X:Z,2,FALSE),VLOOKUP(L1,'Job Info.'!X:Z,3,FALSE),""))</f>
        <v/>
      </c>
      <c r="E4" s="1860"/>
      <c r="F4" s="1861"/>
      <c r="G4" s="1849" t="s">
        <v>97</v>
      </c>
      <c r="H4" s="1849"/>
      <c r="I4" s="1851" t="str">
        <f ca="1">'Job Info.'!D15</f>
        <v>775-867-2060</v>
      </c>
      <c r="J4" s="1852"/>
      <c r="S4" s="633"/>
      <c r="T4" s="633" t="s">
        <v>1269</v>
      </c>
    </row>
    <row r="5" spans="1:22" ht="12.95" customHeight="1" thickTop="1" x14ac:dyDescent="0.2">
      <c r="A5" s="1862" t="str">
        <f ca="1">'Job Info.'!D11</f>
        <v>8200 Woolery Way | Fallon, NV 89406 | www.newmill.com</v>
      </c>
      <c r="B5" s="1862"/>
      <c r="C5" s="1862"/>
      <c r="D5" s="1862"/>
      <c r="E5" s="1862"/>
      <c r="F5" s="1862"/>
      <c r="G5" s="233"/>
      <c r="H5" s="374"/>
      <c r="I5" s="374"/>
      <c r="J5" s="374"/>
      <c r="S5" s="633"/>
      <c r="T5" s="633" t="s">
        <v>1270</v>
      </c>
    </row>
    <row r="6" spans="1:22" ht="12.95" customHeight="1" x14ac:dyDescent="0.2">
      <c r="A6" s="374"/>
      <c r="B6" s="374"/>
      <c r="C6" s="374"/>
      <c r="D6" s="374"/>
      <c r="E6" s="374"/>
      <c r="F6" s="374"/>
      <c r="G6" s="462" t="s">
        <v>20</v>
      </c>
      <c r="H6" s="1863">
        <f>IF(ISBLANK('Job Info.'!D8),"",'Job Info.'!D8)</f>
        <v>45048</v>
      </c>
      <c r="I6" s="1863"/>
      <c r="J6" s="374"/>
      <c r="L6" s="503" t="s">
        <v>1132</v>
      </c>
      <c r="M6" s="381"/>
      <c r="N6" s="381"/>
      <c r="T6" s="633" t="s">
        <v>1272</v>
      </c>
    </row>
    <row r="7" spans="1:22" ht="12.95" customHeight="1" x14ac:dyDescent="0.2">
      <c r="A7" s="395" t="s">
        <v>42</v>
      </c>
      <c r="B7" s="374"/>
      <c r="C7" s="374"/>
      <c r="D7" s="374"/>
      <c r="E7" s="374"/>
      <c r="F7" s="476"/>
      <c r="G7" s="462" t="s">
        <v>21</v>
      </c>
      <c r="H7" s="1177" t="str">
        <f>CONCATENATE(L7, " of ",IF(ISBLANK('Job Info.'!D9),"",'Job Info.'!D9))</f>
        <v>1 of 19</v>
      </c>
      <c r="I7" s="658"/>
      <c r="J7" s="374"/>
      <c r="L7" s="1084">
        <v>1</v>
      </c>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24" t="str">
        <f>IF(ISBLANK('Job Info.'!D3),"",'Job Info.'!D3)</f>
        <v>MINDEN UPS BLDG 1</v>
      </c>
      <c r="C9" s="1824"/>
      <c r="D9" s="1825"/>
      <c r="E9" s="481"/>
      <c r="F9" s="482" t="s">
        <v>2</v>
      </c>
      <c r="G9" s="1824" t="str">
        <f>IF(ISBLANK('Job Info.'!D5),"",'Job Info.'!D5)</f>
        <v>NN22-0071</v>
      </c>
      <c r="H9" s="1824"/>
      <c r="I9" s="1824"/>
      <c r="J9" s="1825"/>
      <c r="L9" s="381"/>
      <c r="T9" s="633"/>
    </row>
    <row r="10" spans="1:22" ht="12.6" customHeight="1" x14ac:dyDescent="0.2">
      <c r="A10" s="480" t="s">
        <v>3</v>
      </c>
      <c r="B10" s="1824" t="str">
        <f>IF(ISBLANK('Job Info.'!D4),"",'Job Info.'!D4)</f>
        <v>MINDEN, NV</v>
      </c>
      <c r="C10" s="1824"/>
      <c r="D10" s="1825"/>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42" t="s">
        <v>15</v>
      </c>
      <c r="C12" s="1843"/>
      <c r="D12" s="1843"/>
      <c r="E12" s="1843"/>
      <c r="F12" s="1843"/>
      <c r="G12" s="1843"/>
      <c r="H12" s="1843"/>
      <c r="I12" s="1843"/>
      <c r="J12" s="1844"/>
      <c r="P12" s="790" t="s">
        <v>963</v>
      </c>
      <c r="Q12" s="791" t="s">
        <v>964</v>
      </c>
      <c r="R12" s="786" t="s">
        <v>968</v>
      </c>
    </row>
    <row r="13" spans="1:22" ht="15.4" customHeight="1" thickTop="1" x14ac:dyDescent="0.2">
      <c r="A13" s="1488">
        <v>1</v>
      </c>
      <c r="B13" s="1839" t="s">
        <v>1594</v>
      </c>
      <c r="C13" s="1840"/>
      <c r="D13" s="1840"/>
      <c r="E13" s="1840"/>
      <c r="F13" s="1840"/>
      <c r="G13" s="1840"/>
      <c r="H13" s="1840"/>
      <c r="I13" s="1840"/>
      <c r="J13" s="1841"/>
      <c r="L13" s="946" t="str">
        <f>IF(ISBLANK(A13),"",SUBSTITUTE(A13,"*",""))</f>
        <v>1</v>
      </c>
      <c r="M13" s="1537"/>
      <c r="N13" s="1539"/>
      <c r="O13" s="1528"/>
      <c r="P13" s="792"/>
      <c r="Q13" s="793" t="s">
        <v>1022</v>
      </c>
      <c r="R13" s="787" t="str">
        <f>CONCATENATE("[",P13, "] - ", Q13)</f>
        <v>[] - SHAPES</v>
      </c>
    </row>
    <row r="14" spans="1:22" ht="15.4" customHeight="1" x14ac:dyDescent="0.2">
      <c r="A14" s="1492">
        <v>2</v>
      </c>
      <c r="B14" s="1833" t="s">
        <v>1595</v>
      </c>
      <c r="C14" s="1834"/>
      <c r="D14" s="1834"/>
      <c r="E14" s="1834"/>
      <c r="F14" s="1834"/>
      <c r="G14" s="1834"/>
      <c r="H14" s="1834"/>
      <c r="I14" s="1834"/>
      <c r="J14" s="1835"/>
      <c r="L14" s="946" t="str">
        <f>IF(ISBLANK(A14),L13,SUBSTITUTE(A14,"*",""))</f>
        <v>2</v>
      </c>
      <c r="M14" s="1537"/>
      <c r="N14" s="1539"/>
      <c r="O14" s="1528"/>
      <c r="P14" s="794" t="s">
        <v>965</v>
      </c>
      <c r="Q14" s="795" t="s">
        <v>1023</v>
      </c>
      <c r="R14" s="788" t="str">
        <f t="shared" ref="R14:R77" si="0">CONCATENATE("[",P14, "] - ", Q14)</f>
        <v>[SP] - Single Pitch: (Ctr Depth=Designation) ##" Depth @ LBL, ##" Depth @ RBL</v>
      </c>
    </row>
    <row r="15" spans="1:22" ht="15.4" customHeight="1" x14ac:dyDescent="0.2">
      <c r="A15" s="1492">
        <v>3</v>
      </c>
      <c r="B15" s="1833" t="s">
        <v>1596</v>
      </c>
      <c r="C15" s="1834"/>
      <c r="D15" s="1834"/>
      <c r="E15" s="1834"/>
      <c r="F15" s="1834"/>
      <c r="G15" s="1834"/>
      <c r="H15" s="1834"/>
      <c r="I15" s="1834"/>
      <c r="J15" s="1835"/>
      <c r="L15" s="946" t="str">
        <f t="shared" ref="L15:L51" si="1">IF(ISBLANK(A15),L14,SUBSTITUTE(A15,"*",""))</f>
        <v>3</v>
      </c>
      <c r="M15" s="1537"/>
      <c r="N15" s="1539"/>
      <c r="O15" s="1528"/>
      <c r="P15" s="794" t="s">
        <v>966</v>
      </c>
      <c r="Q15" s="795" t="s">
        <v>1024</v>
      </c>
      <c r="R15" s="788" t="str">
        <f t="shared" si="0"/>
        <v>[DP] - Double Pitch: Ridge @ ##’-## From LBL (Depth=Designation), ##" Depth @ LBL, ##" Depth @ RBL</v>
      </c>
    </row>
    <row r="16" spans="1:22" ht="15.4" customHeight="1" x14ac:dyDescent="0.2">
      <c r="A16" s="1492">
        <v>4</v>
      </c>
      <c r="B16" s="1833" t="s">
        <v>1597</v>
      </c>
      <c r="C16" s="1834"/>
      <c r="D16" s="1834"/>
      <c r="E16" s="1834"/>
      <c r="F16" s="1834"/>
      <c r="G16" s="1834"/>
      <c r="H16" s="1834"/>
      <c r="I16" s="1834"/>
      <c r="J16" s="1835"/>
      <c r="L16" s="946" t="str">
        <f t="shared" si="1"/>
        <v>4</v>
      </c>
      <c r="M16" s="1537"/>
      <c r="N16" s="1539"/>
      <c r="O16" s="1528"/>
      <c r="P16" s="794" t="s">
        <v>967</v>
      </c>
      <c r="Q16" s="795" t="s">
        <v>1025</v>
      </c>
      <c r="R16" s="788" t="str">
        <f t="shared" si="0"/>
        <v>[TP] - Triple Pitch: Ridge Left @ ##’-## From LBL (Depth=Designation), ##" Depth @ LBL, ##" Depth @ RBL, Ridge Right @ ##'-## From LBL</v>
      </c>
    </row>
    <row r="17" spans="1:18" ht="15.4" customHeight="1" x14ac:dyDescent="0.2">
      <c r="A17" s="1492">
        <v>5</v>
      </c>
      <c r="B17" s="1833" t="s">
        <v>1598</v>
      </c>
      <c r="C17" s="1834"/>
      <c r="D17" s="1834"/>
      <c r="E17" s="1834"/>
      <c r="F17" s="1834"/>
      <c r="G17" s="1834"/>
      <c r="H17" s="1834"/>
      <c r="I17" s="1834"/>
      <c r="J17" s="1835"/>
      <c r="L17" s="946" t="str">
        <f t="shared" si="1"/>
        <v>5</v>
      </c>
      <c r="M17" s="1537"/>
      <c r="N17" s="1539"/>
      <c r="O17" s="1528"/>
      <c r="P17" s="794" t="s">
        <v>991</v>
      </c>
      <c r="Q17" s="795" t="s">
        <v>1026</v>
      </c>
      <c r="R17" s="788" t="str">
        <f t="shared" si="0"/>
        <v>[AC] - Arched Chords: (Depth=Designation) ##" TC Radius</v>
      </c>
    </row>
    <row r="18" spans="1:18" ht="15.4" customHeight="1" x14ac:dyDescent="0.2">
      <c r="A18" s="1492">
        <v>6</v>
      </c>
      <c r="B18" s="1833" t="s">
        <v>1599</v>
      </c>
      <c r="C18" s="1834"/>
      <c r="D18" s="1834"/>
      <c r="E18" s="1834"/>
      <c r="F18" s="1834"/>
      <c r="G18" s="1834"/>
      <c r="H18" s="1834"/>
      <c r="I18" s="1834"/>
      <c r="J18" s="1835"/>
      <c r="L18" s="946" t="str">
        <f t="shared" si="1"/>
        <v>6</v>
      </c>
      <c r="M18" s="1537"/>
      <c r="N18" s="1539"/>
      <c r="O18" s="1528"/>
      <c r="P18" s="794" t="s">
        <v>992</v>
      </c>
      <c r="Q18" s="795" t="s">
        <v>1027</v>
      </c>
      <c r="R18" s="788" t="str">
        <f t="shared" si="0"/>
        <v>[BW] - Bowstring: Ridge @ ##’-## From LBL (Depth=Designation), ##" Depth @ LBL, ##" TC Radius</v>
      </c>
    </row>
    <row r="19" spans="1:18" ht="15.4" customHeight="1" x14ac:dyDescent="0.2">
      <c r="A19" s="1492">
        <v>7</v>
      </c>
      <c r="B19" s="1833" t="s">
        <v>1600</v>
      </c>
      <c r="C19" s="1834"/>
      <c r="D19" s="1834"/>
      <c r="E19" s="1834"/>
      <c r="F19" s="1834"/>
      <c r="G19" s="1834"/>
      <c r="H19" s="1834"/>
      <c r="I19" s="1834"/>
      <c r="J19" s="1835"/>
      <c r="L19" s="946" t="str">
        <f t="shared" si="1"/>
        <v>7</v>
      </c>
      <c r="M19" s="1537"/>
      <c r="N19" s="1539"/>
      <c r="O19" s="1528"/>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1492">
        <v>8</v>
      </c>
      <c r="B20" s="1833" t="s">
        <v>1601</v>
      </c>
      <c r="C20" s="1834"/>
      <c r="D20" s="1834"/>
      <c r="E20" s="1834"/>
      <c r="F20" s="1834"/>
      <c r="G20" s="1834"/>
      <c r="H20" s="1834"/>
      <c r="I20" s="1834"/>
      <c r="J20" s="1835"/>
      <c r="L20" s="946" t="str">
        <f t="shared" si="1"/>
        <v>8</v>
      </c>
      <c r="M20" s="1537"/>
      <c r="N20" s="1539"/>
      <c r="O20" s="1528"/>
      <c r="P20" s="794"/>
      <c r="Q20" s="795" t="s">
        <v>1028</v>
      </c>
      <c r="R20" s="788" t="str">
        <f t="shared" si="0"/>
        <v>[] - DEFLECTION</v>
      </c>
    </row>
    <row r="21" spans="1:18" ht="15.4" customHeight="1" x14ac:dyDescent="0.2">
      <c r="A21" s="1492">
        <v>9</v>
      </c>
      <c r="B21" s="1845" t="s">
        <v>1602</v>
      </c>
      <c r="C21" s="1846"/>
      <c r="D21" s="1846"/>
      <c r="E21" s="1846"/>
      <c r="F21" s="1846"/>
      <c r="G21" s="1846"/>
      <c r="H21" s="1846"/>
      <c r="I21" s="1846"/>
      <c r="J21" s="1847"/>
      <c r="L21" s="946" t="str">
        <f t="shared" si="1"/>
        <v>9</v>
      </c>
      <c r="M21" s="1537"/>
      <c r="N21" s="1539"/>
      <c r="O21" s="1539"/>
      <c r="P21" s="794" t="s">
        <v>986</v>
      </c>
      <c r="Q21" s="795" t="s">
        <v>1029</v>
      </c>
      <c r="R21" s="788" t="str">
        <f t="shared" si="0"/>
        <v>[DefLL] - LL Deflection = L/###|Deflection=L/### Due To ### PLF LL|LL Deflection=L/### (LL/TL Ratio = ##%)</v>
      </c>
    </row>
    <row r="22" spans="1:18" ht="15.4" customHeight="1" x14ac:dyDescent="0.2">
      <c r="A22" s="1492">
        <v>10</v>
      </c>
      <c r="B22" s="1833" t="s">
        <v>1603</v>
      </c>
      <c r="C22" s="1834"/>
      <c r="D22" s="1834"/>
      <c r="E22" s="1834"/>
      <c r="F22" s="1834"/>
      <c r="G22" s="1834"/>
      <c r="H22" s="1834"/>
      <c r="I22" s="1834"/>
      <c r="J22" s="1835"/>
      <c r="L22" s="946" t="str">
        <f t="shared" si="1"/>
        <v>10</v>
      </c>
      <c r="M22" s="1537"/>
      <c r="N22" s="1539"/>
      <c r="O22" s="1528"/>
      <c r="P22" s="794" t="s">
        <v>987</v>
      </c>
      <c r="Q22" s="795" t="s">
        <v>1030</v>
      </c>
      <c r="R22" s="788" t="str">
        <f t="shared" si="0"/>
        <v>[DefTL] - TL Deflection = L/###, Ck Std Camber Satisfies DL Def</v>
      </c>
    </row>
    <row r="23" spans="1:18" ht="15.4" customHeight="1" x14ac:dyDescent="0.2">
      <c r="A23" s="1492">
        <v>11</v>
      </c>
      <c r="B23" s="1839" t="s">
        <v>1604</v>
      </c>
      <c r="C23" s="1840"/>
      <c r="D23" s="1840"/>
      <c r="E23" s="1840"/>
      <c r="F23" s="1840"/>
      <c r="G23" s="1840"/>
      <c r="H23" s="1840"/>
      <c r="I23" s="1840"/>
      <c r="J23" s="1841"/>
      <c r="L23" s="946" t="str">
        <f t="shared" si="1"/>
        <v>11</v>
      </c>
      <c r="M23" s="1537"/>
      <c r="N23" s="1539"/>
      <c r="O23" s="1528"/>
      <c r="P23" s="794" t="s">
        <v>988</v>
      </c>
      <c r="Q23" s="795" t="s">
        <v>1032</v>
      </c>
      <c r="R23" s="788" t="str">
        <f t="shared" si="0"/>
        <v>[DefTCX] - TCXL|TCXR Deflection = ##" Max Due To ### PLF LL|DL|TL</v>
      </c>
    </row>
    <row r="24" spans="1:18" ht="15.4" customHeight="1" x14ac:dyDescent="0.2">
      <c r="A24" s="1492">
        <v>12</v>
      </c>
      <c r="B24" s="1833" t="s">
        <v>1694</v>
      </c>
      <c r="C24" s="1834"/>
      <c r="D24" s="1834"/>
      <c r="E24" s="1834"/>
      <c r="F24" s="1834"/>
      <c r="G24" s="1834"/>
      <c r="H24" s="1834"/>
      <c r="I24" s="1834"/>
      <c r="J24" s="1835"/>
      <c r="L24" s="946" t="str">
        <f t="shared" si="1"/>
        <v>12</v>
      </c>
      <c r="M24" s="1537"/>
      <c r="N24" s="1539"/>
      <c r="O24" s="1528"/>
      <c r="P24" s="794" t="s">
        <v>989</v>
      </c>
      <c r="Q24" s="795" t="s">
        <v>1031</v>
      </c>
      <c r="R24" s="788" t="str">
        <f t="shared" si="0"/>
        <v>[DefSP] - Special Deflection = ##" Max Due To ### PLF LL|DL|TL</v>
      </c>
    </row>
    <row r="25" spans="1:18" ht="15.4" customHeight="1" x14ac:dyDescent="0.2">
      <c r="A25" s="1492">
        <v>13</v>
      </c>
      <c r="B25" s="1833" t="s">
        <v>1605</v>
      </c>
      <c r="C25" s="1834"/>
      <c r="D25" s="1834"/>
      <c r="E25" s="1834"/>
      <c r="F25" s="1834"/>
      <c r="G25" s="1834"/>
      <c r="H25" s="1834"/>
      <c r="I25" s="1834"/>
      <c r="J25" s="1835"/>
      <c r="L25" s="946" t="str">
        <f t="shared" si="1"/>
        <v>13</v>
      </c>
      <c r="M25" s="1537"/>
      <c r="N25" s="1539"/>
      <c r="O25" s="1528"/>
      <c r="P25" s="794"/>
      <c r="Q25" s="795" t="s">
        <v>1033</v>
      </c>
      <c r="R25" s="788" t="str">
        <f t="shared" si="0"/>
        <v>[] - BEARING SEATS</v>
      </c>
    </row>
    <row r="26" spans="1:18" ht="15.4" customHeight="1" x14ac:dyDescent="0.2">
      <c r="A26" s="1492"/>
      <c r="B26" s="1833"/>
      <c r="C26" s="1834"/>
      <c r="D26" s="1834"/>
      <c r="E26" s="1834"/>
      <c r="F26" s="1834"/>
      <c r="G26" s="1834"/>
      <c r="H26" s="1834"/>
      <c r="I26" s="1834"/>
      <c r="J26" s="1835"/>
      <c r="L26" s="946" t="str">
        <f t="shared" si="1"/>
        <v>13</v>
      </c>
      <c r="M26" s="1537"/>
      <c r="N26" s="1528"/>
      <c r="O26" s="1528"/>
      <c r="P26" s="794" t="s">
        <v>1238</v>
      </c>
      <c r="Q26" s="795" t="s">
        <v>1242</v>
      </c>
      <c r="R26" s="788" t="str">
        <f t="shared" si="0"/>
        <v>[AddSeat] - Addn’l Bearing Seat @ LE|RE|BE, Setback = #’-##”, Depth = ##”</v>
      </c>
    </row>
    <row r="27" spans="1:18" ht="15.4" customHeight="1" x14ac:dyDescent="0.2">
      <c r="A27" s="1492"/>
      <c r="B27" s="1833"/>
      <c r="C27" s="1834"/>
      <c r="D27" s="1834"/>
      <c r="E27" s="1834"/>
      <c r="F27" s="1834"/>
      <c r="G27" s="1834"/>
      <c r="H27" s="1834"/>
      <c r="I27" s="1834"/>
      <c r="J27" s="1835"/>
      <c r="L27" s="946" t="str">
        <f t="shared" si="1"/>
        <v>13</v>
      </c>
      <c r="M27" s="1537"/>
      <c r="N27" s="1528"/>
      <c r="O27" s="1528"/>
      <c r="P27" s="794" t="s">
        <v>1000</v>
      </c>
      <c r="Q27" s="795" t="s">
        <v>1046</v>
      </c>
      <c r="R27" s="788" t="str">
        <f t="shared" si="0"/>
        <v>[AddSlt] - Addn'l Seat Slots @ #" from L-OAL|R-OAL</v>
      </c>
    </row>
    <row r="28" spans="1:18" ht="15.4" customHeight="1" x14ac:dyDescent="0.2">
      <c r="A28" s="1492"/>
      <c r="B28" s="1833"/>
      <c r="C28" s="1834"/>
      <c r="D28" s="1834"/>
      <c r="E28" s="1834"/>
      <c r="F28" s="1834"/>
      <c r="G28" s="1834"/>
      <c r="H28" s="1834"/>
      <c r="I28" s="1834"/>
      <c r="J28" s="1835"/>
      <c r="L28" s="946" t="str">
        <f t="shared" si="1"/>
        <v>13</v>
      </c>
      <c r="M28" s="1537"/>
      <c r="N28" s="1528"/>
      <c r="O28" s="1528"/>
      <c r="P28" s="794" t="s">
        <v>981</v>
      </c>
      <c r="Q28" s="795" t="s">
        <v>1043</v>
      </c>
      <c r="R28" s="788" t="str">
        <f t="shared" si="0"/>
        <v>[BCBrg] - Bottom Chord Bearing @ LE|RE|BE</v>
      </c>
    </row>
    <row r="29" spans="1:18" ht="15.4" customHeight="1" x14ac:dyDescent="0.2">
      <c r="A29" s="1492"/>
      <c r="B29" s="1833"/>
      <c r="C29" s="1834"/>
      <c r="D29" s="1834"/>
      <c r="E29" s="1834"/>
      <c r="F29" s="1834"/>
      <c r="G29" s="1834"/>
      <c r="H29" s="1834"/>
      <c r="I29" s="1834"/>
      <c r="J29" s="1835"/>
      <c r="L29" s="946" t="str">
        <f t="shared" si="1"/>
        <v>13</v>
      </c>
      <c r="M29" s="1537"/>
      <c r="N29" s="1528"/>
      <c r="O29" s="1528"/>
      <c r="P29" s="794" t="s">
        <v>1239</v>
      </c>
      <c r="Q29" s="795" t="s">
        <v>1243</v>
      </c>
      <c r="R29" s="788" t="str">
        <f t="shared" si="0"/>
        <v>[BCBrgCant] - Bottom Chord Bearing Cantilever @ LE|RE|BE, Ctr Line of Support = #’-##” @ LE|RE|BE</v>
      </c>
    </row>
    <row r="30" spans="1:18" ht="15.4" customHeight="1" x14ac:dyDescent="0.2">
      <c r="A30" s="1492"/>
      <c r="B30" s="1833"/>
      <c r="C30" s="1834"/>
      <c r="D30" s="1834"/>
      <c r="E30" s="1834"/>
      <c r="F30" s="1834"/>
      <c r="G30" s="1834"/>
      <c r="H30" s="1834"/>
      <c r="I30" s="1834"/>
      <c r="J30" s="1835"/>
      <c r="L30" s="946" t="str">
        <f t="shared" si="1"/>
        <v>13</v>
      </c>
      <c r="M30" s="1537"/>
      <c r="N30" s="1528"/>
      <c r="O30" s="1528"/>
      <c r="P30" s="794" t="s">
        <v>1240</v>
      </c>
      <c r="Q30" s="795" t="s">
        <v>1244</v>
      </c>
      <c r="R30" s="788" t="str">
        <f t="shared" si="0"/>
        <v>[BPSetBk] - Shorten Base Pl @ LE|RE|BE, Setback = #’-#, Max TC Depth = ##”, Ck TCX For Unrein Length, See Section ##</v>
      </c>
    </row>
    <row r="31" spans="1:18" ht="15.4" customHeight="1" x14ac:dyDescent="0.2">
      <c r="A31" s="1492"/>
      <c r="B31" s="1833"/>
      <c r="C31" s="1834"/>
      <c r="D31" s="1834"/>
      <c r="E31" s="1834"/>
      <c r="F31" s="1834"/>
      <c r="G31" s="1834"/>
      <c r="H31" s="1834"/>
      <c r="I31" s="1834"/>
      <c r="J31" s="1835"/>
      <c r="L31" s="946" t="str">
        <f t="shared" si="1"/>
        <v>13</v>
      </c>
      <c r="M31" s="1537"/>
      <c r="N31" s="1528"/>
      <c r="O31" s="1528"/>
      <c r="P31" s="794" t="s">
        <v>979</v>
      </c>
      <c r="Q31" s="795" t="s">
        <v>1047</v>
      </c>
      <c r="R31" s="788" t="str">
        <f t="shared" si="0"/>
        <v>[BPThk] - Min Thickness of Base Plate = 0.xxx" @ LE|RE|BE</v>
      </c>
    </row>
    <row r="32" spans="1:18" ht="15.4" customHeight="1" x14ac:dyDescent="0.2">
      <c r="A32" s="1492"/>
      <c r="B32" s="1833"/>
      <c r="C32" s="1834"/>
      <c r="D32" s="1834"/>
      <c r="E32" s="1834"/>
      <c r="F32" s="1834"/>
      <c r="G32" s="1834"/>
      <c r="H32" s="1834"/>
      <c r="I32" s="1834"/>
      <c r="J32" s="1835"/>
      <c r="L32" s="946" t="str">
        <f t="shared" si="1"/>
        <v>13</v>
      </c>
      <c r="M32" s="1537"/>
      <c r="N32" s="1528"/>
      <c r="O32" s="1528"/>
      <c r="P32" s="794" t="s">
        <v>1001</v>
      </c>
      <c r="Q32" s="795" t="s">
        <v>1002</v>
      </c>
      <c r="R32" s="788" t="str">
        <f t="shared" si="0"/>
        <v>[ClrBrg] - Min Clear Bearing = #" @ LE(RE)(BE)</v>
      </c>
    </row>
    <row r="33" spans="1:18" ht="15.4" customHeight="1" x14ac:dyDescent="0.2">
      <c r="A33" s="1492"/>
      <c r="B33" s="1833"/>
      <c r="C33" s="1834"/>
      <c r="D33" s="1834"/>
      <c r="E33" s="1834"/>
      <c r="F33" s="1834"/>
      <c r="G33" s="1834"/>
      <c r="H33" s="1834"/>
      <c r="I33" s="1834"/>
      <c r="J33" s="1835"/>
      <c r="L33" s="946" t="str">
        <f t="shared" si="1"/>
        <v>13</v>
      </c>
      <c r="M33" s="1537"/>
      <c r="N33" s="1528"/>
      <c r="O33" s="1528"/>
      <c r="P33" s="794" t="s">
        <v>1241</v>
      </c>
      <c r="Q33" s="795" t="s">
        <v>1245</v>
      </c>
      <c r="R33" s="788" t="str">
        <f t="shared" si="0"/>
        <v>[ContAngle] - Continuity Angles for Load Transfer, Hold Double Angle W2 Down for Field Install, No TC Splices within 1st ##” @ LE|RE|BE</v>
      </c>
    </row>
    <row r="34" spans="1:18" ht="15.4" customHeight="1" x14ac:dyDescent="0.2">
      <c r="A34" s="1492"/>
      <c r="B34" s="1833"/>
      <c r="C34" s="1834"/>
      <c r="D34" s="1834"/>
      <c r="E34" s="1834"/>
      <c r="F34" s="1834"/>
      <c r="G34" s="1834"/>
      <c r="H34" s="1834"/>
      <c r="I34" s="1834"/>
      <c r="J34" s="1835"/>
      <c r="L34" s="946" t="str">
        <f t="shared" si="1"/>
        <v>13</v>
      </c>
      <c r="M34" s="1537"/>
      <c r="N34" s="1528"/>
      <c r="O34" s="1528"/>
      <c r="P34" s="794" t="s">
        <v>1038</v>
      </c>
      <c r="Q34" s="795" t="s">
        <v>1040</v>
      </c>
      <c r="R34" s="788" t="str">
        <f t="shared" si="0"/>
        <v>[KickLd] - Axial Load Due To Kicker, No Rein Req’d</v>
      </c>
    </row>
    <row r="35" spans="1:18" ht="15.4" customHeight="1" x14ac:dyDescent="0.2">
      <c r="A35" s="1492"/>
      <c r="B35" s="1833"/>
      <c r="C35" s="1834"/>
      <c r="D35" s="1834"/>
      <c r="E35" s="1834"/>
      <c r="F35" s="1834"/>
      <c r="G35" s="1834"/>
      <c r="H35" s="1834"/>
      <c r="I35" s="1834"/>
      <c r="J35" s="1835"/>
      <c r="L35" s="946" t="str">
        <f t="shared" si="1"/>
        <v>13</v>
      </c>
      <c r="M35" s="1537"/>
      <c r="N35" s="1528"/>
      <c r="O35" s="1528"/>
      <c r="P35" s="794" t="s">
        <v>1037</v>
      </c>
      <c r="Q35" s="795" t="s">
        <v>1039</v>
      </c>
      <c r="R35" s="788" t="str">
        <f t="shared" si="0"/>
        <v>[KnifePL] - Knife Pl Provided for Load Transfer, TC/Seat Gap Clear for 1st ##” @ LE|RE|BE</v>
      </c>
    </row>
    <row r="36" spans="1:18" ht="15.4" customHeight="1" x14ac:dyDescent="0.2">
      <c r="A36" s="1492"/>
      <c r="B36" s="1833"/>
      <c r="C36" s="1834"/>
      <c r="D36" s="1834"/>
      <c r="E36" s="1834"/>
      <c r="F36" s="1834"/>
      <c r="G36" s="1834"/>
      <c r="H36" s="1834"/>
      <c r="I36" s="1834"/>
      <c r="J36" s="1835"/>
      <c r="L36" s="946" t="str">
        <f t="shared" si="1"/>
        <v>13</v>
      </c>
      <c r="M36" s="1537"/>
      <c r="N36" s="1528"/>
      <c r="O36" s="1528"/>
      <c r="P36" s="794" t="s">
        <v>1048</v>
      </c>
      <c r="Q36" s="795" t="s">
        <v>1049</v>
      </c>
      <c r="R36" s="788" t="str">
        <f t="shared" si="0"/>
        <v>[MaxWidth] - Max Width of TC &amp; Base Plate|BC for 1st ##” @ LE|RE|BE</v>
      </c>
    </row>
    <row r="37" spans="1:18" ht="15.4" customHeight="1" x14ac:dyDescent="0.2">
      <c r="A37" s="1492"/>
      <c r="B37" s="1833"/>
      <c r="C37" s="1834"/>
      <c r="D37" s="1834"/>
      <c r="E37" s="1834"/>
      <c r="F37" s="1834"/>
      <c r="G37" s="1834"/>
      <c r="H37" s="1834"/>
      <c r="I37" s="1834"/>
      <c r="J37" s="1835"/>
      <c r="L37" s="946" t="str">
        <f t="shared" si="1"/>
        <v>13</v>
      </c>
      <c r="M37" s="1537"/>
      <c r="N37" s="1528"/>
      <c r="O37" s="1528"/>
      <c r="P37" s="794" t="s">
        <v>1035</v>
      </c>
      <c r="Q37" s="795" t="s">
        <v>1246</v>
      </c>
      <c r="R37" s="788" t="str">
        <f t="shared" si="0"/>
        <v>[NoRein] - Tie Pl Provided for Load Transfer, No Rein Req’d (***Could Show This Note in Load Note Remarks***)</v>
      </c>
    </row>
    <row r="38" spans="1:18" ht="15.4" customHeight="1" x14ac:dyDescent="0.2">
      <c r="A38" s="1492"/>
      <c r="B38" s="1833"/>
      <c r="C38" s="1834"/>
      <c r="D38" s="1834"/>
      <c r="E38" s="1834"/>
      <c r="F38" s="1834"/>
      <c r="G38" s="1834"/>
      <c r="H38" s="1834"/>
      <c r="I38" s="1834"/>
      <c r="J38" s="1835"/>
      <c r="L38" s="946" t="str">
        <f t="shared" si="1"/>
        <v>13</v>
      </c>
      <c r="M38" s="1537"/>
      <c r="N38" s="1528"/>
      <c r="O38" s="1528"/>
      <c r="P38" s="794" t="s">
        <v>1036</v>
      </c>
      <c r="Q38" s="795" t="s">
        <v>1077</v>
      </c>
      <c r="R38" s="788" t="str">
        <f t="shared" si="0"/>
        <v>[Rein] - Reinforce Seats @ LE|RE|BE for Axial Load Transfer</v>
      </c>
    </row>
    <row r="39" spans="1:18" ht="15.4" customHeight="1" x14ac:dyDescent="0.2">
      <c r="A39" s="1492"/>
      <c r="B39" s="1833"/>
      <c r="C39" s="1834"/>
      <c r="D39" s="1834"/>
      <c r="E39" s="1834"/>
      <c r="F39" s="1834"/>
      <c r="G39" s="1834"/>
      <c r="H39" s="1834"/>
      <c r="I39" s="1834"/>
      <c r="J39" s="1835"/>
      <c r="L39" s="946" t="str">
        <f t="shared" si="1"/>
        <v>13</v>
      </c>
      <c r="M39" s="1537"/>
      <c r="N39" s="1528"/>
      <c r="O39" s="1528"/>
      <c r="P39" s="794" t="s">
        <v>1082</v>
      </c>
      <c r="Q39" s="795" t="s">
        <v>1083</v>
      </c>
      <c r="R39" s="788" t="str">
        <f t="shared" si="0"/>
        <v>[RndShrtSlt] - #/#" Round Holes|#/#”x1” Slots, Ga=#” @ LE|RE|BE</v>
      </c>
    </row>
    <row r="40" spans="1:18" ht="15.4" customHeight="1" x14ac:dyDescent="0.2">
      <c r="A40" s="1492"/>
      <c r="B40" s="1833"/>
      <c r="C40" s="1834"/>
      <c r="D40" s="1834"/>
      <c r="E40" s="1834"/>
      <c r="F40" s="1834"/>
      <c r="G40" s="1834"/>
      <c r="H40" s="1834"/>
      <c r="I40" s="1834"/>
      <c r="J40" s="1835"/>
      <c r="L40" s="946" t="str">
        <f t="shared" si="1"/>
        <v>13</v>
      </c>
      <c r="M40" s="1537"/>
      <c r="N40" s="1528"/>
      <c r="O40" s="1528"/>
      <c r="P40" s="794" t="s">
        <v>1041</v>
      </c>
      <c r="Q40" s="795" t="s">
        <v>1042</v>
      </c>
      <c r="R40" s="788" t="str">
        <f t="shared" si="0"/>
        <v>[Roll] - Seat Rollover Force = ##Kips @ LE|RE|BE</v>
      </c>
    </row>
    <row r="41" spans="1:18" ht="15.4" customHeight="1" x14ac:dyDescent="0.2">
      <c r="A41" s="1492"/>
      <c r="B41" s="1833"/>
      <c r="C41" s="1834"/>
      <c r="D41" s="1834"/>
      <c r="E41" s="1834"/>
      <c r="F41" s="1834"/>
      <c r="G41" s="1834"/>
      <c r="H41" s="1834"/>
      <c r="I41" s="1834"/>
      <c r="J41" s="1835"/>
      <c r="L41" s="946" t="str">
        <f t="shared" si="1"/>
        <v>13</v>
      </c>
      <c r="M41" s="1537"/>
      <c r="N41" s="1528"/>
      <c r="O41" s="1528"/>
      <c r="P41" s="794" t="s">
        <v>1074</v>
      </c>
      <c r="Q41" s="795" t="s">
        <v>1075</v>
      </c>
      <c r="R41" s="788" t="str">
        <f t="shared" si="0"/>
        <v>[ShrtBrg] - Short Bearing = #” @ LE|RE|BE</v>
      </c>
    </row>
    <row r="42" spans="1:18" ht="15.4" customHeight="1" x14ac:dyDescent="0.2">
      <c r="A42" s="1492"/>
      <c r="B42" s="1833"/>
      <c r="C42" s="1834"/>
      <c r="D42" s="1834"/>
      <c r="E42" s="1834"/>
      <c r="F42" s="1834"/>
      <c r="G42" s="1834"/>
      <c r="H42" s="1834"/>
      <c r="I42" s="1834"/>
      <c r="J42" s="1835"/>
      <c r="L42" s="946" t="str">
        <f t="shared" si="1"/>
        <v>13</v>
      </c>
      <c r="M42" s="1537"/>
      <c r="N42" s="1528"/>
      <c r="O42" s="1528"/>
      <c r="P42" s="794" t="s">
        <v>1078</v>
      </c>
      <c r="Q42" s="795" t="s">
        <v>990</v>
      </c>
      <c r="R42" s="788" t="str">
        <f t="shared" si="0"/>
        <v>[Skew] - ##º Half(Full)-Skew, NS(FS), LE(RE)</v>
      </c>
    </row>
    <row r="43" spans="1:18" ht="15.4" customHeight="1" x14ac:dyDescent="0.2">
      <c r="A43" s="1492"/>
      <c r="B43" s="1833"/>
      <c r="C43" s="1834"/>
      <c r="D43" s="1834"/>
      <c r="E43" s="1834"/>
      <c r="F43" s="1834"/>
      <c r="G43" s="1834"/>
      <c r="H43" s="1834"/>
      <c r="I43" s="1834"/>
      <c r="J43" s="1835"/>
      <c r="L43" s="946" t="str">
        <f t="shared" si="1"/>
        <v>13</v>
      </c>
      <c r="M43" s="1537"/>
      <c r="N43" s="1528"/>
      <c r="O43" s="1528"/>
      <c r="P43" s="794" t="s">
        <v>976</v>
      </c>
      <c r="Q43" s="795" t="s">
        <v>1045</v>
      </c>
      <c r="R43" s="788" t="str">
        <f t="shared" si="0"/>
        <v>[SpSlt] - Special Seat Slots: #"x#" Slots, Ga=#" @ LE|RE|BE</v>
      </c>
    </row>
    <row r="44" spans="1:18" ht="15.4" customHeight="1" x14ac:dyDescent="0.2">
      <c r="A44" s="1492"/>
      <c r="B44" s="1833"/>
      <c r="C44" s="1834"/>
      <c r="D44" s="1834"/>
      <c r="E44" s="1834"/>
      <c r="F44" s="1834"/>
      <c r="G44" s="1834"/>
      <c r="H44" s="1834"/>
      <c r="I44" s="1834"/>
      <c r="J44" s="1835"/>
      <c r="L44" s="946" t="str">
        <f t="shared" si="1"/>
        <v>13</v>
      </c>
      <c r="M44" s="1537"/>
      <c r="N44" s="1528"/>
      <c r="O44" s="1528"/>
      <c r="P44" s="794" t="s">
        <v>975</v>
      </c>
      <c r="Q44" s="795" t="s">
        <v>1044</v>
      </c>
      <c r="R44" s="788" t="str">
        <f t="shared" si="0"/>
        <v>[StgSlt] - Stagger Seat Slots LE|RE: ##" NS, ##" FS</v>
      </c>
    </row>
    <row r="45" spans="1:18" ht="15.4" customHeight="1" x14ac:dyDescent="0.2">
      <c r="A45" s="1492"/>
      <c r="B45" s="1833"/>
      <c r="C45" s="1834"/>
      <c r="D45" s="1834"/>
      <c r="E45" s="1834"/>
      <c r="F45" s="1834"/>
      <c r="G45" s="1834"/>
      <c r="H45" s="1834"/>
      <c r="I45" s="1834"/>
      <c r="J45" s="1835"/>
      <c r="L45" s="946" t="str">
        <f t="shared" si="1"/>
        <v>13</v>
      </c>
      <c r="M45" s="1537"/>
      <c r="N45" s="1528"/>
      <c r="O45" s="1528"/>
      <c r="P45" s="794" t="s">
        <v>980</v>
      </c>
      <c r="Q45" s="795" t="s">
        <v>1034</v>
      </c>
      <c r="R45" s="788" t="str">
        <f t="shared" si="0"/>
        <v>[TCXMax] - Max Depth of TCXL|TCXR = ##"</v>
      </c>
    </row>
    <row r="46" spans="1:18" ht="15.4" customHeight="1" x14ac:dyDescent="0.2">
      <c r="A46" s="1492"/>
      <c r="B46" s="1833"/>
      <c r="C46" s="1834"/>
      <c r="D46" s="1834"/>
      <c r="E46" s="1834"/>
      <c r="F46" s="1834"/>
      <c r="G46" s="1834"/>
      <c r="H46" s="1834"/>
      <c r="I46" s="1834"/>
      <c r="J46" s="1835"/>
      <c r="L46" s="946" t="str">
        <f t="shared" si="1"/>
        <v>13</v>
      </c>
      <c r="M46" s="1537"/>
      <c r="N46" s="1528"/>
      <c r="O46" s="1528"/>
      <c r="P46" s="794" t="s">
        <v>974</v>
      </c>
      <c r="Q46" s="795" t="s">
        <v>1076</v>
      </c>
      <c r="R46" s="788" t="str">
        <f t="shared" si="0"/>
        <v>[TCXSup] - TCXL|TCXR Supported @ End</v>
      </c>
    </row>
    <row r="47" spans="1:18" ht="15.4" customHeight="1" x14ac:dyDescent="0.2">
      <c r="A47" s="1492"/>
      <c r="B47" s="1833"/>
      <c r="C47" s="1834"/>
      <c r="D47" s="1834"/>
      <c r="E47" s="1834"/>
      <c r="F47" s="1834"/>
      <c r="G47" s="1834"/>
      <c r="H47" s="1834"/>
      <c r="I47" s="1834"/>
      <c r="J47" s="1835"/>
      <c r="L47" s="946" t="str">
        <f t="shared" si="1"/>
        <v>13</v>
      </c>
      <c r="M47" s="1537"/>
      <c r="N47" s="1528"/>
      <c r="O47" s="1528"/>
      <c r="P47" s="794"/>
      <c r="Q47" s="795" t="s">
        <v>1050</v>
      </c>
      <c r="R47" s="788" t="str">
        <f t="shared" si="0"/>
        <v>[] - MISCELLANEOUS</v>
      </c>
    </row>
    <row r="48" spans="1:18" ht="15.4" customHeight="1" x14ac:dyDescent="0.2">
      <c r="A48" s="1492"/>
      <c r="B48" s="1833"/>
      <c r="C48" s="1834"/>
      <c r="D48" s="1834"/>
      <c r="E48" s="1834"/>
      <c r="F48" s="1834"/>
      <c r="G48" s="1834"/>
      <c r="H48" s="1834"/>
      <c r="I48" s="1834"/>
      <c r="J48" s="1835"/>
      <c r="L48" s="946" t="str">
        <f t="shared" si="1"/>
        <v>13</v>
      </c>
      <c r="M48" s="1537"/>
      <c r="N48" s="1528"/>
      <c r="O48" s="1528"/>
      <c r="P48" s="794" t="s">
        <v>982</v>
      </c>
      <c r="Q48" s="795" t="s">
        <v>1053</v>
      </c>
      <c r="R48" s="788" t="str">
        <f t="shared" si="0"/>
        <v>[BClip] - Bridging Clip(s) Required per Plan</v>
      </c>
    </row>
    <row r="49" spans="1:18" ht="15.4" customHeight="1" x14ac:dyDescent="0.2">
      <c r="A49" s="1492"/>
      <c r="B49" s="1833"/>
      <c r="C49" s="1834"/>
      <c r="D49" s="1834"/>
      <c r="E49" s="1834"/>
      <c r="F49" s="1834"/>
      <c r="G49" s="1834"/>
      <c r="H49" s="1834"/>
      <c r="I49" s="1834"/>
      <c r="J49" s="1835"/>
      <c r="L49" s="946" t="str">
        <f t="shared" si="1"/>
        <v>13</v>
      </c>
      <c r="M49" s="1537"/>
      <c r="N49" s="1528"/>
      <c r="O49" s="1528"/>
      <c r="P49" s="794" t="s">
        <v>978</v>
      </c>
      <c r="Q49" s="795" t="s">
        <v>970</v>
      </c>
      <c r="R49" s="788" t="str">
        <f t="shared" si="0"/>
        <v>[BCThk] - Min Thickness of BC = 0.xxx"</v>
      </c>
    </row>
    <row r="50" spans="1:18" ht="15.4" customHeight="1" x14ac:dyDescent="0.2">
      <c r="A50" s="1492"/>
      <c r="B50" s="1833"/>
      <c r="C50" s="1834"/>
      <c r="D50" s="1834"/>
      <c r="E50" s="1834"/>
      <c r="F50" s="1834"/>
      <c r="G50" s="1834"/>
      <c r="H50" s="1834"/>
      <c r="I50" s="1834"/>
      <c r="J50" s="1835"/>
      <c r="L50" s="946" t="str">
        <f t="shared" si="1"/>
        <v>13</v>
      </c>
      <c r="M50" s="1537"/>
      <c r="N50" s="1528"/>
      <c r="O50" s="1528"/>
      <c r="P50" s="794" t="s">
        <v>1079</v>
      </c>
      <c r="Q50" s="795" t="s">
        <v>1052</v>
      </c>
      <c r="R50" s="788" t="str">
        <f t="shared" si="0"/>
        <v>[Camb] - Camber = #"|Camber for DL|50% Std Camber|No Camber</v>
      </c>
    </row>
    <row r="51" spans="1:18" ht="15.4" customHeight="1" x14ac:dyDescent="0.2">
      <c r="A51" s="1496"/>
      <c r="B51" s="1836"/>
      <c r="C51" s="1837"/>
      <c r="D51" s="1837"/>
      <c r="E51" s="1837"/>
      <c r="F51" s="1837"/>
      <c r="G51" s="1837"/>
      <c r="H51" s="1837"/>
      <c r="I51" s="1837"/>
      <c r="J51" s="1838"/>
      <c r="L51" s="946" t="str">
        <f t="shared" si="1"/>
        <v>13</v>
      </c>
      <c r="M51" s="1537"/>
      <c r="N51" s="1528"/>
      <c r="O51" s="1528"/>
      <c r="P51" s="794" t="s">
        <v>1249</v>
      </c>
      <c r="Q51" s="795" t="s">
        <v>1254</v>
      </c>
      <c r="R51" s="788" t="str">
        <f t="shared" si="0"/>
        <v>[DUCT] - ##" Dia|##"H x ##"W Duct @ #'-# from L-OAL</v>
      </c>
    </row>
    <row r="52" spans="1:18" ht="15.6" customHeight="1" x14ac:dyDescent="0.2">
      <c r="N52" s="245">
        <f>COUNTIF(N13:O51,TRUE)+IF(NOT($M$1),1,0)</f>
        <v>1</v>
      </c>
      <c r="O52" s="1531"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t="s">
        <v>1693</v>
      </c>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algorithmName="SHA-512" hashValue="D/cn0rMlwt68OspchsLDoxJd137036ajiB4+ZSjgR9SB0DdGA3hpMhsnZE+pp+an8zNx13nFLFuA3EGJ7oqLMg==" saltValue="zD+l+Zm1WNORqB+dq18zHA=="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483" priority="1" stopIfTrue="1" operator="equal">
      <formula>""</formula>
    </cfRule>
  </conditionalFormatting>
  <dataValidations count="2">
    <dataValidation type="list" allowBlank="1" showInputMessage="1" sqref="Q7" xr:uid="{FD9A1CCD-F296-45F1-87A3-EDEDA44EFC5D}">
      <formula1>OFFSET($R$13,0,0,$P$10,1)</formula1>
    </dataValidation>
    <dataValidation type="list" allowBlank="1" sqref="B13:J51" xr:uid="{AF8B80F6-90D6-4194-8861-89495390912C}">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3BD9A-672B-43C9-BA51-EEE406149484}">
  <sheetPr codeName="Sheet28">
    <tabColor indexed="44"/>
  </sheetPr>
  <dimension ref="A1:V100"/>
  <sheetViews>
    <sheetView showGridLines="0" zoomScaleNormal="100" zoomScaleSheetLayoutView="100" workbookViewId="0">
      <selection activeCell="H7" sqref="H7"/>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48" t="str">
        <f>IF(L1="","",VLOOKUP(L1,'Job Info.'!X:AA,4,FALSE))</f>
        <v>Master</v>
      </c>
      <c r="E1" s="1848"/>
      <c r="F1" s="1848"/>
      <c r="G1" s="1849" t="s">
        <v>95</v>
      </c>
      <c r="H1" s="1850"/>
      <c r="I1" s="1851" t="str">
        <f ca="1">'Job Info.'!D12</f>
        <v>775-428-0600</v>
      </c>
      <c r="J1" s="1852"/>
      <c r="K1" s="484" t="s">
        <v>722</v>
      </c>
      <c r="L1" s="378" t="str">
        <f>'Job Info.'!Q30</f>
        <v>M</v>
      </c>
      <c r="M1" s="378" t="b">
        <f>'Job Info.'!Q32</f>
        <v>0</v>
      </c>
      <c r="N1" s="378"/>
      <c r="R1" s="256" t="s">
        <v>1263</v>
      </c>
      <c r="S1" s="633" t="s">
        <v>1695</v>
      </c>
      <c r="T1" s="633" t="s">
        <v>1271</v>
      </c>
      <c r="V1" s="485" t="s">
        <v>723</v>
      </c>
    </row>
    <row r="2" spans="1:22" ht="12.95" customHeight="1" thickTop="1" x14ac:dyDescent="0.2">
      <c r="A2" s="374"/>
      <c r="B2" s="374"/>
      <c r="C2" s="374"/>
      <c r="D2" s="1853" t="str">
        <f>IF(L1="","",IF(VLOOKUP(L1,'Job Info.'!X:Z,2,FALSE),"Released for Fabrication",""))</f>
        <v/>
      </c>
      <c r="E2" s="1854"/>
      <c r="F2" s="1855"/>
      <c r="G2" s="1849" t="s">
        <v>96</v>
      </c>
      <c r="H2" s="1849"/>
      <c r="I2" s="1851" t="str">
        <f ca="1">'Job Info.'!D13</f>
        <v>775-867-2140</v>
      </c>
      <c r="J2" s="1852"/>
      <c r="S2" s="633" t="s">
        <v>35</v>
      </c>
      <c r="T2" s="633" t="s">
        <v>1267</v>
      </c>
    </row>
    <row r="3" spans="1:22" ht="12.95" customHeight="1" x14ac:dyDescent="0.2">
      <c r="A3" s="374"/>
      <c r="B3" s="374"/>
      <c r="C3" s="374"/>
      <c r="D3" s="1856"/>
      <c r="E3" s="1857"/>
      <c r="F3" s="1858"/>
      <c r="G3" s="1849" t="s">
        <v>98</v>
      </c>
      <c r="H3" s="1849"/>
      <c r="I3" s="1851" t="str">
        <f ca="1">'Job Info.'!D14</f>
        <v>775-867-2169</v>
      </c>
      <c r="J3" s="1852"/>
      <c r="S3" s="633" t="s">
        <v>1572</v>
      </c>
      <c r="T3" s="633" t="s">
        <v>1268</v>
      </c>
    </row>
    <row r="4" spans="1:22" ht="12.95" customHeight="1" thickBot="1" x14ac:dyDescent="0.25">
      <c r="A4" s="374"/>
      <c r="B4" s="374"/>
      <c r="C4" s="374"/>
      <c r="D4" s="1859" t="str">
        <f>IF(L1="","",IF(VLOOKUP(L1,'Job Info.'!X:Z,2,FALSE),VLOOKUP(L1,'Job Info.'!X:Z,3,FALSE),""))</f>
        <v/>
      </c>
      <c r="E4" s="1860"/>
      <c r="F4" s="1861"/>
      <c r="G4" s="1849" t="s">
        <v>97</v>
      </c>
      <c r="H4" s="1849"/>
      <c r="I4" s="1851" t="str">
        <f ca="1">'Job Info.'!D15</f>
        <v>775-867-2060</v>
      </c>
      <c r="J4" s="1852"/>
      <c r="S4" s="633" t="s">
        <v>1569</v>
      </c>
      <c r="T4" s="633" t="s">
        <v>1269</v>
      </c>
    </row>
    <row r="5" spans="1:22" ht="12.95" customHeight="1" thickTop="1" x14ac:dyDescent="0.2">
      <c r="A5" s="1862" t="str">
        <f ca="1">'Job Info.'!D11</f>
        <v>8200 Woolery Way | Fallon, NV 89406 | www.newmill.com</v>
      </c>
      <c r="B5" s="1862"/>
      <c r="C5" s="1862"/>
      <c r="D5" s="1862"/>
      <c r="E5" s="1862"/>
      <c r="F5" s="1862"/>
      <c r="G5" s="233"/>
      <c r="H5" s="374"/>
      <c r="I5" s="374"/>
      <c r="J5" s="374"/>
      <c r="S5" s="633" t="s">
        <v>438</v>
      </c>
      <c r="T5" s="633" t="s">
        <v>1270</v>
      </c>
    </row>
    <row r="6" spans="1:22" ht="12.95" customHeight="1" x14ac:dyDescent="0.2">
      <c r="A6" s="374"/>
      <c r="B6" s="374"/>
      <c r="C6" s="374"/>
      <c r="D6" s="374"/>
      <c r="E6" s="374"/>
      <c r="F6" s="374"/>
      <c r="G6" s="462" t="s">
        <v>20</v>
      </c>
      <c r="H6" s="1863">
        <f>IF(ISBLANK('Job Info.'!D8),"",'Job Info.'!D8)</f>
        <v>45048</v>
      </c>
      <c r="I6" s="1863"/>
      <c r="J6" s="374"/>
      <c r="L6" s="503" t="s">
        <v>1132</v>
      </c>
      <c r="M6" s="381"/>
      <c r="N6" s="381"/>
      <c r="S6" s="245" t="s">
        <v>148</v>
      </c>
      <c r="T6" s="633" t="s">
        <v>1272</v>
      </c>
    </row>
    <row r="7" spans="1:22" ht="12.95" customHeight="1" x14ac:dyDescent="0.2">
      <c r="A7" s="395" t="s">
        <v>29</v>
      </c>
      <c r="B7" s="374"/>
      <c r="C7" s="374"/>
      <c r="D7" s="374"/>
      <c r="E7" s="374"/>
      <c r="F7" s="476"/>
      <c r="G7" s="462" t="s">
        <v>21</v>
      </c>
      <c r="H7" s="1177" t="str">
        <f>CONCATENATE(L7, " of ",IF(ISBLANK('Job Info.'!D9),"",'Job Info.'!D9))</f>
        <v>2 of 19</v>
      </c>
      <c r="I7" s="658"/>
      <c r="J7" s="374"/>
      <c r="L7" s="1084">
        <v>2</v>
      </c>
      <c r="M7" s="381"/>
      <c r="N7" s="381"/>
      <c r="Q7" s="785"/>
      <c r="S7" s="245" t="s">
        <v>1571</v>
      </c>
      <c r="T7" s="633" t="s">
        <v>1273</v>
      </c>
    </row>
    <row r="8" spans="1:22" ht="3.95" customHeight="1" x14ac:dyDescent="0.2">
      <c r="A8" s="374"/>
      <c r="B8" s="374"/>
      <c r="C8" s="374"/>
      <c r="D8" s="374"/>
      <c r="E8" s="374"/>
      <c r="F8" s="374"/>
      <c r="G8" s="374"/>
      <c r="H8" s="374"/>
      <c r="I8" s="374"/>
      <c r="J8" s="374"/>
      <c r="S8" s="245" t="s">
        <v>1575</v>
      </c>
      <c r="T8" s="633" t="s">
        <v>1274</v>
      </c>
    </row>
    <row r="9" spans="1:22" ht="12.6" customHeight="1" x14ac:dyDescent="0.2">
      <c r="A9" s="480" t="s">
        <v>1</v>
      </c>
      <c r="B9" s="1824" t="str">
        <f>IF(ISBLANK('Job Info.'!D3),"",'Job Info.'!D3)</f>
        <v>MINDEN UPS BLDG 1</v>
      </c>
      <c r="C9" s="1824"/>
      <c r="D9" s="1825"/>
      <c r="E9" s="481"/>
      <c r="F9" s="482" t="s">
        <v>2</v>
      </c>
      <c r="G9" s="1824" t="str">
        <f>IF(ISBLANK('Job Info.'!D5),"",'Job Info.'!D5)</f>
        <v>NN22-0071</v>
      </c>
      <c r="H9" s="1824"/>
      <c r="I9" s="1824"/>
      <c r="J9" s="1825"/>
      <c r="L9" s="381"/>
      <c r="S9" s="245" t="s">
        <v>32</v>
      </c>
      <c r="T9" s="633" t="s">
        <v>114</v>
      </c>
    </row>
    <row r="10" spans="1:22" ht="12.6" customHeight="1" x14ac:dyDescent="0.2">
      <c r="A10" s="480" t="s">
        <v>3</v>
      </c>
      <c r="B10" s="1824" t="str">
        <f>IF(ISBLANK('Job Info.'!D4),"",'Job Info.'!D4)</f>
        <v>MINDEN, NV</v>
      </c>
      <c r="C10" s="1824"/>
      <c r="D10" s="1825"/>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42" t="s">
        <v>15</v>
      </c>
      <c r="C12" s="1843"/>
      <c r="D12" s="1843"/>
      <c r="E12" s="1843"/>
      <c r="F12" s="1843"/>
      <c r="G12" s="1843"/>
      <c r="H12" s="1843"/>
      <c r="I12" s="1843"/>
      <c r="J12" s="1844"/>
      <c r="P12" s="790" t="s">
        <v>963</v>
      </c>
      <c r="Q12" s="791" t="s">
        <v>964</v>
      </c>
      <c r="R12" s="786" t="s">
        <v>968</v>
      </c>
    </row>
    <row r="13" spans="1:22" ht="15.4" customHeight="1" thickTop="1" x14ac:dyDescent="0.2">
      <c r="A13" s="1488" t="s">
        <v>32</v>
      </c>
      <c r="B13" s="1839" t="s">
        <v>1564</v>
      </c>
      <c r="C13" s="1840"/>
      <c r="D13" s="1840"/>
      <c r="E13" s="1840"/>
      <c r="F13" s="1840"/>
      <c r="G13" s="1840"/>
      <c r="H13" s="1840"/>
      <c r="I13" s="1840"/>
      <c r="J13" s="1841"/>
      <c r="L13" s="946" t="str">
        <f>IF(ISBLANK(A13),"",SUBSTITUTE(A13,"*",""))</f>
        <v>A</v>
      </c>
      <c r="M13" s="1537" t="b">
        <v>0</v>
      </c>
      <c r="N13" s="1539" t="b">
        <f>IF(ISERROR(VLOOKUP(L13,S:S,1,FALSE)),FALSE,VLOOKUP(L13,S:S,1,FALSE)=L13)</f>
        <v>1</v>
      </c>
      <c r="O13" s="1528" t="b" cm="1">
        <f t="array" ref="O13">IF(AND(NOT(N13),LEN(L13)&gt;2),OR(ISNUMBER(SEARCH($T$1:$T$15,L13))),FALSE)</f>
        <v>0</v>
      </c>
      <c r="P13" s="792"/>
      <c r="Q13" s="793" t="s">
        <v>1022</v>
      </c>
      <c r="R13" s="787" t="str">
        <f>CONCATENATE("[",P13, "] - ", Q13)</f>
        <v>[] - SHAPES</v>
      </c>
    </row>
    <row r="14" spans="1:22" ht="15.4" customHeight="1" x14ac:dyDescent="0.2">
      <c r="A14" s="1492" t="s">
        <v>35</v>
      </c>
      <c r="B14" s="1833" t="s">
        <v>1565</v>
      </c>
      <c r="C14" s="1834"/>
      <c r="D14" s="1834"/>
      <c r="E14" s="1834"/>
      <c r="F14" s="1834"/>
      <c r="G14" s="1834"/>
      <c r="H14" s="1834"/>
      <c r="I14" s="1834"/>
      <c r="J14" s="1835"/>
      <c r="L14" s="946" t="str">
        <f>IF(ISBLANK(A14),L13,SUBSTITUTE(A14,"*",""))</f>
        <v>B</v>
      </c>
      <c r="M14" s="1537" t="b">
        <v>0</v>
      </c>
      <c r="N14" s="1539" t="b">
        <f t="shared" ref="N14:N51" si="0">IF(ISERROR(VLOOKUP(L14,S:S,1,FALSE)),FALSE,VLOOKUP(L14,S:S,1,FALSE)=L14)</f>
        <v>1</v>
      </c>
      <c r="O14" s="1528"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1492" t="s">
        <v>148</v>
      </c>
      <c r="B15" s="1833" t="s">
        <v>1566</v>
      </c>
      <c r="C15" s="1834"/>
      <c r="D15" s="1834"/>
      <c r="E15" s="1834"/>
      <c r="F15" s="1834"/>
      <c r="G15" s="1834"/>
      <c r="H15" s="1834"/>
      <c r="I15" s="1834"/>
      <c r="J15" s="1835"/>
      <c r="L15" s="946" t="str">
        <f t="shared" ref="L15:L51" si="2">IF(ISBLANK(A15),L14,SUBSTITUTE(A15,"*",""))</f>
        <v>C</v>
      </c>
      <c r="M15" s="1537" t="b">
        <v>0</v>
      </c>
      <c r="N15" s="1539" t="b">
        <f t="shared" si="0"/>
        <v>1</v>
      </c>
      <c r="O15" s="1528"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1492"/>
      <c r="B16" s="1833" t="s">
        <v>1567</v>
      </c>
      <c r="C16" s="1834"/>
      <c r="D16" s="1834"/>
      <c r="E16" s="1834"/>
      <c r="F16" s="1834"/>
      <c r="G16" s="1834"/>
      <c r="H16" s="1834"/>
      <c r="I16" s="1834"/>
      <c r="J16" s="1835"/>
      <c r="L16" s="946" t="str">
        <f t="shared" si="2"/>
        <v>C</v>
      </c>
      <c r="M16" s="1537" t="b">
        <v>0</v>
      </c>
      <c r="N16" s="1539" t="b">
        <f t="shared" si="0"/>
        <v>1</v>
      </c>
      <c r="O16" s="1528"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1492"/>
      <c r="B17" s="1833" t="s">
        <v>1568</v>
      </c>
      <c r="C17" s="1834"/>
      <c r="D17" s="1834"/>
      <c r="E17" s="1834"/>
      <c r="F17" s="1834"/>
      <c r="G17" s="1834"/>
      <c r="H17" s="1834"/>
      <c r="I17" s="1834"/>
      <c r="J17" s="1835"/>
      <c r="L17" s="946" t="str">
        <f t="shared" si="2"/>
        <v>C</v>
      </c>
      <c r="M17" s="1537" t="b">
        <v>0</v>
      </c>
      <c r="N17" s="1539" t="b">
        <f t="shared" si="0"/>
        <v>1</v>
      </c>
      <c r="O17" s="1528" t="b" cm="1">
        <f t="array" ref="O17">IF(AND(NOT(N17),LEN(L17)&gt;2),OR(ISNUMBER(SEARCH($T$1:$T$15,L17))),FALSE)</f>
        <v>0</v>
      </c>
      <c r="P17" s="794" t="s">
        <v>991</v>
      </c>
      <c r="Q17" s="795" t="s">
        <v>1026</v>
      </c>
      <c r="R17" s="788" t="str">
        <f t="shared" si="1"/>
        <v>[AC] - Arched Chords: (Depth=Designation) ##" TC Radius</v>
      </c>
    </row>
    <row r="18" spans="1:18" ht="15.4" customHeight="1" x14ac:dyDescent="0.2">
      <c r="A18" s="1492" t="s">
        <v>1569</v>
      </c>
      <c r="B18" s="1833" t="s">
        <v>1570</v>
      </c>
      <c r="C18" s="1834"/>
      <c r="D18" s="1834"/>
      <c r="E18" s="1834"/>
      <c r="F18" s="1834"/>
      <c r="G18" s="1834"/>
      <c r="H18" s="1834"/>
      <c r="I18" s="1834"/>
      <c r="J18" s="1835"/>
      <c r="L18" s="946" t="str">
        <f t="shared" si="2"/>
        <v>D</v>
      </c>
      <c r="M18" s="1537" t="b">
        <v>0</v>
      </c>
      <c r="N18" s="1539" t="b">
        <f t="shared" si="0"/>
        <v>1</v>
      </c>
      <c r="O18" s="1528"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1492" t="s">
        <v>1571</v>
      </c>
      <c r="B19" s="1833" t="s">
        <v>1701</v>
      </c>
      <c r="C19" s="1834"/>
      <c r="D19" s="1834"/>
      <c r="E19" s="1834"/>
      <c r="F19" s="1834"/>
      <c r="G19" s="1834"/>
      <c r="H19" s="1834"/>
      <c r="I19" s="1834"/>
      <c r="J19" s="1835"/>
      <c r="L19" s="946" t="str">
        <f t="shared" si="2"/>
        <v>E</v>
      </c>
      <c r="M19" s="1537" t="b">
        <v>0</v>
      </c>
      <c r="N19" s="1539" t="b">
        <f t="shared" si="0"/>
        <v>1</v>
      </c>
      <c r="O19" s="1528"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1492" t="s">
        <v>1572</v>
      </c>
      <c r="B20" s="1833" t="s">
        <v>1573</v>
      </c>
      <c r="C20" s="1834"/>
      <c r="D20" s="1834"/>
      <c r="E20" s="1834"/>
      <c r="F20" s="1834"/>
      <c r="G20" s="1834"/>
      <c r="H20" s="1834"/>
      <c r="I20" s="1834"/>
      <c r="J20" s="1835"/>
      <c r="L20" s="946" t="str">
        <f t="shared" si="2"/>
        <v>F</v>
      </c>
      <c r="M20" s="1537" t="b">
        <v>0</v>
      </c>
      <c r="N20" s="1539" t="b">
        <f t="shared" si="0"/>
        <v>1</v>
      </c>
      <c r="O20" s="1528" t="b" cm="1">
        <f t="array" ref="O20">IF(AND(NOT(N20),LEN(L20)&gt;2),OR(ISNUMBER(SEARCH($T$1:$T$15,L20))),FALSE)</f>
        <v>0</v>
      </c>
      <c r="P20" s="794"/>
      <c r="Q20" s="795" t="s">
        <v>1028</v>
      </c>
      <c r="R20" s="788" t="str">
        <f t="shared" si="1"/>
        <v>[] - DEFLECTION</v>
      </c>
    </row>
    <row r="21" spans="1:18" ht="15.4" customHeight="1" x14ac:dyDescent="0.2">
      <c r="A21" s="1492" t="s">
        <v>438</v>
      </c>
      <c r="B21" s="1845" t="s">
        <v>1574</v>
      </c>
      <c r="C21" s="1846"/>
      <c r="D21" s="1846"/>
      <c r="E21" s="1846"/>
      <c r="F21" s="1846"/>
      <c r="G21" s="1846"/>
      <c r="H21" s="1846"/>
      <c r="I21" s="1846"/>
      <c r="J21" s="1847"/>
      <c r="L21" s="946" t="str">
        <f t="shared" si="2"/>
        <v>G</v>
      </c>
      <c r="M21" s="1537" t="b">
        <v>0</v>
      </c>
      <c r="N21" s="1539" t="b">
        <f t="shared" si="0"/>
        <v>1</v>
      </c>
      <c r="O21" s="1539"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1492" t="s">
        <v>1575</v>
      </c>
      <c r="B22" s="1833" t="s">
        <v>1576</v>
      </c>
      <c r="C22" s="1834"/>
      <c r="D22" s="1834"/>
      <c r="E22" s="1834"/>
      <c r="F22" s="1834"/>
      <c r="G22" s="1834"/>
      <c r="H22" s="1834"/>
      <c r="I22" s="1834"/>
      <c r="J22" s="1835"/>
      <c r="L22" s="946" t="str">
        <f t="shared" si="2"/>
        <v>H</v>
      </c>
      <c r="M22" s="1537" t="b">
        <v>0</v>
      </c>
      <c r="N22" s="1539" t="b">
        <f t="shared" si="0"/>
        <v>1</v>
      </c>
      <c r="O22" s="1528"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1492"/>
      <c r="B23" s="1839"/>
      <c r="C23" s="1840"/>
      <c r="D23" s="1840"/>
      <c r="E23" s="1840"/>
      <c r="F23" s="1840"/>
      <c r="G23" s="1840"/>
      <c r="H23" s="1840"/>
      <c r="I23" s="1840"/>
      <c r="J23" s="1841"/>
      <c r="L23" s="946" t="str">
        <f t="shared" si="2"/>
        <v>H</v>
      </c>
      <c r="M23" s="1537" t="b">
        <v>0</v>
      </c>
      <c r="N23" s="1539" t="b">
        <f t="shared" si="0"/>
        <v>1</v>
      </c>
      <c r="O23" s="1528"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1492"/>
      <c r="B24" s="1833"/>
      <c r="C24" s="1834"/>
      <c r="D24" s="1834"/>
      <c r="E24" s="1834"/>
      <c r="F24" s="1834"/>
      <c r="G24" s="1834"/>
      <c r="H24" s="1834"/>
      <c r="I24" s="1834"/>
      <c r="J24" s="1835"/>
      <c r="L24" s="946" t="str">
        <f t="shared" si="2"/>
        <v>H</v>
      </c>
      <c r="M24" s="1537" t="b">
        <v>0</v>
      </c>
      <c r="N24" s="1539" t="b">
        <f t="shared" si="0"/>
        <v>1</v>
      </c>
      <c r="O24" s="1528" t="b" cm="1">
        <f t="array" ref="O24">IF(AND(NOT(N24),LEN(L24)&gt;2),OR(ISNUMBER(SEARCH($T$1:$T$15,L24))),FALSE)</f>
        <v>0</v>
      </c>
      <c r="P24" s="794" t="s">
        <v>989</v>
      </c>
      <c r="Q24" s="795" t="s">
        <v>1031</v>
      </c>
      <c r="R24" s="788" t="str">
        <f t="shared" si="1"/>
        <v>[DefSP] - Special Deflection = ##" Max Due To ### PLF LL|DL|TL</v>
      </c>
    </row>
    <row r="25" spans="1:18" ht="15.4" customHeight="1" x14ac:dyDescent="0.2">
      <c r="A25" s="1492"/>
      <c r="B25" s="1833"/>
      <c r="C25" s="1834"/>
      <c r="D25" s="1834"/>
      <c r="E25" s="1834"/>
      <c r="F25" s="1834"/>
      <c r="G25" s="1834"/>
      <c r="H25" s="1834"/>
      <c r="I25" s="1834"/>
      <c r="J25" s="1835"/>
      <c r="L25" s="946" t="str">
        <f t="shared" si="2"/>
        <v>H</v>
      </c>
      <c r="M25" s="1537" t="b">
        <v>0</v>
      </c>
      <c r="N25" s="1539" t="b">
        <f t="shared" si="0"/>
        <v>1</v>
      </c>
      <c r="O25" s="1528" t="b" cm="1">
        <f t="array" ref="O25">IF(AND(NOT(N25),LEN(L25)&gt;2),OR(ISNUMBER(SEARCH($T$1:$T$15,L25))),FALSE)</f>
        <v>0</v>
      </c>
      <c r="P25" s="794"/>
      <c r="Q25" s="795" t="s">
        <v>1033</v>
      </c>
      <c r="R25" s="788" t="str">
        <f t="shared" si="1"/>
        <v>[] - BEARING SEATS</v>
      </c>
    </row>
    <row r="26" spans="1:18" ht="15.4" customHeight="1" x14ac:dyDescent="0.2">
      <c r="A26" s="1492"/>
      <c r="B26" s="1833"/>
      <c r="C26" s="1834"/>
      <c r="D26" s="1834"/>
      <c r="E26" s="1834"/>
      <c r="F26" s="1834"/>
      <c r="G26" s="1834"/>
      <c r="H26" s="1834"/>
      <c r="I26" s="1834"/>
      <c r="J26" s="1835"/>
      <c r="L26" s="946" t="str">
        <f t="shared" si="2"/>
        <v>H</v>
      </c>
      <c r="M26" s="1537" t="b">
        <v>0</v>
      </c>
      <c r="N26" s="1528" t="b">
        <f t="shared" si="0"/>
        <v>1</v>
      </c>
      <c r="O26" s="1528"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1492"/>
      <c r="B27" s="1833"/>
      <c r="C27" s="1834"/>
      <c r="D27" s="1834"/>
      <c r="E27" s="1834"/>
      <c r="F27" s="1834"/>
      <c r="G27" s="1834"/>
      <c r="H27" s="1834"/>
      <c r="I27" s="1834"/>
      <c r="J27" s="1835"/>
      <c r="L27" s="946" t="str">
        <f t="shared" si="2"/>
        <v>H</v>
      </c>
      <c r="M27" s="1537" t="b">
        <v>0</v>
      </c>
      <c r="N27" s="1528" t="b">
        <f t="shared" si="0"/>
        <v>1</v>
      </c>
      <c r="O27" s="1528" t="b" cm="1">
        <f t="array" ref="O27">IF(AND(NOT(N27),LEN(L27)&gt;2),OR(ISNUMBER(SEARCH($T$1:$T$15,L27))),FALSE)</f>
        <v>0</v>
      </c>
      <c r="P27" s="794" t="s">
        <v>1000</v>
      </c>
      <c r="Q27" s="795" t="s">
        <v>1046</v>
      </c>
      <c r="R27" s="788" t="str">
        <f t="shared" si="1"/>
        <v>[AddSlt] - Addn'l Seat Slots @ #" from L-OAL|R-OAL</v>
      </c>
    </row>
    <row r="28" spans="1:18" ht="15.4" customHeight="1" x14ac:dyDescent="0.2">
      <c r="A28" s="1492"/>
      <c r="B28" s="1833"/>
      <c r="C28" s="1834"/>
      <c r="D28" s="1834"/>
      <c r="E28" s="1834"/>
      <c r="F28" s="1834"/>
      <c r="G28" s="1834"/>
      <c r="H28" s="1834"/>
      <c r="I28" s="1834"/>
      <c r="J28" s="1835"/>
      <c r="L28" s="946" t="str">
        <f t="shared" si="2"/>
        <v>H</v>
      </c>
      <c r="M28" s="1537" t="b">
        <v>0</v>
      </c>
      <c r="N28" s="1528" t="b">
        <f t="shared" si="0"/>
        <v>1</v>
      </c>
      <c r="O28" s="1528" t="b" cm="1">
        <f t="array" ref="O28">IF(AND(NOT(N28),LEN(L28)&gt;2),OR(ISNUMBER(SEARCH($T$1:$T$15,L28))),FALSE)</f>
        <v>0</v>
      </c>
      <c r="P28" s="794" t="s">
        <v>981</v>
      </c>
      <c r="Q28" s="795" t="s">
        <v>1043</v>
      </c>
      <c r="R28" s="788" t="str">
        <f t="shared" si="1"/>
        <v>[BCBrg] - Bottom Chord Bearing @ LE|RE|BE</v>
      </c>
    </row>
    <row r="29" spans="1:18" ht="15.4" customHeight="1" x14ac:dyDescent="0.2">
      <c r="A29" s="1492"/>
      <c r="B29" s="1833"/>
      <c r="C29" s="1834"/>
      <c r="D29" s="1834"/>
      <c r="E29" s="1834"/>
      <c r="F29" s="1834"/>
      <c r="G29" s="1834"/>
      <c r="H29" s="1834"/>
      <c r="I29" s="1834"/>
      <c r="J29" s="1835"/>
      <c r="L29" s="946" t="str">
        <f t="shared" si="2"/>
        <v>H</v>
      </c>
      <c r="M29" s="1537" t="b">
        <v>0</v>
      </c>
      <c r="N29" s="1528" t="b">
        <f t="shared" si="0"/>
        <v>1</v>
      </c>
      <c r="O29" s="1528"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1492"/>
      <c r="B30" s="1833"/>
      <c r="C30" s="1834"/>
      <c r="D30" s="1834"/>
      <c r="E30" s="1834"/>
      <c r="F30" s="1834"/>
      <c r="G30" s="1834"/>
      <c r="H30" s="1834"/>
      <c r="I30" s="1834"/>
      <c r="J30" s="1835"/>
      <c r="L30" s="946" t="str">
        <f t="shared" si="2"/>
        <v>H</v>
      </c>
      <c r="M30" s="1537" t="b">
        <v>0</v>
      </c>
      <c r="N30" s="1528" t="b">
        <f t="shared" si="0"/>
        <v>1</v>
      </c>
      <c r="O30" s="1528"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1492"/>
      <c r="B31" s="1833"/>
      <c r="C31" s="1834"/>
      <c r="D31" s="1834"/>
      <c r="E31" s="1834"/>
      <c r="F31" s="1834"/>
      <c r="G31" s="1834"/>
      <c r="H31" s="1834"/>
      <c r="I31" s="1834"/>
      <c r="J31" s="1835"/>
      <c r="L31" s="946" t="str">
        <f t="shared" si="2"/>
        <v>H</v>
      </c>
      <c r="M31" s="1537" t="b">
        <v>0</v>
      </c>
      <c r="N31" s="1528" t="b">
        <f t="shared" si="0"/>
        <v>1</v>
      </c>
      <c r="O31" s="1528" t="b" cm="1">
        <f t="array" ref="O31">IF(AND(NOT(N31),LEN(L31)&gt;2),OR(ISNUMBER(SEARCH($T$1:$T$15,L31))),FALSE)</f>
        <v>0</v>
      </c>
      <c r="P31" s="794" t="s">
        <v>979</v>
      </c>
      <c r="Q31" s="795" t="s">
        <v>1047</v>
      </c>
      <c r="R31" s="788" t="str">
        <f t="shared" si="1"/>
        <v>[BPThk] - Min Thickness of Base Plate = 0.xxx" @ LE|RE|BE</v>
      </c>
    </row>
    <row r="32" spans="1:18" ht="15.4" customHeight="1" x14ac:dyDescent="0.2">
      <c r="A32" s="1492"/>
      <c r="B32" s="1833"/>
      <c r="C32" s="1834"/>
      <c r="D32" s="1834"/>
      <c r="E32" s="1834"/>
      <c r="F32" s="1834"/>
      <c r="G32" s="1834"/>
      <c r="H32" s="1834"/>
      <c r="I32" s="1834"/>
      <c r="J32" s="1835"/>
      <c r="L32" s="946" t="str">
        <f t="shared" si="2"/>
        <v>H</v>
      </c>
      <c r="M32" s="1537" t="b">
        <v>0</v>
      </c>
      <c r="N32" s="1528" t="b">
        <f t="shared" si="0"/>
        <v>1</v>
      </c>
      <c r="O32" s="1528" t="b" cm="1">
        <f t="array" ref="O32">IF(AND(NOT(N32),LEN(L32)&gt;2),OR(ISNUMBER(SEARCH($T$1:$T$15,L32))),FALSE)</f>
        <v>0</v>
      </c>
      <c r="P32" s="794" t="s">
        <v>1001</v>
      </c>
      <c r="Q32" s="795" t="s">
        <v>1002</v>
      </c>
      <c r="R32" s="788" t="str">
        <f t="shared" si="1"/>
        <v>[ClrBrg] - Min Clear Bearing = #" @ LE(RE)(BE)</v>
      </c>
    </row>
    <row r="33" spans="1:18" ht="15.4" customHeight="1" x14ac:dyDescent="0.2">
      <c r="A33" s="1492"/>
      <c r="B33" s="1833"/>
      <c r="C33" s="1834"/>
      <c r="D33" s="1834"/>
      <c r="E33" s="1834"/>
      <c r="F33" s="1834"/>
      <c r="G33" s="1834"/>
      <c r="H33" s="1834"/>
      <c r="I33" s="1834"/>
      <c r="J33" s="1835"/>
      <c r="L33" s="946" t="str">
        <f t="shared" si="2"/>
        <v>H</v>
      </c>
      <c r="M33" s="1537" t="b">
        <v>0</v>
      </c>
      <c r="N33" s="1528" t="b">
        <f t="shared" si="0"/>
        <v>1</v>
      </c>
      <c r="O33" s="1528"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1492"/>
      <c r="B34" s="1833"/>
      <c r="C34" s="1834"/>
      <c r="D34" s="1834"/>
      <c r="E34" s="1834"/>
      <c r="F34" s="1834"/>
      <c r="G34" s="1834"/>
      <c r="H34" s="1834"/>
      <c r="I34" s="1834"/>
      <c r="J34" s="1835"/>
      <c r="L34" s="946" t="str">
        <f t="shared" si="2"/>
        <v>H</v>
      </c>
      <c r="M34" s="1537" t="b">
        <v>0</v>
      </c>
      <c r="N34" s="1528" t="b">
        <f t="shared" si="0"/>
        <v>1</v>
      </c>
      <c r="O34" s="1528" t="b" cm="1">
        <f t="array" ref="O34">IF(AND(NOT(N34),LEN(L34)&gt;2),OR(ISNUMBER(SEARCH($T$1:$T$15,L34))),FALSE)</f>
        <v>0</v>
      </c>
      <c r="P34" s="794" t="s">
        <v>1038</v>
      </c>
      <c r="Q34" s="795" t="s">
        <v>1040</v>
      </c>
      <c r="R34" s="788" t="str">
        <f t="shared" si="1"/>
        <v>[KickLd] - Axial Load Due To Kicker, No Rein Req’d</v>
      </c>
    </row>
    <row r="35" spans="1:18" ht="15.4" customHeight="1" x14ac:dyDescent="0.2">
      <c r="A35" s="1492"/>
      <c r="B35" s="1833"/>
      <c r="C35" s="1834"/>
      <c r="D35" s="1834"/>
      <c r="E35" s="1834"/>
      <c r="F35" s="1834"/>
      <c r="G35" s="1834"/>
      <c r="H35" s="1834"/>
      <c r="I35" s="1834"/>
      <c r="J35" s="1835"/>
      <c r="L35" s="946" t="str">
        <f t="shared" si="2"/>
        <v>H</v>
      </c>
      <c r="M35" s="1537" t="b">
        <v>0</v>
      </c>
      <c r="N35" s="1528" t="b">
        <f t="shared" si="0"/>
        <v>1</v>
      </c>
      <c r="O35" s="1528"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1492"/>
      <c r="B36" s="1833"/>
      <c r="C36" s="1834"/>
      <c r="D36" s="1834"/>
      <c r="E36" s="1834"/>
      <c r="F36" s="1834"/>
      <c r="G36" s="1834"/>
      <c r="H36" s="1834"/>
      <c r="I36" s="1834"/>
      <c r="J36" s="1835"/>
      <c r="L36" s="946" t="str">
        <f t="shared" si="2"/>
        <v>H</v>
      </c>
      <c r="M36" s="1537" t="b">
        <v>0</v>
      </c>
      <c r="N36" s="1528" t="b">
        <f t="shared" si="0"/>
        <v>1</v>
      </c>
      <c r="O36" s="1528"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1492"/>
      <c r="B37" s="1833"/>
      <c r="C37" s="1834"/>
      <c r="D37" s="1834"/>
      <c r="E37" s="1834"/>
      <c r="F37" s="1834"/>
      <c r="G37" s="1834"/>
      <c r="H37" s="1834"/>
      <c r="I37" s="1834"/>
      <c r="J37" s="1835"/>
      <c r="L37" s="946" t="str">
        <f t="shared" si="2"/>
        <v>H</v>
      </c>
      <c r="M37" s="1537" t="b">
        <v>0</v>
      </c>
      <c r="N37" s="1528" t="b">
        <f t="shared" si="0"/>
        <v>1</v>
      </c>
      <c r="O37" s="1528"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1492"/>
      <c r="B38" s="1833"/>
      <c r="C38" s="1834"/>
      <c r="D38" s="1834"/>
      <c r="E38" s="1834"/>
      <c r="F38" s="1834"/>
      <c r="G38" s="1834"/>
      <c r="H38" s="1834"/>
      <c r="I38" s="1834"/>
      <c r="J38" s="1835"/>
      <c r="L38" s="946" t="str">
        <f t="shared" si="2"/>
        <v>H</v>
      </c>
      <c r="M38" s="1537" t="b">
        <v>0</v>
      </c>
      <c r="N38" s="1528" t="b">
        <f t="shared" si="0"/>
        <v>1</v>
      </c>
      <c r="O38" s="1528"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1492"/>
      <c r="B39" s="1833"/>
      <c r="C39" s="1834"/>
      <c r="D39" s="1834"/>
      <c r="E39" s="1834"/>
      <c r="F39" s="1834"/>
      <c r="G39" s="1834"/>
      <c r="H39" s="1834"/>
      <c r="I39" s="1834"/>
      <c r="J39" s="1835"/>
      <c r="L39" s="946" t="str">
        <f t="shared" si="2"/>
        <v>H</v>
      </c>
      <c r="M39" s="1537" t="b">
        <v>0</v>
      </c>
      <c r="N39" s="1528" t="b">
        <f t="shared" si="0"/>
        <v>1</v>
      </c>
      <c r="O39" s="1528" t="b" cm="1">
        <f t="array" ref="O39">IF(AND(NOT(N39),LEN(L39)&gt;2),OR(ISNUMBER(SEARCH($T$1:$T$15,L39))),FALSE)</f>
        <v>0</v>
      </c>
      <c r="P39" s="794" t="s">
        <v>1082</v>
      </c>
      <c r="Q39" s="795" t="s">
        <v>1083</v>
      </c>
      <c r="R39" s="788" t="str">
        <f t="shared" si="1"/>
        <v>[RndShrtSlt] - #/#" Round Holes|#/#”x1” Slots, Ga=#” @ LE|RE|BE</v>
      </c>
    </row>
    <row r="40" spans="1:18" ht="15.4" customHeight="1" x14ac:dyDescent="0.2">
      <c r="A40" s="1492"/>
      <c r="B40" s="1833"/>
      <c r="C40" s="1834"/>
      <c r="D40" s="1834"/>
      <c r="E40" s="1834"/>
      <c r="F40" s="1834"/>
      <c r="G40" s="1834"/>
      <c r="H40" s="1834"/>
      <c r="I40" s="1834"/>
      <c r="J40" s="1835"/>
      <c r="L40" s="946" t="str">
        <f t="shared" si="2"/>
        <v>H</v>
      </c>
      <c r="M40" s="1537" t="b">
        <v>0</v>
      </c>
      <c r="N40" s="1528" t="b">
        <f t="shared" si="0"/>
        <v>1</v>
      </c>
      <c r="O40" s="1528" t="b" cm="1">
        <f t="array" ref="O40">IF(AND(NOT(N40),LEN(L40)&gt;2),OR(ISNUMBER(SEARCH($T$1:$T$15,L40))),FALSE)</f>
        <v>0</v>
      </c>
      <c r="P40" s="794" t="s">
        <v>1041</v>
      </c>
      <c r="Q40" s="795" t="s">
        <v>1042</v>
      </c>
      <c r="R40" s="788" t="str">
        <f t="shared" si="1"/>
        <v>[Roll] - Seat Rollover Force = ##Kips @ LE|RE|BE</v>
      </c>
    </row>
    <row r="41" spans="1:18" ht="15.4" customHeight="1" x14ac:dyDescent="0.2">
      <c r="A41" s="1492"/>
      <c r="B41" s="1833"/>
      <c r="C41" s="1834"/>
      <c r="D41" s="1834"/>
      <c r="E41" s="1834"/>
      <c r="F41" s="1834"/>
      <c r="G41" s="1834"/>
      <c r="H41" s="1834"/>
      <c r="I41" s="1834"/>
      <c r="J41" s="1835"/>
      <c r="L41" s="946" t="str">
        <f t="shared" si="2"/>
        <v>H</v>
      </c>
      <c r="M41" s="1537" t="b">
        <v>0</v>
      </c>
      <c r="N41" s="1528" t="b">
        <f t="shared" si="0"/>
        <v>1</v>
      </c>
      <c r="O41" s="1528" t="b" cm="1">
        <f t="array" ref="O41">IF(AND(NOT(N41),LEN(L41)&gt;2),OR(ISNUMBER(SEARCH($T$1:$T$15,L41))),FALSE)</f>
        <v>0</v>
      </c>
      <c r="P41" s="794" t="s">
        <v>1074</v>
      </c>
      <c r="Q41" s="795" t="s">
        <v>1075</v>
      </c>
      <c r="R41" s="788" t="str">
        <f t="shared" si="1"/>
        <v>[ShrtBrg] - Short Bearing = #” @ LE|RE|BE</v>
      </c>
    </row>
    <row r="42" spans="1:18" ht="15.4" customHeight="1" x14ac:dyDescent="0.2">
      <c r="A42" s="1492"/>
      <c r="B42" s="1833"/>
      <c r="C42" s="1834"/>
      <c r="D42" s="1834"/>
      <c r="E42" s="1834"/>
      <c r="F42" s="1834"/>
      <c r="G42" s="1834"/>
      <c r="H42" s="1834"/>
      <c r="I42" s="1834"/>
      <c r="J42" s="1835"/>
      <c r="L42" s="946" t="str">
        <f t="shared" si="2"/>
        <v>H</v>
      </c>
      <c r="M42" s="1537" t="b">
        <v>0</v>
      </c>
      <c r="N42" s="1528" t="b">
        <f t="shared" si="0"/>
        <v>1</v>
      </c>
      <c r="O42" s="1528" t="b" cm="1">
        <f t="array" ref="O42">IF(AND(NOT(N42),LEN(L42)&gt;2),OR(ISNUMBER(SEARCH($T$1:$T$15,L42))),FALSE)</f>
        <v>0</v>
      </c>
      <c r="P42" s="794" t="s">
        <v>1078</v>
      </c>
      <c r="Q42" s="795" t="s">
        <v>990</v>
      </c>
      <c r="R42" s="788" t="str">
        <f t="shared" si="1"/>
        <v>[Skew] - ##º Half(Full)-Skew, NS(FS), LE(RE)</v>
      </c>
    </row>
    <row r="43" spans="1:18" ht="15.4" customHeight="1" x14ac:dyDescent="0.2">
      <c r="A43" s="1492"/>
      <c r="B43" s="1833"/>
      <c r="C43" s="1834"/>
      <c r="D43" s="1834"/>
      <c r="E43" s="1834"/>
      <c r="F43" s="1834"/>
      <c r="G43" s="1834"/>
      <c r="H43" s="1834"/>
      <c r="I43" s="1834"/>
      <c r="J43" s="1835"/>
      <c r="L43" s="946" t="str">
        <f t="shared" si="2"/>
        <v>H</v>
      </c>
      <c r="M43" s="1537" t="b">
        <v>0</v>
      </c>
      <c r="N43" s="1528" t="b">
        <f t="shared" si="0"/>
        <v>1</v>
      </c>
      <c r="O43" s="1528" t="b" cm="1">
        <f t="array" ref="O43">IF(AND(NOT(N43),LEN(L43)&gt;2),OR(ISNUMBER(SEARCH($T$1:$T$15,L43))),FALSE)</f>
        <v>0</v>
      </c>
      <c r="P43" s="794" t="s">
        <v>976</v>
      </c>
      <c r="Q43" s="795" t="s">
        <v>1045</v>
      </c>
      <c r="R43" s="788" t="str">
        <f t="shared" si="1"/>
        <v>[SpSlt] - Special Seat Slots: #"x#" Slots, Ga=#" @ LE|RE|BE</v>
      </c>
    </row>
    <row r="44" spans="1:18" ht="15.4" customHeight="1" x14ac:dyDescent="0.2">
      <c r="A44" s="1492"/>
      <c r="B44" s="1833"/>
      <c r="C44" s="1834"/>
      <c r="D44" s="1834"/>
      <c r="E44" s="1834"/>
      <c r="F44" s="1834"/>
      <c r="G44" s="1834"/>
      <c r="H44" s="1834"/>
      <c r="I44" s="1834"/>
      <c r="J44" s="1835"/>
      <c r="L44" s="946" t="str">
        <f t="shared" si="2"/>
        <v>H</v>
      </c>
      <c r="M44" s="1537" t="b">
        <v>0</v>
      </c>
      <c r="N44" s="1528" t="b">
        <f t="shared" si="0"/>
        <v>1</v>
      </c>
      <c r="O44" s="1528" t="b" cm="1">
        <f t="array" ref="O44">IF(AND(NOT(N44),LEN(L44)&gt;2),OR(ISNUMBER(SEARCH($T$1:$T$15,L44))),FALSE)</f>
        <v>0</v>
      </c>
      <c r="P44" s="794" t="s">
        <v>975</v>
      </c>
      <c r="Q44" s="795" t="s">
        <v>1044</v>
      </c>
      <c r="R44" s="788" t="str">
        <f t="shared" si="1"/>
        <v>[StgSlt] - Stagger Seat Slots LE|RE: ##" NS, ##" FS</v>
      </c>
    </row>
    <row r="45" spans="1:18" ht="15.4" customHeight="1" x14ac:dyDescent="0.2">
      <c r="A45" s="1492"/>
      <c r="B45" s="1833"/>
      <c r="C45" s="1834"/>
      <c r="D45" s="1834"/>
      <c r="E45" s="1834"/>
      <c r="F45" s="1834"/>
      <c r="G45" s="1834"/>
      <c r="H45" s="1834"/>
      <c r="I45" s="1834"/>
      <c r="J45" s="1835"/>
      <c r="L45" s="946" t="str">
        <f t="shared" si="2"/>
        <v>H</v>
      </c>
      <c r="M45" s="1537" t="b">
        <v>0</v>
      </c>
      <c r="N45" s="1528" t="b">
        <f t="shared" si="0"/>
        <v>1</v>
      </c>
      <c r="O45" s="1528" t="b" cm="1">
        <f t="array" ref="O45">IF(AND(NOT(N45),LEN(L45)&gt;2),OR(ISNUMBER(SEARCH($T$1:$T$15,L45))),FALSE)</f>
        <v>0</v>
      </c>
      <c r="P45" s="794" t="s">
        <v>980</v>
      </c>
      <c r="Q45" s="795" t="s">
        <v>1034</v>
      </c>
      <c r="R45" s="788" t="str">
        <f t="shared" si="1"/>
        <v>[TCXMax] - Max Depth of TCXL|TCXR = ##"</v>
      </c>
    </row>
    <row r="46" spans="1:18" ht="15.4" customHeight="1" x14ac:dyDescent="0.2">
      <c r="A46" s="1492"/>
      <c r="B46" s="1833"/>
      <c r="C46" s="1834"/>
      <c r="D46" s="1834"/>
      <c r="E46" s="1834"/>
      <c r="F46" s="1834"/>
      <c r="G46" s="1834"/>
      <c r="H46" s="1834"/>
      <c r="I46" s="1834"/>
      <c r="J46" s="1835"/>
      <c r="L46" s="946" t="str">
        <f t="shared" si="2"/>
        <v>H</v>
      </c>
      <c r="M46" s="1537" t="b">
        <v>0</v>
      </c>
      <c r="N46" s="1528" t="b">
        <f t="shared" si="0"/>
        <v>1</v>
      </c>
      <c r="O46" s="1528" t="b" cm="1">
        <f t="array" ref="O46">IF(AND(NOT(N46),LEN(L46)&gt;2),OR(ISNUMBER(SEARCH($T$1:$T$15,L46))),FALSE)</f>
        <v>0</v>
      </c>
      <c r="P46" s="794" t="s">
        <v>974</v>
      </c>
      <c r="Q46" s="795" t="s">
        <v>1076</v>
      </c>
      <c r="R46" s="788" t="str">
        <f t="shared" si="1"/>
        <v>[TCXSup] - TCXL|TCXR Supported @ End</v>
      </c>
    </row>
    <row r="47" spans="1:18" ht="15.4" customHeight="1" x14ac:dyDescent="0.2">
      <c r="A47" s="1492"/>
      <c r="B47" s="1833"/>
      <c r="C47" s="1834"/>
      <c r="D47" s="1834"/>
      <c r="E47" s="1834"/>
      <c r="F47" s="1834"/>
      <c r="G47" s="1834"/>
      <c r="H47" s="1834"/>
      <c r="I47" s="1834"/>
      <c r="J47" s="1835"/>
      <c r="L47" s="946" t="str">
        <f t="shared" si="2"/>
        <v>H</v>
      </c>
      <c r="M47" s="1537" t="b">
        <v>0</v>
      </c>
      <c r="N47" s="1528" t="b">
        <f t="shared" si="0"/>
        <v>1</v>
      </c>
      <c r="O47" s="1528" t="b" cm="1">
        <f t="array" ref="O47">IF(AND(NOT(N47),LEN(L47)&gt;2),OR(ISNUMBER(SEARCH($T$1:$T$15,L47))),FALSE)</f>
        <v>0</v>
      </c>
      <c r="P47" s="794"/>
      <c r="Q47" s="795" t="s">
        <v>1050</v>
      </c>
      <c r="R47" s="788" t="str">
        <f t="shared" si="1"/>
        <v>[] - MISCELLANEOUS</v>
      </c>
    </row>
    <row r="48" spans="1:18" ht="15.4" customHeight="1" x14ac:dyDescent="0.2">
      <c r="A48" s="1492"/>
      <c r="B48" s="1833"/>
      <c r="C48" s="1834"/>
      <c r="D48" s="1834"/>
      <c r="E48" s="1834"/>
      <c r="F48" s="1834"/>
      <c r="G48" s="1834"/>
      <c r="H48" s="1834"/>
      <c r="I48" s="1834"/>
      <c r="J48" s="1835"/>
      <c r="L48" s="946" t="str">
        <f t="shared" si="2"/>
        <v>H</v>
      </c>
      <c r="M48" s="1537" t="b">
        <v>0</v>
      </c>
      <c r="N48" s="1528" t="b">
        <f t="shared" si="0"/>
        <v>1</v>
      </c>
      <c r="O48" s="1528" t="b" cm="1">
        <f t="array" ref="O48">IF(AND(NOT(N48),LEN(L48)&gt;2),OR(ISNUMBER(SEARCH($T$1:$T$15,L48))),FALSE)</f>
        <v>0</v>
      </c>
      <c r="P48" s="794" t="s">
        <v>982</v>
      </c>
      <c r="Q48" s="795" t="s">
        <v>1053</v>
      </c>
      <c r="R48" s="788" t="str">
        <f t="shared" si="1"/>
        <v>[BClip] - Bridging Clip(s) Required per Plan</v>
      </c>
    </row>
    <row r="49" spans="1:18" ht="15.4" customHeight="1" x14ac:dyDescent="0.2">
      <c r="A49" s="1492"/>
      <c r="B49" s="1833"/>
      <c r="C49" s="1834"/>
      <c r="D49" s="1834"/>
      <c r="E49" s="1834"/>
      <c r="F49" s="1834"/>
      <c r="G49" s="1834"/>
      <c r="H49" s="1834"/>
      <c r="I49" s="1834"/>
      <c r="J49" s="1835"/>
      <c r="L49" s="946" t="str">
        <f t="shared" si="2"/>
        <v>H</v>
      </c>
      <c r="M49" s="1537" t="b">
        <v>0</v>
      </c>
      <c r="N49" s="1528" t="b">
        <f t="shared" si="0"/>
        <v>1</v>
      </c>
      <c r="O49" s="1528" t="b" cm="1">
        <f t="array" ref="O49">IF(AND(NOT(N49),LEN(L49)&gt;2),OR(ISNUMBER(SEARCH($T$1:$T$15,L49))),FALSE)</f>
        <v>0</v>
      </c>
      <c r="P49" s="794" t="s">
        <v>978</v>
      </c>
      <c r="Q49" s="795" t="s">
        <v>970</v>
      </c>
      <c r="R49" s="788" t="str">
        <f t="shared" si="1"/>
        <v>[BCThk] - Min Thickness of BC = 0.xxx"</v>
      </c>
    </row>
    <row r="50" spans="1:18" ht="15.4" customHeight="1" x14ac:dyDescent="0.2">
      <c r="A50" s="1492"/>
      <c r="B50" s="1833"/>
      <c r="C50" s="1834"/>
      <c r="D50" s="1834"/>
      <c r="E50" s="1834"/>
      <c r="F50" s="1834"/>
      <c r="G50" s="1834"/>
      <c r="H50" s="1834"/>
      <c r="I50" s="1834"/>
      <c r="J50" s="1835"/>
      <c r="L50" s="946" t="str">
        <f t="shared" si="2"/>
        <v>H</v>
      </c>
      <c r="M50" s="1537" t="b">
        <v>0</v>
      </c>
      <c r="N50" s="1528" t="b">
        <f t="shared" si="0"/>
        <v>1</v>
      </c>
      <c r="O50" s="1528" t="b" cm="1">
        <f t="array" ref="O50">IF(AND(NOT(N50),LEN(L50)&gt;2),OR(ISNUMBER(SEARCH($T$1:$T$15,L50))),FALSE)</f>
        <v>0</v>
      </c>
      <c r="P50" s="794" t="s">
        <v>1079</v>
      </c>
      <c r="Q50" s="795" t="s">
        <v>1052</v>
      </c>
      <c r="R50" s="788" t="str">
        <f t="shared" si="1"/>
        <v>[Camb] - Camber = #"|Camber for DL|50% Std Camber|No Camber</v>
      </c>
    </row>
    <row r="51" spans="1:18" ht="15.4" customHeight="1" x14ac:dyDescent="0.2">
      <c r="A51" s="1496"/>
      <c r="B51" s="1836"/>
      <c r="C51" s="1837"/>
      <c r="D51" s="1837"/>
      <c r="E51" s="1837"/>
      <c r="F51" s="1837"/>
      <c r="G51" s="1837"/>
      <c r="H51" s="1837"/>
      <c r="I51" s="1837"/>
      <c r="J51" s="1838"/>
      <c r="L51" s="946" t="str">
        <f t="shared" si="2"/>
        <v>H</v>
      </c>
      <c r="M51" s="1537" t="b">
        <v>0</v>
      </c>
      <c r="N51" s="1528" t="b">
        <f t="shared" si="0"/>
        <v>1</v>
      </c>
      <c r="O51" s="1528"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40</v>
      </c>
      <c r="O52" s="1531"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t="s">
        <v>1612</v>
      </c>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algorithmName="SHA-512" hashValue="9F8V229tgQz7tT1zfuGMgHdoykZx5kRPzzBLGiiXrajHM4I4DjDTmOHIi2zkj4RUR4yBI+VOLxY2qbIVqAdO1A==" saltValue="jHYwtRbdQQksK2xon7uSPQ=="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482" priority="5" stopIfTrue="1" operator="equal">
      <formula>""</formula>
    </cfRule>
  </conditionalFormatting>
  <conditionalFormatting sqref="A13:J51">
    <cfRule type="expression" dxfId="481" priority="2">
      <formula>AND(NOT($N13),NOT($O13),$M$1)</formula>
    </cfRule>
    <cfRule type="expression" dxfId="480" priority="4">
      <formula>AND($M13,$L$1="M")</formula>
    </cfRule>
  </conditionalFormatting>
  <conditionalFormatting sqref="A13:A51">
    <cfRule type="expression" dxfId="479" priority="3">
      <formula>NOT(OR($N13,$O13))</formula>
    </cfRule>
  </conditionalFormatting>
  <conditionalFormatting sqref="B13:J51">
    <cfRule type="expression" dxfId="478" priority="1">
      <formula>LEN(B13)&gt;130</formula>
    </cfRule>
  </conditionalFormatting>
  <dataValidations count="2">
    <dataValidation type="list" allowBlank="1" sqref="B13:J51" xr:uid="{3D6DF3DE-1321-4E8D-A522-E468213128ED}">
      <formula1>OFFSET($R$13,0,0,$P$10,1)</formula1>
    </dataValidation>
    <dataValidation type="list" allowBlank="1" showInputMessage="1" sqref="Q7" xr:uid="{205CAF2D-6D13-4A9C-AEE3-DB9E5B986C77}">
      <formula1>OFFSET($R$13,0,0,$P$10,1)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D4DD5-5F72-48DC-920D-2ABFEA41FDAF}">
  <sheetPr codeName="Sheet25">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48" t="str">
        <f>IF(S1="","",VLOOKUP(S1,'Job Info.'!X:AA,4,FALSE))</f>
        <v>Master</v>
      </c>
      <c r="J1" s="1848"/>
      <c r="K1" s="1848"/>
      <c r="L1" s="375"/>
      <c r="M1" s="375" t="s">
        <v>95</v>
      </c>
      <c r="N1" s="463" t="str">
        <f ca="1">'Job Info.'!D12</f>
        <v>775-428-0600</v>
      </c>
      <c r="O1" s="484" t="s">
        <v>722</v>
      </c>
      <c r="P1" s="1008"/>
      <c r="S1" s="378" t="str">
        <f>'Job Info.'!Q30</f>
        <v>M</v>
      </c>
      <c r="T1" s="378" t="b">
        <f>'Job Info.'!Q32</f>
        <v>0</v>
      </c>
      <c r="BD1" s="256" t="s">
        <v>1262</v>
      </c>
      <c r="BE1" s="1040" t="s">
        <v>1696</v>
      </c>
      <c r="CE1" s="485" t="s">
        <v>723</v>
      </c>
    </row>
    <row r="2" spans="1:83" ht="12.95" customHeight="1" thickTop="1" x14ac:dyDescent="0.2">
      <c r="A2" s="374"/>
      <c r="B2" s="374"/>
      <c r="C2" s="374"/>
      <c r="D2" s="374"/>
      <c r="E2" s="374"/>
      <c r="F2" s="374"/>
      <c r="G2" s="374"/>
      <c r="H2" s="375"/>
      <c r="I2" s="1853" t="str">
        <f>IF(S1="","",IF(VLOOKUP(S1,'Job Info.'!X:Z,2,FALSE),"Released for Fabrication",""))</f>
        <v/>
      </c>
      <c r="J2" s="1854"/>
      <c r="K2" s="1855"/>
      <c r="L2" s="375"/>
      <c r="M2" s="375" t="s">
        <v>96</v>
      </c>
      <c r="N2" s="463" t="str">
        <f ca="1">'Job Info.'!D13</f>
        <v>775-867-2140</v>
      </c>
      <c r="O2" s="1008"/>
      <c r="P2" s="1008"/>
      <c r="BE2" s="1040" t="s">
        <v>1518</v>
      </c>
    </row>
    <row r="3" spans="1:83" ht="12.95" customHeight="1" x14ac:dyDescent="0.2">
      <c r="A3" s="374"/>
      <c r="B3" s="374"/>
      <c r="C3" s="374"/>
      <c r="D3" s="374"/>
      <c r="E3" s="374"/>
      <c r="F3" s="374"/>
      <c r="G3" s="374"/>
      <c r="H3" s="375"/>
      <c r="I3" s="1856"/>
      <c r="J3" s="1857"/>
      <c r="K3" s="1858"/>
      <c r="L3" s="375"/>
      <c r="M3" s="375" t="s">
        <v>98</v>
      </c>
      <c r="N3" s="463" t="str">
        <f ca="1">'Job Info.'!D14</f>
        <v>775-867-2169</v>
      </c>
      <c r="O3" s="1008"/>
      <c r="P3" s="1008"/>
      <c r="BE3" s="1041" t="s">
        <v>1536</v>
      </c>
    </row>
    <row r="4" spans="1:83" ht="12.95" customHeight="1" thickBot="1" x14ac:dyDescent="0.25">
      <c r="A4" s="374"/>
      <c r="B4" s="374"/>
      <c r="C4" s="374"/>
      <c r="D4" s="374"/>
      <c r="E4" s="374"/>
      <c r="F4" s="374"/>
      <c r="G4" s="374"/>
      <c r="H4" s="374"/>
      <c r="I4" s="1859" t="str">
        <f>IF(S1="","",IF(VLOOKUP(S1,'Job Info.'!X:Z,2,FALSE),VLOOKUP(S1,'Job Info.'!X:Z,3,FALSE),""))</f>
        <v/>
      </c>
      <c r="J4" s="1860"/>
      <c r="K4" s="1861"/>
      <c r="L4" s="375"/>
      <c r="M4" s="375" t="s">
        <v>97</v>
      </c>
      <c r="N4" s="463" t="str">
        <f ca="1">'Job Info.'!D15</f>
        <v>775-867-2060</v>
      </c>
      <c r="O4" s="1008"/>
      <c r="P4" s="1008"/>
      <c r="BE4" s="1041" t="s">
        <v>1543</v>
      </c>
    </row>
    <row r="5" spans="1:83" ht="12.95" customHeight="1" thickTop="1" x14ac:dyDescent="0.2">
      <c r="A5" s="1862" t="str">
        <f ca="1">'Job Info.'!D11</f>
        <v>8200 Woolery Way | Fallon, NV 89406 | www.newmill.com</v>
      </c>
      <c r="B5" s="1872"/>
      <c r="C5" s="1872"/>
      <c r="D5" s="1872"/>
      <c r="E5" s="1872"/>
      <c r="F5" s="1872"/>
      <c r="G5" s="1872"/>
      <c r="H5" s="1872"/>
      <c r="I5" s="1872"/>
      <c r="J5" s="1872"/>
      <c r="K5" s="374"/>
      <c r="L5" s="374"/>
      <c r="M5" s="374"/>
      <c r="N5" s="374"/>
      <c r="O5" s="1008"/>
      <c r="P5" s="1008"/>
      <c r="BE5" s="1041" t="s">
        <v>1557</v>
      </c>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c r="BE6" s="1041" t="s">
        <v>1545</v>
      </c>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3 of 19</v>
      </c>
      <c r="O7" s="1008"/>
      <c r="P7" s="238">
        <v>3</v>
      </c>
      <c r="V7" s="630"/>
      <c r="BE7" s="1041" t="s">
        <v>1551</v>
      </c>
    </row>
    <row r="8" spans="1:83" ht="3.95" customHeight="1" x14ac:dyDescent="0.2">
      <c r="A8" s="374"/>
      <c r="B8" s="374"/>
      <c r="C8" s="374"/>
      <c r="D8" s="374"/>
      <c r="E8" s="374"/>
      <c r="F8" s="374"/>
      <c r="G8" s="374"/>
      <c r="H8" s="374"/>
      <c r="I8" s="374"/>
      <c r="J8" s="374"/>
      <c r="K8" s="374"/>
      <c r="L8" s="374"/>
      <c r="M8" s="374"/>
      <c r="N8" s="374"/>
      <c r="O8" s="1008"/>
      <c r="P8" s="1008"/>
      <c r="BE8" s="1041" t="s">
        <v>1559</v>
      </c>
    </row>
    <row r="9" spans="1:83" ht="12.6" customHeight="1" x14ac:dyDescent="0.2">
      <c r="A9" s="471" t="s">
        <v>1</v>
      </c>
      <c r="B9" s="1824" t="str">
        <f>IF(ISBLANK('Job Info.'!D3),"",'Job Info.'!D3)</f>
        <v>MINDEN UPS BLDG 1</v>
      </c>
      <c r="C9" s="1824"/>
      <c r="D9" s="1824"/>
      <c r="E9" s="1824"/>
      <c r="F9" s="1824"/>
      <c r="G9" s="1824"/>
      <c r="H9" s="1825"/>
      <c r="I9" s="469"/>
      <c r="J9" s="458" t="s">
        <v>2</v>
      </c>
      <c r="K9" s="1824" t="str">
        <f>IF(ISBLANK('Job Info.'!D5),"",'Job Info.'!D5)</f>
        <v>NN22-0071</v>
      </c>
      <c r="L9" s="1874"/>
      <c r="M9" s="1874"/>
      <c r="N9" s="1875"/>
      <c r="O9" s="1056"/>
      <c r="P9" s="1056"/>
      <c r="V9" s="631"/>
      <c r="BE9" s="1041" t="s">
        <v>1538</v>
      </c>
    </row>
    <row r="10" spans="1:83" ht="12.6" customHeight="1" x14ac:dyDescent="0.2">
      <c r="A10" s="471" t="s">
        <v>3</v>
      </c>
      <c r="B10" s="1824" t="str">
        <f>IF(ISBLANK('Job Info.'!D4),"",'Job Info.'!D4)</f>
        <v>MINDEN, NV</v>
      </c>
      <c r="C10" s="1824"/>
      <c r="D10" s="1824"/>
      <c r="E10" s="1824"/>
      <c r="F10" s="1824"/>
      <c r="G10" s="1824"/>
      <c r="H10" s="1825"/>
      <c r="I10" s="1873" t="s">
        <v>22</v>
      </c>
      <c r="J10" s="1873"/>
      <c r="K10" s="1824" t="str">
        <f>IF(ISBLANK('Job Info.'!D6),"",'Job Info.'!D6)</f>
        <v>JMM</v>
      </c>
      <c r="L10" s="1825"/>
      <c r="M10" s="471" t="s">
        <v>23</v>
      </c>
      <c r="N10" s="661" t="str">
        <f>IF(ISBLANK('Job Info.'!D7),"",'Job Info.'!D7)</f>
        <v>NR</v>
      </c>
      <c r="O10" s="1056"/>
      <c r="P10" s="1056"/>
      <c r="W10" s="632"/>
      <c r="BE10" s="1041" t="s">
        <v>1553</v>
      </c>
    </row>
    <row r="11" spans="1:83" ht="3.95" customHeight="1" x14ac:dyDescent="0.2">
      <c r="A11" s="1086"/>
      <c r="B11" s="374"/>
      <c r="C11" s="374"/>
      <c r="D11" s="374"/>
      <c r="E11" s="374"/>
      <c r="F11" s="374"/>
      <c r="G11" s="374"/>
      <c r="H11" s="374"/>
      <c r="I11" s="374"/>
      <c r="J11" s="374"/>
      <c r="K11" s="374"/>
      <c r="L11" s="374"/>
      <c r="M11" s="374"/>
      <c r="N11" s="374"/>
      <c r="O11" s="1008"/>
      <c r="P11" s="1008"/>
      <c r="BE11" s="1041" t="s">
        <v>1519</v>
      </c>
    </row>
    <row r="12" spans="1:83" s="478" customFormat="1" ht="14.1" customHeight="1" x14ac:dyDescent="0.2">
      <c r="A12" s="1864" t="s">
        <v>77</v>
      </c>
      <c r="B12" s="1865"/>
      <c r="C12" s="1865"/>
      <c r="D12" s="1865"/>
      <c r="E12" s="1866"/>
      <c r="F12" s="1864" t="s">
        <v>49</v>
      </c>
      <c r="G12" s="1865"/>
      <c r="H12" s="1871"/>
      <c r="I12" s="1864" t="s">
        <v>50</v>
      </c>
      <c r="J12" s="1865"/>
      <c r="K12" s="1871"/>
      <c r="L12" s="1867" t="s">
        <v>51</v>
      </c>
      <c r="M12" s="1880" t="s">
        <v>741</v>
      </c>
      <c r="N12" s="1867" t="s">
        <v>52</v>
      </c>
      <c r="O12" s="1085"/>
      <c r="P12" s="1085"/>
      <c r="AO12" s="548" t="s">
        <v>973</v>
      </c>
      <c r="AP12" s="944" t="s">
        <v>170</v>
      </c>
      <c r="AQ12" s="1876" t="s">
        <v>1208</v>
      </c>
      <c r="AR12" s="1877"/>
      <c r="AS12" s="1877"/>
      <c r="AT12" s="1877"/>
      <c r="AU12" s="1877"/>
      <c r="AV12" s="1877"/>
      <c r="AW12" s="1877"/>
      <c r="AX12" s="1877"/>
      <c r="AY12" s="1877"/>
      <c r="AZ12" s="1878"/>
      <c r="BA12" s="1878"/>
      <c r="BB12" s="1878"/>
      <c r="BC12" s="1879"/>
      <c r="BE12" s="1530" t="s">
        <v>1554</v>
      </c>
    </row>
    <row r="13" spans="1:83" s="478" customFormat="1" ht="14.1" customHeight="1" x14ac:dyDescent="0.2">
      <c r="A13" s="1049" t="s">
        <v>46</v>
      </c>
      <c r="B13" s="1050" t="s">
        <v>17</v>
      </c>
      <c r="C13" s="1050" t="s">
        <v>45</v>
      </c>
      <c r="D13" s="1050" t="s">
        <v>78</v>
      </c>
      <c r="E13" s="1326" t="s">
        <v>44</v>
      </c>
      <c r="F13" s="1049" t="s">
        <v>47</v>
      </c>
      <c r="G13" s="1869" t="s">
        <v>48</v>
      </c>
      <c r="H13" s="1870"/>
      <c r="I13" s="1049" t="s">
        <v>47</v>
      </c>
      <c r="J13" s="1869" t="s">
        <v>48</v>
      </c>
      <c r="K13" s="1870"/>
      <c r="L13" s="1868"/>
      <c r="M13" s="1881"/>
      <c r="N13" s="1882"/>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t="s">
        <v>1394</v>
      </c>
    </row>
    <row r="14" spans="1:83" ht="14.1" customHeight="1" x14ac:dyDescent="0.2">
      <c r="A14" s="1503" t="s">
        <v>1394</v>
      </c>
      <c r="B14" s="1504" t="s">
        <v>144</v>
      </c>
      <c r="C14" s="1504" t="s">
        <v>142</v>
      </c>
      <c r="D14" s="1504" t="s">
        <v>145</v>
      </c>
      <c r="E14" s="1687"/>
      <c r="F14" s="1505">
        <v>119</v>
      </c>
      <c r="G14" s="1506"/>
      <c r="H14" s="1507"/>
      <c r="I14" s="1505"/>
      <c r="J14" s="1506"/>
      <c r="K14" s="1507"/>
      <c r="L14" s="1508" t="s">
        <v>116</v>
      </c>
      <c r="M14" s="1509" t="s">
        <v>808</v>
      </c>
      <c r="N14" s="1688" t="s">
        <v>1515</v>
      </c>
      <c r="O14" s="1814"/>
      <c r="P14" s="415" t="b">
        <f t="shared" ref="P14:P16" si="0">IF(ISERROR(VLOOKUP(AO14,BE:BE,1,FALSE)),FALSE,IF(AO14&lt;&gt;"",VLOOKUP(AO14,BE:BE,1,FALSE)=AO14))</f>
        <v>1</v>
      </c>
      <c r="R14" s="245" t="b">
        <f>OR(B14="CP",B14="CA", B14="AX",B14="M",B14="S")</f>
        <v>0</v>
      </c>
      <c r="AO14" s="238" t="str">
        <f>IF(ISBLANK(A14),"",SUBSTITUTE(A14,"*",""))</f>
        <v>1</v>
      </c>
      <c r="AP14" s="945" t="b">
        <v>0</v>
      </c>
      <c r="AQ14" s="1322" t="s">
        <v>144</v>
      </c>
      <c r="AR14" s="1323" t="s">
        <v>142</v>
      </c>
      <c r="AS14" s="1323" t="s">
        <v>145</v>
      </c>
      <c r="AT14" s="1323"/>
      <c r="AU14" s="1323">
        <v>119</v>
      </c>
      <c r="AV14" s="1323"/>
      <c r="AW14" s="1323"/>
      <c r="AX14" s="1323"/>
      <c r="AY14" s="1323"/>
      <c r="AZ14" s="1323"/>
      <c r="BA14" s="1532" t="s">
        <v>116</v>
      </c>
      <c r="BB14" s="1532" t="s">
        <v>808</v>
      </c>
      <c r="BC14" s="1533" t="s">
        <v>1515</v>
      </c>
      <c r="BD14" s="245">
        <v>1</v>
      </c>
      <c r="BE14" s="1041" t="s">
        <v>1520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808</v>
      </c>
      <c r="B15" s="1511" t="s">
        <v>144</v>
      </c>
      <c r="C15" s="1511" t="s">
        <v>142</v>
      </c>
      <c r="D15" s="1511" t="s">
        <v>145</v>
      </c>
      <c r="E15" s="1512"/>
      <c r="F15" s="1513">
        <v>69</v>
      </c>
      <c r="G15" s="1514"/>
      <c r="H15" s="1515"/>
      <c r="I15" s="1513"/>
      <c r="J15" s="1514"/>
      <c r="K15" s="1515"/>
      <c r="L15" s="1516" t="s">
        <v>116</v>
      </c>
      <c r="M15" s="1517" t="s">
        <v>808</v>
      </c>
      <c r="N15" s="1689" t="s">
        <v>1516</v>
      </c>
      <c r="O15" s="1814"/>
      <c r="P15" s="415" t="b">
        <f t="shared" si="0"/>
        <v>1</v>
      </c>
      <c r="R15" s="245" t="b">
        <f t="shared" ref="R15:R55" si="1">OR(B15="CP",B15="CA", B15="AX",B15="M",B15="S")</f>
        <v>0</v>
      </c>
      <c r="AO15" s="238" t="str">
        <f t="shared" ref="AO15:AO55" si="2">IF(ISBLANK(A15),AO14,SUBSTITUTE(A15,"*",""))</f>
        <v>2</v>
      </c>
      <c r="AP15" s="945" t="b">
        <v>0</v>
      </c>
      <c r="AQ15" s="1322" t="s">
        <v>144</v>
      </c>
      <c r="AR15" s="1323" t="s">
        <v>142</v>
      </c>
      <c r="AS15" s="1323" t="s">
        <v>145</v>
      </c>
      <c r="AT15" s="1323"/>
      <c r="AU15" s="1323">
        <v>69</v>
      </c>
      <c r="AV15" s="1323"/>
      <c r="AW15" s="1323"/>
      <c r="AX15" s="1323"/>
      <c r="AY15" s="1323"/>
      <c r="AZ15" s="1323"/>
      <c r="BA15" s="1532" t="s">
        <v>116</v>
      </c>
      <c r="BB15" s="1532" t="s">
        <v>808</v>
      </c>
      <c r="BC15" s="1533" t="s">
        <v>1516</v>
      </c>
      <c r="BD15" s="245">
        <v>2</v>
      </c>
      <c r="BE15" s="1041" t="s">
        <v>1521</v>
      </c>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144</v>
      </c>
      <c r="C16" s="1511" t="s">
        <v>142</v>
      </c>
      <c r="D16" s="1511" t="s">
        <v>145</v>
      </c>
      <c r="E16" s="1512"/>
      <c r="F16" s="1513">
        <v>50</v>
      </c>
      <c r="G16" s="1514">
        <v>0</v>
      </c>
      <c r="H16" s="1515">
        <v>0</v>
      </c>
      <c r="I16" s="1513">
        <v>50</v>
      </c>
      <c r="J16" s="1514">
        <v>23</v>
      </c>
      <c r="K16" s="1515">
        <v>0</v>
      </c>
      <c r="L16" s="1516" t="s">
        <v>702</v>
      </c>
      <c r="M16" s="1517" t="s">
        <v>808</v>
      </c>
      <c r="N16" s="1689" t="s">
        <v>116</v>
      </c>
      <c r="O16" s="1814"/>
      <c r="P16" s="415" t="b">
        <f t="shared" si="0"/>
        <v>1</v>
      </c>
      <c r="R16" s="245" t="b">
        <f t="shared" si="1"/>
        <v>0</v>
      </c>
      <c r="AO16" s="238" t="str">
        <f t="shared" si="2"/>
        <v>2</v>
      </c>
      <c r="AP16" s="945" t="b">
        <v>0</v>
      </c>
      <c r="AQ16" s="1322" t="s">
        <v>144</v>
      </c>
      <c r="AR16" s="1323" t="s">
        <v>142</v>
      </c>
      <c r="AS16" s="1323" t="s">
        <v>145</v>
      </c>
      <c r="AT16" s="1323"/>
      <c r="AU16" s="1323">
        <v>50</v>
      </c>
      <c r="AV16" s="1323">
        <v>0</v>
      </c>
      <c r="AW16" s="1323">
        <v>0</v>
      </c>
      <c r="AX16" s="1323">
        <v>50</v>
      </c>
      <c r="AY16" s="1323">
        <v>23</v>
      </c>
      <c r="AZ16" s="1323">
        <v>0</v>
      </c>
      <c r="BA16" s="1532" t="s">
        <v>702</v>
      </c>
      <c r="BB16" s="1532" t="s">
        <v>808</v>
      </c>
      <c r="BC16" s="1533" t="s">
        <v>116</v>
      </c>
      <c r="BE16" s="1041" t="s">
        <v>1555</v>
      </c>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t="s">
        <v>1397</v>
      </c>
      <c r="B17" s="1511" t="s">
        <v>144</v>
      </c>
      <c r="C17" s="1511" t="s">
        <v>142</v>
      </c>
      <c r="D17" s="1511" t="s">
        <v>145</v>
      </c>
      <c r="E17" s="1512"/>
      <c r="F17" s="1513">
        <v>69</v>
      </c>
      <c r="G17" s="1514"/>
      <c r="H17" s="1515"/>
      <c r="I17" s="1513"/>
      <c r="J17" s="1514"/>
      <c r="K17" s="1515"/>
      <c r="L17" s="1516" t="s">
        <v>116</v>
      </c>
      <c r="M17" s="1517" t="s">
        <v>808</v>
      </c>
      <c r="N17" s="1689" t="s">
        <v>1517</v>
      </c>
      <c r="O17" s="1814"/>
      <c r="P17" s="415" t="b">
        <f>IF(ISERROR(VLOOKUP(AO17,BE:BE,1,FALSE)),FALSE,IF(AO17&lt;&gt;"",VLOOKUP(AO17,BE:BE,1,FALSE)=AO17))</f>
        <v>1</v>
      </c>
      <c r="R17" s="245" t="b">
        <f t="shared" si="1"/>
        <v>0</v>
      </c>
      <c r="AO17" s="238" t="str">
        <f t="shared" si="2"/>
        <v>3</v>
      </c>
      <c r="AP17" s="945" t="b">
        <v>0</v>
      </c>
      <c r="AQ17" s="1322" t="s">
        <v>144</v>
      </c>
      <c r="AR17" s="1323" t="s">
        <v>142</v>
      </c>
      <c r="AS17" s="1323" t="s">
        <v>145</v>
      </c>
      <c r="AT17" s="1323"/>
      <c r="AU17" s="1323">
        <v>69</v>
      </c>
      <c r="AV17" s="1323"/>
      <c r="AW17" s="1323"/>
      <c r="AX17" s="1323"/>
      <c r="AY17" s="1323"/>
      <c r="AZ17" s="1323"/>
      <c r="BA17" s="1532" t="s">
        <v>116</v>
      </c>
      <c r="BB17" s="1532" t="s">
        <v>808</v>
      </c>
      <c r="BC17" s="1533" t="s">
        <v>1517</v>
      </c>
      <c r="BD17" s="245">
        <v>1</v>
      </c>
      <c r="BE17" s="1041" t="s">
        <v>943</v>
      </c>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t="s">
        <v>1518</v>
      </c>
      <c r="B18" s="1511" t="s">
        <v>157</v>
      </c>
      <c r="C18" s="1511" t="s">
        <v>167</v>
      </c>
      <c r="D18" s="1511" t="s">
        <v>145</v>
      </c>
      <c r="E18" s="1512"/>
      <c r="F18" s="1513">
        <v>38500</v>
      </c>
      <c r="G18" s="1514"/>
      <c r="H18" s="1515"/>
      <c r="I18" s="1513"/>
      <c r="J18" s="1514"/>
      <c r="K18" s="1515"/>
      <c r="L18" s="1516" t="s">
        <v>116</v>
      </c>
      <c r="M18" s="1517" t="s">
        <v>1397</v>
      </c>
      <c r="N18" s="1689" t="s">
        <v>116</v>
      </c>
      <c r="O18" s="1814"/>
      <c r="P18" s="415" t="b">
        <f t="shared" ref="P18:P55" si="3">IF(ISERROR(VLOOKUP(AO18,BE:BE,1,FALSE)),FALSE,IF(AO18&lt;&gt;"",VLOOKUP(AO18,BE:BE,1,FALSE)=AO18))</f>
        <v>1</v>
      </c>
      <c r="R18" s="245" t="b">
        <f t="shared" si="1"/>
        <v>1</v>
      </c>
      <c r="AO18" s="238" t="str">
        <f t="shared" si="2"/>
        <v>4</v>
      </c>
      <c r="AP18" s="945" t="b">
        <v>0</v>
      </c>
      <c r="AQ18" s="1322" t="s">
        <v>157</v>
      </c>
      <c r="AR18" s="1323" t="s">
        <v>167</v>
      </c>
      <c r="AS18" s="1323" t="s">
        <v>145</v>
      </c>
      <c r="AT18" s="1323"/>
      <c r="AU18" s="1323">
        <v>38500</v>
      </c>
      <c r="AV18" s="1323"/>
      <c r="AW18" s="1323"/>
      <c r="AX18" s="1323"/>
      <c r="AY18" s="1323"/>
      <c r="AZ18" s="1323"/>
      <c r="BA18" s="1532" t="s">
        <v>116</v>
      </c>
      <c r="BB18" s="1532" t="s">
        <v>116</v>
      </c>
      <c r="BC18" s="1533" t="s">
        <v>116</v>
      </c>
      <c r="BD18" s="245">
        <v>1</v>
      </c>
      <c r="BE18" s="1041" t="s">
        <v>944</v>
      </c>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t="s">
        <v>1519</v>
      </c>
      <c r="B19" s="1511" t="s">
        <v>157</v>
      </c>
      <c r="C19" s="1511" t="s">
        <v>167</v>
      </c>
      <c r="D19" s="1511" t="s">
        <v>145</v>
      </c>
      <c r="E19" s="1512"/>
      <c r="F19" s="1513">
        <v>24500</v>
      </c>
      <c r="G19" s="1514"/>
      <c r="H19" s="1515"/>
      <c r="I19" s="1513"/>
      <c r="J19" s="1514"/>
      <c r="K19" s="1515"/>
      <c r="L19" s="1516" t="s">
        <v>116</v>
      </c>
      <c r="M19" s="1517" t="s">
        <v>1397</v>
      </c>
      <c r="N19" s="1689" t="s">
        <v>116</v>
      </c>
      <c r="O19" s="1814"/>
      <c r="P19" s="415" t="b">
        <f t="shared" si="3"/>
        <v>1</v>
      </c>
      <c r="R19" s="245" t="b">
        <f t="shared" si="1"/>
        <v>1</v>
      </c>
      <c r="AO19" s="238" t="str">
        <f t="shared" si="2"/>
        <v>5</v>
      </c>
      <c r="AP19" s="945" t="b">
        <v>0</v>
      </c>
      <c r="AQ19" s="1322" t="s">
        <v>157</v>
      </c>
      <c r="AR19" s="1323" t="s">
        <v>167</v>
      </c>
      <c r="AS19" s="1323" t="s">
        <v>145</v>
      </c>
      <c r="AT19" s="1323"/>
      <c r="AU19" s="1323">
        <v>24500</v>
      </c>
      <c r="AV19" s="1323"/>
      <c r="AW19" s="1323"/>
      <c r="AX19" s="1323"/>
      <c r="AY19" s="1323"/>
      <c r="AZ19" s="1323"/>
      <c r="BA19" s="1532" t="s">
        <v>116</v>
      </c>
      <c r="BB19" s="1532" t="s">
        <v>116</v>
      </c>
      <c r="BC19" s="1533" t="s">
        <v>116</v>
      </c>
      <c r="BD19" s="245">
        <v>1</v>
      </c>
      <c r="BE19" s="1041" t="s">
        <v>1539</v>
      </c>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t="s">
        <v>1520</v>
      </c>
      <c r="B20" s="1511" t="s">
        <v>157</v>
      </c>
      <c r="C20" s="1511" t="s">
        <v>167</v>
      </c>
      <c r="D20" s="1511" t="s">
        <v>145</v>
      </c>
      <c r="E20" s="1512"/>
      <c r="F20" s="1513">
        <v>34300</v>
      </c>
      <c r="G20" s="1514"/>
      <c r="H20" s="1515"/>
      <c r="I20" s="1513"/>
      <c r="J20" s="1514"/>
      <c r="K20" s="1515"/>
      <c r="L20" s="1516" t="s">
        <v>116</v>
      </c>
      <c r="M20" s="1517" t="s">
        <v>1397</v>
      </c>
      <c r="N20" s="1518" t="s">
        <v>116</v>
      </c>
      <c r="O20" s="1815"/>
      <c r="P20" s="415" t="b">
        <f t="shared" si="3"/>
        <v>1</v>
      </c>
      <c r="R20" s="245" t="b">
        <f t="shared" si="1"/>
        <v>1</v>
      </c>
      <c r="AO20" s="238" t="str">
        <f t="shared" si="2"/>
        <v>6</v>
      </c>
      <c r="AP20" s="945" t="b">
        <v>0</v>
      </c>
      <c r="AQ20" s="1322" t="s">
        <v>157</v>
      </c>
      <c r="AR20" s="1323" t="s">
        <v>167</v>
      </c>
      <c r="AS20" s="1323" t="s">
        <v>145</v>
      </c>
      <c r="AT20" s="1323"/>
      <c r="AU20" s="1323">
        <v>34300</v>
      </c>
      <c r="AV20" s="1323"/>
      <c r="AW20" s="1323"/>
      <c r="AX20" s="1323"/>
      <c r="AY20" s="1323"/>
      <c r="AZ20" s="1323"/>
      <c r="BA20" s="1532" t="s">
        <v>116</v>
      </c>
      <c r="BB20" s="1532" t="s">
        <v>116</v>
      </c>
      <c r="BC20" s="1533" t="s">
        <v>116</v>
      </c>
      <c r="BD20" s="245">
        <v>1</v>
      </c>
      <c r="BE20" s="1041" t="s">
        <v>1523</v>
      </c>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t="s">
        <v>1521</v>
      </c>
      <c r="B21" s="1511" t="s">
        <v>151</v>
      </c>
      <c r="C21" s="1511" t="s">
        <v>163</v>
      </c>
      <c r="D21" s="1511" t="s">
        <v>145</v>
      </c>
      <c r="E21" s="1512"/>
      <c r="F21" s="1513">
        <v>446</v>
      </c>
      <c r="G21" s="1514"/>
      <c r="H21" s="1515"/>
      <c r="I21" s="1513"/>
      <c r="J21" s="1514"/>
      <c r="K21" s="1515"/>
      <c r="L21" s="1516" t="s">
        <v>116</v>
      </c>
      <c r="M21" s="1517" t="s">
        <v>116</v>
      </c>
      <c r="N21" s="1518" t="s">
        <v>1522</v>
      </c>
      <c r="O21" s="1815"/>
      <c r="P21" s="415" t="b">
        <f t="shared" si="3"/>
        <v>1</v>
      </c>
      <c r="R21" s="245" t="b">
        <f t="shared" si="1"/>
        <v>0</v>
      </c>
      <c r="AO21" s="238" t="str">
        <f t="shared" si="2"/>
        <v>7</v>
      </c>
      <c r="AP21" s="945" t="b">
        <v>0</v>
      </c>
      <c r="AQ21" s="1322" t="s">
        <v>151</v>
      </c>
      <c r="AR21" s="1323" t="s">
        <v>163</v>
      </c>
      <c r="AS21" s="1323" t="s">
        <v>145</v>
      </c>
      <c r="AT21" s="1323"/>
      <c r="AU21" s="1323">
        <v>446</v>
      </c>
      <c r="AV21" s="1323"/>
      <c r="AW21" s="1323"/>
      <c r="AX21" s="1323"/>
      <c r="AY21" s="1323"/>
      <c r="AZ21" s="1323"/>
      <c r="BA21" s="1532" t="s">
        <v>116</v>
      </c>
      <c r="BB21" s="1532" t="s">
        <v>116</v>
      </c>
      <c r="BC21" s="1533" t="s">
        <v>1522</v>
      </c>
      <c r="BD21" s="245">
        <v>2</v>
      </c>
      <c r="BE21" s="1041" t="s">
        <v>808</v>
      </c>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151</v>
      </c>
      <c r="C22" s="1511" t="s">
        <v>163</v>
      </c>
      <c r="D22" s="1511" t="s">
        <v>145</v>
      </c>
      <c r="E22" s="1512"/>
      <c r="F22" s="1513">
        <v>104</v>
      </c>
      <c r="G22" s="1514">
        <v>0</v>
      </c>
      <c r="H22" s="1515">
        <v>0</v>
      </c>
      <c r="I22" s="1513">
        <v>0</v>
      </c>
      <c r="J22" s="1514">
        <v>6</v>
      </c>
      <c r="K22" s="1515">
        <v>3.125</v>
      </c>
      <c r="L22" s="1516" t="s">
        <v>702</v>
      </c>
      <c r="M22" s="1517" t="s">
        <v>116</v>
      </c>
      <c r="N22" s="1518" t="s">
        <v>116</v>
      </c>
      <c r="O22" s="1815"/>
      <c r="P22" s="415" t="b">
        <f t="shared" si="3"/>
        <v>1</v>
      </c>
      <c r="R22" s="245" t="b">
        <f t="shared" si="1"/>
        <v>0</v>
      </c>
      <c r="AO22" s="238" t="str">
        <f t="shared" si="2"/>
        <v>7</v>
      </c>
      <c r="AP22" s="945" t="b">
        <v>0</v>
      </c>
      <c r="AQ22" s="1322" t="s">
        <v>151</v>
      </c>
      <c r="AR22" s="1323" t="s">
        <v>163</v>
      </c>
      <c r="AS22" s="1323" t="s">
        <v>145</v>
      </c>
      <c r="AT22" s="1323"/>
      <c r="AU22" s="1323">
        <v>104</v>
      </c>
      <c r="AV22" s="1323">
        <v>0</v>
      </c>
      <c r="AW22" s="1323">
        <v>0</v>
      </c>
      <c r="AX22" s="1323">
        <v>0</v>
      </c>
      <c r="AY22" s="1323">
        <v>6</v>
      </c>
      <c r="AZ22" s="1323">
        <v>3.125</v>
      </c>
      <c r="BA22" s="1532" t="s">
        <v>702</v>
      </c>
      <c r="BB22" s="1532" t="s">
        <v>116</v>
      </c>
      <c r="BC22" s="1533" t="s">
        <v>116</v>
      </c>
      <c r="BE22" s="1041" t="s">
        <v>1524</v>
      </c>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t="s">
        <v>943</v>
      </c>
      <c r="B23" s="1511" t="s">
        <v>151</v>
      </c>
      <c r="C23" s="1511" t="s">
        <v>163</v>
      </c>
      <c r="D23" s="1511" t="s">
        <v>145</v>
      </c>
      <c r="E23" s="1512"/>
      <c r="F23" s="1513">
        <v>342</v>
      </c>
      <c r="G23" s="1514"/>
      <c r="H23" s="1515"/>
      <c r="I23" s="1513"/>
      <c r="J23" s="1514"/>
      <c r="K23" s="1515"/>
      <c r="L23" s="1516" t="s">
        <v>116</v>
      </c>
      <c r="M23" s="1517" t="s">
        <v>116</v>
      </c>
      <c r="N23" s="1518" t="s">
        <v>1522</v>
      </c>
      <c r="O23" s="1815"/>
      <c r="P23" s="415" t="b">
        <f t="shared" si="3"/>
        <v>1</v>
      </c>
      <c r="R23" s="245" t="b">
        <f t="shared" si="1"/>
        <v>0</v>
      </c>
      <c r="AO23" s="238" t="str">
        <f t="shared" si="2"/>
        <v>8</v>
      </c>
      <c r="AP23" s="945" t="b">
        <v>0</v>
      </c>
      <c r="AQ23" s="1322" t="s">
        <v>151</v>
      </c>
      <c r="AR23" s="1323" t="s">
        <v>163</v>
      </c>
      <c r="AS23" s="1323" t="s">
        <v>145</v>
      </c>
      <c r="AT23" s="1323"/>
      <c r="AU23" s="1323">
        <v>342</v>
      </c>
      <c r="AV23" s="1323"/>
      <c r="AW23" s="1323"/>
      <c r="AX23" s="1323"/>
      <c r="AY23" s="1323"/>
      <c r="AZ23" s="1323"/>
      <c r="BA23" s="1532" t="s">
        <v>116</v>
      </c>
      <c r="BB23" s="1532" t="s">
        <v>116</v>
      </c>
      <c r="BC23" s="1533" t="s">
        <v>1522</v>
      </c>
      <c r="BD23" s="245">
        <v>2</v>
      </c>
      <c r="BE23" s="1041" t="s">
        <v>1541</v>
      </c>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151</v>
      </c>
      <c r="C24" s="1511" t="s">
        <v>163</v>
      </c>
      <c r="D24" s="1511" t="s">
        <v>145</v>
      </c>
      <c r="E24" s="1512"/>
      <c r="F24" s="1513">
        <v>208</v>
      </c>
      <c r="G24" s="1514">
        <v>0</v>
      </c>
      <c r="H24" s="1515">
        <v>0</v>
      </c>
      <c r="I24" s="1513">
        <v>0</v>
      </c>
      <c r="J24" s="1514">
        <v>12</v>
      </c>
      <c r="K24" s="1515">
        <v>6</v>
      </c>
      <c r="L24" s="1516" t="s">
        <v>702</v>
      </c>
      <c r="M24" s="1517" t="s">
        <v>116</v>
      </c>
      <c r="N24" s="1518" t="s">
        <v>116</v>
      </c>
      <c r="O24" s="1815"/>
      <c r="P24" s="415" t="b">
        <f t="shared" si="3"/>
        <v>1</v>
      </c>
      <c r="R24" s="245" t="b">
        <f t="shared" si="1"/>
        <v>0</v>
      </c>
      <c r="AO24" s="238" t="str">
        <f t="shared" si="2"/>
        <v>8</v>
      </c>
      <c r="AP24" s="945" t="b">
        <v>0</v>
      </c>
      <c r="AQ24" s="1322" t="s">
        <v>151</v>
      </c>
      <c r="AR24" s="1323" t="s">
        <v>163</v>
      </c>
      <c r="AS24" s="1323" t="s">
        <v>145</v>
      </c>
      <c r="AT24" s="1323"/>
      <c r="AU24" s="1323">
        <v>208</v>
      </c>
      <c r="AV24" s="1323">
        <v>0</v>
      </c>
      <c r="AW24" s="1323">
        <v>0</v>
      </c>
      <c r="AX24" s="1323">
        <v>0</v>
      </c>
      <c r="AY24" s="1323">
        <v>12</v>
      </c>
      <c r="AZ24" s="1323">
        <v>6</v>
      </c>
      <c r="BA24" s="1532" t="s">
        <v>702</v>
      </c>
      <c r="BB24" s="1532" t="s">
        <v>116</v>
      </c>
      <c r="BC24" s="1533" t="s">
        <v>116</v>
      </c>
      <c r="BE24" s="1041" t="s">
        <v>1525</v>
      </c>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t="s">
        <v>944</v>
      </c>
      <c r="B25" s="1511" t="s">
        <v>151</v>
      </c>
      <c r="C25" s="1511" t="s">
        <v>163</v>
      </c>
      <c r="D25" s="1511" t="s">
        <v>145</v>
      </c>
      <c r="E25" s="1512"/>
      <c r="F25" s="1513">
        <v>238</v>
      </c>
      <c r="G25" s="1514"/>
      <c r="H25" s="1515"/>
      <c r="I25" s="1513"/>
      <c r="J25" s="1514"/>
      <c r="K25" s="1515"/>
      <c r="L25" s="1516" t="s">
        <v>116</v>
      </c>
      <c r="M25" s="1517" t="s">
        <v>116</v>
      </c>
      <c r="N25" s="1518" t="s">
        <v>1522</v>
      </c>
      <c r="O25" s="1815"/>
      <c r="P25" s="415" t="b">
        <f t="shared" si="3"/>
        <v>1</v>
      </c>
      <c r="R25" s="245" t="b">
        <f t="shared" si="1"/>
        <v>0</v>
      </c>
      <c r="AO25" s="238" t="str">
        <f t="shared" si="2"/>
        <v>9</v>
      </c>
      <c r="AP25" s="945" t="b">
        <v>0</v>
      </c>
      <c r="AQ25" s="1322" t="s">
        <v>151</v>
      </c>
      <c r="AR25" s="1323" t="s">
        <v>163</v>
      </c>
      <c r="AS25" s="1323" t="s">
        <v>145</v>
      </c>
      <c r="AT25" s="1323"/>
      <c r="AU25" s="1323">
        <v>238</v>
      </c>
      <c r="AV25" s="1323"/>
      <c r="AW25" s="1323"/>
      <c r="AX25" s="1323"/>
      <c r="AY25" s="1323"/>
      <c r="AZ25" s="1323"/>
      <c r="BA25" s="1532" t="s">
        <v>116</v>
      </c>
      <c r="BB25" s="1532" t="s">
        <v>116</v>
      </c>
      <c r="BC25" s="1533" t="s">
        <v>1522</v>
      </c>
      <c r="BD25" s="245">
        <v>2</v>
      </c>
      <c r="BE25" s="1041" t="s">
        <v>1534</v>
      </c>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163</v>
      </c>
      <c r="D26" s="1511" t="s">
        <v>145</v>
      </c>
      <c r="E26" s="1512"/>
      <c r="F26" s="1513">
        <v>312</v>
      </c>
      <c r="G26" s="1514">
        <v>0</v>
      </c>
      <c r="H26" s="1515">
        <v>0</v>
      </c>
      <c r="I26" s="1513">
        <v>0</v>
      </c>
      <c r="J26" s="1514">
        <v>18</v>
      </c>
      <c r="K26" s="1515">
        <v>8.625</v>
      </c>
      <c r="L26" s="1516" t="s">
        <v>702</v>
      </c>
      <c r="M26" s="1517" t="s">
        <v>116</v>
      </c>
      <c r="N26" s="1518" t="s">
        <v>116</v>
      </c>
      <c r="O26" s="1815"/>
      <c r="P26" s="415" t="b">
        <f t="shared" si="3"/>
        <v>1</v>
      </c>
      <c r="R26" s="245" t="b">
        <f t="shared" si="1"/>
        <v>0</v>
      </c>
      <c r="AO26" s="238" t="str">
        <f t="shared" si="2"/>
        <v>9</v>
      </c>
      <c r="AP26" s="945" t="b">
        <v>0</v>
      </c>
      <c r="AQ26" s="1322" t="s">
        <v>151</v>
      </c>
      <c r="AR26" s="1323" t="s">
        <v>163</v>
      </c>
      <c r="AS26" s="1323" t="s">
        <v>145</v>
      </c>
      <c r="AT26" s="1323"/>
      <c r="AU26" s="1323">
        <v>312</v>
      </c>
      <c r="AV26" s="1323">
        <v>0</v>
      </c>
      <c r="AW26" s="1323">
        <v>0</v>
      </c>
      <c r="AX26" s="1323">
        <v>0</v>
      </c>
      <c r="AY26" s="1323">
        <v>18</v>
      </c>
      <c r="AZ26" s="1323">
        <v>8.625</v>
      </c>
      <c r="BA26" s="1532" t="s">
        <v>702</v>
      </c>
      <c r="BB26" s="1532" t="s">
        <v>116</v>
      </c>
      <c r="BC26" s="1533" t="s">
        <v>116</v>
      </c>
      <c r="BE26" s="1041" t="s">
        <v>1560</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t="s">
        <v>1523</v>
      </c>
      <c r="B27" s="1511" t="s">
        <v>151</v>
      </c>
      <c r="C27" s="1511" t="s">
        <v>163</v>
      </c>
      <c r="D27" s="1511" t="s">
        <v>145</v>
      </c>
      <c r="E27" s="1512"/>
      <c r="F27" s="1513">
        <v>134</v>
      </c>
      <c r="G27" s="1514"/>
      <c r="H27" s="1515"/>
      <c r="I27" s="1513"/>
      <c r="J27" s="1514"/>
      <c r="K27" s="1515"/>
      <c r="L27" s="1516" t="s">
        <v>116</v>
      </c>
      <c r="M27" s="1517" t="s">
        <v>116</v>
      </c>
      <c r="N27" s="1518" t="s">
        <v>1522</v>
      </c>
      <c r="O27" s="1815"/>
      <c r="P27" s="415" t="b">
        <f t="shared" si="3"/>
        <v>1</v>
      </c>
      <c r="R27" s="245" t="b">
        <f t="shared" si="1"/>
        <v>0</v>
      </c>
      <c r="AO27" s="238" t="str">
        <f t="shared" si="2"/>
        <v>10</v>
      </c>
      <c r="AP27" s="945" t="b">
        <v>0</v>
      </c>
      <c r="AQ27" s="1322" t="s">
        <v>151</v>
      </c>
      <c r="AR27" s="1323" t="s">
        <v>163</v>
      </c>
      <c r="AS27" s="1323" t="s">
        <v>145</v>
      </c>
      <c r="AT27" s="1323"/>
      <c r="AU27" s="1323">
        <v>134</v>
      </c>
      <c r="AV27" s="1323"/>
      <c r="AW27" s="1323"/>
      <c r="AX27" s="1323"/>
      <c r="AY27" s="1323"/>
      <c r="AZ27" s="1323"/>
      <c r="BA27" s="1532" t="s">
        <v>116</v>
      </c>
      <c r="BB27" s="1532" t="s">
        <v>116</v>
      </c>
      <c r="BC27" s="1533" t="s">
        <v>1522</v>
      </c>
      <c r="BD27" s="245">
        <v>2</v>
      </c>
      <c r="BE27" s="1041" t="s">
        <v>1547</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151</v>
      </c>
      <c r="C28" s="1511" t="s">
        <v>163</v>
      </c>
      <c r="D28" s="1511" t="s">
        <v>145</v>
      </c>
      <c r="E28" s="1512"/>
      <c r="F28" s="1513">
        <v>416</v>
      </c>
      <c r="G28" s="1514">
        <v>0</v>
      </c>
      <c r="H28" s="1515">
        <v>0</v>
      </c>
      <c r="I28" s="1513">
        <v>0</v>
      </c>
      <c r="J28" s="1514">
        <v>24</v>
      </c>
      <c r="K28" s="1515">
        <v>11.5</v>
      </c>
      <c r="L28" s="1516" t="s">
        <v>702</v>
      </c>
      <c r="M28" s="1517" t="s">
        <v>116</v>
      </c>
      <c r="N28" s="1689" t="s">
        <v>116</v>
      </c>
      <c r="O28" s="1814"/>
      <c r="P28" s="415" t="b">
        <f t="shared" si="3"/>
        <v>1</v>
      </c>
      <c r="R28" s="245" t="b">
        <f t="shared" si="1"/>
        <v>0</v>
      </c>
      <c r="AO28" s="238" t="str">
        <f t="shared" si="2"/>
        <v>10</v>
      </c>
      <c r="AP28" s="945" t="b">
        <v>0</v>
      </c>
      <c r="AQ28" s="1322" t="s">
        <v>151</v>
      </c>
      <c r="AR28" s="1323" t="s">
        <v>163</v>
      </c>
      <c r="AS28" s="1323" t="s">
        <v>145</v>
      </c>
      <c r="AT28" s="1323"/>
      <c r="AU28" s="1323">
        <v>416</v>
      </c>
      <c r="AV28" s="1323">
        <v>0</v>
      </c>
      <c r="AW28" s="1323">
        <v>0</v>
      </c>
      <c r="AX28" s="1323">
        <v>0</v>
      </c>
      <c r="AY28" s="1323">
        <v>24</v>
      </c>
      <c r="AZ28" s="1323">
        <v>11.5</v>
      </c>
      <c r="BA28" s="1532" t="s">
        <v>702</v>
      </c>
      <c r="BB28" s="1532" t="s">
        <v>116</v>
      </c>
      <c r="BC28" s="1533" t="s">
        <v>116</v>
      </c>
      <c r="BE28" s="1041" t="s">
        <v>1526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t="s">
        <v>1524</v>
      </c>
      <c r="B29" s="1511" t="s">
        <v>151</v>
      </c>
      <c r="C29" s="1511" t="s">
        <v>163</v>
      </c>
      <c r="D29" s="1511" t="s">
        <v>145</v>
      </c>
      <c r="E29" s="1512"/>
      <c r="F29" s="1513">
        <v>35</v>
      </c>
      <c r="G29" s="1514"/>
      <c r="H29" s="1515"/>
      <c r="I29" s="1513"/>
      <c r="J29" s="1514"/>
      <c r="K29" s="1515"/>
      <c r="L29" s="1516" t="s">
        <v>116</v>
      </c>
      <c r="M29" s="1517" t="s">
        <v>116</v>
      </c>
      <c r="N29" s="1689" t="s">
        <v>1522</v>
      </c>
      <c r="O29" s="1814"/>
      <c r="P29" s="415" t="b">
        <f t="shared" si="3"/>
        <v>1</v>
      </c>
      <c r="R29" s="245" t="b">
        <f t="shared" si="1"/>
        <v>0</v>
      </c>
      <c r="AO29" s="238" t="str">
        <f t="shared" si="2"/>
        <v>11</v>
      </c>
      <c r="AP29" s="945" t="b">
        <v>0</v>
      </c>
      <c r="AQ29" s="1322" t="s">
        <v>151</v>
      </c>
      <c r="AR29" s="1323" t="s">
        <v>163</v>
      </c>
      <c r="AS29" s="1323" t="s">
        <v>145</v>
      </c>
      <c r="AT29" s="1323"/>
      <c r="AU29" s="1323">
        <v>35</v>
      </c>
      <c r="AV29" s="1323"/>
      <c r="AW29" s="1323"/>
      <c r="AX29" s="1323"/>
      <c r="AY29" s="1323"/>
      <c r="AZ29" s="1323"/>
      <c r="BA29" s="1532" t="s">
        <v>116</v>
      </c>
      <c r="BB29" s="1532" t="s">
        <v>116</v>
      </c>
      <c r="BC29" s="1533" t="s">
        <v>1522</v>
      </c>
      <c r="BD29" s="245">
        <v>2</v>
      </c>
      <c r="BE29" s="1041" t="s">
        <v>1527</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151</v>
      </c>
      <c r="C30" s="1511" t="s">
        <v>163</v>
      </c>
      <c r="D30" s="1511" t="s">
        <v>145</v>
      </c>
      <c r="E30" s="1512"/>
      <c r="F30" s="1513">
        <v>514</v>
      </c>
      <c r="G30" s="1514">
        <v>0</v>
      </c>
      <c r="H30" s="1515">
        <v>0</v>
      </c>
      <c r="I30" s="1513">
        <v>0</v>
      </c>
      <c r="J30" s="1514">
        <v>30</v>
      </c>
      <c r="K30" s="1515">
        <v>9.75</v>
      </c>
      <c r="L30" s="1516" t="s">
        <v>702</v>
      </c>
      <c r="M30" s="1517" t="s">
        <v>116</v>
      </c>
      <c r="N30" s="1689" t="s">
        <v>116</v>
      </c>
      <c r="O30" s="1814"/>
      <c r="P30" s="415" t="b">
        <f t="shared" si="3"/>
        <v>1</v>
      </c>
      <c r="R30" s="245" t="b">
        <f t="shared" si="1"/>
        <v>0</v>
      </c>
      <c r="AO30" s="238" t="str">
        <f t="shared" si="2"/>
        <v>11</v>
      </c>
      <c r="AP30" s="945" t="b">
        <v>0</v>
      </c>
      <c r="AQ30" s="1322" t="s">
        <v>151</v>
      </c>
      <c r="AR30" s="1323" t="s">
        <v>163</v>
      </c>
      <c r="AS30" s="1323" t="s">
        <v>145</v>
      </c>
      <c r="AT30" s="1323"/>
      <c r="AU30" s="1323">
        <v>514</v>
      </c>
      <c r="AV30" s="1323">
        <v>0</v>
      </c>
      <c r="AW30" s="1323">
        <v>0</v>
      </c>
      <c r="AX30" s="1323">
        <v>0</v>
      </c>
      <c r="AY30" s="1323">
        <v>30</v>
      </c>
      <c r="AZ30" s="1323">
        <v>9.75</v>
      </c>
      <c r="BA30" s="1532" t="s">
        <v>702</v>
      </c>
      <c r="BB30" s="1532" t="s">
        <v>116</v>
      </c>
      <c r="BC30" s="1533" t="s">
        <v>116</v>
      </c>
      <c r="BE30" s="1041" t="s">
        <v>1528</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t="s">
        <v>1525</v>
      </c>
      <c r="B31" s="1511" t="s">
        <v>151</v>
      </c>
      <c r="C31" s="1511" t="s">
        <v>163</v>
      </c>
      <c r="D31" s="1511" t="s">
        <v>145</v>
      </c>
      <c r="E31" s="1512"/>
      <c r="F31" s="1513">
        <v>550</v>
      </c>
      <c r="G31" s="1514">
        <v>0</v>
      </c>
      <c r="H31" s="1515">
        <v>0</v>
      </c>
      <c r="I31" s="1513">
        <v>0</v>
      </c>
      <c r="J31" s="1514">
        <v>33</v>
      </c>
      <c r="K31" s="1515">
        <v>0</v>
      </c>
      <c r="L31" s="1516" t="s">
        <v>702</v>
      </c>
      <c r="M31" s="1516" t="s">
        <v>116</v>
      </c>
      <c r="N31" s="1689" t="s">
        <v>1522</v>
      </c>
      <c r="O31" s="1814"/>
      <c r="P31" s="415" t="b">
        <f t="shared" si="3"/>
        <v>1</v>
      </c>
      <c r="R31" s="245" t="b">
        <f t="shared" si="1"/>
        <v>0</v>
      </c>
      <c r="AO31" s="238" t="str">
        <f t="shared" si="2"/>
        <v>12</v>
      </c>
      <c r="AP31" s="945" t="b">
        <v>0</v>
      </c>
      <c r="AQ31" s="1322" t="s">
        <v>151</v>
      </c>
      <c r="AR31" s="1323" t="s">
        <v>163</v>
      </c>
      <c r="AS31" s="1323" t="s">
        <v>145</v>
      </c>
      <c r="AT31" s="1323"/>
      <c r="AU31" s="1323">
        <v>550</v>
      </c>
      <c r="AV31" s="1323">
        <v>0</v>
      </c>
      <c r="AW31" s="1323">
        <v>0</v>
      </c>
      <c r="AX31" s="1323">
        <v>0</v>
      </c>
      <c r="AY31" s="1323">
        <v>33</v>
      </c>
      <c r="AZ31" s="1323">
        <v>0</v>
      </c>
      <c r="BA31" s="1532" t="s">
        <v>702</v>
      </c>
      <c r="BB31" s="1532" t="s">
        <v>116</v>
      </c>
      <c r="BC31" s="1533" t="s">
        <v>1522</v>
      </c>
      <c r="BD31" s="245">
        <v>1</v>
      </c>
      <c r="BE31" s="1041" t="s">
        <v>1529</v>
      </c>
    </row>
    <row r="32" spans="1:81" ht="14.1" customHeight="1" x14ac:dyDescent="0.2">
      <c r="A32" s="1510" t="s">
        <v>1526</v>
      </c>
      <c r="B32" s="1511" t="s">
        <v>151</v>
      </c>
      <c r="C32" s="1511" t="s">
        <v>163</v>
      </c>
      <c r="D32" s="1511" t="s">
        <v>145</v>
      </c>
      <c r="E32" s="1512"/>
      <c r="F32" s="1513">
        <v>446</v>
      </c>
      <c r="G32" s="1514">
        <v>0</v>
      </c>
      <c r="H32" s="1515">
        <v>0</v>
      </c>
      <c r="I32" s="1513">
        <v>446</v>
      </c>
      <c r="J32" s="1514">
        <v>25</v>
      </c>
      <c r="K32" s="1515">
        <v>0</v>
      </c>
      <c r="L32" s="1516" t="s">
        <v>700</v>
      </c>
      <c r="M32" s="1516" t="s">
        <v>116</v>
      </c>
      <c r="N32" s="1689" t="s">
        <v>1522</v>
      </c>
      <c r="O32" s="1814"/>
      <c r="P32" s="415" t="b">
        <f t="shared" si="3"/>
        <v>1</v>
      </c>
      <c r="R32" s="245" t="b">
        <f t="shared" si="1"/>
        <v>0</v>
      </c>
      <c r="AO32" s="238" t="str">
        <f t="shared" si="2"/>
        <v>13</v>
      </c>
      <c r="AP32" s="945" t="b">
        <v>0</v>
      </c>
      <c r="AQ32" s="1322" t="s">
        <v>151</v>
      </c>
      <c r="AR32" s="1323" t="s">
        <v>163</v>
      </c>
      <c r="AS32" s="1323" t="s">
        <v>145</v>
      </c>
      <c r="AT32" s="1323"/>
      <c r="AU32" s="1323">
        <v>446</v>
      </c>
      <c r="AV32" s="1323">
        <v>0</v>
      </c>
      <c r="AW32" s="1323">
        <v>0</v>
      </c>
      <c r="AX32" s="1323">
        <v>446</v>
      </c>
      <c r="AY32" s="1323">
        <v>25</v>
      </c>
      <c r="AZ32" s="1323">
        <v>0</v>
      </c>
      <c r="BA32" s="1532" t="s">
        <v>700</v>
      </c>
      <c r="BB32" s="1532" t="s">
        <v>116</v>
      </c>
      <c r="BC32" s="1533" t="s">
        <v>1522</v>
      </c>
      <c r="BD32" s="245">
        <v>2</v>
      </c>
      <c r="BE32" s="1041" t="s">
        <v>1397</v>
      </c>
    </row>
    <row r="33" spans="1:57" ht="14.1" customHeight="1" x14ac:dyDescent="0.2">
      <c r="A33" s="1510"/>
      <c r="B33" s="1511" t="s">
        <v>151</v>
      </c>
      <c r="C33" s="1511" t="s">
        <v>163</v>
      </c>
      <c r="D33" s="1511" t="s">
        <v>145</v>
      </c>
      <c r="E33" s="1512"/>
      <c r="F33" s="1513">
        <v>154</v>
      </c>
      <c r="G33" s="1514">
        <v>25</v>
      </c>
      <c r="H33" s="1515">
        <v>0</v>
      </c>
      <c r="I33" s="1513">
        <v>154</v>
      </c>
      <c r="J33" s="1514">
        <v>50</v>
      </c>
      <c r="K33" s="1515">
        <v>0</v>
      </c>
      <c r="L33" s="1516" t="s">
        <v>700</v>
      </c>
      <c r="M33" s="1516" t="s">
        <v>116</v>
      </c>
      <c r="N33" s="1689" t="s">
        <v>116</v>
      </c>
      <c r="O33" s="1814"/>
      <c r="P33" s="415" t="b">
        <f t="shared" si="3"/>
        <v>1</v>
      </c>
      <c r="R33" s="245" t="b">
        <f t="shared" si="1"/>
        <v>0</v>
      </c>
      <c r="AO33" s="238" t="str">
        <f t="shared" si="2"/>
        <v>13</v>
      </c>
      <c r="AP33" s="945" t="b">
        <v>0</v>
      </c>
      <c r="AQ33" s="1322" t="s">
        <v>151</v>
      </c>
      <c r="AR33" s="1323" t="s">
        <v>163</v>
      </c>
      <c r="AS33" s="1323" t="s">
        <v>145</v>
      </c>
      <c r="AT33" s="1323"/>
      <c r="AU33" s="1323">
        <v>154</v>
      </c>
      <c r="AV33" s="1323">
        <v>25</v>
      </c>
      <c r="AW33" s="1323">
        <v>0</v>
      </c>
      <c r="AX33" s="1323">
        <v>154</v>
      </c>
      <c r="AY33" s="1323">
        <v>50</v>
      </c>
      <c r="AZ33" s="1323">
        <v>0</v>
      </c>
      <c r="BA33" s="1532" t="s">
        <v>700</v>
      </c>
      <c r="BB33" s="1532" t="s">
        <v>116</v>
      </c>
      <c r="BC33" s="1533" t="s">
        <v>116</v>
      </c>
      <c r="BE33" s="1041" t="s">
        <v>1530</v>
      </c>
    </row>
    <row r="34" spans="1:57" ht="14.1" customHeight="1" x14ac:dyDescent="0.2">
      <c r="A34" s="1510" t="s">
        <v>1527</v>
      </c>
      <c r="B34" s="1511" t="s">
        <v>151</v>
      </c>
      <c r="C34" s="1511" t="s">
        <v>163</v>
      </c>
      <c r="D34" s="1511" t="s">
        <v>145</v>
      </c>
      <c r="E34" s="1512"/>
      <c r="F34" s="1513">
        <v>342</v>
      </c>
      <c r="G34" s="1514">
        <v>0</v>
      </c>
      <c r="H34" s="1515">
        <v>0</v>
      </c>
      <c r="I34" s="1513">
        <v>342</v>
      </c>
      <c r="J34" s="1514">
        <v>25</v>
      </c>
      <c r="K34" s="1515">
        <v>0</v>
      </c>
      <c r="L34" s="1516" t="s">
        <v>700</v>
      </c>
      <c r="M34" s="1516" t="s">
        <v>116</v>
      </c>
      <c r="N34" s="1689" t="s">
        <v>1522</v>
      </c>
      <c r="O34" s="1814"/>
      <c r="P34" s="415" t="b">
        <f t="shared" si="3"/>
        <v>1</v>
      </c>
      <c r="R34" s="245" t="b">
        <f t="shared" si="1"/>
        <v>0</v>
      </c>
      <c r="AO34" s="238" t="str">
        <f t="shared" si="2"/>
        <v>14</v>
      </c>
      <c r="AP34" s="945" t="b">
        <v>0</v>
      </c>
      <c r="AQ34" s="1322" t="s">
        <v>151</v>
      </c>
      <c r="AR34" s="1323" t="s">
        <v>163</v>
      </c>
      <c r="AS34" s="1323" t="s">
        <v>145</v>
      </c>
      <c r="AT34" s="1323"/>
      <c r="AU34" s="1323">
        <v>342</v>
      </c>
      <c r="AV34" s="1323">
        <v>0</v>
      </c>
      <c r="AW34" s="1323">
        <v>0</v>
      </c>
      <c r="AX34" s="1323">
        <v>342</v>
      </c>
      <c r="AY34" s="1323">
        <v>25</v>
      </c>
      <c r="AZ34" s="1323">
        <v>0</v>
      </c>
      <c r="BA34" s="1532" t="s">
        <v>700</v>
      </c>
      <c r="BB34" s="1532" t="s">
        <v>116</v>
      </c>
      <c r="BC34" s="1533" t="s">
        <v>1522</v>
      </c>
      <c r="BD34" s="245">
        <v>2</v>
      </c>
      <c r="BE34" s="1041" t="s">
        <v>1531</v>
      </c>
    </row>
    <row r="35" spans="1:57" ht="14.1" customHeight="1" x14ac:dyDescent="0.2">
      <c r="A35" s="1510"/>
      <c r="B35" s="1511" t="s">
        <v>151</v>
      </c>
      <c r="C35" s="1511" t="s">
        <v>163</v>
      </c>
      <c r="D35" s="1511" t="s">
        <v>145</v>
      </c>
      <c r="E35" s="1512"/>
      <c r="F35" s="1513">
        <v>60</v>
      </c>
      <c r="G35" s="1514">
        <v>25</v>
      </c>
      <c r="H35" s="1515">
        <v>0</v>
      </c>
      <c r="I35" s="1513">
        <v>60</v>
      </c>
      <c r="J35" s="1514">
        <v>50</v>
      </c>
      <c r="K35" s="1515">
        <v>0</v>
      </c>
      <c r="L35" s="1516" t="s">
        <v>700</v>
      </c>
      <c r="M35" s="1516" t="s">
        <v>116</v>
      </c>
      <c r="N35" s="1689" t="s">
        <v>116</v>
      </c>
      <c r="O35" s="1814"/>
      <c r="P35" s="415" t="b">
        <f t="shared" si="3"/>
        <v>1</v>
      </c>
      <c r="R35" s="245" t="b">
        <f t="shared" si="1"/>
        <v>0</v>
      </c>
      <c r="AO35" s="238" t="str">
        <f t="shared" si="2"/>
        <v>14</v>
      </c>
      <c r="AP35" s="945" t="b">
        <v>0</v>
      </c>
      <c r="AQ35" s="1322" t="s">
        <v>151</v>
      </c>
      <c r="AR35" s="1323" t="s">
        <v>163</v>
      </c>
      <c r="AS35" s="1323" t="s">
        <v>145</v>
      </c>
      <c r="AT35" s="1323"/>
      <c r="AU35" s="1323">
        <v>60</v>
      </c>
      <c r="AV35" s="1323">
        <v>25</v>
      </c>
      <c r="AW35" s="1323">
        <v>0</v>
      </c>
      <c r="AX35" s="1323">
        <v>60</v>
      </c>
      <c r="AY35" s="1323">
        <v>50</v>
      </c>
      <c r="AZ35" s="1323">
        <v>0</v>
      </c>
      <c r="BA35" s="1532" t="s">
        <v>700</v>
      </c>
      <c r="BB35" s="1532" t="s">
        <v>116</v>
      </c>
      <c r="BC35" s="1533" t="s">
        <v>116</v>
      </c>
      <c r="BE35" s="1041" t="s">
        <v>1532</v>
      </c>
    </row>
    <row r="36" spans="1:57" ht="14.1" customHeight="1" x14ac:dyDescent="0.2">
      <c r="A36" s="1510" t="s">
        <v>1528</v>
      </c>
      <c r="B36" s="1511" t="s">
        <v>151</v>
      </c>
      <c r="C36" s="1511" t="s">
        <v>163</v>
      </c>
      <c r="D36" s="1511" t="s">
        <v>145</v>
      </c>
      <c r="E36" s="1512"/>
      <c r="F36" s="1513">
        <v>238</v>
      </c>
      <c r="G36" s="1514">
        <v>0</v>
      </c>
      <c r="H36" s="1515">
        <v>0</v>
      </c>
      <c r="I36" s="1513">
        <v>238</v>
      </c>
      <c r="J36" s="1514">
        <v>25</v>
      </c>
      <c r="K36" s="1515">
        <v>0</v>
      </c>
      <c r="L36" s="1516" t="s">
        <v>700</v>
      </c>
      <c r="M36" s="1516" t="s">
        <v>116</v>
      </c>
      <c r="N36" s="1689" t="s">
        <v>1522</v>
      </c>
      <c r="O36" s="1814"/>
      <c r="P36" s="415" t="b">
        <f t="shared" si="3"/>
        <v>1</v>
      </c>
      <c r="R36" s="245" t="b">
        <f t="shared" si="1"/>
        <v>0</v>
      </c>
      <c r="AO36" s="238" t="str">
        <f t="shared" si="2"/>
        <v>15</v>
      </c>
      <c r="AP36" s="945" t="b">
        <v>0</v>
      </c>
      <c r="AQ36" s="1322" t="s">
        <v>151</v>
      </c>
      <c r="AR36" s="1323" t="s">
        <v>163</v>
      </c>
      <c r="AS36" s="1323" t="s">
        <v>145</v>
      </c>
      <c r="AT36" s="1323"/>
      <c r="AU36" s="1323">
        <v>238</v>
      </c>
      <c r="AV36" s="1323">
        <v>0</v>
      </c>
      <c r="AW36" s="1323">
        <v>0</v>
      </c>
      <c r="AX36" s="1323">
        <v>238</v>
      </c>
      <c r="AY36" s="1323">
        <v>25</v>
      </c>
      <c r="AZ36" s="1323">
        <v>0</v>
      </c>
      <c r="BA36" s="1532" t="s">
        <v>700</v>
      </c>
      <c r="BB36" s="1532" t="s">
        <v>116</v>
      </c>
      <c r="BC36" s="1533" t="s">
        <v>1522</v>
      </c>
      <c r="BD36" s="245">
        <v>2</v>
      </c>
      <c r="BE36" s="1041" t="s">
        <v>1533</v>
      </c>
    </row>
    <row r="37" spans="1:57" ht="14.1" customHeight="1" x14ac:dyDescent="0.2">
      <c r="A37" s="1510"/>
      <c r="B37" s="1511" t="s">
        <v>151</v>
      </c>
      <c r="C37" s="1511" t="s">
        <v>163</v>
      </c>
      <c r="D37" s="1511" t="s">
        <v>145</v>
      </c>
      <c r="E37" s="1512"/>
      <c r="F37" s="1513">
        <v>4</v>
      </c>
      <c r="G37" s="1514">
        <v>25</v>
      </c>
      <c r="H37" s="1515">
        <v>0</v>
      </c>
      <c r="I37" s="1513">
        <v>4</v>
      </c>
      <c r="J37" s="1514">
        <v>50</v>
      </c>
      <c r="K37" s="1515">
        <v>0</v>
      </c>
      <c r="L37" s="1516" t="s">
        <v>700</v>
      </c>
      <c r="M37" s="1516" t="s">
        <v>116</v>
      </c>
      <c r="N37" s="1689" t="s">
        <v>116</v>
      </c>
      <c r="O37" s="1814"/>
      <c r="P37" s="415" t="b">
        <f t="shared" si="3"/>
        <v>1</v>
      </c>
      <c r="R37" s="245" t="b">
        <f t="shared" si="1"/>
        <v>0</v>
      </c>
      <c r="AO37" s="238" t="str">
        <f t="shared" si="2"/>
        <v>15</v>
      </c>
      <c r="AP37" s="945" t="b">
        <v>0</v>
      </c>
      <c r="AQ37" s="1322" t="s">
        <v>151</v>
      </c>
      <c r="AR37" s="1323" t="s">
        <v>163</v>
      </c>
      <c r="AS37" s="1323" t="s">
        <v>145</v>
      </c>
      <c r="AT37" s="1323"/>
      <c r="AU37" s="1323">
        <v>4</v>
      </c>
      <c r="AV37" s="1323">
        <v>25</v>
      </c>
      <c r="AW37" s="1323">
        <v>0</v>
      </c>
      <c r="AX37" s="1323">
        <v>4</v>
      </c>
      <c r="AY37" s="1323">
        <v>50</v>
      </c>
      <c r="AZ37" s="1323">
        <v>0</v>
      </c>
      <c r="BA37" s="1532" t="s">
        <v>700</v>
      </c>
      <c r="BB37" s="1532" t="s">
        <v>116</v>
      </c>
      <c r="BC37" s="1533" t="s">
        <v>116</v>
      </c>
      <c r="BE37" s="1041" t="s">
        <v>1562</v>
      </c>
    </row>
    <row r="38" spans="1:57" ht="14.1" customHeight="1" x14ac:dyDescent="0.2">
      <c r="A38" s="1510" t="s">
        <v>1529</v>
      </c>
      <c r="B38" s="1511" t="s">
        <v>151</v>
      </c>
      <c r="C38" s="1511" t="s">
        <v>163</v>
      </c>
      <c r="D38" s="1511" t="s">
        <v>145</v>
      </c>
      <c r="E38" s="1512"/>
      <c r="F38" s="1513">
        <v>134</v>
      </c>
      <c r="G38" s="1514">
        <v>0</v>
      </c>
      <c r="H38" s="1515">
        <v>0</v>
      </c>
      <c r="I38" s="1513">
        <v>134</v>
      </c>
      <c r="J38" s="1514">
        <v>25</v>
      </c>
      <c r="K38" s="1515">
        <v>0</v>
      </c>
      <c r="L38" s="1516" t="s">
        <v>700</v>
      </c>
      <c r="M38" s="1516" t="s">
        <v>116</v>
      </c>
      <c r="N38" s="1689" t="s">
        <v>1522</v>
      </c>
      <c r="O38" s="1814"/>
      <c r="P38" s="415" t="b">
        <f t="shared" si="3"/>
        <v>1</v>
      </c>
      <c r="R38" s="245" t="b">
        <f t="shared" si="1"/>
        <v>0</v>
      </c>
      <c r="AO38" s="238" t="str">
        <f t="shared" si="2"/>
        <v>16</v>
      </c>
      <c r="AP38" s="945" t="b">
        <v>0</v>
      </c>
      <c r="AQ38" s="1322" t="s">
        <v>151</v>
      </c>
      <c r="AR38" s="1323" t="s">
        <v>163</v>
      </c>
      <c r="AS38" s="1323" t="s">
        <v>145</v>
      </c>
      <c r="AT38" s="1323"/>
      <c r="AU38" s="1323">
        <v>134</v>
      </c>
      <c r="AV38" s="1323">
        <v>0</v>
      </c>
      <c r="AW38" s="1323">
        <v>0</v>
      </c>
      <c r="AX38" s="1323">
        <v>134</v>
      </c>
      <c r="AY38" s="1323">
        <v>25</v>
      </c>
      <c r="AZ38" s="1323">
        <v>0</v>
      </c>
      <c r="BA38" s="1532" t="s">
        <v>700</v>
      </c>
      <c r="BB38" s="1532" t="s">
        <v>116</v>
      </c>
      <c r="BC38" s="1533" t="s">
        <v>1522</v>
      </c>
      <c r="BD38" s="245">
        <v>1</v>
      </c>
      <c r="BE38" s="1041" t="s">
        <v>1549</v>
      </c>
    </row>
    <row r="39" spans="1:57" ht="14.1" customHeight="1" x14ac:dyDescent="0.2">
      <c r="A39" s="1510" t="s">
        <v>1530</v>
      </c>
      <c r="B39" s="1511" t="s">
        <v>151</v>
      </c>
      <c r="C39" s="1511" t="s">
        <v>163</v>
      </c>
      <c r="D39" s="1511" t="s">
        <v>145</v>
      </c>
      <c r="E39" s="1512"/>
      <c r="F39" s="1513">
        <v>35</v>
      </c>
      <c r="G39" s="1514">
        <v>0</v>
      </c>
      <c r="H39" s="1515">
        <v>0</v>
      </c>
      <c r="I39" s="1513">
        <v>35</v>
      </c>
      <c r="J39" s="1514">
        <v>25</v>
      </c>
      <c r="K39" s="1515">
        <v>0</v>
      </c>
      <c r="L39" s="1516" t="s">
        <v>700</v>
      </c>
      <c r="M39" s="1516" t="s">
        <v>116</v>
      </c>
      <c r="N39" s="1689" t="s">
        <v>1522</v>
      </c>
      <c r="O39" s="1814"/>
      <c r="P39" s="415" t="b">
        <f t="shared" si="3"/>
        <v>1</v>
      </c>
      <c r="R39" s="245" t="b">
        <f t="shared" si="1"/>
        <v>0</v>
      </c>
      <c r="AO39" s="238" t="str">
        <f t="shared" si="2"/>
        <v>17</v>
      </c>
      <c r="AP39" s="945" t="b">
        <v>0</v>
      </c>
      <c r="AQ39" s="1322" t="s">
        <v>151</v>
      </c>
      <c r="AR39" s="1323" t="s">
        <v>163</v>
      </c>
      <c r="AS39" s="1323" t="s">
        <v>145</v>
      </c>
      <c r="AT39" s="1323"/>
      <c r="AU39" s="1323">
        <v>35</v>
      </c>
      <c r="AV39" s="1323">
        <v>0</v>
      </c>
      <c r="AW39" s="1323">
        <v>0</v>
      </c>
      <c r="AX39" s="1323">
        <v>35</v>
      </c>
      <c r="AY39" s="1323">
        <v>25</v>
      </c>
      <c r="AZ39" s="1323">
        <v>0</v>
      </c>
      <c r="BA39" s="1532" t="s">
        <v>700</v>
      </c>
      <c r="BB39" s="1532" t="s">
        <v>116</v>
      </c>
      <c r="BC39" s="1533" t="s">
        <v>1522</v>
      </c>
      <c r="BD39" s="245">
        <v>1</v>
      </c>
      <c r="BE39" s="1041" t="s">
        <v>1550</v>
      </c>
    </row>
    <row r="40" spans="1:57" ht="14.1" customHeight="1" x14ac:dyDescent="0.2">
      <c r="A40" s="1510" t="s">
        <v>1531</v>
      </c>
      <c r="B40" s="1511" t="s">
        <v>151</v>
      </c>
      <c r="C40" s="1511" t="s">
        <v>163</v>
      </c>
      <c r="D40" s="1511" t="s">
        <v>145</v>
      </c>
      <c r="E40" s="1512"/>
      <c r="F40" s="1513">
        <v>154</v>
      </c>
      <c r="G40" s="1514"/>
      <c r="H40" s="1515"/>
      <c r="I40" s="1513"/>
      <c r="J40" s="1514"/>
      <c r="K40" s="1515"/>
      <c r="L40" s="1516" t="s">
        <v>116</v>
      </c>
      <c r="M40" s="1516" t="s">
        <v>116</v>
      </c>
      <c r="N40" s="1689" t="s">
        <v>1522</v>
      </c>
      <c r="O40" s="1814"/>
      <c r="P40" s="415" t="b">
        <f t="shared" si="3"/>
        <v>1</v>
      </c>
      <c r="R40" s="245" t="b">
        <f t="shared" si="1"/>
        <v>0</v>
      </c>
      <c r="AO40" s="238" t="str">
        <f t="shared" si="2"/>
        <v>18</v>
      </c>
      <c r="AP40" s="945" t="b">
        <v>0</v>
      </c>
      <c r="AQ40" s="1322" t="s">
        <v>151</v>
      </c>
      <c r="AR40" s="1323" t="s">
        <v>163</v>
      </c>
      <c r="AS40" s="1323" t="s">
        <v>145</v>
      </c>
      <c r="AT40" s="1323"/>
      <c r="AU40" s="1323">
        <v>154</v>
      </c>
      <c r="AV40" s="1323"/>
      <c r="AW40" s="1323"/>
      <c r="AX40" s="1323"/>
      <c r="AY40" s="1323"/>
      <c r="AZ40" s="1323"/>
      <c r="BA40" s="1532" t="s">
        <v>116</v>
      </c>
      <c r="BB40" s="1532" t="s">
        <v>116</v>
      </c>
      <c r="BC40" s="1533" t="s">
        <v>1522</v>
      </c>
      <c r="BD40" s="245">
        <v>1</v>
      </c>
      <c r="BE40" s="1041" t="s">
        <v>1535</v>
      </c>
    </row>
    <row r="41" spans="1:57" ht="14.1" customHeight="1" x14ac:dyDescent="0.2">
      <c r="A41" s="1510" t="s">
        <v>1532</v>
      </c>
      <c r="B41" s="1511" t="s">
        <v>151</v>
      </c>
      <c r="C41" s="1511" t="s">
        <v>163</v>
      </c>
      <c r="D41" s="1511" t="s">
        <v>145</v>
      </c>
      <c r="E41" s="1512"/>
      <c r="F41" s="1513">
        <v>60</v>
      </c>
      <c r="G41" s="1514"/>
      <c r="H41" s="1515"/>
      <c r="I41" s="1513"/>
      <c r="J41" s="1514"/>
      <c r="K41" s="1515"/>
      <c r="L41" s="1516" t="s">
        <v>116</v>
      </c>
      <c r="M41" s="1516" t="s">
        <v>116</v>
      </c>
      <c r="N41" s="1689" t="s">
        <v>1522</v>
      </c>
      <c r="O41" s="1814"/>
      <c r="P41" s="415" t="b">
        <f t="shared" si="3"/>
        <v>1</v>
      </c>
      <c r="R41" s="245" t="b">
        <f t="shared" si="1"/>
        <v>0</v>
      </c>
      <c r="AO41" s="238" t="str">
        <f t="shared" si="2"/>
        <v>19</v>
      </c>
      <c r="AP41" s="945" t="b">
        <v>0</v>
      </c>
      <c r="AQ41" s="1322" t="s">
        <v>151</v>
      </c>
      <c r="AR41" s="1323" t="s">
        <v>163</v>
      </c>
      <c r="AS41" s="1323" t="s">
        <v>145</v>
      </c>
      <c r="AT41" s="1323"/>
      <c r="AU41" s="1323">
        <v>60</v>
      </c>
      <c r="AV41" s="1323"/>
      <c r="AW41" s="1323"/>
      <c r="AX41" s="1323"/>
      <c r="AY41" s="1323"/>
      <c r="AZ41" s="1323"/>
      <c r="BA41" s="1532" t="s">
        <v>116</v>
      </c>
      <c r="BB41" s="1532" t="s">
        <v>116</v>
      </c>
      <c r="BC41" s="1533" t="s">
        <v>1522</v>
      </c>
      <c r="BD41" s="245">
        <v>1</v>
      </c>
      <c r="BE41" s="1041" t="s">
        <v>1563</v>
      </c>
    </row>
    <row r="42" spans="1:57" ht="14.1" customHeight="1" x14ac:dyDescent="0.2">
      <c r="A42" s="1510" t="s">
        <v>1533</v>
      </c>
      <c r="B42" s="1511" t="s">
        <v>151</v>
      </c>
      <c r="C42" s="1511" t="s">
        <v>163</v>
      </c>
      <c r="D42" s="1511" t="s">
        <v>145</v>
      </c>
      <c r="E42" s="1512"/>
      <c r="F42" s="1513">
        <v>4</v>
      </c>
      <c r="G42" s="1514"/>
      <c r="H42" s="1515"/>
      <c r="I42" s="1513"/>
      <c r="J42" s="1514"/>
      <c r="K42" s="1515"/>
      <c r="L42" s="1516" t="s">
        <v>116</v>
      </c>
      <c r="M42" s="1516" t="s">
        <v>116</v>
      </c>
      <c r="N42" s="1689" t="s">
        <v>1522</v>
      </c>
      <c r="O42" s="1814"/>
      <c r="P42" s="415" t="b">
        <f t="shared" si="3"/>
        <v>1</v>
      </c>
      <c r="R42" s="245" t="b">
        <f t="shared" si="1"/>
        <v>0</v>
      </c>
      <c r="AO42" s="238" t="str">
        <f t="shared" si="2"/>
        <v>20</v>
      </c>
      <c r="AP42" s="945" t="b">
        <v>0</v>
      </c>
      <c r="AQ42" s="1322" t="s">
        <v>151</v>
      </c>
      <c r="AR42" s="1323" t="s">
        <v>163</v>
      </c>
      <c r="AS42" s="1323" t="s">
        <v>145</v>
      </c>
      <c r="AT42" s="1323"/>
      <c r="AU42" s="1323">
        <v>4</v>
      </c>
      <c r="AV42" s="1323"/>
      <c r="AW42" s="1323"/>
      <c r="AX42" s="1323"/>
      <c r="AY42" s="1323"/>
      <c r="AZ42" s="1323"/>
      <c r="BA42" s="1532" t="s">
        <v>116</v>
      </c>
      <c r="BB42" s="1532" t="s">
        <v>116</v>
      </c>
      <c r="BC42" s="1533" t="s">
        <v>1522</v>
      </c>
      <c r="BD42" s="245">
        <v>1</v>
      </c>
    </row>
    <row r="43" spans="1:57" ht="14.1" customHeight="1" x14ac:dyDescent="0.2">
      <c r="A43" s="1510" t="s">
        <v>1534</v>
      </c>
      <c r="B43" s="1511" t="s">
        <v>151</v>
      </c>
      <c r="C43" s="1511" t="s">
        <v>163</v>
      </c>
      <c r="D43" s="1511" t="s">
        <v>145</v>
      </c>
      <c r="E43" s="1512"/>
      <c r="F43" s="1513">
        <v>249</v>
      </c>
      <c r="G43" s="1514">
        <v>0</v>
      </c>
      <c r="H43" s="1515">
        <v>0</v>
      </c>
      <c r="I43" s="1513">
        <v>0</v>
      </c>
      <c r="J43" s="1514">
        <v>16</v>
      </c>
      <c r="K43" s="1515">
        <v>4</v>
      </c>
      <c r="L43" s="1516" t="s">
        <v>702</v>
      </c>
      <c r="M43" s="1516" t="s">
        <v>116</v>
      </c>
      <c r="N43" s="1689" t="s">
        <v>1522</v>
      </c>
      <c r="O43" s="1814"/>
      <c r="P43" s="415" t="b">
        <f t="shared" si="3"/>
        <v>1</v>
      </c>
      <c r="R43" s="245" t="b">
        <f t="shared" si="1"/>
        <v>0</v>
      </c>
      <c r="AO43" s="238" t="str">
        <f t="shared" si="2"/>
        <v>21</v>
      </c>
      <c r="AP43" s="945" t="b">
        <v>0</v>
      </c>
      <c r="AQ43" s="1322" t="s">
        <v>151</v>
      </c>
      <c r="AR43" s="1323" t="s">
        <v>163</v>
      </c>
      <c r="AS43" s="1323" t="s">
        <v>145</v>
      </c>
      <c r="AT43" s="1323"/>
      <c r="AU43" s="1323">
        <v>249</v>
      </c>
      <c r="AV43" s="1323">
        <v>0</v>
      </c>
      <c r="AW43" s="1323">
        <v>0</v>
      </c>
      <c r="AX43" s="1323">
        <v>0</v>
      </c>
      <c r="AY43" s="1323">
        <v>16</v>
      </c>
      <c r="AZ43" s="1323">
        <v>4</v>
      </c>
      <c r="BA43" s="1532" t="s">
        <v>702</v>
      </c>
      <c r="BB43" s="1532" t="s">
        <v>116</v>
      </c>
      <c r="BC43" s="1533" t="s">
        <v>1522</v>
      </c>
      <c r="BD43" s="245">
        <v>1</v>
      </c>
    </row>
    <row r="44" spans="1:57" ht="14.1" customHeight="1" x14ac:dyDescent="0.2">
      <c r="A44" s="1510" t="s">
        <v>1535</v>
      </c>
      <c r="B44" s="1511" t="s">
        <v>151</v>
      </c>
      <c r="C44" s="1511" t="s">
        <v>163</v>
      </c>
      <c r="D44" s="1511" t="s">
        <v>145</v>
      </c>
      <c r="E44" s="1512"/>
      <c r="F44" s="1513">
        <v>424</v>
      </c>
      <c r="G44" s="1514">
        <v>0</v>
      </c>
      <c r="H44" s="1515">
        <v>0</v>
      </c>
      <c r="I44" s="1513">
        <v>0</v>
      </c>
      <c r="J44" s="1514">
        <v>20</v>
      </c>
      <c r="K44" s="1515">
        <v>9</v>
      </c>
      <c r="L44" s="1516" t="s">
        <v>702</v>
      </c>
      <c r="M44" s="1516" t="s">
        <v>116</v>
      </c>
      <c r="N44" s="1689" t="s">
        <v>1522</v>
      </c>
      <c r="O44" s="1814"/>
      <c r="P44" s="415" t="b">
        <f t="shared" si="3"/>
        <v>1</v>
      </c>
      <c r="R44" s="245" t="b">
        <f t="shared" si="1"/>
        <v>0</v>
      </c>
      <c r="AO44" s="238" t="str">
        <f t="shared" si="2"/>
        <v>22</v>
      </c>
      <c r="AP44" s="945" t="b">
        <v>0</v>
      </c>
      <c r="AQ44" s="1322" t="s">
        <v>151</v>
      </c>
      <c r="AR44" s="1323" t="s">
        <v>163</v>
      </c>
      <c r="AS44" s="1323" t="s">
        <v>145</v>
      </c>
      <c r="AT44" s="1323"/>
      <c r="AU44" s="1323">
        <v>424</v>
      </c>
      <c r="AV44" s="1323">
        <v>0</v>
      </c>
      <c r="AW44" s="1323">
        <v>0</v>
      </c>
      <c r="AX44" s="1323">
        <v>0</v>
      </c>
      <c r="AY44" s="1323">
        <v>20</v>
      </c>
      <c r="AZ44" s="1323">
        <v>9</v>
      </c>
      <c r="BA44" s="1532" t="s">
        <v>702</v>
      </c>
      <c r="BB44" s="1532" t="s">
        <v>116</v>
      </c>
      <c r="BC44" s="1533" t="s">
        <v>1522</v>
      </c>
      <c r="BD44" s="245">
        <v>1</v>
      </c>
    </row>
    <row r="45" spans="1:57" ht="14.1" customHeight="1" x14ac:dyDescent="0.2">
      <c r="A45" s="1510" t="s">
        <v>1536</v>
      </c>
      <c r="B45" s="1511" t="s">
        <v>148</v>
      </c>
      <c r="C45" s="1511" t="s">
        <v>163</v>
      </c>
      <c r="D45" s="1511" t="s">
        <v>145</v>
      </c>
      <c r="E45" s="1512"/>
      <c r="F45" s="1513">
        <v>20100</v>
      </c>
      <c r="G45" s="1514">
        <v>6</v>
      </c>
      <c r="H45" s="1515">
        <v>3.125</v>
      </c>
      <c r="I45" s="1513">
        <v>15400</v>
      </c>
      <c r="J45" s="1514">
        <v>12</v>
      </c>
      <c r="K45" s="1515">
        <v>5.875</v>
      </c>
      <c r="L45" s="1516" t="s">
        <v>702</v>
      </c>
      <c r="M45" s="1516" t="s">
        <v>116</v>
      </c>
      <c r="N45" s="1689" t="s">
        <v>1537</v>
      </c>
      <c r="O45" s="1814"/>
      <c r="P45" s="415" t="b">
        <f t="shared" si="3"/>
        <v>1</v>
      </c>
      <c r="R45" s="245" t="b">
        <f t="shared" si="1"/>
        <v>0</v>
      </c>
      <c r="AO45" s="238" t="str">
        <f t="shared" si="2"/>
        <v>23</v>
      </c>
      <c r="AP45" s="945" t="b">
        <v>0</v>
      </c>
      <c r="AQ45" s="1322" t="s">
        <v>148</v>
      </c>
      <c r="AR45" s="1323" t="s">
        <v>163</v>
      </c>
      <c r="AS45" s="1323" t="s">
        <v>145</v>
      </c>
      <c r="AT45" s="1323"/>
      <c r="AU45" s="1323">
        <v>20100</v>
      </c>
      <c r="AV45" s="1323">
        <v>6</v>
      </c>
      <c r="AW45" s="1323">
        <v>3.125</v>
      </c>
      <c r="AX45" s="1323">
        <v>15400</v>
      </c>
      <c r="AY45" s="1323">
        <v>12</v>
      </c>
      <c r="AZ45" s="1323">
        <v>5.875</v>
      </c>
      <c r="BA45" s="1532" t="s">
        <v>702</v>
      </c>
      <c r="BB45" s="1532" t="s">
        <v>116</v>
      </c>
      <c r="BC45" s="1533" t="s">
        <v>1537</v>
      </c>
      <c r="BD45" s="245">
        <v>3</v>
      </c>
    </row>
    <row r="46" spans="1:57" ht="14.1" customHeight="1" x14ac:dyDescent="0.2">
      <c r="A46" s="1510"/>
      <c r="B46" s="1511" t="s">
        <v>148</v>
      </c>
      <c r="C46" s="1511" t="s">
        <v>163</v>
      </c>
      <c r="D46" s="1511" t="s">
        <v>145</v>
      </c>
      <c r="E46" s="1512"/>
      <c r="F46" s="1513">
        <v>10800</v>
      </c>
      <c r="G46" s="1514">
        <v>18</v>
      </c>
      <c r="H46" s="1515">
        <v>8.625</v>
      </c>
      <c r="I46" s="1513">
        <v>6100</v>
      </c>
      <c r="J46" s="1514">
        <v>24</v>
      </c>
      <c r="K46" s="1515">
        <v>11.375</v>
      </c>
      <c r="L46" s="1516" t="s">
        <v>702</v>
      </c>
      <c r="M46" s="1516" t="s">
        <v>116</v>
      </c>
      <c r="N46" s="1689" t="s">
        <v>116</v>
      </c>
      <c r="O46" s="1814"/>
      <c r="P46" s="415" t="b">
        <f t="shared" si="3"/>
        <v>1</v>
      </c>
      <c r="R46" s="245" t="b">
        <f t="shared" si="1"/>
        <v>0</v>
      </c>
      <c r="AO46" s="238" t="str">
        <f t="shared" si="2"/>
        <v>23</v>
      </c>
      <c r="AP46" s="945" t="b">
        <v>0</v>
      </c>
      <c r="AQ46" s="1322" t="s">
        <v>148</v>
      </c>
      <c r="AR46" s="1323" t="s">
        <v>163</v>
      </c>
      <c r="AS46" s="1323" t="s">
        <v>145</v>
      </c>
      <c r="AT46" s="1323"/>
      <c r="AU46" s="1323">
        <v>10800</v>
      </c>
      <c r="AV46" s="1323">
        <v>18</v>
      </c>
      <c r="AW46" s="1323">
        <v>8.625</v>
      </c>
      <c r="AX46" s="1323">
        <v>6100</v>
      </c>
      <c r="AY46" s="1323">
        <v>24</v>
      </c>
      <c r="AZ46" s="1323">
        <v>11.375</v>
      </c>
      <c r="BA46" s="1532" t="s">
        <v>702</v>
      </c>
      <c r="BB46" s="1532" t="s">
        <v>116</v>
      </c>
      <c r="BC46" s="1533" t="s">
        <v>116</v>
      </c>
    </row>
    <row r="47" spans="1:57" ht="14.1" customHeight="1" x14ac:dyDescent="0.2">
      <c r="A47" s="1510"/>
      <c r="B47" s="1511" t="s">
        <v>148</v>
      </c>
      <c r="C47" s="1511" t="s">
        <v>163</v>
      </c>
      <c r="D47" s="1511" t="s">
        <v>145</v>
      </c>
      <c r="E47" s="1512"/>
      <c r="F47" s="1513">
        <v>1575</v>
      </c>
      <c r="G47" s="1514">
        <v>31</v>
      </c>
      <c r="H47" s="1515">
        <v>2.125</v>
      </c>
      <c r="I47" s="1513"/>
      <c r="J47" s="1514"/>
      <c r="K47" s="1515"/>
      <c r="L47" s="1516" t="s">
        <v>702</v>
      </c>
      <c r="M47" s="1516" t="s">
        <v>116</v>
      </c>
      <c r="N47" s="1689" t="s">
        <v>116</v>
      </c>
      <c r="O47" s="1814"/>
      <c r="P47" s="415" t="b">
        <f t="shared" si="3"/>
        <v>1</v>
      </c>
      <c r="R47" s="245" t="b">
        <f t="shared" si="1"/>
        <v>0</v>
      </c>
      <c r="AO47" s="238" t="str">
        <f t="shared" si="2"/>
        <v>23</v>
      </c>
      <c r="AP47" s="945" t="b">
        <v>0</v>
      </c>
      <c r="AQ47" s="1322" t="s">
        <v>148</v>
      </c>
      <c r="AR47" s="1323" t="s">
        <v>163</v>
      </c>
      <c r="AS47" s="1323" t="s">
        <v>145</v>
      </c>
      <c r="AT47" s="1323"/>
      <c r="AU47" s="1323">
        <v>1575</v>
      </c>
      <c r="AV47" s="1323">
        <v>31</v>
      </c>
      <c r="AW47" s="1323">
        <v>2.125</v>
      </c>
      <c r="AX47" s="1323"/>
      <c r="AY47" s="1323"/>
      <c r="AZ47" s="1323"/>
      <c r="BA47" s="1532" t="s">
        <v>702</v>
      </c>
      <c r="BB47" s="1532" t="s">
        <v>116</v>
      </c>
      <c r="BC47" s="1533" t="s">
        <v>116</v>
      </c>
    </row>
    <row r="48" spans="1:57" ht="14.1" customHeight="1" x14ac:dyDescent="0.2">
      <c r="A48" s="1510" t="s">
        <v>1538</v>
      </c>
      <c r="B48" s="1511" t="s">
        <v>148</v>
      </c>
      <c r="C48" s="1511" t="s">
        <v>163</v>
      </c>
      <c r="D48" s="1511" t="s">
        <v>145</v>
      </c>
      <c r="E48" s="1512"/>
      <c r="F48" s="1513">
        <v>7700</v>
      </c>
      <c r="G48" s="1514">
        <v>5</v>
      </c>
      <c r="H48" s="1515">
        <v>5.375</v>
      </c>
      <c r="I48" s="1513">
        <v>3000</v>
      </c>
      <c r="J48" s="1514">
        <v>11</v>
      </c>
      <c r="K48" s="1515">
        <v>8.125</v>
      </c>
      <c r="L48" s="1516" t="s">
        <v>702</v>
      </c>
      <c r="M48" s="1516" t="s">
        <v>116</v>
      </c>
      <c r="N48" s="1689" t="s">
        <v>1537</v>
      </c>
      <c r="O48" s="1814"/>
      <c r="P48" s="415" t="b">
        <f t="shared" si="3"/>
        <v>1</v>
      </c>
      <c r="R48" s="245" t="b">
        <f t="shared" si="1"/>
        <v>0</v>
      </c>
      <c r="AO48" s="238" t="str">
        <f t="shared" si="2"/>
        <v>24</v>
      </c>
      <c r="AP48" s="945" t="b">
        <v>0</v>
      </c>
      <c r="AQ48" s="1322" t="s">
        <v>148</v>
      </c>
      <c r="AR48" s="1323" t="s">
        <v>163</v>
      </c>
      <c r="AS48" s="1323" t="s">
        <v>145</v>
      </c>
      <c r="AT48" s="1323"/>
      <c r="AU48" s="1323">
        <v>7700</v>
      </c>
      <c r="AV48" s="1323">
        <v>5</v>
      </c>
      <c r="AW48" s="1323">
        <v>5.375</v>
      </c>
      <c r="AX48" s="1323">
        <v>3000</v>
      </c>
      <c r="AY48" s="1323">
        <v>11</v>
      </c>
      <c r="AZ48" s="1323">
        <v>8.125</v>
      </c>
      <c r="BA48" s="1532" t="s">
        <v>702</v>
      </c>
      <c r="BB48" s="1532" t="s">
        <v>116</v>
      </c>
      <c r="BC48" s="1533" t="s">
        <v>1537</v>
      </c>
      <c r="BD48" s="245">
        <v>2</v>
      </c>
    </row>
    <row r="49" spans="1:56" ht="14.1" customHeight="1" x14ac:dyDescent="0.2">
      <c r="A49" s="1510"/>
      <c r="B49" s="1511" t="s">
        <v>148</v>
      </c>
      <c r="C49" s="1511" t="s">
        <v>163</v>
      </c>
      <c r="D49" s="1511" t="s">
        <v>145</v>
      </c>
      <c r="E49" s="1512"/>
      <c r="F49" s="1513">
        <v>200</v>
      </c>
      <c r="G49" s="1514">
        <v>17</v>
      </c>
      <c r="H49" s="1515">
        <v>10.875</v>
      </c>
      <c r="I49" s="1513"/>
      <c r="J49" s="1514"/>
      <c r="K49" s="1515"/>
      <c r="L49" s="1516" t="s">
        <v>702</v>
      </c>
      <c r="M49" s="1516" t="s">
        <v>116</v>
      </c>
      <c r="N49" s="1689" t="s">
        <v>116</v>
      </c>
      <c r="O49" s="1814"/>
      <c r="P49" s="415" t="b">
        <f t="shared" si="3"/>
        <v>1</v>
      </c>
      <c r="R49" s="245" t="b">
        <f t="shared" si="1"/>
        <v>0</v>
      </c>
      <c r="AO49" s="238" t="str">
        <f t="shared" si="2"/>
        <v>24</v>
      </c>
      <c r="AP49" s="945" t="b">
        <v>0</v>
      </c>
      <c r="AQ49" s="1322" t="s">
        <v>148</v>
      </c>
      <c r="AR49" s="1323" t="s">
        <v>163</v>
      </c>
      <c r="AS49" s="1323" t="s">
        <v>145</v>
      </c>
      <c r="AT49" s="1323"/>
      <c r="AU49" s="1323">
        <v>200</v>
      </c>
      <c r="AV49" s="1323">
        <v>17</v>
      </c>
      <c r="AW49" s="1323">
        <v>10.875</v>
      </c>
      <c r="AX49" s="1323"/>
      <c r="AY49" s="1323"/>
      <c r="AZ49" s="1323"/>
      <c r="BA49" s="1532" t="s">
        <v>702</v>
      </c>
      <c r="BB49" s="1532" t="s">
        <v>116</v>
      </c>
      <c r="BC49" s="1533" t="s">
        <v>116</v>
      </c>
    </row>
    <row r="50" spans="1:56" ht="14.1" customHeight="1" x14ac:dyDescent="0.2">
      <c r="A50" s="1510" t="s">
        <v>1539</v>
      </c>
      <c r="B50" s="1511" t="s">
        <v>157</v>
      </c>
      <c r="C50" s="1511" t="s">
        <v>167</v>
      </c>
      <c r="D50" s="1511" t="s">
        <v>145</v>
      </c>
      <c r="E50" s="1512"/>
      <c r="F50" s="1513">
        <v>20300</v>
      </c>
      <c r="G50" s="1514"/>
      <c r="H50" s="1515"/>
      <c r="I50" s="1513"/>
      <c r="J50" s="1514"/>
      <c r="K50" s="1515"/>
      <c r="L50" s="1516" t="s">
        <v>116</v>
      </c>
      <c r="M50" s="1516" t="s">
        <v>1397</v>
      </c>
      <c r="N50" s="1689" t="s">
        <v>1540</v>
      </c>
      <c r="O50" s="1814"/>
      <c r="P50" s="415" t="b">
        <f t="shared" si="3"/>
        <v>1</v>
      </c>
      <c r="R50" s="245" t="b">
        <f t="shared" si="1"/>
        <v>1</v>
      </c>
      <c r="AO50" s="238" t="str">
        <f t="shared" si="2"/>
        <v>25</v>
      </c>
      <c r="AP50" s="945" t="b">
        <v>0</v>
      </c>
      <c r="AQ50" s="1322" t="s">
        <v>157</v>
      </c>
      <c r="AR50" s="1323" t="s">
        <v>167</v>
      </c>
      <c r="AS50" s="1323" t="s">
        <v>145</v>
      </c>
      <c r="AT50" s="1323"/>
      <c r="AU50" s="1323">
        <v>20300</v>
      </c>
      <c r="AV50" s="1323"/>
      <c r="AW50" s="1323"/>
      <c r="AX50" s="1323"/>
      <c r="AY50" s="1323"/>
      <c r="AZ50" s="1323"/>
      <c r="BA50" s="1532" t="s">
        <v>116</v>
      </c>
      <c r="BB50" s="1532" t="s">
        <v>116</v>
      </c>
      <c r="BC50" s="1533" t="s">
        <v>1540</v>
      </c>
      <c r="BD50" s="245">
        <v>1</v>
      </c>
    </row>
    <row r="51" spans="1:56" ht="14.1" customHeight="1" x14ac:dyDescent="0.2">
      <c r="A51" s="1510" t="s">
        <v>1541</v>
      </c>
      <c r="B51" s="1511" t="s">
        <v>154</v>
      </c>
      <c r="C51" s="1511" t="s">
        <v>165</v>
      </c>
      <c r="D51" s="1511" t="s">
        <v>145</v>
      </c>
      <c r="E51" s="1512"/>
      <c r="F51" s="1513">
        <v>540</v>
      </c>
      <c r="G51" s="1514"/>
      <c r="H51" s="1515"/>
      <c r="I51" s="1513"/>
      <c r="J51" s="1514"/>
      <c r="K51" s="1515"/>
      <c r="L51" s="1516" t="s">
        <v>116</v>
      </c>
      <c r="M51" s="1516" t="s">
        <v>116</v>
      </c>
      <c r="N51" s="1689" t="s">
        <v>1542</v>
      </c>
      <c r="O51" s="1814"/>
      <c r="P51" s="415" t="b">
        <f t="shared" si="3"/>
        <v>1</v>
      </c>
      <c r="R51" s="245" t="b">
        <f t="shared" si="1"/>
        <v>1</v>
      </c>
      <c r="AO51" s="238" t="str">
        <f t="shared" si="2"/>
        <v>26</v>
      </c>
      <c r="AP51" s="945" t="b">
        <v>0</v>
      </c>
      <c r="AQ51" s="1322" t="s">
        <v>154</v>
      </c>
      <c r="AR51" s="1323" t="s">
        <v>165</v>
      </c>
      <c r="AS51" s="1323" t="s">
        <v>145</v>
      </c>
      <c r="AT51" s="1323"/>
      <c r="AU51" s="1323">
        <v>540</v>
      </c>
      <c r="AV51" s="1323"/>
      <c r="AW51" s="1323"/>
      <c r="AX51" s="1323"/>
      <c r="AY51" s="1323"/>
      <c r="AZ51" s="1323"/>
      <c r="BA51" s="1532" t="s">
        <v>116</v>
      </c>
      <c r="BB51" s="1532" t="s">
        <v>116</v>
      </c>
      <c r="BC51" s="1533" t="s">
        <v>1542</v>
      </c>
      <c r="BD51" s="245">
        <v>1</v>
      </c>
    </row>
    <row r="52" spans="1:56" ht="14.1" customHeight="1" x14ac:dyDescent="0.2">
      <c r="A52" s="1510" t="s">
        <v>1543</v>
      </c>
      <c r="B52" s="1511" t="s">
        <v>154</v>
      </c>
      <c r="C52" s="1511" t="s">
        <v>165</v>
      </c>
      <c r="D52" s="1511" t="s">
        <v>145</v>
      </c>
      <c r="E52" s="1512"/>
      <c r="F52" s="1513">
        <v>1100</v>
      </c>
      <c r="G52" s="1514"/>
      <c r="H52" s="1515"/>
      <c r="I52" s="1513"/>
      <c r="J52" s="1514"/>
      <c r="K52" s="1515"/>
      <c r="L52" s="1516" t="s">
        <v>116</v>
      </c>
      <c r="M52" s="1516" t="s">
        <v>116</v>
      </c>
      <c r="N52" s="1689" t="s">
        <v>1544</v>
      </c>
      <c r="O52" s="1814"/>
      <c r="P52" s="415" t="b">
        <f t="shared" si="3"/>
        <v>1</v>
      </c>
      <c r="R52" s="245" t="b">
        <f t="shared" si="1"/>
        <v>1</v>
      </c>
      <c r="AO52" s="238" t="str">
        <f t="shared" si="2"/>
        <v>27</v>
      </c>
      <c r="AP52" s="945" t="b">
        <v>0</v>
      </c>
      <c r="AQ52" s="1322" t="s">
        <v>154</v>
      </c>
      <c r="AR52" s="1323" t="s">
        <v>165</v>
      </c>
      <c r="AS52" s="1323" t="s">
        <v>145</v>
      </c>
      <c r="AT52" s="1323"/>
      <c r="AU52" s="1323">
        <v>1100</v>
      </c>
      <c r="AV52" s="1323"/>
      <c r="AW52" s="1323"/>
      <c r="AX52" s="1323"/>
      <c r="AY52" s="1323"/>
      <c r="AZ52" s="1323"/>
      <c r="BA52" s="1532" t="s">
        <v>116</v>
      </c>
      <c r="BB52" s="1532" t="s">
        <v>116</v>
      </c>
      <c r="BC52" s="1533" t="s">
        <v>1544</v>
      </c>
      <c r="BD52" s="245">
        <v>1</v>
      </c>
    </row>
    <row r="53" spans="1:56" ht="14.1" customHeight="1" x14ac:dyDescent="0.2">
      <c r="A53" s="1510"/>
      <c r="B53" s="1511"/>
      <c r="C53" s="1511"/>
      <c r="D53" s="1511"/>
      <c r="E53" s="1512"/>
      <c r="F53" s="1513"/>
      <c r="G53" s="1514"/>
      <c r="H53" s="1515"/>
      <c r="I53" s="1513"/>
      <c r="J53" s="1514"/>
      <c r="K53" s="1515"/>
      <c r="L53" s="1516"/>
      <c r="M53" s="1516"/>
      <c r="N53" s="1689" t="s">
        <v>116</v>
      </c>
      <c r="O53" s="1814"/>
      <c r="P53" s="415" t="b">
        <f t="shared" si="3"/>
        <v>1</v>
      </c>
      <c r="R53" s="245" t="b">
        <f t="shared" si="1"/>
        <v>0</v>
      </c>
      <c r="AO53" s="238" t="str">
        <f t="shared" si="2"/>
        <v>27</v>
      </c>
      <c r="AP53" s="945" t="b">
        <v>0</v>
      </c>
      <c r="AQ53" s="1322"/>
      <c r="AR53" s="1323"/>
      <c r="AS53" s="1323"/>
      <c r="AT53" s="1323"/>
      <c r="AU53" s="1323"/>
      <c r="AV53" s="1323"/>
      <c r="AW53" s="1323"/>
      <c r="AX53" s="1323"/>
      <c r="AY53" s="1323"/>
      <c r="AZ53" s="1323"/>
      <c r="BA53" s="1532"/>
      <c r="BB53" s="1532"/>
      <c r="BC53" s="1533"/>
    </row>
    <row r="54" spans="1:56" ht="14.1" customHeight="1" x14ac:dyDescent="0.2">
      <c r="A54" s="1510"/>
      <c r="B54" s="1511"/>
      <c r="C54" s="1511"/>
      <c r="D54" s="1511"/>
      <c r="E54" s="1512"/>
      <c r="F54" s="1513"/>
      <c r="G54" s="1514"/>
      <c r="H54" s="1515"/>
      <c r="I54" s="1513"/>
      <c r="J54" s="1514"/>
      <c r="K54" s="1515"/>
      <c r="L54" s="1516"/>
      <c r="M54" s="1516"/>
      <c r="N54" s="1689" t="s">
        <v>116</v>
      </c>
      <c r="O54" s="1814"/>
      <c r="P54" s="415" t="b">
        <f t="shared" si="3"/>
        <v>1</v>
      </c>
      <c r="R54" s="245" t="b">
        <f t="shared" si="1"/>
        <v>0</v>
      </c>
      <c r="AO54" s="238" t="str">
        <f t="shared" si="2"/>
        <v>27</v>
      </c>
      <c r="AP54" s="945" t="b">
        <v>0</v>
      </c>
      <c r="AQ54" s="1322"/>
      <c r="AR54" s="1323"/>
      <c r="AS54" s="1323"/>
      <c r="AT54" s="1323"/>
      <c r="AU54" s="1323"/>
      <c r="AV54" s="1323"/>
      <c r="AW54" s="1323"/>
      <c r="AX54" s="1323"/>
      <c r="AY54" s="1323"/>
      <c r="AZ54" s="1323"/>
      <c r="BA54" s="1532"/>
      <c r="BB54" s="1532"/>
      <c r="BC54" s="1533"/>
    </row>
    <row r="55" spans="1:56" ht="14.1" customHeight="1" x14ac:dyDescent="0.2">
      <c r="A55" s="1519"/>
      <c r="B55" s="1520"/>
      <c r="C55" s="1520"/>
      <c r="D55" s="1520"/>
      <c r="E55" s="1521"/>
      <c r="F55" s="1522"/>
      <c r="G55" s="1523"/>
      <c r="H55" s="1524"/>
      <c r="I55" s="1522"/>
      <c r="J55" s="1523"/>
      <c r="K55" s="1524"/>
      <c r="L55" s="1525"/>
      <c r="M55" s="1525"/>
      <c r="N55" s="1690"/>
      <c r="O55" s="1814"/>
      <c r="P55" s="415" t="b">
        <f t="shared" si="3"/>
        <v>1</v>
      </c>
      <c r="R55" s="245" t="b">
        <f t="shared" si="1"/>
        <v>0</v>
      </c>
      <c r="AO55" s="238" t="str">
        <f t="shared" si="2"/>
        <v>27</v>
      </c>
      <c r="AP55" s="945" t="b">
        <v>0</v>
      </c>
      <c r="AQ55" s="1324"/>
      <c r="AR55" s="1325"/>
      <c r="AS55" s="1325"/>
      <c r="AT55" s="1325"/>
      <c r="AU55" s="1325"/>
      <c r="AV55" s="1325"/>
      <c r="AW55" s="1325"/>
      <c r="AX55" s="1325"/>
      <c r="AY55" s="1325"/>
      <c r="AZ55" s="1325"/>
      <c r="BA55" s="1534"/>
      <c r="BB55" s="1534"/>
      <c r="BC55" s="1535"/>
    </row>
    <row r="56" spans="1:56" ht="15.95" customHeight="1" x14ac:dyDescent="0.2">
      <c r="P56" s="245">
        <f>COUNTIF(P14:P55,TRUE)+IF(NOT($T$1),1, 0)</f>
        <v>43</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1613</v>
      </c>
    </row>
    <row r="62" spans="1:56" ht="15.95" hidden="1" customHeight="1" x14ac:dyDescent="0.2"/>
    <row r="63" spans="1:56" hidden="1" x14ac:dyDescent="0.2"/>
    <row r="64" spans="1:56" hidden="1" x14ac:dyDescent="0.2"/>
    <row r="65" spans="1:1" x14ac:dyDescent="0.2">
      <c r="A65" s="633" t="s">
        <v>1020</v>
      </c>
    </row>
  </sheetData>
  <sheetProtection algorithmName="SHA-512" hashValue="lPdAIqhjCbkuSQwXhMIXeGXLA6TcbvCiRLHDs2feag5V+hJdE+dgrU5lUD9Uuf+Dh2/iEmJARbVwQ4OMMc/2jQ==" saltValue="eUPQ8og/EmhPK/TGwupUDQ=="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477" priority="4" stopIfTrue="1">
      <formula>AND($B14="NU",F14&lt;0)</formula>
    </cfRule>
  </conditionalFormatting>
  <conditionalFormatting sqref="B14:B55">
    <cfRule type="expression" dxfId="476" priority="5" stopIfTrue="1">
      <formula>OR(AND($B14="NU",F14&lt;0),AND($B14="NU",I14&lt;0))</formula>
    </cfRule>
  </conditionalFormatting>
  <conditionalFormatting sqref="G14:H55 J14:L55">
    <cfRule type="expression" dxfId="475" priority="6" stopIfTrue="1">
      <formula>$R14</formula>
    </cfRule>
  </conditionalFormatting>
  <conditionalFormatting sqref="I2:K4">
    <cfRule type="cellIs" dxfId="474" priority="7" stopIfTrue="1" operator="equal">
      <formula>""</formula>
    </cfRule>
  </conditionalFormatting>
  <conditionalFormatting sqref="I14:I55">
    <cfRule type="expression" dxfId="473" priority="8" stopIfTrue="1">
      <formula>OR($R14,$B14="CZ",AND($B14="NU",I14&lt;0))</formula>
    </cfRule>
  </conditionalFormatting>
  <conditionalFormatting sqref="A14:A55">
    <cfRule type="expression" dxfId="472" priority="3">
      <formula>NOT($P14)</formula>
    </cfRule>
  </conditionalFormatting>
  <conditionalFormatting sqref="B14:D55">
    <cfRule type="expression" dxfId="47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470" priority="9">
      <formula>AND(NOT($P14),$T$1)</formula>
    </cfRule>
    <cfRule type="expression" dxfId="469" priority="10">
      <formula>AND($AP14,$S$1="M")</formula>
    </cfRule>
  </conditionalFormatting>
  <conditionalFormatting sqref="L14:L55">
    <cfRule type="expression" dxfId="46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B7054316-5716-48E2-9505-3033EA222CA1}">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410A5057-DC4F-4149-8FFB-78DB9AEE03AD}">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00C2B4A6-175E-44A6-AD62-CE481B0D4B40}">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7DAFB508-1BC0-4FB6-A510-394E808AD4D2}">
      <formula1>IF($CA$14,$CA$16:$CA$21,$CB$16:$CB$19)</formula1>
    </dataValidation>
    <dataValidation type="list" allowBlank="1" showErrorMessage="1" errorTitle="Invalid Type" error="You MUST select a Type from the dropdown list provided._x000a__x000a_Also, make sure your Cap Lock is turned on." sqref="B14:B55" xr:uid="{18297C12-6AC1-4E98-85D6-B6E3B5C24FDA}">
      <formula1>$BF$15:$BU$15</formula1>
    </dataValidation>
    <dataValidation allowBlank="1" showInputMessage="1" errorTitle="Invalid Load Case" error="You MUST use a Load Case from the list provided." sqref="M14:M55" xr:uid="{6043485A-6ADE-48E8-A62F-0C45672C23A1}"/>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D0631-4634-4C0F-A109-929302A3FE55}">
  <sheetPr codeName="Sheet26">
    <tabColor indexed="45"/>
  </sheetPr>
  <dimension ref="A1:CE65"/>
  <sheetViews>
    <sheetView showGridLines="0" topLeftCell="A7" zoomScaleNormal="100" zoomScaleSheetLayoutView="100" workbookViewId="0">
      <selection activeCell="A27" sqref="A2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48" t="str">
        <f>IF(S1="","",VLOOKUP(S1,'Job Info.'!X:AA,4,FALSE))</f>
        <v>Master</v>
      </c>
      <c r="J1" s="1848"/>
      <c r="K1" s="1848"/>
      <c r="L1" s="375"/>
      <c r="M1" s="375" t="s">
        <v>95</v>
      </c>
      <c r="N1" s="463" t="str">
        <f ca="1">'Job Info.'!D12</f>
        <v>775-428-0600</v>
      </c>
      <c r="O1" s="484" t="s">
        <v>722</v>
      </c>
      <c r="P1" s="1008"/>
      <c r="S1" s="378" t="str">
        <f>'Job Info.'!Q30</f>
        <v>M</v>
      </c>
      <c r="T1" s="378" t="b">
        <f>'Job Info.'!Q32</f>
        <v>0</v>
      </c>
      <c r="BD1" s="256" t="s">
        <v>1262</v>
      </c>
      <c r="BE1" s="1040" t="s">
        <v>1696</v>
      </c>
      <c r="CE1" s="485" t="s">
        <v>723</v>
      </c>
    </row>
    <row r="2" spans="1:83" ht="12.95" customHeight="1" thickTop="1" x14ac:dyDescent="0.2">
      <c r="A2" s="374"/>
      <c r="B2" s="374"/>
      <c r="C2" s="374"/>
      <c r="D2" s="374"/>
      <c r="E2" s="374"/>
      <c r="F2" s="374"/>
      <c r="G2" s="374"/>
      <c r="H2" s="375"/>
      <c r="I2" s="1853" t="str">
        <f>IF(S1="","",IF(VLOOKUP(S1,'Job Info.'!X:Z,2,FALSE),"Released for Fabrication",""))</f>
        <v/>
      </c>
      <c r="J2" s="1854"/>
      <c r="K2" s="1855"/>
      <c r="L2" s="375"/>
      <c r="M2" s="375" t="s">
        <v>96</v>
      </c>
      <c r="N2" s="463" t="str">
        <f ca="1">'Job Info.'!D13</f>
        <v>775-867-2140</v>
      </c>
      <c r="O2" s="1008"/>
      <c r="P2" s="1008"/>
      <c r="BE2" s="1040" t="s">
        <v>1518</v>
      </c>
    </row>
    <row r="3" spans="1:83" ht="12.95" customHeight="1" x14ac:dyDescent="0.2">
      <c r="A3" s="374"/>
      <c r="B3" s="374"/>
      <c r="C3" s="374"/>
      <c r="D3" s="374"/>
      <c r="E3" s="374"/>
      <c r="F3" s="374"/>
      <c r="G3" s="374"/>
      <c r="H3" s="375"/>
      <c r="I3" s="1856"/>
      <c r="J3" s="1857"/>
      <c r="K3" s="1858"/>
      <c r="L3" s="375"/>
      <c r="M3" s="375" t="s">
        <v>98</v>
      </c>
      <c r="N3" s="463" t="str">
        <f ca="1">'Job Info.'!D14</f>
        <v>775-867-2169</v>
      </c>
      <c r="O3" s="1008"/>
      <c r="P3" s="1008"/>
      <c r="BE3" s="1041" t="s">
        <v>1536</v>
      </c>
    </row>
    <row r="4" spans="1:83" ht="12.95" customHeight="1" thickBot="1" x14ac:dyDescent="0.25">
      <c r="A4" s="374"/>
      <c r="B4" s="374"/>
      <c r="C4" s="374"/>
      <c r="D4" s="374"/>
      <c r="E4" s="374"/>
      <c r="F4" s="374"/>
      <c r="G4" s="374"/>
      <c r="H4" s="374"/>
      <c r="I4" s="1859" t="str">
        <f>IF(S1="","",IF(VLOOKUP(S1,'Job Info.'!X:Z,2,FALSE),VLOOKUP(S1,'Job Info.'!X:Z,3,FALSE),""))</f>
        <v/>
      </c>
      <c r="J4" s="1860"/>
      <c r="K4" s="1861"/>
      <c r="L4" s="375"/>
      <c r="M4" s="375" t="s">
        <v>97</v>
      </c>
      <c r="N4" s="463" t="str">
        <f ca="1">'Job Info.'!D15</f>
        <v>775-867-2060</v>
      </c>
      <c r="O4" s="1008"/>
      <c r="P4" s="1008"/>
      <c r="BE4" s="1041" t="s">
        <v>1543</v>
      </c>
    </row>
    <row r="5" spans="1:83" ht="12.95" customHeight="1" thickTop="1" x14ac:dyDescent="0.2">
      <c r="A5" s="1862" t="str">
        <f ca="1">'Job Info.'!D11</f>
        <v>8200 Woolery Way | Fallon, NV 89406 | www.newmill.com</v>
      </c>
      <c r="B5" s="1872"/>
      <c r="C5" s="1872"/>
      <c r="D5" s="1872"/>
      <c r="E5" s="1872"/>
      <c r="F5" s="1872"/>
      <c r="G5" s="1872"/>
      <c r="H5" s="1872"/>
      <c r="I5" s="1872"/>
      <c r="J5" s="1872"/>
      <c r="K5" s="374"/>
      <c r="L5" s="374"/>
      <c r="M5" s="374"/>
      <c r="N5" s="374"/>
      <c r="O5" s="1008"/>
      <c r="P5" s="1008"/>
      <c r="BE5" s="1041" t="s">
        <v>1557</v>
      </c>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c r="BE6" s="1041" t="s">
        <v>1545</v>
      </c>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4 of 19</v>
      </c>
      <c r="O7" s="1008"/>
      <c r="P7" s="238">
        <v>4</v>
      </c>
      <c r="V7" s="630"/>
      <c r="BE7" s="1041" t="s">
        <v>1551</v>
      </c>
    </row>
    <row r="8" spans="1:83" ht="3.95" customHeight="1" x14ac:dyDescent="0.2">
      <c r="A8" s="374"/>
      <c r="B8" s="374"/>
      <c r="C8" s="374"/>
      <c r="D8" s="374"/>
      <c r="E8" s="374"/>
      <c r="F8" s="374"/>
      <c r="G8" s="374"/>
      <c r="H8" s="374"/>
      <c r="I8" s="374"/>
      <c r="J8" s="374"/>
      <c r="K8" s="374"/>
      <c r="L8" s="374"/>
      <c r="M8" s="374"/>
      <c r="N8" s="374"/>
      <c r="O8" s="1008"/>
      <c r="P8" s="1008"/>
      <c r="BE8" s="1041" t="s">
        <v>1559</v>
      </c>
    </row>
    <row r="9" spans="1:83" ht="12.6" customHeight="1" x14ac:dyDescent="0.2">
      <c r="A9" s="471" t="s">
        <v>1</v>
      </c>
      <c r="B9" s="1824" t="str">
        <f>IF(ISBLANK('Job Info.'!D3),"",'Job Info.'!D3)</f>
        <v>MINDEN UPS BLDG 1</v>
      </c>
      <c r="C9" s="1824"/>
      <c r="D9" s="1824"/>
      <c r="E9" s="1824"/>
      <c r="F9" s="1824"/>
      <c r="G9" s="1824"/>
      <c r="H9" s="1825"/>
      <c r="I9" s="469"/>
      <c r="J9" s="458" t="s">
        <v>2</v>
      </c>
      <c r="K9" s="1824" t="str">
        <f>IF(ISBLANK('Job Info.'!D5),"",'Job Info.'!D5)</f>
        <v>NN22-0071</v>
      </c>
      <c r="L9" s="1874"/>
      <c r="M9" s="1874"/>
      <c r="N9" s="1875"/>
      <c r="O9" s="1056"/>
      <c r="P9" s="1056"/>
      <c r="V9" s="631"/>
      <c r="BE9" s="1041" t="s">
        <v>1538</v>
      </c>
    </row>
    <row r="10" spans="1:83" ht="12.6" customHeight="1" x14ac:dyDescent="0.2">
      <c r="A10" s="471" t="s">
        <v>3</v>
      </c>
      <c r="B10" s="1824" t="str">
        <f>IF(ISBLANK('Job Info.'!D4),"",'Job Info.'!D4)</f>
        <v>MINDEN, NV</v>
      </c>
      <c r="C10" s="1824"/>
      <c r="D10" s="1824"/>
      <c r="E10" s="1824"/>
      <c r="F10" s="1824"/>
      <c r="G10" s="1824"/>
      <c r="H10" s="1825"/>
      <c r="I10" s="1873" t="s">
        <v>22</v>
      </c>
      <c r="J10" s="1873"/>
      <c r="K10" s="1824" t="str">
        <f>IF(ISBLANK('Job Info.'!D6),"",'Job Info.'!D6)</f>
        <v>JMM</v>
      </c>
      <c r="L10" s="1825"/>
      <c r="M10" s="471" t="s">
        <v>23</v>
      </c>
      <c r="N10" s="661" t="str">
        <f>IF(ISBLANK('Job Info.'!D7),"",'Job Info.'!D7)</f>
        <v>NR</v>
      </c>
      <c r="O10" s="1056"/>
      <c r="P10" s="1056"/>
      <c r="W10" s="632"/>
      <c r="BE10" s="1041" t="s">
        <v>1553</v>
      </c>
    </row>
    <row r="11" spans="1:83" ht="3.95" customHeight="1" x14ac:dyDescent="0.2">
      <c r="A11" s="1086"/>
      <c r="B11" s="374"/>
      <c r="C11" s="374"/>
      <c r="D11" s="374"/>
      <c r="E11" s="374"/>
      <c r="F11" s="374"/>
      <c r="G11" s="374"/>
      <c r="H11" s="374"/>
      <c r="I11" s="374"/>
      <c r="J11" s="374"/>
      <c r="K11" s="374"/>
      <c r="L11" s="374"/>
      <c r="M11" s="374"/>
      <c r="N11" s="374"/>
      <c r="O11" s="1008"/>
      <c r="P11" s="1008"/>
      <c r="BE11" s="1041" t="s">
        <v>1519</v>
      </c>
    </row>
    <row r="12" spans="1:83" s="478" customFormat="1" ht="14.1" customHeight="1" x14ac:dyDescent="0.2">
      <c r="A12" s="1864" t="s">
        <v>77</v>
      </c>
      <c r="B12" s="1865"/>
      <c r="C12" s="1865"/>
      <c r="D12" s="1865"/>
      <c r="E12" s="1866"/>
      <c r="F12" s="1864" t="s">
        <v>49</v>
      </c>
      <c r="G12" s="1865"/>
      <c r="H12" s="1871"/>
      <c r="I12" s="1864" t="s">
        <v>50</v>
      </c>
      <c r="J12" s="1865"/>
      <c r="K12" s="1871"/>
      <c r="L12" s="1867" t="s">
        <v>51</v>
      </c>
      <c r="M12" s="1880" t="s">
        <v>741</v>
      </c>
      <c r="N12" s="1867" t="s">
        <v>52</v>
      </c>
      <c r="O12" s="1085"/>
      <c r="P12" s="1085"/>
      <c r="AO12" s="548" t="s">
        <v>973</v>
      </c>
      <c r="AP12" s="944" t="s">
        <v>170</v>
      </c>
      <c r="AQ12" s="1876" t="s">
        <v>1208</v>
      </c>
      <c r="AR12" s="1877"/>
      <c r="AS12" s="1877"/>
      <c r="AT12" s="1877"/>
      <c r="AU12" s="1877"/>
      <c r="AV12" s="1877"/>
      <c r="AW12" s="1877"/>
      <c r="AX12" s="1877"/>
      <c r="AY12" s="1877"/>
      <c r="AZ12" s="1878"/>
      <c r="BA12" s="1878"/>
      <c r="BB12" s="1878"/>
      <c r="BC12" s="1879"/>
      <c r="BE12" s="1530" t="s">
        <v>1554</v>
      </c>
    </row>
    <row r="13" spans="1:83" s="478" customFormat="1" ht="14.1" customHeight="1" x14ac:dyDescent="0.2">
      <c r="A13" s="1049" t="s">
        <v>46</v>
      </c>
      <c r="B13" s="1050" t="s">
        <v>17</v>
      </c>
      <c r="C13" s="1050" t="s">
        <v>45</v>
      </c>
      <c r="D13" s="1050" t="s">
        <v>78</v>
      </c>
      <c r="E13" s="1326" t="s">
        <v>44</v>
      </c>
      <c r="F13" s="1049" t="s">
        <v>47</v>
      </c>
      <c r="G13" s="1869" t="s">
        <v>48</v>
      </c>
      <c r="H13" s="1870"/>
      <c r="I13" s="1049" t="s">
        <v>47</v>
      </c>
      <c r="J13" s="1869" t="s">
        <v>48</v>
      </c>
      <c r="K13" s="1870"/>
      <c r="L13" s="1868"/>
      <c r="M13" s="1881"/>
      <c r="N13" s="1882"/>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t="s">
        <v>1394</v>
      </c>
    </row>
    <row r="14" spans="1:83" ht="14.1" customHeight="1" x14ac:dyDescent="0.2">
      <c r="A14" s="1503" t="s">
        <v>1545</v>
      </c>
      <c r="B14" s="1504" t="s">
        <v>154</v>
      </c>
      <c r="C14" s="1504" t="s">
        <v>165</v>
      </c>
      <c r="D14" s="1504" t="s">
        <v>145</v>
      </c>
      <c r="E14" s="1687"/>
      <c r="F14" s="1505">
        <v>2000</v>
      </c>
      <c r="G14" s="1506"/>
      <c r="H14" s="1507"/>
      <c r="I14" s="1505"/>
      <c r="J14" s="1506"/>
      <c r="K14" s="1507"/>
      <c r="L14" s="1508" t="s">
        <v>116</v>
      </c>
      <c r="M14" s="1509" t="s">
        <v>116</v>
      </c>
      <c r="N14" s="1688" t="s">
        <v>1546</v>
      </c>
      <c r="O14" s="1814"/>
      <c r="P14" s="415" t="b">
        <f t="shared" ref="P14:P16" si="0">IF(ISERROR(VLOOKUP(AO14,BE:BE,1,FALSE)),FALSE,IF(AO14&lt;&gt;"",VLOOKUP(AO14,BE:BE,1,FALSE)=AO14))</f>
        <v>1</v>
      </c>
      <c r="R14" s="245" t="b">
        <f>OR(B14="CP",B14="CA", B14="AX",B14="M",B14="S")</f>
        <v>1</v>
      </c>
      <c r="AO14" s="238" t="str">
        <f>IF(ISBLANK(A14),"",SUBSTITUTE(A14,"*",""))</f>
        <v>28</v>
      </c>
      <c r="AP14" s="945" t="b">
        <v>0</v>
      </c>
      <c r="AQ14" s="1322" t="s">
        <v>154</v>
      </c>
      <c r="AR14" s="1323" t="s">
        <v>165</v>
      </c>
      <c r="AS14" s="1323" t="s">
        <v>145</v>
      </c>
      <c r="AT14" s="1323"/>
      <c r="AU14" s="1323">
        <v>2000</v>
      </c>
      <c r="AV14" s="1323"/>
      <c r="AW14" s="1323"/>
      <c r="AX14" s="1323"/>
      <c r="AY14" s="1323"/>
      <c r="AZ14" s="1323"/>
      <c r="BA14" s="1532" t="s">
        <v>116</v>
      </c>
      <c r="BB14" s="1532" t="s">
        <v>116</v>
      </c>
      <c r="BC14" s="1533" t="s">
        <v>1546</v>
      </c>
      <c r="BD14" s="245">
        <v>1</v>
      </c>
      <c r="BE14" s="1041" t="s">
        <v>1520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1547</v>
      </c>
      <c r="B15" s="1511" t="s">
        <v>154</v>
      </c>
      <c r="C15" s="1511" t="s">
        <v>167</v>
      </c>
      <c r="D15" s="1511" t="s">
        <v>145</v>
      </c>
      <c r="E15" s="1512"/>
      <c r="F15" s="1513">
        <v>5400</v>
      </c>
      <c r="G15" s="1514"/>
      <c r="H15" s="1515"/>
      <c r="I15" s="1513"/>
      <c r="J15" s="1514"/>
      <c r="K15" s="1515"/>
      <c r="L15" s="1516" t="s">
        <v>116</v>
      </c>
      <c r="M15" s="1517" t="s">
        <v>1397</v>
      </c>
      <c r="N15" s="1689" t="s">
        <v>1548</v>
      </c>
      <c r="O15" s="1814"/>
      <c r="P15" s="415" t="b">
        <f t="shared" si="0"/>
        <v>1</v>
      </c>
      <c r="R15" s="245" t="b">
        <f t="shared" ref="R15:R55" si="1">OR(B15="CP",B15="CA", B15="AX",B15="M",B15="S")</f>
        <v>1</v>
      </c>
      <c r="AO15" s="238" t="str">
        <f t="shared" ref="AO15:AO55" si="2">IF(ISBLANK(A15),AO14,SUBSTITUTE(A15,"*",""))</f>
        <v>29</v>
      </c>
      <c r="AP15" s="945" t="b">
        <v>0</v>
      </c>
      <c r="AQ15" s="1322" t="s">
        <v>154</v>
      </c>
      <c r="AR15" s="1323" t="s">
        <v>167</v>
      </c>
      <c r="AS15" s="1323" t="s">
        <v>145</v>
      </c>
      <c r="AT15" s="1323"/>
      <c r="AU15" s="1323">
        <v>5400</v>
      </c>
      <c r="AV15" s="1323"/>
      <c r="AW15" s="1323"/>
      <c r="AX15" s="1323"/>
      <c r="AY15" s="1323"/>
      <c r="AZ15" s="1323"/>
      <c r="BA15" s="1532" t="s">
        <v>116</v>
      </c>
      <c r="BB15" s="1532" t="s">
        <v>116</v>
      </c>
      <c r="BC15" s="1533" t="s">
        <v>1548</v>
      </c>
      <c r="BD15" s="245">
        <v>4</v>
      </c>
      <c r="BE15" s="1041" t="s">
        <v>1521</v>
      </c>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154</v>
      </c>
      <c r="C16" s="1511" t="s">
        <v>167</v>
      </c>
      <c r="D16" s="1511" t="s">
        <v>145</v>
      </c>
      <c r="E16" s="1512"/>
      <c r="F16" s="1513">
        <v>-5400</v>
      </c>
      <c r="G16" s="1514"/>
      <c r="H16" s="1515"/>
      <c r="I16" s="1513"/>
      <c r="J16" s="1514"/>
      <c r="K16" s="1515"/>
      <c r="L16" s="1516" t="s">
        <v>116</v>
      </c>
      <c r="M16" s="1517" t="s">
        <v>808</v>
      </c>
      <c r="N16" s="1689" t="s">
        <v>116</v>
      </c>
      <c r="O16" s="1814"/>
      <c r="P16" s="415" t="b">
        <f t="shared" si="0"/>
        <v>1</v>
      </c>
      <c r="R16" s="245" t="b">
        <f t="shared" si="1"/>
        <v>1</v>
      </c>
      <c r="AO16" s="238" t="str">
        <f t="shared" si="2"/>
        <v>29</v>
      </c>
      <c r="AP16" s="945" t="b">
        <v>0</v>
      </c>
      <c r="AQ16" s="1322" t="s">
        <v>154</v>
      </c>
      <c r="AR16" s="1323" t="s">
        <v>167</v>
      </c>
      <c r="AS16" s="1323" t="s">
        <v>145</v>
      </c>
      <c r="AT16" s="1323"/>
      <c r="AU16" s="1323">
        <v>-5400</v>
      </c>
      <c r="AV16" s="1323"/>
      <c r="AW16" s="1323"/>
      <c r="AX16" s="1323"/>
      <c r="AY16" s="1323"/>
      <c r="AZ16" s="1323"/>
      <c r="BA16" s="1532" t="s">
        <v>116</v>
      </c>
      <c r="BB16" s="1532" t="s">
        <v>808</v>
      </c>
      <c r="BC16" s="1533" t="s">
        <v>116</v>
      </c>
      <c r="BE16" s="1041" t="s">
        <v>1555</v>
      </c>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151</v>
      </c>
      <c r="C17" s="1511" t="s">
        <v>167</v>
      </c>
      <c r="D17" s="1511" t="s">
        <v>145</v>
      </c>
      <c r="E17" s="1512"/>
      <c r="F17" s="1513">
        <v>210</v>
      </c>
      <c r="G17" s="1514"/>
      <c r="H17" s="1515"/>
      <c r="I17" s="1513"/>
      <c r="J17" s="1514"/>
      <c r="K17" s="1515"/>
      <c r="L17" s="1516" t="s">
        <v>116</v>
      </c>
      <c r="M17" s="1517" t="s">
        <v>1397</v>
      </c>
      <c r="N17" s="1689" t="s">
        <v>116</v>
      </c>
      <c r="O17" s="1814"/>
      <c r="P17" s="415" t="b">
        <f>IF(ISERROR(VLOOKUP(AO17,BE:BE,1,FALSE)),FALSE,IF(AO17&lt;&gt;"",VLOOKUP(AO17,BE:BE,1,FALSE)=AO17))</f>
        <v>1</v>
      </c>
      <c r="R17" s="245" t="b">
        <f t="shared" si="1"/>
        <v>0</v>
      </c>
      <c r="AO17" s="238" t="str">
        <f t="shared" si="2"/>
        <v>29</v>
      </c>
      <c r="AP17" s="945" t="b">
        <v>0</v>
      </c>
      <c r="AQ17" s="1322" t="s">
        <v>151</v>
      </c>
      <c r="AR17" s="1323" t="s">
        <v>167</v>
      </c>
      <c r="AS17" s="1323" t="s">
        <v>145</v>
      </c>
      <c r="AT17" s="1323"/>
      <c r="AU17" s="1323">
        <v>210</v>
      </c>
      <c r="AV17" s="1323"/>
      <c r="AW17" s="1323"/>
      <c r="AX17" s="1323"/>
      <c r="AY17" s="1323"/>
      <c r="AZ17" s="1323"/>
      <c r="BA17" s="1532" t="s">
        <v>116</v>
      </c>
      <c r="BB17" s="1532" t="s">
        <v>116</v>
      </c>
      <c r="BC17" s="1533" t="s">
        <v>116</v>
      </c>
      <c r="BE17" s="1041" t="s">
        <v>943</v>
      </c>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151</v>
      </c>
      <c r="C18" s="1511" t="s">
        <v>167</v>
      </c>
      <c r="D18" s="1511" t="s">
        <v>145</v>
      </c>
      <c r="E18" s="1512"/>
      <c r="F18" s="1513">
        <v>-210</v>
      </c>
      <c r="G18" s="1514"/>
      <c r="H18" s="1515"/>
      <c r="I18" s="1513"/>
      <c r="J18" s="1514"/>
      <c r="K18" s="1515"/>
      <c r="L18" s="1516" t="s">
        <v>116</v>
      </c>
      <c r="M18" s="1517" t="s">
        <v>808</v>
      </c>
      <c r="N18" s="1689" t="s">
        <v>116</v>
      </c>
      <c r="O18" s="1814"/>
      <c r="P18" s="415" t="b">
        <f t="shared" ref="P18:P55" si="3">IF(ISERROR(VLOOKUP(AO18,BE:BE,1,FALSE)),FALSE,IF(AO18&lt;&gt;"",VLOOKUP(AO18,BE:BE,1,FALSE)=AO18))</f>
        <v>1</v>
      </c>
      <c r="R18" s="245" t="b">
        <f t="shared" si="1"/>
        <v>0</v>
      </c>
      <c r="AO18" s="238" t="str">
        <f t="shared" si="2"/>
        <v>29</v>
      </c>
      <c r="AP18" s="945" t="b">
        <v>0</v>
      </c>
      <c r="AQ18" s="1322" t="s">
        <v>151</v>
      </c>
      <c r="AR18" s="1323" t="s">
        <v>167</v>
      </c>
      <c r="AS18" s="1323" t="s">
        <v>145</v>
      </c>
      <c r="AT18" s="1323"/>
      <c r="AU18" s="1323">
        <v>-210</v>
      </c>
      <c r="AV18" s="1323"/>
      <c r="AW18" s="1323"/>
      <c r="AX18" s="1323"/>
      <c r="AY18" s="1323"/>
      <c r="AZ18" s="1323"/>
      <c r="BA18" s="1532" t="s">
        <v>116</v>
      </c>
      <c r="BB18" s="1532" t="s">
        <v>808</v>
      </c>
      <c r="BC18" s="1533" t="s">
        <v>116</v>
      </c>
      <c r="BE18" s="1041" t="s">
        <v>944</v>
      </c>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t="s">
        <v>1549</v>
      </c>
      <c r="B19" s="1511" t="s">
        <v>154</v>
      </c>
      <c r="C19" s="1511" t="s">
        <v>167</v>
      </c>
      <c r="D19" s="1511" t="s">
        <v>145</v>
      </c>
      <c r="E19" s="1512"/>
      <c r="F19" s="1513">
        <v>14500</v>
      </c>
      <c r="G19" s="1514"/>
      <c r="H19" s="1515"/>
      <c r="I19" s="1513"/>
      <c r="J19" s="1514"/>
      <c r="K19" s="1515"/>
      <c r="L19" s="1516" t="s">
        <v>116</v>
      </c>
      <c r="M19" s="1517" t="s">
        <v>1397</v>
      </c>
      <c r="N19" s="1689" t="s">
        <v>1548</v>
      </c>
      <c r="O19" s="1814"/>
      <c r="P19" s="415" t="b">
        <f t="shared" si="3"/>
        <v>1</v>
      </c>
      <c r="R19" s="245" t="b">
        <f t="shared" si="1"/>
        <v>1</v>
      </c>
      <c r="AO19" s="238" t="str">
        <f t="shared" si="2"/>
        <v>30</v>
      </c>
      <c r="AP19" s="945" t="b">
        <v>0</v>
      </c>
      <c r="AQ19" s="1322" t="s">
        <v>154</v>
      </c>
      <c r="AR19" s="1323" t="s">
        <v>167</v>
      </c>
      <c r="AS19" s="1323" t="s">
        <v>145</v>
      </c>
      <c r="AT19" s="1323"/>
      <c r="AU19" s="1323">
        <v>14500</v>
      </c>
      <c r="AV19" s="1323"/>
      <c r="AW19" s="1323"/>
      <c r="AX19" s="1323"/>
      <c r="AY19" s="1323"/>
      <c r="AZ19" s="1323"/>
      <c r="BA19" s="1532" t="s">
        <v>116</v>
      </c>
      <c r="BB19" s="1532" t="s">
        <v>116</v>
      </c>
      <c r="BC19" s="1533" t="s">
        <v>1548</v>
      </c>
      <c r="BD19" s="245">
        <v>4</v>
      </c>
      <c r="BE19" s="1041" t="s">
        <v>1539</v>
      </c>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154</v>
      </c>
      <c r="C20" s="1511" t="s">
        <v>167</v>
      </c>
      <c r="D20" s="1511" t="s">
        <v>145</v>
      </c>
      <c r="E20" s="1512"/>
      <c r="F20" s="1513">
        <v>-14500</v>
      </c>
      <c r="G20" s="1514"/>
      <c r="H20" s="1515"/>
      <c r="I20" s="1513"/>
      <c r="J20" s="1514"/>
      <c r="K20" s="1515"/>
      <c r="L20" s="1516" t="s">
        <v>116</v>
      </c>
      <c r="M20" s="1517" t="s">
        <v>808</v>
      </c>
      <c r="N20" s="1518" t="s">
        <v>116</v>
      </c>
      <c r="O20" s="1815"/>
      <c r="P20" s="415" t="b">
        <f t="shared" si="3"/>
        <v>1</v>
      </c>
      <c r="R20" s="245" t="b">
        <f t="shared" si="1"/>
        <v>1</v>
      </c>
      <c r="AO20" s="238" t="str">
        <f t="shared" si="2"/>
        <v>30</v>
      </c>
      <c r="AP20" s="945" t="b">
        <v>0</v>
      </c>
      <c r="AQ20" s="1322" t="s">
        <v>154</v>
      </c>
      <c r="AR20" s="1323" t="s">
        <v>167</v>
      </c>
      <c r="AS20" s="1323" t="s">
        <v>145</v>
      </c>
      <c r="AT20" s="1323"/>
      <c r="AU20" s="1323">
        <v>-14500</v>
      </c>
      <c r="AV20" s="1323"/>
      <c r="AW20" s="1323"/>
      <c r="AX20" s="1323"/>
      <c r="AY20" s="1323"/>
      <c r="AZ20" s="1323"/>
      <c r="BA20" s="1532" t="s">
        <v>116</v>
      </c>
      <c r="BB20" s="1532" t="s">
        <v>808</v>
      </c>
      <c r="BC20" s="1533" t="s">
        <v>116</v>
      </c>
      <c r="BE20" s="1041" t="s">
        <v>1523</v>
      </c>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151</v>
      </c>
      <c r="C21" s="1511" t="s">
        <v>167</v>
      </c>
      <c r="D21" s="1511" t="s">
        <v>145</v>
      </c>
      <c r="E21" s="1512"/>
      <c r="F21" s="1513">
        <v>563</v>
      </c>
      <c r="G21" s="1514"/>
      <c r="H21" s="1515"/>
      <c r="I21" s="1513"/>
      <c r="J21" s="1514"/>
      <c r="K21" s="1515"/>
      <c r="L21" s="1516" t="s">
        <v>116</v>
      </c>
      <c r="M21" s="1517" t="s">
        <v>1397</v>
      </c>
      <c r="N21" s="1518" t="s">
        <v>116</v>
      </c>
      <c r="O21" s="1815"/>
      <c r="P21" s="415" t="b">
        <f t="shared" si="3"/>
        <v>1</v>
      </c>
      <c r="R21" s="245" t="b">
        <f t="shared" si="1"/>
        <v>0</v>
      </c>
      <c r="AO21" s="238" t="str">
        <f t="shared" si="2"/>
        <v>30</v>
      </c>
      <c r="AP21" s="945" t="b">
        <v>0</v>
      </c>
      <c r="AQ21" s="1322" t="s">
        <v>151</v>
      </c>
      <c r="AR21" s="1323" t="s">
        <v>167</v>
      </c>
      <c r="AS21" s="1323" t="s">
        <v>145</v>
      </c>
      <c r="AT21" s="1323"/>
      <c r="AU21" s="1323">
        <v>563</v>
      </c>
      <c r="AV21" s="1323"/>
      <c r="AW21" s="1323"/>
      <c r="AX21" s="1323"/>
      <c r="AY21" s="1323"/>
      <c r="AZ21" s="1323"/>
      <c r="BA21" s="1532" t="s">
        <v>116</v>
      </c>
      <c r="BB21" s="1532" t="s">
        <v>116</v>
      </c>
      <c r="BC21" s="1533" t="s">
        <v>116</v>
      </c>
      <c r="BE21" s="1041" t="s">
        <v>808</v>
      </c>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151</v>
      </c>
      <c r="C22" s="1511" t="s">
        <v>167</v>
      </c>
      <c r="D22" s="1511" t="s">
        <v>145</v>
      </c>
      <c r="E22" s="1512"/>
      <c r="F22" s="1513">
        <v>-563</v>
      </c>
      <c r="G22" s="1514"/>
      <c r="H22" s="1515"/>
      <c r="I22" s="1513"/>
      <c r="J22" s="1514"/>
      <c r="K22" s="1515"/>
      <c r="L22" s="1516" t="s">
        <v>116</v>
      </c>
      <c r="M22" s="1517" t="s">
        <v>808</v>
      </c>
      <c r="N22" s="1518" t="s">
        <v>116</v>
      </c>
      <c r="O22" s="1815"/>
      <c r="P22" s="415" t="b">
        <f t="shared" si="3"/>
        <v>1</v>
      </c>
      <c r="R22" s="245" t="b">
        <f t="shared" si="1"/>
        <v>0</v>
      </c>
      <c r="AO22" s="238" t="str">
        <f t="shared" si="2"/>
        <v>30</v>
      </c>
      <c r="AP22" s="945" t="b">
        <v>0</v>
      </c>
      <c r="AQ22" s="1322" t="s">
        <v>151</v>
      </c>
      <c r="AR22" s="1323" t="s">
        <v>167</v>
      </c>
      <c r="AS22" s="1323" t="s">
        <v>145</v>
      </c>
      <c r="AT22" s="1323"/>
      <c r="AU22" s="1323">
        <v>-563</v>
      </c>
      <c r="AV22" s="1323"/>
      <c r="AW22" s="1323"/>
      <c r="AX22" s="1323"/>
      <c r="AY22" s="1323"/>
      <c r="AZ22" s="1323"/>
      <c r="BA22" s="1532" t="s">
        <v>116</v>
      </c>
      <c r="BB22" s="1532" t="s">
        <v>808</v>
      </c>
      <c r="BC22" s="1533" t="s">
        <v>116</v>
      </c>
      <c r="BE22" s="1041" t="s">
        <v>1524</v>
      </c>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t="s">
        <v>1550</v>
      </c>
      <c r="B23" s="1511" t="s">
        <v>154</v>
      </c>
      <c r="C23" s="1511" t="s">
        <v>167</v>
      </c>
      <c r="D23" s="1511" t="s">
        <v>145</v>
      </c>
      <c r="E23" s="1512"/>
      <c r="F23" s="1513">
        <v>10400</v>
      </c>
      <c r="G23" s="1514"/>
      <c r="H23" s="1515"/>
      <c r="I23" s="1513"/>
      <c r="J23" s="1514"/>
      <c r="K23" s="1515"/>
      <c r="L23" s="1516" t="s">
        <v>116</v>
      </c>
      <c r="M23" s="1517" t="s">
        <v>1397</v>
      </c>
      <c r="N23" s="1518" t="s">
        <v>1548</v>
      </c>
      <c r="O23" s="1815"/>
      <c r="P23" s="415" t="b">
        <f t="shared" si="3"/>
        <v>1</v>
      </c>
      <c r="R23" s="245" t="b">
        <f t="shared" si="1"/>
        <v>1</v>
      </c>
      <c r="AO23" s="238" t="str">
        <f t="shared" si="2"/>
        <v>31</v>
      </c>
      <c r="AP23" s="945" t="b">
        <v>0</v>
      </c>
      <c r="AQ23" s="1322" t="s">
        <v>154</v>
      </c>
      <c r="AR23" s="1323" t="s">
        <v>167</v>
      </c>
      <c r="AS23" s="1323" t="s">
        <v>145</v>
      </c>
      <c r="AT23" s="1323"/>
      <c r="AU23" s="1323">
        <v>10400</v>
      </c>
      <c r="AV23" s="1323"/>
      <c r="AW23" s="1323"/>
      <c r="AX23" s="1323"/>
      <c r="AY23" s="1323"/>
      <c r="AZ23" s="1323"/>
      <c r="BA23" s="1532" t="s">
        <v>116</v>
      </c>
      <c r="BB23" s="1532" t="s">
        <v>116</v>
      </c>
      <c r="BC23" s="1533" t="s">
        <v>1548</v>
      </c>
      <c r="BD23" s="245">
        <v>4</v>
      </c>
      <c r="BE23" s="1041" t="s">
        <v>1541</v>
      </c>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154</v>
      </c>
      <c r="C24" s="1511" t="s">
        <v>167</v>
      </c>
      <c r="D24" s="1511" t="s">
        <v>145</v>
      </c>
      <c r="E24" s="1512"/>
      <c r="F24" s="1513">
        <v>-10400</v>
      </c>
      <c r="G24" s="1514"/>
      <c r="H24" s="1515"/>
      <c r="I24" s="1513"/>
      <c r="J24" s="1514"/>
      <c r="K24" s="1515"/>
      <c r="L24" s="1516" t="s">
        <v>116</v>
      </c>
      <c r="M24" s="1517" t="s">
        <v>808</v>
      </c>
      <c r="N24" s="1518" t="s">
        <v>116</v>
      </c>
      <c r="O24" s="1815"/>
      <c r="P24" s="415" t="b">
        <f t="shared" si="3"/>
        <v>1</v>
      </c>
      <c r="R24" s="245" t="b">
        <f t="shared" si="1"/>
        <v>1</v>
      </c>
      <c r="AO24" s="238" t="str">
        <f t="shared" si="2"/>
        <v>31</v>
      </c>
      <c r="AP24" s="945" t="b">
        <v>0</v>
      </c>
      <c r="AQ24" s="1322" t="s">
        <v>154</v>
      </c>
      <c r="AR24" s="1323" t="s">
        <v>167</v>
      </c>
      <c r="AS24" s="1323" t="s">
        <v>145</v>
      </c>
      <c r="AT24" s="1323"/>
      <c r="AU24" s="1323">
        <v>-10400</v>
      </c>
      <c r="AV24" s="1323"/>
      <c r="AW24" s="1323"/>
      <c r="AX24" s="1323"/>
      <c r="AY24" s="1323"/>
      <c r="AZ24" s="1323"/>
      <c r="BA24" s="1532" t="s">
        <v>116</v>
      </c>
      <c r="BB24" s="1532" t="s">
        <v>808</v>
      </c>
      <c r="BC24" s="1533" t="s">
        <v>116</v>
      </c>
      <c r="BE24" s="1041" t="s">
        <v>1525</v>
      </c>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151</v>
      </c>
      <c r="C25" s="1511" t="s">
        <v>167</v>
      </c>
      <c r="D25" s="1511" t="s">
        <v>145</v>
      </c>
      <c r="E25" s="1512"/>
      <c r="F25" s="1513">
        <v>285</v>
      </c>
      <c r="G25" s="1514"/>
      <c r="H25" s="1515"/>
      <c r="I25" s="1513"/>
      <c r="J25" s="1514"/>
      <c r="K25" s="1515"/>
      <c r="L25" s="1516" t="s">
        <v>116</v>
      </c>
      <c r="M25" s="1517" t="s">
        <v>1397</v>
      </c>
      <c r="N25" s="1518" t="s">
        <v>116</v>
      </c>
      <c r="O25" s="1815"/>
      <c r="P25" s="415" t="b">
        <f t="shared" si="3"/>
        <v>1</v>
      </c>
      <c r="R25" s="245" t="b">
        <f t="shared" si="1"/>
        <v>0</v>
      </c>
      <c r="AO25" s="238" t="str">
        <f t="shared" si="2"/>
        <v>31</v>
      </c>
      <c r="AP25" s="945" t="b">
        <v>0</v>
      </c>
      <c r="AQ25" s="1322" t="s">
        <v>151</v>
      </c>
      <c r="AR25" s="1323" t="s">
        <v>167</v>
      </c>
      <c r="AS25" s="1323" t="s">
        <v>145</v>
      </c>
      <c r="AT25" s="1323"/>
      <c r="AU25" s="1323">
        <v>285</v>
      </c>
      <c r="AV25" s="1323"/>
      <c r="AW25" s="1323"/>
      <c r="AX25" s="1323"/>
      <c r="AY25" s="1323"/>
      <c r="AZ25" s="1323"/>
      <c r="BA25" s="1532" t="s">
        <v>116</v>
      </c>
      <c r="BB25" s="1532" t="s">
        <v>116</v>
      </c>
      <c r="BC25" s="1533" t="s">
        <v>116</v>
      </c>
      <c r="BE25" s="1041" t="s">
        <v>1534</v>
      </c>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167</v>
      </c>
      <c r="D26" s="1511" t="s">
        <v>145</v>
      </c>
      <c r="E26" s="1512"/>
      <c r="F26" s="1513">
        <v>-285</v>
      </c>
      <c r="G26" s="1514"/>
      <c r="H26" s="1515"/>
      <c r="I26" s="1513"/>
      <c r="J26" s="1514"/>
      <c r="K26" s="1515"/>
      <c r="L26" s="1516" t="s">
        <v>116</v>
      </c>
      <c r="M26" s="1517" t="s">
        <v>808</v>
      </c>
      <c r="N26" s="1518" t="s">
        <v>116</v>
      </c>
      <c r="O26" s="1815"/>
      <c r="P26" s="415" t="b">
        <f t="shared" si="3"/>
        <v>1</v>
      </c>
      <c r="R26" s="245" t="b">
        <f t="shared" si="1"/>
        <v>0</v>
      </c>
      <c r="AO26" s="238" t="str">
        <f t="shared" si="2"/>
        <v>31</v>
      </c>
      <c r="AP26" s="945" t="b">
        <v>0</v>
      </c>
      <c r="AQ26" s="1322" t="s">
        <v>151</v>
      </c>
      <c r="AR26" s="1323" t="s">
        <v>167</v>
      </c>
      <c r="AS26" s="1323" t="s">
        <v>145</v>
      </c>
      <c r="AT26" s="1323"/>
      <c r="AU26" s="1323">
        <v>-285</v>
      </c>
      <c r="AV26" s="1323"/>
      <c r="AW26" s="1323"/>
      <c r="AX26" s="1323"/>
      <c r="AY26" s="1323"/>
      <c r="AZ26" s="1323"/>
      <c r="BA26" s="1532" t="s">
        <v>116</v>
      </c>
      <c r="BB26" s="1532" t="s">
        <v>808</v>
      </c>
      <c r="BC26" s="1533" t="s">
        <v>116</v>
      </c>
      <c r="BE26" s="1041" t="s">
        <v>1560</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t="s">
        <v>1551</v>
      </c>
      <c r="B27" s="1511" t="s">
        <v>148</v>
      </c>
      <c r="C27" s="1511" t="s">
        <v>167</v>
      </c>
      <c r="D27" s="1511" t="s">
        <v>145</v>
      </c>
      <c r="E27" s="1512"/>
      <c r="F27" s="1513">
        <v>10800</v>
      </c>
      <c r="G27" s="1514">
        <v>6</v>
      </c>
      <c r="H27" s="1515">
        <v>2.375</v>
      </c>
      <c r="I27" s="1513"/>
      <c r="J27" s="1514"/>
      <c r="K27" s="1515"/>
      <c r="L27" s="1516" t="s">
        <v>702</v>
      </c>
      <c r="M27" s="1517" t="s">
        <v>1397</v>
      </c>
      <c r="N27" s="1518" t="s">
        <v>1552</v>
      </c>
      <c r="O27" s="1815"/>
      <c r="P27" s="415" t="b">
        <f t="shared" si="3"/>
        <v>1</v>
      </c>
      <c r="R27" s="245" t="b">
        <f t="shared" si="1"/>
        <v>0</v>
      </c>
      <c r="AO27" s="238" t="str">
        <f t="shared" si="2"/>
        <v>32</v>
      </c>
      <c r="AP27" s="945" t="b">
        <v>0</v>
      </c>
      <c r="AQ27" s="1322" t="s">
        <v>148</v>
      </c>
      <c r="AR27" s="1323" t="s">
        <v>167</v>
      </c>
      <c r="AS27" s="1323" t="s">
        <v>145</v>
      </c>
      <c r="AT27" s="1323"/>
      <c r="AU27" s="1323">
        <v>10800</v>
      </c>
      <c r="AV27" s="1323">
        <v>6</v>
      </c>
      <c r="AW27" s="1323">
        <v>2.375</v>
      </c>
      <c r="AX27" s="1323"/>
      <c r="AY27" s="1323"/>
      <c r="AZ27" s="1323"/>
      <c r="BA27" s="1532" t="s">
        <v>702</v>
      </c>
      <c r="BB27" s="1532" t="s">
        <v>116</v>
      </c>
      <c r="BC27" s="1533" t="s">
        <v>1552</v>
      </c>
      <c r="BD27" s="245">
        <v>2</v>
      </c>
      <c r="BE27" s="1041" t="s">
        <v>1547</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148</v>
      </c>
      <c r="C28" s="1511" t="s">
        <v>167</v>
      </c>
      <c r="D28" s="1511" t="s">
        <v>145</v>
      </c>
      <c r="E28" s="1512"/>
      <c r="F28" s="1513">
        <v>-10800</v>
      </c>
      <c r="G28" s="1514">
        <v>6</v>
      </c>
      <c r="H28" s="1515">
        <v>2.375</v>
      </c>
      <c r="I28" s="1513"/>
      <c r="J28" s="1514"/>
      <c r="K28" s="1515"/>
      <c r="L28" s="1516" t="s">
        <v>702</v>
      </c>
      <c r="M28" s="1517" t="s">
        <v>808</v>
      </c>
      <c r="N28" s="1689" t="s">
        <v>116</v>
      </c>
      <c r="O28" s="1814"/>
      <c r="P28" s="415" t="b">
        <f t="shared" si="3"/>
        <v>1</v>
      </c>
      <c r="R28" s="245" t="b">
        <f t="shared" si="1"/>
        <v>0</v>
      </c>
      <c r="AO28" s="238" t="str">
        <f t="shared" si="2"/>
        <v>32</v>
      </c>
      <c r="AP28" s="945" t="b">
        <v>0</v>
      </c>
      <c r="AQ28" s="1322" t="s">
        <v>148</v>
      </c>
      <c r="AR28" s="1323" t="s">
        <v>167</v>
      </c>
      <c r="AS28" s="1323" t="s">
        <v>145</v>
      </c>
      <c r="AT28" s="1323"/>
      <c r="AU28" s="1323">
        <v>-10800</v>
      </c>
      <c r="AV28" s="1323">
        <v>6</v>
      </c>
      <c r="AW28" s="1323">
        <v>2.375</v>
      </c>
      <c r="AX28" s="1323"/>
      <c r="AY28" s="1323"/>
      <c r="AZ28" s="1323"/>
      <c r="BA28" s="1532" t="s">
        <v>702</v>
      </c>
      <c r="BB28" s="1532" t="s">
        <v>808</v>
      </c>
      <c r="BC28" s="1533" t="s">
        <v>116</v>
      </c>
      <c r="BE28" s="1041" t="s">
        <v>1526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t="s">
        <v>1553</v>
      </c>
      <c r="B29" s="1511" t="s">
        <v>148</v>
      </c>
      <c r="C29" s="1511" t="s">
        <v>167</v>
      </c>
      <c r="D29" s="1511" t="s">
        <v>145</v>
      </c>
      <c r="E29" s="1512"/>
      <c r="F29" s="1513">
        <v>19900</v>
      </c>
      <c r="G29" s="1514">
        <v>6</v>
      </c>
      <c r="H29" s="1515">
        <v>2.375</v>
      </c>
      <c r="I29" s="1513"/>
      <c r="J29" s="1514"/>
      <c r="K29" s="1515"/>
      <c r="L29" s="1516" t="s">
        <v>702</v>
      </c>
      <c r="M29" s="1517" t="s">
        <v>1397</v>
      </c>
      <c r="N29" s="1689" t="s">
        <v>1552</v>
      </c>
      <c r="O29" s="1814"/>
      <c r="P29" s="415" t="b">
        <f t="shared" si="3"/>
        <v>1</v>
      </c>
      <c r="R29" s="245" t="b">
        <f t="shared" si="1"/>
        <v>0</v>
      </c>
      <c r="AO29" s="238" t="str">
        <f t="shared" si="2"/>
        <v>33</v>
      </c>
      <c r="AP29" s="945" t="b">
        <v>0</v>
      </c>
      <c r="AQ29" s="1322" t="s">
        <v>148</v>
      </c>
      <c r="AR29" s="1323" t="s">
        <v>167</v>
      </c>
      <c r="AS29" s="1323" t="s">
        <v>145</v>
      </c>
      <c r="AT29" s="1323"/>
      <c r="AU29" s="1323">
        <v>19900</v>
      </c>
      <c r="AV29" s="1323">
        <v>6</v>
      </c>
      <c r="AW29" s="1323">
        <v>2.375</v>
      </c>
      <c r="AX29" s="1323"/>
      <c r="AY29" s="1323"/>
      <c r="AZ29" s="1323"/>
      <c r="BA29" s="1532" t="s">
        <v>702</v>
      </c>
      <c r="BB29" s="1532" t="s">
        <v>116</v>
      </c>
      <c r="BC29" s="1533" t="s">
        <v>1552</v>
      </c>
      <c r="BD29" s="245">
        <v>2</v>
      </c>
      <c r="BE29" s="1041" t="s">
        <v>1527</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167</v>
      </c>
      <c r="D30" s="1511" t="s">
        <v>145</v>
      </c>
      <c r="E30" s="1512"/>
      <c r="F30" s="1513">
        <v>-19900</v>
      </c>
      <c r="G30" s="1514">
        <v>6</v>
      </c>
      <c r="H30" s="1515">
        <v>2.375</v>
      </c>
      <c r="I30" s="1513"/>
      <c r="J30" s="1514"/>
      <c r="K30" s="1515"/>
      <c r="L30" s="1516" t="s">
        <v>702</v>
      </c>
      <c r="M30" s="1517" t="s">
        <v>808</v>
      </c>
      <c r="N30" s="1689" t="s">
        <v>116</v>
      </c>
      <c r="O30" s="1814"/>
      <c r="P30" s="415" t="b">
        <f t="shared" si="3"/>
        <v>1</v>
      </c>
      <c r="R30" s="245" t="b">
        <f t="shared" si="1"/>
        <v>0</v>
      </c>
      <c r="AO30" s="238" t="str">
        <f t="shared" si="2"/>
        <v>33</v>
      </c>
      <c r="AP30" s="945" t="b">
        <v>0</v>
      </c>
      <c r="AQ30" s="1322" t="s">
        <v>148</v>
      </c>
      <c r="AR30" s="1323" t="s">
        <v>167</v>
      </c>
      <c r="AS30" s="1323" t="s">
        <v>145</v>
      </c>
      <c r="AT30" s="1323"/>
      <c r="AU30" s="1323">
        <v>-19900</v>
      </c>
      <c r="AV30" s="1323">
        <v>6</v>
      </c>
      <c r="AW30" s="1323">
        <v>2.375</v>
      </c>
      <c r="AX30" s="1323"/>
      <c r="AY30" s="1323"/>
      <c r="AZ30" s="1323"/>
      <c r="BA30" s="1532" t="s">
        <v>702</v>
      </c>
      <c r="BB30" s="1532" t="s">
        <v>808</v>
      </c>
      <c r="BC30" s="1533" t="s">
        <v>116</v>
      </c>
      <c r="BE30" s="1041" t="s">
        <v>1528</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t="s">
        <v>1554</v>
      </c>
      <c r="B31" s="1511" t="s">
        <v>148</v>
      </c>
      <c r="C31" s="1511" t="s">
        <v>167</v>
      </c>
      <c r="D31" s="1511" t="s">
        <v>145</v>
      </c>
      <c r="E31" s="1512"/>
      <c r="F31" s="1513">
        <v>15800</v>
      </c>
      <c r="G31" s="1514">
        <v>6</v>
      </c>
      <c r="H31" s="1515">
        <v>2.375</v>
      </c>
      <c r="I31" s="1513"/>
      <c r="J31" s="1514"/>
      <c r="K31" s="1515"/>
      <c r="L31" s="1516" t="s">
        <v>702</v>
      </c>
      <c r="M31" s="1516" t="s">
        <v>1397</v>
      </c>
      <c r="N31" s="1689" t="s">
        <v>1552</v>
      </c>
      <c r="O31" s="1814"/>
      <c r="P31" s="415" t="b">
        <f t="shared" si="3"/>
        <v>1</v>
      </c>
      <c r="R31" s="245" t="b">
        <f t="shared" si="1"/>
        <v>0</v>
      </c>
      <c r="AO31" s="238" t="str">
        <f t="shared" si="2"/>
        <v>34</v>
      </c>
      <c r="AP31" s="945" t="b">
        <v>0</v>
      </c>
      <c r="AQ31" s="1322" t="s">
        <v>148</v>
      </c>
      <c r="AR31" s="1323" t="s">
        <v>167</v>
      </c>
      <c r="AS31" s="1323" t="s">
        <v>145</v>
      </c>
      <c r="AT31" s="1323"/>
      <c r="AU31" s="1323">
        <v>15800</v>
      </c>
      <c r="AV31" s="1323">
        <v>6</v>
      </c>
      <c r="AW31" s="1323">
        <v>2.375</v>
      </c>
      <c r="AX31" s="1323"/>
      <c r="AY31" s="1323"/>
      <c r="AZ31" s="1323"/>
      <c r="BA31" s="1532" t="s">
        <v>702</v>
      </c>
      <c r="BB31" s="1532" t="s">
        <v>116</v>
      </c>
      <c r="BC31" s="1533" t="s">
        <v>1552</v>
      </c>
      <c r="BD31" s="245">
        <v>2</v>
      </c>
      <c r="BE31" s="1041" t="s">
        <v>1529</v>
      </c>
    </row>
    <row r="32" spans="1:81" ht="14.1" customHeight="1" x14ac:dyDescent="0.2">
      <c r="A32" s="1510"/>
      <c r="B32" s="1511" t="s">
        <v>148</v>
      </c>
      <c r="C32" s="1511" t="s">
        <v>167</v>
      </c>
      <c r="D32" s="1511" t="s">
        <v>145</v>
      </c>
      <c r="E32" s="1512"/>
      <c r="F32" s="1513">
        <v>-15800</v>
      </c>
      <c r="G32" s="1514">
        <v>6</v>
      </c>
      <c r="H32" s="1515">
        <v>2.375</v>
      </c>
      <c r="I32" s="1513"/>
      <c r="J32" s="1514"/>
      <c r="K32" s="1515"/>
      <c r="L32" s="1516" t="s">
        <v>702</v>
      </c>
      <c r="M32" s="1516" t="s">
        <v>808</v>
      </c>
      <c r="N32" s="1689" t="s">
        <v>116</v>
      </c>
      <c r="O32" s="1814"/>
      <c r="P32" s="415" t="b">
        <f t="shared" si="3"/>
        <v>1</v>
      </c>
      <c r="R32" s="245" t="b">
        <f t="shared" si="1"/>
        <v>0</v>
      </c>
      <c r="AO32" s="238" t="str">
        <f t="shared" si="2"/>
        <v>34</v>
      </c>
      <c r="AP32" s="945" t="b">
        <v>0</v>
      </c>
      <c r="AQ32" s="1322" t="s">
        <v>148</v>
      </c>
      <c r="AR32" s="1323" t="s">
        <v>167</v>
      </c>
      <c r="AS32" s="1323" t="s">
        <v>145</v>
      </c>
      <c r="AT32" s="1323"/>
      <c r="AU32" s="1323">
        <v>-15800</v>
      </c>
      <c r="AV32" s="1323">
        <v>6</v>
      </c>
      <c r="AW32" s="1323">
        <v>2.375</v>
      </c>
      <c r="AX32" s="1323"/>
      <c r="AY32" s="1323"/>
      <c r="AZ32" s="1323"/>
      <c r="BA32" s="1532" t="s">
        <v>702</v>
      </c>
      <c r="BB32" s="1532" t="s">
        <v>808</v>
      </c>
      <c r="BC32" s="1533" t="s">
        <v>116</v>
      </c>
      <c r="BE32" s="1041" t="s">
        <v>1397</v>
      </c>
    </row>
    <row r="33" spans="1:57" ht="14.1" customHeight="1" x14ac:dyDescent="0.2">
      <c r="A33" s="1510" t="s">
        <v>1555</v>
      </c>
      <c r="B33" s="1511" t="s">
        <v>154</v>
      </c>
      <c r="C33" s="1511" t="s">
        <v>167</v>
      </c>
      <c r="D33" s="1511" t="s">
        <v>145</v>
      </c>
      <c r="E33" s="1512"/>
      <c r="F33" s="1513">
        <v>1059</v>
      </c>
      <c r="G33" s="1514"/>
      <c r="H33" s="1515"/>
      <c r="I33" s="1513"/>
      <c r="J33" s="1514"/>
      <c r="K33" s="1515"/>
      <c r="L33" s="1516" t="s">
        <v>116</v>
      </c>
      <c r="M33" s="1516" t="s">
        <v>1397</v>
      </c>
      <c r="N33" s="1689" t="s">
        <v>1556</v>
      </c>
      <c r="O33" s="1814"/>
      <c r="P33" s="415" t="b">
        <f t="shared" si="3"/>
        <v>1</v>
      </c>
      <c r="R33" s="245" t="b">
        <f t="shared" si="1"/>
        <v>1</v>
      </c>
      <c r="AO33" s="238" t="str">
        <f t="shared" si="2"/>
        <v>35</v>
      </c>
      <c r="AP33" s="945" t="b">
        <v>0</v>
      </c>
      <c r="AQ33" s="1322" t="s">
        <v>154</v>
      </c>
      <c r="AR33" s="1323" t="s">
        <v>167</v>
      </c>
      <c r="AS33" s="1323" t="s">
        <v>145</v>
      </c>
      <c r="AT33" s="1323"/>
      <c r="AU33" s="1323">
        <v>1059</v>
      </c>
      <c r="AV33" s="1323"/>
      <c r="AW33" s="1323"/>
      <c r="AX33" s="1323"/>
      <c r="AY33" s="1323"/>
      <c r="AZ33" s="1323"/>
      <c r="BA33" s="1532" t="s">
        <v>116</v>
      </c>
      <c r="BB33" s="1532" t="s">
        <v>116</v>
      </c>
      <c r="BC33" s="1533" t="s">
        <v>1556</v>
      </c>
      <c r="BD33" s="245">
        <v>6</v>
      </c>
      <c r="BE33" s="1041" t="s">
        <v>1530</v>
      </c>
    </row>
    <row r="34" spans="1:57" ht="14.1" customHeight="1" x14ac:dyDescent="0.2">
      <c r="A34" s="1510"/>
      <c r="B34" s="1511" t="s">
        <v>154</v>
      </c>
      <c r="C34" s="1511" t="s">
        <v>167</v>
      </c>
      <c r="D34" s="1511" t="s">
        <v>145</v>
      </c>
      <c r="E34" s="1512"/>
      <c r="F34" s="1513">
        <v>-1059</v>
      </c>
      <c r="G34" s="1514"/>
      <c r="H34" s="1515"/>
      <c r="I34" s="1513"/>
      <c r="J34" s="1514"/>
      <c r="K34" s="1515"/>
      <c r="L34" s="1516" t="s">
        <v>116</v>
      </c>
      <c r="M34" s="1516" t="s">
        <v>808</v>
      </c>
      <c r="N34" s="1689" t="s">
        <v>116</v>
      </c>
      <c r="O34" s="1814"/>
      <c r="P34" s="415" t="b">
        <f t="shared" si="3"/>
        <v>1</v>
      </c>
      <c r="R34" s="245" t="b">
        <f t="shared" si="1"/>
        <v>1</v>
      </c>
      <c r="AO34" s="238" t="str">
        <f t="shared" si="2"/>
        <v>35</v>
      </c>
      <c r="AP34" s="945" t="b">
        <v>0</v>
      </c>
      <c r="AQ34" s="1322" t="s">
        <v>154</v>
      </c>
      <c r="AR34" s="1323" t="s">
        <v>167</v>
      </c>
      <c r="AS34" s="1323" t="s">
        <v>145</v>
      </c>
      <c r="AT34" s="1323"/>
      <c r="AU34" s="1323">
        <v>-1059</v>
      </c>
      <c r="AV34" s="1323"/>
      <c r="AW34" s="1323"/>
      <c r="AX34" s="1323"/>
      <c r="AY34" s="1323"/>
      <c r="AZ34" s="1323"/>
      <c r="BA34" s="1532" t="s">
        <v>116</v>
      </c>
      <c r="BB34" s="1532" t="s">
        <v>808</v>
      </c>
      <c r="BC34" s="1533" t="s">
        <v>116</v>
      </c>
      <c r="BE34" s="1041" t="s">
        <v>1531</v>
      </c>
    </row>
    <row r="35" spans="1:57" ht="14.1" customHeight="1" x14ac:dyDescent="0.2">
      <c r="A35" s="1510"/>
      <c r="B35" s="1511" t="s">
        <v>151</v>
      </c>
      <c r="C35" s="1511" t="s">
        <v>167</v>
      </c>
      <c r="D35" s="1511" t="s">
        <v>145</v>
      </c>
      <c r="E35" s="1512"/>
      <c r="F35" s="1513">
        <v>8</v>
      </c>
      <c r="G35" s="1514"/>
      <c r="H35" s="1515"/>
      <c r="I35" s="1513"/>
      <c r="J35" s="1514"/>
      <c r="K35" s="1515"/>
      <c r="L35" s="1516" t="s">
        <v>116</v>
      </c>
      <c r="M35" s="1516" t="s">
        <v>1397</v>
      </c>
      <c r="N35" s="1689" t="s">
        <v>116</v>
      </c>
      <c r="O35" s="1814"/>
      <c r="P35" s="415" t="b">
        <f t="shared" si="3"/>
        <v>1</v>
      </c>
      <c r="R35" s="245" t="b">
        <f t="shared" si="1"/>
        <v>0</v>
      </c>
      <c r="AO35" s="238" t="str">
        <f t="shared" si="2"/>
        <v>35</v>
      </c>
      <c r="AP35" s="945" t="b">
        <v>0</v>
      </c>
      <c r="AQ35" s="1322" t="s">
        <v>151</v>
      </c>
      <c r="AR35" s="1323" t="s">
        <v>167</v>
      </c>
      <c r="AS35" s="1323" t="s">
        <v>145</v>
      </c>
      <c r="AT35" s="1323"/>
      <c r="AU35" s="1323">
        <v>8</v>
      </c>
      <c r="AV35" s="1323"/>
      <c r="AW35" s="1323"/>
      <c r="AX35" s="1323"/>
      <c r="AY35" s="1323"/>
      <c r="AZ35" s="1323"/>
      <c r="BA35" s="1532" t="s">
        <v>116</v>
      </c>
      <c r="BB35" s="1532" t="s">
        <v>116</v>
      </c>
      <c r="BC35" s="1533" t="s">
        <v>116</v>
      </c>
      <c r="BE35" s="1041" t="s">
        <v>1532</v>
      </c>
    </row>
    <row r="36" spans="1:57" ht="14.1" customHeight="1" x14ac:dyDescent="0.2">
      <c r="A36" s="1510"/>
      <c r="B36" s="1511" t="s">
        <v>151</v>
      </c>
      <c r="C36" s="1511" t="s">
        <v>167</v>
      </c>
      <c r="D36" s="1511" t="s">
        <v>145</v>
      </c>
      <c r="E36" s="1512"/>
      <c r="F36" s="1513">
        <v>-8</v>
      </c>
      <c r="G36" s="1514"/>
      <c r="H36" s="1515"/>
      <c r="I36" s="1513"/>
      <c r="J36" s="1514"/>
      <c r="K36" s="1515"/>
      <c r="L36" s="1516" t="s">
        <v>116</v>
      </c>
      <c r="M36" s="1516" t="s">
        <v>808</v>
      </c>
      <c r="N36" s="1689" t="s">
        <v>116</v>
      </c>
      <c r="O36" s="1814"/>
      <c r="P36" s="415" t="b">
        <f t="shared" si="3"/>
        <v>1</v>
      </c>
      <c r="R36" s="245" t="b">
        <f t="shared" si="1"/>
        <v>0</v>
      </c>
      <c r="AO36" s="238" t="str">
        <f t="shared" si="2"/>
        <v>35</v>
      </c>
      <c r="AP36" s="945" t="b">
        <v>0</v>
      </c>
      <c r="AQ36" s="1322" t="s">
        <v>151</v>
      </c>
      <c r="AR36" s="1323" t="s">
        <v>167</v>
      </c>
      <c r="AS36" s="1323" t="s">
        <v>145</v>
      </c>
      <c r="AT36" s="1323"/>
      <c r="AU36" s="1323">
        <v>-8</v>
      </c>
      <c r="AV36" s="1323"/>
      <c r="AW36" s="1323"/>
      <c r="AX36" s="1323"/>
      <c r="AY36" s="1323"/>
      <c r="AZ36" s="1323"/>
      <c r="BA36" s="1532" t="s">
        <v>116</v>
      </c>
      <c r="BB36" s="1532" t="s">
        <v>808</v>
      </c>
      <c r="BC36" s="1533" t="s">
        <v>116</v>
      </c>
      <c r="BE36" s="1041" t="s">
        <v>1533</v>
      </c>
    </row>
    <row r="37" spans="1:57" ht="14.1" customHeight="1" x14ac:dyDescent="0.2">
      <c r="A37" s="1510"/>
      <c r="B37" s="1511" t="s">
        <v>157</v>
      </c>
      <c r="C37" s="1511" t="s">
        <v>167</v>
      </c>
      <c r="D37" s="1511" t="s">
        <v>145</v>
      </c>
      <c r="E37" s="1512"/>
      <c r="F37" s="1513">
        <v>1568</v>
      </c>
      <c r="G37" s="1514"/>
      <c r="H37" s="1515"/>
      <c r="I37" s="1513"/>
      <c r="J37" s="1514"/>
      <c r="K37" s="1515"/>
      <c r="L37" s="1516" t="s">
        <v>116</v>
      </c>
      <c r="M37" s="1516" t="s">
        <v>1397</v>
      </c>
      <c r="N37" s="1689" t="s">
        <v>116</v>
      </c>
      <c r="O37" s="1814"/>
      <c r="P37" s="415" t="b">
        <f t="shared" si="3"/>
        <v>1</v>
      </c>
      <c r="R37" s="245" t="b">
        <f t="shared" si="1"/>
        <v>1</v>
      </c>
      <c r="AO37" s="238" t="str">
        <f t="shared" si="2"/>
        <v>35</v>
      </c>
      <c r="AP37" s="945" t="b">
        <v>0</v>
      </c>
      <c r="AQ37" s="1322" t="s">
        <v>157</v>
      </c>
      <c r="AR37" s="1323" t="s">
        <v>167</v>
      </c>
      <c r="AS37" s="1323" t="s">
        <v>145</v>
      </c>
      <c r="AT37" s="1323"/>
      <c r="AU37" s="1323">
        <v>1568</v>
      </c>
      <c r="AV37" s="1323"/>
      <c r="AW37" s="1323"/>
      <c r="AX37" s="1323"/>
      <c r="AY37" s="1323"/>
      <c r="AZ37" s="1323"/>
      <c r="BA37" s="1532" t="s">
        <v>116</v>
      </c>
      <c r="BB37" s="1532" t="s">
        <v>116</v>
      </c>
      <c r="BC37" s="1533" t="s">
        <v>116</v>
      </c>
      <c r="BE37" s="1041" t="s">
        <v>1562</v>
      </c>
    </row>
    <row r="38" spans="1:57" ht="14.1" customHeight="1" x14ac:dyDescent="0.2">
      <c r="A38" s="1510"/>
      <c r="B38" s="1511" t="s">
        <v>151</v>
      </c>
      <c r="C38" s="1511" t="s">
        <v>165</v>
      </c>
      <c r="D38" s="1511" t="s">
        <v>145</v>
      </c>
      <c r="E38" s="1512"/>
      <c r="F38" s="1513">
        <v>24</v>
      </c>
      <c r="G38" s="1514"/>
      <c r="H38" s="1515"/>
      <c r="I38" s="1513"/>
      <c r="J38" s="1514"/>
      <c r="K38" s="1515"/>
      <c r="L38" s="1516" t="s">
        <v>116</v>
      </c>
      <c r="M38" s="1516" t="s">
        <v>116</v>
      </c>
      <c r="N38" s="1689" t="s">
        <v>116</v>
      </c>
      <c r="O38" s="1814"/>
      <c r="P38" s="415" t="b">
        <f t="shared" si="3"/>
        <v>1</v>
      </c>
      <c r="R38" s="245" t="b">
        <f t="shared" si="1"/>
        <v>0</v>
      </c>
      <c r="AO38" s="238" t="str">
        <f t="shared" si="2"/>
        <v>35</v>
      </c>
      <c r="AP38" s="945" t="b">
        <v>0</v>
      </c>
      <c r="AQ38" s="1322" t="s">
        <v>151</v>
      </c>
      <c r="AR38" s="1323" t="s">
        <v>165</v>
      </c>
      <c r="AS38" s="1323" t="s">
        <v>145</v>
      </c>
      <c r="AT38" s="1323"/>
      <c r="AU38" s="1323">
        <v>24</v>
      </c>
      <c r="AV38" s="1323"/>
      <c r="AW38" s="1323"/>
      <c r="AX38" s="1323"/>
      <c r="AY38" s="1323"/>
      <c r="AZ38" s="1323"/>
      <c r="BA38" s="1532" t="s">
        <v>116</v>
      </c>
      <c r="BB38" s="1532" t="s">
        <v>116</v>
      </c>
      <c r="BC38" s="1533" t="s">
        <v>116</v>
      </c>
      <c r="BE38" s="1041" t="s">
        <v>1549</v>
      </c>
    </row>
    <row r="39" spans="1:57" ht="14.1" customHeight="1" x14ac:dyDescent="0.2">
      <c r="A39" s="1510" t="s">
        <v>1557</v>
      </c>
      <c r="B39" s="1511" t="s">
        <v>154</v>
      </c>
      <c r="C39" s="1511" t="s">
        <v>167</v>
      </c>
      <c r="D39" s="1511" t="s">
        <v>145</v>
      </c>
      <c r="E39" s="1512"/>
      <c r="F39" s="1513">
        <v>1592</v>
      </c>
      <c r="G39" s="1514"/>
      <c r="H39" s="1515"/>
      <c r="I39" s="1513"/>
      <c r="J39" s="1514"/>
      <c r="K39" s="1515"/>
      <c r="L39" s="1516" t="s">
        <v>116</v>
      </c>
      <c r="M39" s="1516" t="s">
        <v>1397</v>
      </c>
      <c r="N39" s="1689" t="s">
        <v>1558</v>
      </c>
      <c r="O39" s="1814"/>
      <c r="P39" s="415" t="b">
        <f t="shared" si="3"/>
        <v>1</v>
      </c>
      <c r="R39" s="245" t="b">
        <f t="shared" si="1"/>
        <v>1</v>
      </c>
      <c r="AO39" s="238" t="str">
        <f t="shared" si="2"/>
        <v>36</v>
      </c>
      <c r="AP39" s="945" t="b">
        <v>0</v>
      </c>
      <c r="AQ39" s="1322" t="s">
        <v>154</v>
      </c>
      <c r="AR39" s="1323" t="s">
        <v>167</v>
      </c>
      <c r="AS39" s="1323" t="s">
        <v>145</v>
      </c>
      <c r="AT39" s="1323"/>
      <c r="AU39" s="1323">
        <v>1592</v>
      </c>
      <c r="AV39" s="1323"/>
      <c r="AW39" s="1323"/>
      <c r="AX39" s="1323"/>
      <c r="AY39" s="1323"/>
      <c r="AZ39" s="1323"/>
      <c r="BA39" s="1532" t="s">
        <v>116</v>
      </c>
      <c r="BB39" s="1532" t="s">
        <v>116</v>
      </c>
      <c r="BC39" s="1533" t="s">
        <v>1558</v>
      </c>
      <c r="BD39" s="245">
        <v>3</v>
      </c>
      <c r="BE39" s="1041" t="s">
        <v>1550</v>
      </c>
    </row>
    <row r="40" spans="1:57" ht="14.1" customHeight="1" x14ac:dyDescent="0.2">
      <c r="A40" s="1510"/>
      <c r="B40" s="1511" t="s">
        <v>154</v>
      </c>
      <c r="C40" s="1511" t="s">
        <v>167</v>
      </c>
      <c r="D40" s="1511" t="s">
        <v>145</v>
      </c>
      <c r="E40" s="1512"/>
      <c r="F40" s="1513">
        <v>-1592</v>
      </c>
      <c r="G40" s="1514"/>
      <c r="H40" s="1515"/>
      <c r="I40" s="1513"/>
      <c r="J40" s="1514"/>
      <c r="K40" s="1515"/>
      <c r="L40" s="1516" t="s">
        <v>116</v>
      </c>
      <c r="M40" s="1516" t="s">
        <v>808</v>
      </c>
      <c r="N40" s="1689" t="s">
        <v>116</v>
      </c>
      <c r="O40" s="1814"/>
      <c r="P40" s="415" t="b">
        <f t="shared" si="3"/>
        <v>1</v>
      </c>
      <c r="R40" s="245" t="b">
        <f t="shared" si="1"/>
        <v>1</v>
      </c>
      <c r="AO40" s="238" t="str">
        <f t="shared" si="2"/>
        <v>36</v>
      </c>
      <c r="AP40" s="945" t="b">
        <v>0</v>
      </c>
      <c r="AQ40" s="1322" t="s">
        <v>154</v>
      </c>
      <c r="AR40" s="1323" t="s">
        <v>167</v>
      </c>
      <c r="AS40" s="1323" t="s">
        <v>145</v>
      </c>
      <c r="AT40" s="1323"/>
      <c r="AU40" s="1323">
        <v>-1592</v>
      </c>
      <c r="AV40" s="1323"/>
      <c r="AW40" s="1323"/>
      <c r="AX40" s="1323"/>
      <c r="AY40" s="1323"/>
      <c r="AZ40" s="1323"/>
      <c r="BA40" s="1532" t="s">
        <v>116</v>
      </c>
      <c r="BB40" s="1532" t="s">
        <v>808</v>
      </c>
      <c r="BC40" s="1533" t="s">
        <v>116</v>
      </c>
      <c r="BE40" s="1041" t="s">
        <v>1535</v>
      </c>
    </row>
    <row r="41" spans="1:57" ht="14.1" customHeight="1" x14ac:dyDescent="0.2">
      <c r="A41" s="1510"/>
      <c r="B41" s="1511" t="s">
        <v>154</v>
      </c>
      <c r="C41" s="1511" t="s">
        <v>165</v>
      </c>
      <c r="D41" s="1511" t="s">
        <v>145</v>
      </c>
      <c r="E41" s="1512"/>
      <c r="F41" s="1513">
        <v>1320</v>
      </c>
      <c r="G41" s="1514"/>
      <c r="H41" s="1515"/>
      <c r="I41" s="1513"/>
      <c r="J41" s="1514"/>
      <c r="K41" s="1515"/>
      <c r="L41" s="1516" t="s">
        <v>116</v>
      </c>
      <c r="M41" s="1516" t="s">
        <v>116</v>
      </c>
      <c r="N41" s="1689" t="s">
        <v>116</v>
      </c>
      <c r="O41" s="1814"/>
      <c r="P41" s="415" t="b">
        <f t="shared" si="3"/>
        <v>1</v>
      </c>
      <c r="R41" s="245" t="b">
        <f t="shared" si="1"/>
        <v>1</v>
      </c>
      <c r="AO41" s="238" t="str">
        <f t="shared" si="2"/>
        <v>36</v>
      </c>
      <c r="AP41" s="945" t="b">
        <v>0</v>
      </c>
      <c r="AQ41" s="1322" t="s">
        <v>154</v>
      </c>
      <c r="AR41" s="1323" t="s">
        <v>165</v>
      </c>
      <c r="AS41" s="1323" t="s">
        <v>145</v>
      </c>
      <c r="AT41" s="1323"/>
      <c r="AU41" s="1323">
        <v>1320</v>
      </c>
      <c r="AV41" s="1323"/>
      <c r="AW41" s="1323"/>
      <c r="AX41" s="1323"/>
      <c r="AY41" s="1323"/>
      <c r="AZ41" s="1323"/>
      <c r="BA41" s="1532" t="s">
        <v>116</v>
      </c>
      <c r="BB41" s="1532" t="s">
        <v>116</v>
      </c>
      <c r="BC41" s="1533" t="s">
        <v>116</v>
      </c>
      <c r="BE41" s="1041" t="s">
        <v>1563</v>
      </c>
    </row>
    <row r="42" spans="1:57" ht="14.1" customHeight="1" x14ac:dyDescent="0.2">
      <c r="A42" s="1510" t="s">
        <v>1559</v>
      </c>
      <c r="B42" s="1511" t="s">
        <v>154</v>
      </c>
      <c r="C42" s="1511" t="s">
        <v>167</v>
      </c>
      <c r="D42" s="1511" t="s">
        <v>145</v>
      </c>
      <c r="E42" s="1512"/>
      <c r="F42" s="1513">
        <v>1592</v>
      </c>
      <c r="G42" s="1514"/>
      <c r="H42" s="1515"/>
      <c r="I42" s="1513"/>
      <c r="J42" s="1514"/>
      <c r="K42" s="1515"/>
      <c r="L42" s="1516" t="s">
        <v>116</v>
      </c>
      <c r="M42" s="1516" t="s">
        <v>1397</v>
      </c>
      <c r="N42" s="1689" t="s">
        <v>1558</v>
      </c>
      <c r="O42" s="1814"/>
      <c r="P42" s="415" t="b">
        <f t="shared" si="3"/>
        <v>1</v>
      </c>
      <c r="R42" s="245" t="b">
        <f t="shared" si="1"/>
        <v>1</v>
      </c>
      <c r="AO42" s="238" t="str">
        <f t="shared" si="2"/>
        <v>37</v>
      </c>
      <c r="AP42" s="945" t="b">
        <v>0</v>
      </c>
      <c r="AQ42" s="1322" t="s">
        <v>154</v>
      </c>
      <c r="AR42" s="1323" t="s">
        <v>167</v>
      </c>
      <c r="AS42" s="1323" t="s">
        <v>145</v>
      </c>
      <c r="AT42" s="1323"/>
      <c r="AU42" s="1323">
        <v>1592</v>
      </c>
      <c r="AV42" s="1323"/>
      <c r="AW42" s="1323"/>
      <c r="AX42" s="1323"/>
      <c r="AY42" s="1323"/>
      <c r="AZ42" s="1323"/>
      <c r="BA42" s="1532" t="s">
        <v>116</v>
      </c>
      <c r="BB42" s="1532" t="s">
        <v>116</v>
      </c>
      <c r="BC42" s="1533" t="s">
        <v>1558</v>
      </c>
      <c r="BD42" s="245">
        <v>3</v>
      </c>
    </row>
    <row r="43" spans="1:57" ht="14.1" customHeight="1" x14ac:dyDescent="0.2">
      <c r="A43" s="1510"/>
      <c r="B43" s="1511" t="s">
        <v>154</v>
      </c>
      <c r="C43" s="1511" t="s">
        <v>167</v>
      </c>
      <c r="D43" s="1511" t="s">
        <v>145</v>
      </c>
      <c r="E43" s="1512"/>
      <c r="F43" s="1513">
        <v>-1592</v>
      </c>
      <c r="G43" s="1514"/>
      <c r="H43" s="1515"/>
      <c r="I43" s="1513"/>
      <c r="J43" s="1514"/>
      <c r="K43" s="1515"/>
      <c r="L43" s="1516" t="s">
        <v>116</v>
      </c>
      <c r="M43" s="1516" t="s">
        <v>808</v>
      </c>
      <c r="N43" s="1689" t="s">
        <v>116</v>
      </c>
      <c r="O43" s="1814"/>
      <c r="P43" s="415" t="b">
        <f t="shared" si="3"/>
        <v>1</v>
      </c>
      <c r="R43" s="245" t="b">
        <f t="shared" si="1"/>
        <v>1</v>
      </c>
      <c r="AO43" s="238" t="str">
        <f t="shared" si="2"/>
        <v>37</v>
      </c>
      <c r="AP43" s="945" t="b">
        <v>0</v>
      </c>
      <c r="AQ43" s="1322" t="s">
        <v>154</v>
      </c>
      <c r="AR43" s="1323" t="s">
        <v>167</v>
      </c>
      <c r="AS43" s="1323" t="s">
        <v>145</v>
      </c>
      <c r="AT43" s="1323"/>
      <c r="AU43" s="1323">
        <v>-1592</v>
      </c>
      <c r="AV43" s="1323"/>
      <c r="AW43" s="1323"/>
      <c r="AX43" s="1323"/>
      <c r="AY43" s="1323"/>
      <c r="AZ43" s="1323"/>
      <c r="BA43" s="1532" t="s">
        <v>116</v>
      </c>
      <c r="BB43" s="1532" t="s">
        <v>808</v>
      </c>
      <c r="BC43" s="1533" t="s">
        <v>116</v>
      </c>
    </row>
    <row r="44" spans="1:57" ht="14.1" customHeight="1" x14ac:dyDescent="0.2">
      <c r="A44" s="1510"/>
      <c r="B44" s="1511" t="s">
        <v>148</v>
      </c>
      <c r="C44" s="1511" t="s">
        <v>165</v>
      </c>
      <c r="D44" s="1511" t="s">
        <v>145</v>
      </c>
      <c r="E44" s="1512"/>
      <c r="F44" s="1513">
        <v>1320</v>
      </c>
      <c r="G44" s="1514">
        <v>43</v>
      </c>
      <c r="H44" s="1515">
        <v>6.875</v>
      </c>
      <c r="I44" s="1513">
        <v>1320</v>
      </c>
      <c r="J44" s="1514">
        <v>49</v>
      </c>
      <c r="K44" s="1515">
        <v>9.625</v>
      </c>
      <c r="L44" s="1516" t="s">
        <v>700</v>
      </c>
      <c r="M44" s="1516" t="s">
        <v>116</v>
      </c>
      <c r="N44" s="1689" t="s">
        <v>116</v>
      </c>
      <c r="O44" s="1814"/>
      <c r="P44" s="415" t="b">
        <f t="shared" si="3"/>
        <v>1</v>
      </c>
      <c r="R44" s="245" t="b">
        <f t="shared" si="1"/>
        <v>0</v>
      </c>
      <c r="AO44" s="238" t="str">
        <f t="shared" si="2"/>
        <v>37</v>
      </c>
      <c r="AP44" s="945" t="b">
        <v>0</v>
      </c>
      <c r="AQ44" s="1322" t="s">
        <v>148</v>
      </c>
      <c r="AR44" s="1323" t="s">
        <v>165</v>
      </c>
      <c r="AS44" s="1323" t="s">
        <v>145</v>
      </c>
      <c r="AT44" s="1323"/>
      <c r="AU44" s="1323">
        <v>1320</v>
      </c>
      <c r="AV44" s="1323">
        <v>43</v>
      </c>
      <c r="AW44" s="1323">
        <v>6.875</v>
      </c>
      <c r="AX44" s="1323">
        <v>1320</v>
      </c>
      <c r="AY44" s="1323">
        <v>49</v>
      </c>
      <c r="AZ44" s="1323">
        <v>9.625</v>
      </c>
      <c r="BA44" s="1532" t="s">
        <v>700</v>
      </c>
      <c r="BB44" s="1532" t="s">
        <v>116</v>
      </c>
      <c r="BC44" s="1533" t="s">
        <v>116</v>
      </c>
    </row>
    <row r="45" spans="1:57" ht="14.1" customHeight="1" x14ac:dyDescent="0.2">
      <c r="A45" s="1510" t="s">
        <v>1560</v>
      </c>
      <c r="B45" s="1511" t="s">
        <v>146</v>
      </c>
      <c r="C45" s="1511" t="s">
        <v>167</v>
      </c>
      <c r="D45" s="1511" t="s">
        <v>145</v>
      </c>
      <c r="E45" s="1512"/>
      <c r="F45" s="1513">
        <v>3136</v>
      </c>
      <c r="G45" s="1514">
        <v>3</v>
      </c>
      <c r="H45" s="1515">
        <v>0</v>
      </c>
      <c r="I45" s="1513"/>
      <c r="J45" s="1514"/>
      <c r="K45" s="1515"/>
      <c r="L45" s="1516" t="s">
        <v>702</v>
      </c>
      <c r="M45" s="1516" t="s">
        <v>1397</v>
      </c>
      <c r="N45" s="1689" t="s">
        <v>1561</v>
      </c>
      <c r="O45" s="1814"/>
      <c r="P45" s="415" t="b">
        <f t="shared" si="3"/>
        <v>1</v>
      </c>
      <c r="R45" s="245" t="b">
        <f t="shared" si="1"/>
        <v>0</v>
      </c>
      <c r="AO45" s="238" t="str">
        <f t="shared" si="2"/>
        <v>38</v>
      </c>
      <c r="AP45" s="945" t="b">
        <v>0</v>
      </c>
      <c r="AQ45" s="1322" t="s">
        <v>146</v>
      </c>
      <c r="AR45" s="1323" t="s">
        <v>167</v>
      </c>
      <c r="AS45" s="1323" t="s">
        <v>145</v>
      </c>
      <c r="AT45" s="1323"/>
      <c r="AU45" s="1323">
        <v>3136</v>
      </c>
      <c r="AV45" s="1323">
        <v>3</v>
      </c>
      <c r="AW45" s="1323">
        <v>0</v>
      </c>
      <c r="AX45" s="1323"/>
      <c r="AY45" s="1323"/>
      <c r="AZ45" s="1323"/>
      <c r="BA45" s="1532" t="s">
        <v>702</v>
      </c>
      <c r="BB45" s="1532" t="s">
        <v>116</v>
      </c>
      <c r="BC45" s="1533" t="s">
        <v>1561</v>
      </c>
      <c r="BD45" s="245">
        <v>4</v>
      </c>
    </row>
    <row r="46" spans="1:57" ht="14.1" customHeight="1" x14ac:dyDescent="0.2">
      <c r="A46" s="1510"/>
      <c r="B46" s="1511" t="s">
        <v>146</v>
      </c>
      <c r="C46" s="1511" t="s">
        <v>167</v>
      </c>
      <c r="D46" s="1511" t="s">
        <v>145</v>
      </c>
      <c r="E46" s="1512"/>
      <c r="F46" s="1513">
        <v>-3136</v>
      </c>
      <c r="G46" s="1514">
        <v>3</v>
      </c>
      <c r="H46" s="1515">
        <v>0</v>
      </c>
      <c r="I46" s="1513"/>
      <c r="J46" s="1514"/>
      <c r="K46" s="1515"/>
      <c r="L46" s="1516" t="s">
        <v>702</v>
      </c>
      <c r="M46" s="1516" t="s">
        <v>808</v>
      </c>
      <c r="N46" s="1689" t="s">
        <v>116</v>
      </c>
      <c r="O46" s="1814"/>
      <c r="P46" s="415" t="b">
        <f t="shared" si="3"/>
        <v>1</v>
      </c>
      <c r="R46" s="245" t="b">
        <f t="shared" si="1"/>
        <v>0</v>
      </c>
      <c r="AO46" s="238" t="str">
        <f t="shared" si="2"/>
        <v>38</v>
      </c>
      <c r="AP46" s="945" t="b">
        <v>0</v>
      </c>
      <c r="AQ46" s="1322" t="s">
        <v>146</v>
      </c>
      <c r="AR46" s="1323" t="s">
        <v>167</v>
      </c>
      <c r="AS46" s="1323" t="s">
        <v>145</v>
      </c>
      <c r="AT46" s="1323"/>
      <c r="AU46" s="1323">
        <v>-3136</v>
      </c>
      <c r="AV46" s="1323">
        <v>3</v>
      </c>
      <c r="AW46" s="1323">
        <v>0</v>
      </c>
      <c r="AX46" s="1323"/>
      <c r="AY46" s="1323"/>
      <c r="AZ46" s="1323"/>
      <c r="BA46" s="1532" t="s">
        <v>702</v>
      </c>
      <c r="BB46" s="1532" t="s">
        <v>808</v>
      </c>
      <c r="BC46" s="1533" t="s">
        <v>116</v>
      </c>
    </row>
    <row r="47" spans="1:57" ht="14.1" customHeight="1" x14ac:dyDescent="0.2">
      <c r="A47" s="1510"/>
      <c r="B47" s="1511" t="s">
        <v>157</v>
      </c>
      <c r="C47" s="1511" t="s">
        <v>167</v>
      </c>
      <c r="D47" s="1511" t="s">
        <v>145</v>
      </c>
      <c r="E47" s="1512"/>
      <c r="F47" s="1513">
        <v>1568</v>
      </c>
      <c r="G47" s="1514"/>
      <c r="H47" s="1515"/>
      <c r="I47" s="1513"/>
      <c r="J47" s="1514"/>
      <c r="K47" s="1515"/>
      <c r="L47" s="1516" t="s">
        <v>116</v>
      </c>
      <c r="M47" s="1516" t="s">
        <v>1397</v>
      </c>
      <c r="N47" s="1689" t="s">
        <v>116</v>
      </c>
      <c r="O47" s="1814"/>
      <c r="P47" s="415" t="b">
        <f t="shared" si="3"/>
        <v>1</v>
      </c>
      <c r="R47" s="245" t="b">
        <f t="shared" si="1"/>
        <v>1</v>
      </c>
      <c r="AO47" s="238" t="str">
        <f t="shared" si="2"/>
        <v>38</v>
      </c>
      <c r="AP47" s="945" t="b">
        <v>0</v>
      </c>
      <c r="AQ47" s="1322" t="s">
        <v>157</v>
      </c>
      <c r="AR47" s="1323" t="s">
        <v>167</v>
      </c>
      <c r="AS47" s="1323" t="s">
        <v>145</v>
      </c>
      <c r="AT47" s="1323"/>
      <c r="AU47" s="1323">
        <v>1568</v>
      </c>
      <c r="AV47" s="1323"/>
      <c r="AW47" s="1323"/>
      <c r="AX47" s="1323"/>
      <c r="AY47" s="1323"/>
      <c r="AZ47" s="1323"/>
      <c r="BA47" s="1532" t="s">
        <v>116</v>
      </c>
      <c r="BB47" s="1532" t="s">
        <v>116</v>
      </c>
      <c r="BC47" s="1533" t="s">
        <v>116</v>
      </c>
    </row>
    <row r="48" spans="1:57" ht="14.1" customHeight="1" x14ac:dyDescent="0.2">
      <c r="A48" s="1510"/>
      <c r="B48" s="1511" t="s">
        <v>146</v>
      </c>
      <c r="C48" s="1816" t="s">
        <v>165</v>
      </c>
      <c r="D48" s="1511" t="s">
        <v>145</v>
      </c>
      <c r="E48" s="1512"/>
      <c r="F48" s="1513">
        <v>300</v>
      </c>
      <c r="G48" s="1514">
        <v>3</v>
      </c>
      <c r="H48" s="1515">
        <v>0</v>
      </c>
      <c r="I48" s="1513"/>
      <c r="J48" s="1514"/>
      <c r="K48" s="1515"/>
      <c r="L48" s="1516" t="s">
        <v>702</v>
      </c>
      <c r="M48" s="1516" t="s">
        <v>116</v>
      </c>
      <c r="N48" s="1689" t="s">
        <v>116</v>
      </c>
      <c r="O48" s="1814"/>
      <c r="P48" s="415" t="b">
        <f t="shared" si="3"/>
        <v>1</v>
      </c>
      <c r="R48" s="245" t="b">
        <f t="shared" si="1"/>
        <v>0</v>
      </c>
      <c r="AO48" s="238" t="str">
        <f t="shared" si="2"/>
        <v>38</v>
      </c>
      <c r="AP48" s="945" t="b">
        <v>0</v>
      </c>
      <c r="AQ48" s="1322" t="s">
        <v>146</v>
      </c>
      <c r="AR48" s="1323" t="s">
        <v>167</v>
      </c>
      <c r="AS48" s="1323" t="s">
        <v>145</v>
      </c>
      <c r="AT48" s="1323"/>
      <c r="AU48" s="1323">
        <v>300</v>
      </c>
      <c r="AV48" s="1323">
        <v>3</v>
      </c>
      <c r="AW48" s="1323">
        <v>0</v>
      </c>
      <c r="AX48" s="1323"/>
      <c r="AY48" s="1323"/>
      <c r="AZ48" s="1323"/>
      <c r="BA48" s="1532" t="s">
        <v>702</v>
      </c>
      <c r="BB48" s="1532" t="s">
        <v>116</v>
      </c>
      <c r="BC48" s="1533" t="s">
        <v>116</v>
      </c>
    </row>
    <row r="49" spans="1:56" ht="14.1" customHeight="1" x14ac:dyDescent="0.2">
      <c r="A49" s="1510" t="s">
        <v>1562</v>
      </c>
      <c r="B49" s="1511" t="s">
        <v>146</v>
      </c>
      <c r="C49" s="1511" t="s">
        <v>167</v>
      </c>
      <c r="D49" s="1511" t="s">
        <v>145</v>
      </c>
      <c r="E49" s="1512"/>
      <c r="F49" s="1513">
        <v>1568</v>
      </c>
      <c r="G49" s="1514">
        <v>18</v>
      </c>
      <c r="H49" s="1515">
        <v>0</v>
      </c>
      <c r="I49" s="1513"/>
      <c r="J49" s="1514"/>
      <c r="K49" s="1515"/>
      <c r="L49" s="1516" t="s">
        <v>700</v>
      </c>
      <c r="M49" s="1516" t="s">
        <v>1397</v>
      </c>
      <c r="N49" s="1689" t="s">
        <v>1561</v>
      </c>
      <c r="O49" s="1814"/>
      <c r="P49" s="415" t="b">
        <f t="shared" si="3"/>
        <v>1</v>
      </c>
      <c r="R49" s="245" t="b">
        <f t="shared" si="1"/>
        <v>0</v>
      </c>
      <c r="AO49" s="238" t="str">
        <f t="shared" si="2"/>
        <v>39</v>
      </c>
      <c r="AP49" s="945" t="b">
        <v>0</v>
      </c>
      <c r="AQ49" s="1322" t="s">
        <v>146</v>
      </c>
      <c r="AR49" s="1323" t="s">
        <v>167</v>
      </c>
      <c r="AS49" s="1323" t="s">
        <v>145</v>
      </c>
      <c r="AT49" s="1323"/>
      <c r="AU49" s="1323">
        <v>1568</v>
      </c>
      <c r="AV49" s="1323">
        <v>18</v>
      </c>
      <c r="AW49" s="1323">
        <v>0</v>
      </c>
      <c r="AX49" s="1323"/>
      <c r="AY49" s="1323"/>
      <c r="AZ49" s="1323"/>
      <c r="BA49" s="1532" t="s">
        <v>700</v>
      </c>
      <c r="BB49" s="1532" t="s">
        <v>116</v>
      </c>
      <c r="BC49" s="1533" t="s">
        <v>1561</v>
      </c>
      <c r="BD49" s="245">
        <v>4</v>
      </c>
    </row>
    <row r="50" spans="1:56" ht="14.1" customHeight="1" x14ac:dyDescent="0.2">
      <c r="A50" s="1510"/>
      <c r="B50" s="1511" t="s">
        <v>146</v>
      </c>
      <c r="C50" s="1511" t="s">
        <v>167</v>
      </c>
      <c r="D50" s="1511" t="s">
        <v>145</v>
      </c>
      <c r="E50" s="1512"/>
      <c r="F50" s="1513">
        <v>-1568</v>
      </c>
      <c r="G50" s="1514">
        <v>18</v>
      </c>
      <c r="H50" s="1515">
        <v>0</v>
      </c>
      <c r="I50" s="1513"/>
      <c r="J50" s="1514"/>
      <c r="K50" s="1515"/>
      <c r="L50" s="1516" t="s">
        <v>700</v>
      </c>
      <c r="M50" s="1516" t="s">
        <v>808</v>
      </c>
      <c r="N50" s="1689" t="s">
        <v>116</v>
      </c>
      <c r="O50" s="1814"/>
      <c r="P50" s="415" t="b">
        <f t="shared" si="3"/>
        <v>1</v>
      </c>
      <c r="R50" s="245" t="b">
        <f t="shared" si="1"/>
        <v>0</v>
      </c>
      <c r="AO50" s="238" t="str">
        <f t="shared" si="2"/>
        <v>39</v>
      </c>
      <c r="AP50" s="945" t="b">
        <v>0</v>
      </c>
      <c r="AQ50" s="1322" t="s">
        <v>146</v>
      </c>
      <c r="AR50" s="1323" t="s">
        <v>167</v>
      </c>
      <c r="AS50" s="1323" t="s">
        <v>145</v>
      </c>
      <c r="AT50" s="1323"/>
      <c r="AU50" s="1323">
        <v>-1568</v>
      </c>
      <c r="AV50" s="1323">
        <v>18</v>
      </c>
      <c r="AW50" s="1323">
        <v>0</v>
      </c>
      <c r="AX50" s="1323"/>
      <c r="AY50" s="1323"/>
      <c r="AZ50" s="1323"/>
      <c r="BA50" s="1532" t="s">
        <v>700</v>
      </c>
      <c r="BB50" s="1532" t="s">
        <v>808</v>
      </c>
      <c r="BC50" s="1533" t="s">
        <v>116</v>
      </c>
    </row>
    <row r="51" spans="1:56" ht="14.1" customHeight="1" x14ac:dyDescent="0.2">
      <c r="A51" s="1510"/>
      <c r="B51" s="1511" t="s">
        <v>157</v>
      </c>
      <c r="C51" s="1511" t="s">
        <v>167</v>
      </c>
      <c r="D51" s="1511" t="s">
        <v>145</v>
      </c>
      <c r="E51" s="1512"/>
      <c r="F51" s="1513">
        <v>1568</v>
      </c>
      <c r="G51" s="1514"/>
      <c r="H51" s="1515"/>
      <c r="I51" s="1513"/>
      <c r="J51" s="1514"/>
      <c r="K51" s="1515"/>
      <c r="L51" s="1516" t="s">
        <v>116</v>
      </c>
      <c r="M51" s="1516" t="s">
        <v>1397</v>
      </c>
      <c r="N51" s="1689" t="s">
        <v>116</v>
      </c>
      <c r="O51" s="1814"/>
      <c r="P51" s="415" t="b">
        <f t="shared" si="3"/>
        <v>1</v>
      </c>
      <c r="R51" s="245" t="b">
        <f t="shared" si="1"/>
        <v>1</v>
      </c>
      <c r="AO51" s="238" t="str">
        <f t="shared" si="2"/>
        <v>39</v>
      </c>
      <c r="AP51" s="945" t="b">
        <v>0</v>
      </c>
      <c r="AQ51" s="1322" t="s">
        <v>157</v>
      </c>
      <c r="AR51" s="1323" t="s">
        <v>167</v>
      </c>
      <c r="AS51" s="1323" t="s">
        <v>145</v>
      </c>
      <c r="AT51" s="1323"/>
      <c r="AU51" s="1323">
        <v>1568</v>
      </c>
      <c r="AV51" s="1323"/>
      <c r="AW51" s="1323"/>
      <c r="AX51" s="1323"/>
      <c r="AY51" s="1323"/>
      <c r="AZ51" s="1323"/>
      <c r="BA51" s="1532" t="s">
        <v>116</v>
      </c>
      <c r="BB51" s="1532" t="s">
        <v>116</v>
      </c>
      <c r="BC51" s="1533" t="s">
        <v>116</v>
      </c>
    </row>
    <row r="52" spans="1:56" ht="14.1" customHeight="1" x14ac:dyDescent="0.2">
      <c r="A52" s="1510"/>
      <c r="B52" s="1511" t="s">
        <v>146</v>
      </c>
      <c r="C52" s="1816" t="s">
        <v>165</v>
      </c>
      <c r="D52" s="1511" t="s">
        <v>145</v>
      </c>
      <c r="E52" s="1512"/>
      <c r="F52" s="1513">
        <v>150</v>
      </c>
      <c r="G52" s="1514">
        <v>18</v>
      </c>
      <c r="H52" s="1515">
        <v>0</v>
      </c>
      <c r="I52" s="1513"/>
      <c r="J52" s="1514"/>
      <c r="K52" s="1515"/>
      <c r="L52" s="1516" t="s">
        <v>700</v>
      </c>
      <c r="M52" s="1516" t="s">
        <v>116</v>
      </c>
      <c r="N52" s="1689" t="s">
        <v>116</v>
      </c>
      <c r="O52" s="1814"/>
      <c r="P52" s="415" t="b">
        <f t="shared" si="3"/>
        <v>1</v>
      </c>
      <c r="R52" s="245" t="b">
        <f t="shared" si="1"/>
        <v>0</v>
      </c>
      <c r="AO52" s="238" t="str">
        <f t="shared" si="2"/>
        <v>39</v>
      </c>
      <c r="AP52" s="945" t="b">
        <v>0</v>
      </c>
      <c r="AQ52" s="1322" t="s">
        <v>146</v>
      </c>
      <c r="AR52" s="1323" t="s">
        <v>167</v>
      </c>
      <c r="AS52" s="1323" t="s">
        <v>145</v>
      </c>
      <c r="AT52" s="1323"/>
      <c r="AU52" s="1323">
        <v>150</v>
      </c>
      <c r="AV52" s="1323">
        <v>18</v>
      </c>
      <c r="AW52" s="1323">
        <v>0</v>
      </c>
      <c r="AX52" s="1323"/>
      <c r="AY52" s="1323"/>
      <c r="AZ52" s="1323"/>
      <c r="BA52" s="1532" t="s">
        <v>700</v>
      </c>
      <c r="BB52" s="1532" t="s">
        <v>116</v>
      </c>
      <c r="BC52" s="1533" t="s">
        <v>116</v>
      </c>
    </row>
    <row r="53" spans="1:56" ht="14.1" customHeight="1" x14ac:dyDescent="0.2">
      <c r="A53" s="1510"/>
      <c r="B53" s="1511"/>
      <c r="C53" s="1511"/>
      <c r="D53" s="1511"/>
      <c r="E53" s="1512"/>
      <c r="F53" s="1513"/>
      <c r="G53" s="1514"/>
      <c r="H53" s="1515"/>
      <c r="I53" s="1513"/>
      <c r="J53" s="1514"/>
      <c r="K53" s="1515"/>
      <c r="L53" s="1516"/>
      <c r="M53" s="1516"/>
      <c r="N53" s="1689" t="s">
        <v>116</v>
      </c>
      <c r="O53" s="1814"/>
      <c r="P53" s="415" t="b">
        <f t="shared" si="3"/>
        <v>1</v>
      </c>
      <c r="R53" s="245" t="b">
        <f t="shared" si="1"/>
        <v>0</v>
      </c>
      <c r="AO53" s="238" t="str">
        <f t="shared" si="2"/>
        <v>39</v>
      </c>
      <c r="AP53" s="945" t="b">
        <v>0</v>
      </c>
      <c r="AQ53" s="1322"/>
      <c r="AR53" s="1323"/>
      <c r="AS53" s="1323"/>
      <c r="AT53" s="1323"/>
      <c r="AU53" s="1323"/>
      <c r="AV53" s="1323"/>
      <c r="AW53" s="1323"/>
      <c r="AX53" s="1323"/>
      <c r="AY53" s="1323"/>
      <c r="AZ53" s="1323"/>
      <c r="BA53" s="1532"/>
      <c r="BB53" s="1532"/>
      <c r="BC53" s="1533"/>
    </row>
    <row r="54" spans="1:56" ht="14.1" customHeight="1" x14ac:dyDescent="0.2">
      <c r="A54" s="1510"/>
      <c r="B54" s="1511"/>
      <c r="C54" s="1511"/>
      <c r="D54" s="1511"/>
      <c r="E54" s="1512"/>
      <c r="F54" s="1513"/>
      <c r="G54" s="1514"/>
      <c r="H54" s="1515"/>
      <c r="I54" s="1513"/>
      <c r="J54" s="1514"/>
      <c r="K54" s="1515"/>
      <c r="L54" s="1516"/>
      <c r="M54" s="1516"/>
      <c r="N54" s="1689" t="s">
        <v>116</v>
      </c>
      <c r="O54" s="1814"/>
      <c r="P54" s="415" t="b">
        <f t="shared" si="3"/>
        <v>1</v>
      </c>
      <c r="R54" s="245" t="b">
        <f t="shared" si="1"/>
        <v>0</v>
      </c>
      <c r="AO54" s="238" t="str">
        <f t="shared" si="2"/>
        <v>39</v>
      </c>
      <c r="AP54" s="945" t="b">
        <v>0</v>
      </c>
      <c r="AQ54" s="1322"/>
      <c r="AR54" s="1323"/>
      <c r="AS54" s="1323"/>
      <c r="AT54" s="1323"/>
      <c r="AU54" s="1323"/>
      <c r="AV54" s="1323"/>
      <c r="AW54" s="1323"/>
      <c r="AX54" s="1323"/>
      <c r="AY54" s="1323"/>
      <c r="AZ54" s="1323"/>
      <c r="BA54" s="1532"/>
      <c r="BB54" s="1532"/>
      <c r="BC54" s="1533"/>
    </row>
    <row r="55" spans="1:56" ht="14.1" customHeight="1" x14ac:dyDescent="0.2">
      <c r="A55" s="1519"/>
      <c r="B55" s="1520"/>
      <c r="C55" s="1520"/>
      <c r="D55" s="1520"/>
      <c r="E55" s="1521"/>
      <c r="F55" s="1522"/>
      <c r="G55" s="1523"/>
      <c r="H55" s="1524"/>
      <c r="I55" s="1522"/>
      <c r="J55" s="1523"/>
      <c r="K55" s="1524"/>
      <c r="L55" s="1525"/>
      <c r="M55" s="1525"/>
      <c r="N55" s="1690"/>
      <c r="O55" s="1814"/>
      <c r="P55" s="415" t="b">
        <f t="shared" si="3"/>
        <v>1</v>
      </c>
      <c r="R55" s="245" t="b">
        <f t="shared" si="1"/>
        <v>0</v>
      </c>
      <c r="AO55" s="238" t="str">
        <f t="shared" si="2"/>
        <v>39</v>
      </c>
      <c r="AP55" s="945" t="b">
        <v>0</v>
      </c>
      <c r="AQ55" s="1324"/>
      <c r="AR55" s="1325"/>
      <c r="AS55" s="1325"/>
      <c r="AT55" s="1325"/>
      <c r="AU55" s="1325"/>
      <c r="AV55" s="1325"/>
      <c r="AW55" s="1325"/>
      <c r="AX55" s="1325"/>
      <c r="AY55" s="1325"/>
      <c r="AZ55" s="1325"/>
      <c r="BA55" s="1534"/>
      <c r="BB55" s="1534"/>
      <c r="BC55" s="1535"/>
    </row>
    <row r="56" spans="1:56" ht="15.95" customHeight="1" x14ac:dyDescent="0.2">
      <c r="P56" s="245">
        <f>COUNTIF(P14:P55,TRUE)+IF(NOT($T$1),1, 0)</f>
        <v>43</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1614</v>
      </c>
    </row>
    <row r="62" spans="1:56" ht="15.95" hidden="1" customHeight="1" x14ac:dyDescent="0.2"/>
    <row r="63" spans="1:56" hidden="1" x14ac:dyDescent="0.2"/>
    <row r="64" spans="1:56" hidden="1" x14ac:dyDescent="0.2"/>
    <row r="65" spans="1:1" x14ac:dyDescent="0.2">
      <c r="A65" s="633" t="s">
        <v>1020</v>
      </c>
    </row>
  </sheetData>
  <sheetProtection algorithmName="SHA-512" hashValue="Awvex1Zs9TVzQabvL80udYBvqfK680J8/u48/Sx6Wfmkxm8tgBXOZOJDUddQ5LnGkdwalIjVucwRdRo+GLlJaA==" saltValue="BMsikVb1+vDvg/o8Ry8OGw=="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467" priority="4" stopIfTrue="1">
      <formula>AND($B14="NU",F14&lt;0)</formula>
    </cfRule>
  </conditionalFormatting>
  <conditionalFormatting sqref="B14:B55">
    <cfRule type="expression" dxfId="466" priority="5" stopIfTrue="1">
      <formula>OR(AND($B14="NU",F14&lt;0),AND($B14="NU",I14&lt;0))</formula>
    </cfRule>
  </conditionalFormatting>
  <conditionalFormatting sqref="G14:H55 J14:L55">
    <cfRule type="expression" dxfId="465" priority="6" stopIfTrue="1">
      <formula>$R14</formula>
    </cfRule>
  </conditionalFormatting>
  <conditionalFormatting sqref="I2:K4">
    <cfRule type="cellIs" dxfId="464" priority="7" stopIfTrue="1" operator="equal">
      <formula>""</formula>
    </cfRule>
  </conditionalFormatting>
  <conditionalFormatting sqref="I14:I55">
    <cfRule type="expression" dxfId="463" priority="8" stopIfTrue="1">
      <formula>OR($R14,$B14="CZ",AND($B14="NU",I14&lt;0))</formula>
    </cfRule>
  </conditionalFormatting>
  <conditionalFormatting sqref="A14:A55">
    <cfRule type="expression" dxfId="462" priority="3">
      <formula>NOT($P14)</formula>
    </cfRule>
  </conditionalFormatting>
  <conditionalFormatting sqref="B14:D55">
    <cfRule type="expression" dxfId="46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460" priority="9">
      <formula>AND(NOT($P14),$T$1)</formula>
    </cfRule>
    <cfRule type="expression" dxfId="459" priority="10">
      <formula>AND($AP14,$S$1="M")</formula>
    </cfRule>
  </conditionalFormatting>
  <conditionalFormatting sqref="L14:L55">
    <cfRule type="expression" dxfId="45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5003AF54-8E76-4953-A9F0-3E4AD2C15D48}">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629F979B-3D48-43F4-B471-958D69586EBD}">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B8CBEBAB-40A0-4DDA-82C6-8A78BFED0A56}">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C1B4C204-BFCB-4137-AC0B-1E5D1301690B}">
      <formula1>IF($CA$14,$CA$16:$CA$21,$CB$16:$CB$19)</formula1>
    </dataValidation>
    <dataValidation type="list" allowBlank="1" showErrorMessage="1" errorTitle="Invalid Type" error="You MUST select a Type from the dropdown list provided._x000a__x000a_Also, make sure your Cap Lock is turned on." sqref="B14:B55" xr:uid="{0B50B0F9-4433-4F37-8EAC-1DD8ABFCDEBE}">
      <formula1>$BF$15:$BU$15</formula1>
    </dataValidation>
    <dataValidation allowBlank="1" showInputMessage="1" errorTitle="Invalid Load Case" error="You MUST use a Load Case from the list provided." sqref="M14:M55" xr:uid="{E8FCAE79-83C6-466D-B2DB-C6FD516F334C}"/>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97869-3327-47C5-BAA2-82E333A3133F}">
  <sheetPr codeName="Sheet27">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48" t="str">
        <f>IF(S1="","",VLOOKUP(S1,'Job Info.'!X:AA,4,FALSE))</f>
        <v>Master</v>
      </c>
      <c r="J1" s="1848"/>
      <c r="K1" s="1848"/>
      <c r="L1" s="375"/>
      <c r="M1" s="375" t="s">
        <v>95</v>
      </c>
      <c r="N1" s="463" t="str">
        <f ca="1">'Job Info.'!D12</f>
        <v>775-428-0600</v>
      </c>
      <c r="O1" s="484" t="s">
        <v>722</v>
      </c>
      <c r="P1" s="1008"/>
      <c r="S1" s="378" t="str">
        <f>'Job Info.'!Q30</f>
        <v>M</v>
      </c>
      <c r="T1" s="378" t="b">
        <f>'Job Info.'!Q32</f>
        <v>0</v>
      </c>
      <c r="BD1" s="256" t="s">
        <v>1262</v>
      </c>
      <c r="BE1" s="1040" t="s">
        <v>1696</v>
      </c>
      <c r="CE1" s="485" t="s">
        <v>723</v>
      </c>
    </row>
    <row r="2" spans="1:83" ht="12.95" customHeight="1" thickTop="1" x14ac:dyDescent="0.2">
      <c r="A2" s="374"/>
      <c r="B2" s="374"/>
      <c r="C2" s="374"/>
      <c r="D2" s="374"/>
      <c r="E2" s="374"/>
      <c r="F2" s="374"/>
      <c r="G2" s="374"/>
      <c r="H2" s="375"/>
      <c r="I2" s="1853" t="str">
        <f>IF(S1="","",IF(VLOOKUP(S1,'Job Info.'!X:Z,2,FALSE),"Released for Fabrication",""))</f>
        <v/>
      </c>
      <c r="J2" s="1854"/>
      <c r="K2" s="1855"/>
      <c r="L2" s="375"/>
      <c r="M2" s="375" t="s">
        <v>96</v>
      </c>
      <c r="N2" s="463" t="str">
        <f ca="1">'Job Info.'!D13</f>
        <v>775-867-2140</v>
      </c>
      <c r="O2" s="1008"/>
      <c r="P2" s="1008"/>
      <c r="BE2" s="1040" t="s">
        <v>1518</v>
      </c>
    </row>
    <row r="3" spans="1:83" ht="12.95" customHeight="1" x14ac:dyDescent="0.2">
      <c r="A3" s="374"/>
      <c r="B3" s="374"/>
      <c r="C3" s="374"/>
      <c r="D3" s="374"/>
      <c r="E3" s="374"/>
      <c r="F3" s="374"/>
      <c r="G3" s="374"/>
      <c r="H3" s="375"/>
      <c r="I3" s="1856"/>
      <c r="J3" s="1857"/>
      <c r="K3" s="1858"/>
      <c r="L3" s="375"/>
      <c r="M3" s="375" t="s">
        <v>98</v>
      </c>
      <c r="N3" s="463" t="str">
        <f ca="1">'Job Info.'!D14</f>
        <v>775-867-2169</v>
      </c>
      <c r="O3" s="1008"/>
      <c r="P3" s="1008"/>
      <c r="BE3" s="1041" t="s">
        <v>1536</v>
      </c>
    </row>
    <row r="4" spans="1:83" ht="12.95" customHeight="1" thickBot="1" x14ac:dyDescent="0.25">
      <c r="A4" s="374"/>
      <c r="B4" s="374"/>
      <c r="C4" s="374"/>
      <c r="D4" s="374"/>
      <c r="E4" s="374"/>
      <c r="F4" s="374"/>
      <c r="G4" s="374"/>
      <c r="H4" s="374"/>
      <c r="I4" s="1859" t="str">
        <f>IF(S1="","",IF(VLOOKUP(S1,'Job Info.'!X:Z,2,FALSE),VLOOKUP(S1,'Job Info.'!X:Z,3,FALSE),""))</f>
        <v/>
      </c>
      <c r="J4" s="1860"/>
      <c r="K4" s="1861"/>
      <c r="L4" s="375"/>
      <c r="M4" s="375" t="s">
        <v>97</v>
      </c>
      <c r="N4" s="463" t="str">
        <f ca="1">'Job Info.'!D15</f>
        <v>775-867-2060</v>
      </c>
      <c r="O4" s="1008"/>
      <c r="P4" s="1008"/>
      <c r="BE4" s="1041" t="s">
        <v>1543</v>
      </c>
    </row>
    <row r="5" spans="1:83" ht="12.95" customHeight="1" thickTop="1" x14ac:dyDescent="0.2">
      <c r="A5" s="1862" t="str">
        <f ca="1">'Job Info.'!D11</f>
        <v>8200 Woolery Way | Fallon, NV 89406 | www.newmill.com</v>
      </c>
      <c r="B5" s="1872"/>
      <c r="C5" s="1872"/>
      <c r="D5" s="1872"/>
      <c r="E5" s="1872"/>
      <c r="F5" s="1872"/>
      <c r="G5" s="1872"/>
      <c r="H5" s="1872"/>
      <c r="I5" s="1872"/>
      <c r="J5" s="1872"/>
      <c r="K5" s="374"/>
      <c r="L5" s="374"/>
      <c r="M5" s="374"/>
      <c r="N5" s="374"/>
      <c r="O5" s="1008"/>
      <c r="P5" s="1008"/>
      <c r="BE5" s="1041" t="s">
        <v>1557</v>
      </c>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c r="BE6" s="1041" t="s">
        <v>1545</v>
      </c>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5 of 19</v>
      </c>
      <c r="O7" s="1008"/>
      <c r="P7" s="238">
        <v>5</v>
      </c>
      <c r="V7" s="630"/>
      <c r="BE7" s="1041" t="s">
        <v>1551</v>
      </c>
    </row>
    <row r="8" spans="1:83" ht="3.95" customHeight="1" x14ac:dyDescent="0.2">
      <c r="A8" s="374"/>
      <c r="B8" s="374"/>
      <c r="C8" s="374"/>
      <c r="D8" s="374"/>
      <c r="E8" s="374"/>
      <c r="F8" s="374"/>
      <c r="G8" s="374"/>
      <c r="H8" s="374"/>
      <c r="I8" s="374"/>
      <c r="J8" s="374"/>
      <c r="K8" s="374"/>
      <c r="L8" s="374"/>
      <c r="M8" s="374"/>
      <c r="N8" s="374"/>
      <c r="O8" s="1008"/>
      <c r="P8" s="1008"/>
      <c r="BE8" s="1041" t="s">
        <v>1559</v>
      </c>
    </row>
    <row r="9" spans="1:83" ht="12.6" customHeight="1" x14ac:dyDescent="0.2">
      <c r="A9" s="471" t="s">
        <v>1</v>
      </c>
      <c r="B9" s="1824" t="str">
        <f>IF(ISBLANK('Job Info.'!D3),"",'Job Info.'!D3)</f>
        <v>MINDEN UPS BLDG 1</v>
      </c>
      <c r="C9" s="1824"/>
      <c r="D9" s="1824"/>
      <c r="E9" s="1824"/>
      <c r="F9" s="1824"/>
      <c r="G9" s="1824"/>
      <c r="H9" s="1825"/>
      <c r="I9" s="469"/>
      <c r="J9" s="458" t="s">
        <v>2</v>
      </c>
      <c r="K9" s="1824" t="str">
        <f>IF(ISBLANK('Job Info.'!D5),"",'Job Info.'!D5)</f>
        <v>NN22-0071</v>
      </c>
      <c r="L9" s="1874"/>
      <c r="M9" s="1874"/>
      <c r="N9" s="1875"/>
      <c r="O9" s="1056"/>
      <c r="P9" s="1056"/>
      <c r="V9" s="631"/>
      <c r="BE9" s="1041" t="s">
        <v>1538</v>
      </c>
    </row>
    <row r="10" spans="1:83" ht="12.6" customHeight="1" x14ac:dyDescent="0.2">
      <c r="A10" s="471" t="s">
        <v>3</v>
      </c>
      <c r="B10" s="1824" t="str">
        <f>IF(ISBLANK('Job Info.'!D4),"",'Job Info.'!D4)</f>
        <v>MINDEN, NV</v>
      </c>
      <c r="C10" s="1824"/>
      <c r="D10" s="1824"/>
      <c r="E10" s="1824"/>
      <c r="F10" s="1824"/>
      <c r="G10" s="1824"/>
      <c r="H10" s="1825"/>
      <c r="I10" s="1873" t="s">
        <v>22</v>
      </c>
      <c r="J10" s="1873"/>
      <c r="K10" s="1824" t="str">
        <f>IF(ISBLANK('Job Info.'!D6),"",'Job Info.'!D6)</f>
        <v>JMM</v>
      </c>
      <c r="L10" s="1825"/>
      <c r="M10" s="471" t="s">
        <v>23</v>
      </c>
      <c r="N10" s="661" t="str">
        <f>IF(ISBLANK('Job Info.'!D7),"",'Job Info.'!D7)</f>
        <v>NR</v>
      </c>
      <c r="O10" s="1056"/>
      <c r="P10" s="1056"/>
      <c r="W10" s="632"/>
      <c r="BE10" s="1041" t="s">
        <v>1553</v>
      </c>
    </row>
    <row r="11" spans="1:83" ht="3.95" customHeight="1" x14ac:dyDescent="0.2">
      <c r="A11" s="1086"/>
      <c r="B11" s="374"/>
      <c r="C11" s="374"/>
      <c r="D11" s="374"/>
      <c r="E11" s="374"/>
      <c r="F11" s="374"/>
      <c r="G11" s="374"/>
      <c r="H11" s="374"/>
      <c r="I11" s="374"/>
      <c r="J11" s="374"/>
      <c r="K11" s="374"/>
      <c r="L11" s="374"/>
      <c r="M11" s="374"/>
      <c r="N11" s="374"/>
      <c r="O11" s="1008"/>
      <c r="P11" s="1008"/>
      <c r="BE11" s="1041" t="s">
        <v>1519</v>
      </c>
    </row>
    <row r="12" spans="1:83" s="478" customFormat="1" ht="14.1" customHeight="1" x14ac:dyDescent="0.2">
      <c r="A12" s="1864" t="s">
        <v>77</v>
      </c>
      <c r="B12" s="1865"/>
      <c r="C12" s="1865"/>
      <c r="D12" s="1865"/>
      <c r="E12" s="1866"/>
      <c r="F12" s="1864" t="s">
        <v>49</v>
      </c>
      <c r="G12" s="1865"/>
      <c r="H12" s="1871"/>
      <c r="I12" s="1864" t="s">
        <v>50</v>
      </c>
      <c r="J12" s="1865"/>
      <c r="K12" s="1871"/>
      <c r="L12" s="1867" t="s">
        <v>51</v>
      </c>
      <c r="M12" s="1880" t="s">
        <v>741</v>
      </c>
      <c r="N12" s="1867" t="s">
        <v>52</v>
      </c>
      <c r="O12" s="1085"/>
      <c r="P12" s="1085"/>
      <c r="AO12" s="548" t="s">
        <v>973</v>
      </c>
      <c r="AP12" s="944" t="s">
        <v>170</v>
      </c>
      <c r="AQ12" s="1876" t="s">
        <v>1208</v>
      </c>
      <c r="AR12" s="1877"/>
      <c r="AS12" s="1877"/>
      <c r="AT12" s="1877"/>
      <c r="AU12" s="1877"/>
      <c r="AV12" s="1877"/>
      <c r="AW12" s="1877"/>
      <c r="AX12" s="1877"/>
      <c r="AY12" s="1877"/>
      <c r="AZ12" s="1878"/>
      <c r="BA12" s="1878"/>
      <c r="BB12" s="1878"/>
      <c r="BC12" s="1879"/>
      <c r="BE12" s="1530" t="s">
        <v>1554</v>
      </c>
    </row>
    <row r="13" spans="1:83" s="478" customFormat="1" ht="14.1" customHeight="1" x14ac:dyDescent="0.2">
      <c r="A13" s="1049" t="s">
        <v>46</v>
      </c>
      <c r="B13" s="1050" t="s">
        <v>17</v>
      </c>
      <c r="C13" s="1050" t="s">
        <v>45</v>
      </c>
      <c r="D13" s="1050" t="s">
        <v>78</v>
      </c>
      <c r="E13" s="1326" t="s">
        <v>44</v>
      </c>
      <c r="F13" s="1049" t="s">
        <v>47</v>
      </c>
      <c r="G13" s="1869" t="s">
        <v>48</v>
      </c>
      <c r="H13" s="1870"/>
      <c r="I13" s="1049" t="s">
        <v>47</v>
      </c>
      <c r="J13" s="1869" t="s">
        <v>48</v>
      </c>
      <c r="K13" s="1870"/>
      <c r="L13" s="1868"/>
      <c r="M13" s="1881"/>
      <c r="N13" s="1882"/>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t="s">
        <v>1394</v>
      </c>
    </row>
    <row r="14" spans="1:83" ht="14.1" customHeight="1" x14ac:dyDescent="0.2">
      <c r="A14" s="1503" t="s">
        <v>1563</v>
      </c>
      <c r="B14" s="1504" t="s">
        <v>146</v>
      </c>
      <c r="C14" s="1504" t="s">
        <v>167</v>
      </c>
      <c r="D14" s="1504" t="s">
        <v>145</v>
      </c>
      <c r="E14" s="1687"/>
      <c r="F14" s="1505">
        <v>3136</v>
      </c>
      <c r="G14" s="1506">
        <v>3</v>
      </c>
      <c r="H14" s="1507">
        <v>0</v>
      </c>
      <c r="I14" s="1505"/>
      <c r="J14" s="1506"/>
      <c r="K14" s="1507"/>
      <c r="L14" s="1508" t="s">
        <v>702</v>
      </c>
      <c r="M14" s="1509" t="s">
        <v>1397</v>
      </c>
      <c r="N14" s="1688" t="s">
        <v>1561</v>
      </c>
      <c r="O14" s="1814"/>
      <c r="P14" s="415" t="b">
        <f t="shared" ref="P14:P16" si="0">IF(ISERROR(VLOOKUP(AO14,BE:BE,1,FALSE)),FALSE,IF(AO14&lt;&gt;"",VLOOKUP(AO14,BE:BE,1,FALSE)=AO14))</f>
        <v>1</v>
      </c>
      <c r="R14" s="245" t="b">
        <f>OR(B14="CP",B14="CA", B14="AX",B14="M",B14="S")</f>
        <v>0</v>
      </c>
      <c r="AO14" s="238" t="str">
        <f>IF(ISBLANK(A14),"",SUBSTITUTE(A14,"*",""))</f>
        <v>40</v>
      </c>
      <c r="AP14" s="945" t="b">
        <v>0</v>
      </c>
      <c r="AQ14" s="1322" t="s">
        <v>146</v>
      </c>
      <c r="AR14" s="1323" t="s">
        <v>167</v>
      </c>
      <c r="AS14" s="1323" t="s">
        <v>145</v>
      </c>
      <c r="AT14" s="1323"/>
      <c r="AU14" s="1323">
        <v>3136</v>
      </c>
      <c r="AV14" s="1323">
        <v>3</v>
      </c>
      <c r="AW14" s="1323">
        <v>0</v>
      </c>
      <c r="AX14" s="1323"/>
      <c r="AY14" s="1323"/>
      <c r="AZ14" s="1323"/>
      <c r="BA14" s="1532" t="s">
        <v>702</v>
      </c>
      <c r="BB14" s="1532" t="s">
        <v>116</v>
      </c>
      <c r="BC14" s="1533" t="s">
        <v>1561</v>
      </c>
      <c r="BD14" s="245">
        <v>4</v>
      </c>
      <c r="BE14" s="1041" t="s">
        <v>1520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146</v>
      </c>
      <c r="C15" s="1511" t="s">
        <v>167</v>
      </c>
      <c r="D15" s="1511" t="s">
        <v>145</v>
      </c>
      <c r="E15" s="1512"/>
      <c r="F15" s="1513">
        <v>-3136</v>
      </c>
      <c r="G15" s="1514">
        <v>3</v>
      </c>
      <c r="H15" s="1515">
        <v>0</v>
      </c>
      <c r="I15" s="1513"/>
      <c r="J15" s="1514"/>
      <c r="K15" s="1515"/>
      <c r="L15" s="1516" t="s">
        <v>702</v>
      </c>
      <c r="M15" s="1517" t="s">
        <v>808</v>
      </c>
      <c r="N15" s="1689" t="s">
        <v>116</v>
      </c>
      <c r="O15" s="1814"/>
      <c r="P15" s="415" t="b">
        <f t="shared" si="0"/>
        <v>1</v>
      </c>
      <c r="R15" s="245" t="b">
        <f t="shared" ref="R15:R55" si="1">OR(B15="CP",B15="CA", B15="AX",B15="M",B15="S")</f>
        <v>0</v>
      </c>
      <c r="AO15" s="238" t="str">
        <f t="shared" ref="AO15:AO55" si="2">IF(ISBLANK(A15),AO14,SUBSTITUTE(A15,"*",""))</f>
        <v>40</v>
      </c>
      <c r="AP15" s="945" t="b">
        <v>0</v>
      </c>
      <c r="AQ15" s="1322" t="s">
        <v>146</v>
      </c>
      <c r="AR15" s="1323" t="s">
        <v>167</v>
      </c>
      <c r="AS15" s="1323" t="s">
        <v>145</v>
      </c>
      <c r="AT15" s="1323"/>
      <c r="AU15" s="1323">
        <v>-3136</v>
      </c>
      <c r="AV15" s="1323">
        <v>3</v>
      </c>
      <c r="AW15" s="1323">
        <v>0</v>
      </c>
      <c r="AX15" s="1323"/>
      <c r="AY15" s="1323"/>
      <c r="AZ15" s="1323"/>
      <c r="BA15" s="1532" t="s">
        <v>702</v>
      </c>
      <c r="BB15" s="1532" t="s">
        <v>808</v>
      </c>
      <c r="BC15" s="1533" t="s">
        <v>116</v>
      </c>
      <c r="BE15" s="1041" t="s">
        <v>1521</v>
      </c>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157</v>
      </c>
      <c r="C16" s="1511" t="s">
        <v>167</v>
      </c>
      <c r="D16" s="1511" t="s">
        <v>145</v>
      </c>
      <c r="E16" s="1512"/>
      <c r="F16" s="1513">
        <v>1568</v>
      </c>
      <c r="G16" s="1514"/>
      <c r="H16" s="1515"/>
      <c r="I16" s="1513"/>
      <c r="J16" s="1514"/>
      <c r="K16" s="1515"/>
      <c r="L16" s="1516" t="s">
        <v>116</v>
      </c>
      <c r="M16" s="1517" t="s">
        <v>1397</v>
      </c>
      <c r="N16" s="1689" t="s">
        <v>116</v>
      </c>
      <c r="O16" s="1814"/>
      <c r="P16" s="415" t="b">
        <f t="shared" si="0"/>
        <v>1</v>
      </c>
      <c r="R16" s="245" t="b">
        <f t="shared" si="1"/>
        <v>1</v>
      </c>
      <c r="AO16" s="238" t="str">
        <f t="shared" si="2"/>
        <v>40</v>
      </c>
      <c r="AP16" s="945" t="b">
        <v>0</v>
      </c>
      <c r="AQ16" s="1322" t="s">
        <v>157</v>
      </c>
      <c r="AR16" s="1323" t="s">
        <v>167</v>
      </c>
      <c r="AS16" s="1323" t="s">
        <v>145</v>
      </c>
      <c r="AT16" s="1323"/>
      <c r="AU16" s="1323">
        <v>1568</v>
      </c>
      <c r="AV16" s="1323"/>
      <c r="AW16" s="1323"/>
      <c r="AX16" s="1323"/>
      <c r="AY16" s="1323"/>
      <c r="AZ16" s="1323"/>
      <c r="BA16" s="1532" t="s">
        <v>116</v>
      </c>
      <c r="BB16" s="1532" t="s">
        <v>116</v>
      </c>
      <c r="BC16" s="1533" t="s">
        <v>116</v>
      </c>
      <c r="BE16" s="1041" t="s">
        <v>1555</v>
      </c>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146</v>
      </c>
      <c r="C17" s="1816" t="s">
        <v>165</v>
      </c>
      <c r="D17" s="1511" t="s">
        <v>145</v>
      </c>
      <c r="E17" s="1512"/>
      <c r="F17" s="1513">
        <v>600</v>
      </c>
      <c r="G17" s="1514">
        <v>3</v>
      </c>
      <c r="H17" s="1515">
        <v>0</v>
      </c>
      <c r="I17" s="1513"/>
      <c r="J17" s="1514"/>
      <c r="K17" s="1515"/>
      <c r="L17" s="1516" t="s">
        <v>702</v>
      </c>
      <c r="M17" s="1517" t="s">
        <v>116</v>
      </c>
      <c r="N17" s="1689" t="s">
        <v>116</v>
      </c>
      <c r="O17" s="1814"/>
      <c r="P17" s="415" t="b">
        <f>IF(ISERROR(VLOOKUP(AO17,BE:BE,1,FALSE)),FALSE,IF(AO17&lt;&gt;"",VLOOKUP(AO17,BE:BE,1,FALSE)=AO17))</f>
        <v>1</v>
      </c>
      <c r="R17" s="245" t="b">
        <f t="shared" si="1"/>
        <v>0</v>
      </c>
      <c r="AO17" s="238" t="str">
        <f t="shared" si="2"/>
        <v>40</v>
      </c>
      <c r="AP17" s="945" t="b">
        <v>0</v>
      </c>
      <c r="AQ17" s="1322" t="s">
        <v>146</v>
      </c>
      <c r="AR17" s="1323" t="s">
        <v>167</v>
      </c>
      <c r="AS17" s="1323" t="s">
        <v>145</v>
      </c>
      <c r="AT17" s="1323"/>
      <c r="AU17" s="1323">
        <v>600</v>
      </c>
      <c r="AV17" s="1323">
        <v>3</v>
      </c>
      <c r="AW17" s="1323">
        <v>0</v>
      </c>
      <c r="AX17" s="1323"/>
      <c r="AY17" s="1323"/>
      <c r="AZ17" s="1323"/>
      <c r="BA17" s="1532" t="s">
        <v>702</v>
      </c>
      <c r="BB17" s="1532" t="s">
        <v>116</v>
      </c>
      <c r="BC17" s="1533" t="s">
        <v>116</v>
      </c>
      <c r="BE17" s="1041" t="s">
        <v>943</v>
      </c>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c r="C18" s="1511"/>
      <c r="D18" s="1511"/>
      <c r="E18" s="1512"/>
      <c r="F18" s="1513"/>
      <c r="G18" s="1514"/>
      <c r="H18" s="1515"/>
      <c r="I18" s="1513"/>
      <c r="J18" s="1514"/>
      <c r="K18" s="1515"/>
      <c r="L18" s="1516"/>
      <c r="M18" s="1517"/>
      <c r="N18" s="1689"/>
      <c r="O18" s="1814"/>
      <c r="P18" s="415" t="b">
        <f t="shared" ref="P18:P55" si="3">IF(ISERROR(VLOOKUP(AO18,BE:BE,1,FALSE)),FALSE,IF(AO18&lt;&gt;"",VLOOKUP(AO18,BE:BE,1,FALSE)=AO18))</f>
        <v>1</v>
      </c>
      <c r="R18" s="245" t="b">
        <f t="shared" si="1"/>
        <v>0</v>
      </c>
      <c r="AO18" s="238" t="str">
        <f t="shared" si="2"/>
        <v>40</v>
      </c>
      <c r="AP18" s="945" t="b">
        <v>0</v>
      </c>
      <c r="AQ18" s="1322"/>
      <c r="AR18" s="1323"/>
      <c r="AS18" s="1323"/>
      <c r="AT18" s="1323"/>
      <c r="AU18" s="1323"/>
      <c r="AV18" s="1323"/>
      <c r="AW18" s="1323"/>
      <c r="AX18" s="1323"/>
      <c r="AY18" s="1323"/>
      <c r="AZ18" s="1323"/>
      <c r="BA18" s="1532"/>
      <c r="BB18" s="1532"/>
      <c r="BC18" s="1533"/>
      <c r="BE18" s="1041" t="s">
        <v>944</v>
      </c>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c r="C19" s="1511"/>
      <c r="D19" s="1511"/>
      <c r="E19" s="1512"/>
      <c r="F19" s="1513"/>
      <c r="G19" s="1514"/>
      <c r="H19" s="1515"/>
      <c r="I19" s="1513"/>
      <c r="J19" s="1514"/>
      <c r="K19" s="1515"/>
      <c r="L19" s="1516"/>
      <c r="M19" s="1517"/>
      <c r="N19" s="1689" t="s">
        <v>116</v>
      </c>
      <c r="O19" s="1814"/>
      <c r="P19" s="415" t="b">
        <f t="shared" si="3"/>
        <v>1</v>
      </c>
      <c r="R19" s="245" t="b">
        <f t="shared" si="1"/>
        <v>0</v>
      </c>
      <c r="AO19" s="238" t="str">
        <f t="shared" si="2"/>
        <v>40</v>
      </c>
      <c r="AP19" s="945" t="b">
        <v>0</v>
      </c>
      <c r="AQ19" s="1322"/>
      <c r="AR19" s="1323"/>
      <c r="AS19" s="1323"/>
      <c r="AT19" s="1323"/>
      <c r="AU19" s="1323"/>
      <c r="AV19" s="1323"/>
      <c r="AW19" s="1323"/>
      <c r="AX19" s="1323"/>
      <c r="AY19" s="1323"/>
      <c r="AZ19" s="1323"/>
      <c r="BA19" s="1532"/>
      <c r="BB19" s="1532"/>
      <c r="BC19" s="1533"/>
      <c r="BE19" s="1041" t="s">
        <v>1539</v>
      </c>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c r="C20" s="1511"/>
      <c r="D20" s="1511"/>
      <c r="E20" s="1512"/>
      <c r="F20" s="1513"/>
      <c r="G20" s="1514"/>
      <c r="H20" s="1515"/>
      <c r="I20" s="1513"/>
      <c r="J20" s="1514"/>
      <c r="K20" s="1515"/>
      <c r="L20" s="1516"/>
      <c r="M20" s="1517"/>
      <c r="N20" s="1518"/>
      <c r="O20" s="1815"/>
      <c r="P20" s="415" t="b">
        <f t="shared" si="3"/>
        <v>1</v>
      </c>
      <c r="R20" s="245" t="b">
        <f t="shared" si="1"/>
        <v>0</v>
      </c>
      <c r="AO20" s="238" t="str">
        <f t="shared" si="2"/>
        <v>40</v>
      </c>
      <c r="AP20" s="945" t="b">
        <v>0</v>
      </c>
      <c r="AQ20" s="1322"/>
      <c r="AR20" s="1323"/>
      <c r="AS20" s="1323"/>
      <c r="AT20" s="1323"/>
      <c r="AU20" s="1323"/>
      <c r="AV20" s="1323"/>
      <c r="AW20" s="1323"/>
      <c r="AX20" s="1323"/>
      <c r="AY20" s="1323"/>
      <c r="AZ20" s="1323"/>
      <c r="BA20" s="1532"/>
      <c r="BB20" s="1532"/>
      <c r="BC20" s="1533"/>
      <c r="BE20" s="1041" t="s">
        <v>1523</v>
      </c>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c r="C21" s="1511"/>
      <c r="D21" s="1511"/>
      <c r="E21" s="1512"/>
      <c r="F21" s="1513"/>
      <c r="G21" s="1514"/>
      <c r="H21" s="1515"/>
      <c r="I21" s="1513"/>
      <c r="J21" s="1514"/>
      <c r="K21" s="1515"/>
      <c r="L21" s="1516"/>
      <c r="M21" s="1517"/>
      <c r="N21" s="1518"/>
      <c r="O21" s="1815"/>
      <c r="P21" s="415" t="b">
        <f t="shared" si="3"/>
        <v>1</v>
      </c>
      <c r="R21" s="245" t="b">
        <f t="shared" si="1"/>
        <v>0</v>
      </c>
      <c r="AO21" s="238" t="str">
        <f t="shared" si="2"/>
        <v>40</v>
      </c>
      <c r="AP21" s="945" t="b">
        <v>0</v>
      </c>
      <c r="AQ21" s="1322"/>
      <c r="AR21" s="1323"/>
      <c r="AS21" s="1323"/>
      <c r="AT21" s="1323"/>
      <c r="AU21" s="1323"/>
      <c r="AV21" s="1323"/>
      <c r="AW21" s="1323"/>
      <c r="AX21" s="1323"/>
      <c r="AY21" s="1323"/>
      <c r="AZ21" s="1323"/>
      <c r="BA21" s="1532"/>
      <c r="BB21" s="1532"/>
      <c r="BC21" s="1533"/>
      <c r="BE21" s="1041" t="s">
        <v>808</v>
      </c>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c r="C22" s="1511"/>
      <c r="D22" s="1511"/>
      <c r="E22" s="1512"/>
      <c r="F22" s="1513"/>
      <c r="G22" s="1514"/>
      <c r="H22" s="1515"/>
      <c r="I22" s="1513"/>
      <c r="J22" s="1514"/>
      <c r="K22" s="1515"/>
      <c r="L22" s="1516"/>
      <c r="M22" s="1517"/>
      <c r="N22" s="1518"/>
      <c r="O22" s="1815"/>
      <c r="P22" s="415" t="b">
        <f t="shared" si="3"/>
        <v>1</v>
      </c>
      <c r="R22" s="245" t="b">
        <f t="shared" si="1"/>
        <v>0</v>
      </c>
      <c r="AO22" s="238" t="str">
        <f t="shared" si="2"/>
        <v>40</v>
      </c>
      <c r="AP22" s="945" t="b">
        <v>0</v>
      </c>
      <c r="AQ22" s="1322"/>
      <c r="AR22" s="1323"/>
      <c r="AS22" s="1323"/>
      <c r="AT22" s="1323"/>
      <c r="AU22" s="1323"/>
      <c r="AV22" s="1323"/>
      <c r="AW22" s="1323"/>
      <c r="AX22" s="1323"/>
      <c r="AY22" s="1323"/>
      <c r="AZ22" s="1323"/>
      <c r="BA22" s="1532"/>
      <c r="BB22" s="1532"/>
      <c r="BC22" s="1533"/>
      <c r="BE22" s="1041" t="s">
        <v>1524</v>
      </c>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c r="C23" s="1511"/>
      <c r="D23" s="1511"/>
      <c r="E23" s="1512"/>
      <c r="F23" s="1513"/>
      <c r="G23" s="1514"/>
      <c r="H23" s="1515"/>
      <c r="I23" s="1513"/>
      <c r="J23" s="1514"/>
      <c r="K23" s="1515"/>
      <c r="L23" s="1516"/>
      <c r="M23" s="1517"/>
      <c r="N23" s="1518"/>
      <c r="O23" s="1815"/>
      <c r="P23" s="415" t="b">
        <f t="shared" si="3"/>
        <v>1</v>
      </c>
      <c r="R23" s="245" t="b">
        <f t="shared" si="1"/>
        <v>0</v>
      </c>
      <c r="AO23" s="238" t="str">
        <f t="shared" si="2"/>
        <v>40</v>
      </c>
      <c r="AP23" s="945" t="b">
        <v>0</v>
      </c>
      <c r="AQ23" s="1322"/>
      <c r="AR23" s="1323"/>
      <c r="AS23" s="1323"/>
      <c r="AT23" s="1323"/>
      <c r="AU23" s="1323"/>
      <c r="AV23" s="1323"/>
      <c r="AW23" s="1323"/>
      <c r="AX23" s="1323"/>
      <c r="AY23" s="1323"/>
      <c r="AZ23" s="1323"/>
      <c r="BA23" s="1532"/>
      <c r="BB23" s="1532"/>
      <c r="BC23" s="1533"/>
      <c r="BE23" s="1041" t="s">
        <v>1541</v>
      </c>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c r="C24" s="1511"/>
      <c r="D24" s="1511"/>
      <c r="E24" s="1512"/>
      <c r="F24" s="1513"/>
      <c r="G24" s="1514"/>
      <c r="H24" s="1515"/>
      <c r="I24" s="1513"/>
      <c r="J24" s="1514"/>
      <c r="K24" s="1515"/>
      <c r="L24" s="1516"/>
      <c r="M24" s="1517"/>
      <c r="N24" s="1518"/>
      <c r="O24" s="1815"/>
      <c r="P24" s="415" t="b">
        <f t="shared" si="3"/>
        <v>1</v>
      </c>
      <c r="R24" s="245" t="b">
        <f t="shared" si="1"/>
        <v>0</v>
      </c>
      <c r="AO24" s="238" t="str">
        <f t="shared" si="2"/>
        <v>40</v>
      </c>
      <c r="AP24" s="945" t="b">
        <v>0</v>
      </c>
      <c r="AQ24" s="1322"/>
      <c r="AR24" s="1323"/>
      <c r="AS24" s="1323"/>
      <c r="AT24" s="1323"/>
      <c r="AU24" s="1323"/>
      <c r="AV24" s="1323"/>
      <c r="AW24" s="1323"/>
      <c r="AX24" s="1323"/>
      <c r="AY24" s="1323"/>
      <c r="AZ24" s="1323"/>
      <c r="BA24" s="1532"/>
      <c r="BB24" s="1532"/>
      <c r="BC24" s="1533"/>
      <c r="BE24" s="1041" t="s">
        <v>1525</v>
      </c>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c r="C25" s="1511"/>
      <c r="D25" s="1511"/>
      <c r="E25" s="1512"/>
      <c r="F25" s="1513"/>
      <c r="G25" s="1514"/>
      <c r="H25" s="1515"/>
      <c r="I25" s="1513"/>
      <c r="J25" s="1514"/>
      <c r="K25" s="1515"/>
      <c r="L25" s="1516"/>
      <c r="M25" s="1517"/>
      <c r="N25" s="1518"/>
      <c r="O25" s="1815"/>
      <c r="P25" s="415" t="b">
        <f t="shared" si="3"/>
        <v>1</v>
      </c>
      <c r="R25" s="245" t="b">
        <f t="shared" si="1"/>
        <v>0</v>
      </c>
      <c r="AO25" s="238" t="str">
        <f t="shared" si="2"/>
        <v>40</v>
      </c>
      <c r="AP25" s="945" t="b">
        <v>0</v>
      </c>
      <c r="AQ25" s="1322"/>
      <c r="AR25" s="1323"/>
      <c r="AS25" s="1323"/>
      <c r="AT25" s="1323"/>
      <c r="AU25" s="1323"/>
      <c r="AV25" s="1323"/>
      <c r="AW25" s="1323"/>
      <c r="AX25" s="1323"/>
      <c r="AY25" s="1323"/>
      <c r="AZ25" s="1323"/>
      <c r="BA25" s="1532"/>
      <c r="BB25" s="1532"/>
      <c r="BC25" s="1533"/>
      <c r="BE25" s="1041" t="s">
        <v>1534</v>
      </c>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c r="C26" s="1511"/>
      <c r="D26" s="1511"/>
      <c r="E26" s="1512"/>
      <c r="F26" s="1513"/>
      <c r="G26" s="1514"/>
      <c r="H26" s="1515"/>
      <c r="I26" s="1513"/>
      <c r="J26" s="1514"/>
      <c r="K26" s="1515"/>
      <c r="L26" s="1516"/>
      <c r="M26" s="1517"/>
      <c r="N26" s="1518"/>
      <c r="O26" s="1815"/>
      <c r="P26" s="415" t="b">
        <f t="shared" si="3"/>
        <v>1</v>
      </c>
      <c r="R26" s="245" t="b">
        <f t="shared" si="1"/>
        <v>0</v>
      </c>
      <c r="AO26" s="238" t="str">
        <f t="shared" si="2"/>
        <v>40</v>
      </c>
      <c r="AP26" s="945" t="b">
        <v>0</v>
      </c>
      <c r="AQ26" s="1322"/>
      <c r="AR26" s="1323"/>
      <c r="AS26" s="1323"/>
      <c r="AT26" s="1323"/>
      <c r="AU26" s="1323"/>
      <c r="AV26" s="1323"/>
      <c r="AW26" s="1323"/>
      <c r="AX26" s="1323"/>
      <c r="AY26" s="1323"/>
      <c r="AZ26" s="1323"/>
      <c r="BA26" s="1532"/>
      <c r="BB26" s="1532"/>
      <c r="BC26" s="1533"/>
      <c r="BE26" s="1041" t="s">
        <v>1560</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c r="C27" s="1511"/>
      <c r="D27" s="1511"/>
      <c r="E27" s="1512"/>
      <c r="F27" s="1513"/>
      <c r="G27" s="1514"/>
      <c r="H27" s="1515"/>
      <c r="I27" s="1513"/>
      <c r="J27" s="1514"/>
      <c r="K27" s="1515"/>
      <c r="L27" s="1516"/>
      <c r="M27" s="1517"/>
      <c r="N27" s="1518"/>
      <c r="O27" s="1815"/>
      <c r="P27" s="415" t="b">
        <f t="shared" si="3"/>
        <v>1</v>
      </c>
      <c r="R27" s="245" t="b">
        <f t="shared" si="1"/>
        <v>0</v>
      </c>
      <c r="AO27" s="238" t="str">
        <f t="shared" si="2"/>
        <v>40</v>
      </c>
      <c r="AP27" s="945" t="b">
        <v>0</v>
      </c>
      <c r="AQ27" s="1322"/>
      <c r="AR27" s="1323"/>
      <c r="AS27" s="1323"/>
      <c r="AT27" s="1323"/>
      <c r="AU27" s="1323"/>
      <c r="AV27" s="1323"/>
      <c r="AW27" s="1323"/>
      <c r="AX27" s="1323"/>
      <c r="AY27" s="1323"/>
      <c r="AZ27" s="1323"/>
      <c r="BA27" s="1532"/>
      <c r="BB27" s="1532"/>
      <c r="BC27" s="1533"/>
      <c r="BE27" s="1041" t="s">
        <v>1547</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c r="C28" s="1511"/>
      <c r="D28" s="1511"/>
      <c r="E28" s="1512"/>
      <c r="F28" s="1513"/>
      <c r="G28" s="1514"/>
      <c r="H28" s="1515"/>
      <c r="I28" s="1513"/>
      <c r="J28" s="1514"/>
      <c r="K28" s="1515"/>
      <c r="L28" s="1516"/>
      <c r="M28" s="1517"/>
      <c r="N28" s="1689"/>
      <c r="O28" s="1814"/>
      <c r="P28" s="415" t="b">
        <f t="shared" si="3"/>
        <v>1</v>
      </c>
      <c r="R28" s="245" t="b">
        <f t="shared" si="1"/>
        <v>0</v>
      </c>
      <c r="AO28" s="238" t="str">
        <f t="shared" si="2"/>
        <v>40</v>
      </c>
      <c r="AP28" s="945" t="b">
        <v>0</v>
      </c>
      <c r="AQ28" s="1322"/>
      <c r="AR28" s="1323"/>
      <c r="AS28" s="1323"/>
      <c r="AT28" s="1323"/>
      <c r="AU28" s="1323"/>
      <c r="AV28" s="1323"/>
      <c r="AW28" s="1323"/>
      <c r="AX28" s="1323"/>
      <c r="AY28" s="1323"/>
      <c r="AZ28" s="1323"/>
      <c r="BA28" s="1532"/>
      <c r="BB28" s="1532"/>
      <c r="BC28" s="1533"/>
      <c r="BE28" s="1041" t="s">
        <v>1526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c r="C29" s="1511"/>
      <c r="D29" s="1511"/>
      <c r="E29" s="1512"/>
      <c r="F29" s="1513"/>
      <c r="G29" s="1514"/>
      <c r="H29" s="1515"/>
      <c r="I29" s="1513"/>
      <c r="J29" s="1514"/>
      <c r="K29" s="1515"/>
      <c r="L29" s="1516"/>
      <c r="M29" s="1517"/>
      <c r="N29" s="1689"/>
      <c r="O29" s="1814"/>
      <c r="P29" s="415" t="b">
        <f t="shared" si="3"/>
        <v>1</v>
      </c>
      <c r="R29" s="245" t="b">
        <f t="shared" si="1"/>
        <v>0</v>
      </c>
      <c r="AO29" s="238" t="str">
        <f t="shared" si="2"/>
        <v>40</v>
      </c>
      <c r="AP29" s="945" t="b">
        <v>0</v>
      </c>
      <c r="AQ29" s="1322"/>
      <c r="AR29" s="1323"/>
      <c r="AS29" s="1323"/>
      <c r="AT29" s="1323"/>
      <c r="AU29" s="1323"/>
      <c r="AV29" s="1323"/>
      <c r="AW29" s="1323"/>
      <c r="AX29" s="1323"/>
      <c r="AY29" s="1323"/>
      <c r="AZ29" s="1323"/>
      <c r="BA29" s="1532"/>
      <c r="BB29" s="1532"/>
      <c r="BC29" s="1533"/>
      <c r="BE29" s="1041" t="s">
        <v>1527</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c r="C30" s="1511"/>
      <c r="D30" s="1511"/>
      <c r="E30" s="1512"/>
      <c r="F30" s="1513"/>
      <c r="G30" s="1514"/>
      <c r="H30" s="1515"/>
      <c r="I30" s="1513"/>
      <c r="J30" s="1514"/>
      <c r="K30" s="1515"/>
      <c r="L30" s="1516"/>
      <c r="M30" s="1517"/>
      <c r="N30" s="1689" t="s">
        <v>116</v>
      </c>
      <c r="O30" s="1814"/>
      <c r="P30" s="415" t="b">
        <f t="shared" si="3"/>
        <v>1</v>
      </c>
      <c r="R30" s="245" t="b">
        <f t="shared" si="1"/>
        <v>0</v>
      </c>
      <c r="AO30" s="238" t="str">
        <f t="shared" si="2"/>
        <v>40</v>
      </c>
      <c r="AP30" s="945" t="b">
        <v>0</v>
      </c>
      <c r="AQ30" s="1322"/>
      <c r="AR30" s="1323"/>
      <c r="AS30" s="1323"/>
      <c r="AT30" s="1323"/>
      <c r="AU30" s="1323"/>
      <c r="AV30" s="1323"/>
      <c r="AW30" s="1323"/>
      <c r="AX30" s="1323"/>
      <c r="AY30" s="1323"/>
      <c r="AZ30" s="1323"/>
      <c r="BA30" s="1532"/>
      <c r="BB30" s="1532"/>
      <c r="BC30" s="1533"/>
      <c r="BE30" s="1041" t="s">
        <v>1528</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c r="C31" s="1511"/>
      <c r="D31" s="1511"/>
      <c r="E31" s="1512"/>
      <c r="F31" s="1513"/>
      <c r="G31" s="1514"/>
      <c r="H31" s="1515"/>
      <c r="I31" s="1513"/>
      <c r="J31" s="1514"/>
      <c r="K31" s="1515"/>
      <c r="L31" s="1516"/>
      <c r="M31" s="1516"/>
      <c r="N31" s="1689" t="s">
        <v>116</v>
      </c>
      <c r="O31" s="1814"/>
      <c r="P31" s="415" t="b">
        <f t="shared" si="3"/>
        <v>1</v>
      </c>
      <c r="R31" s="245" t="b">
        <f t="shared" si="1"/>
        <v>0</v>
      </c>
      <c r="AO31" s="238" t="str">
        <f t="shared" si="2"/>
        <v>40</v>
      </c>
      <c r="AP31" s="945" t="b">
        <v>0</v>
      </c>
      <c r="AQ31" s="1322"/>
      <c r="AR31" s="1323"/>
      <c r="AS31" s="1323"/>
      <c r="AT31" s="1323"/>
      <c r="AU31" s="1323"/>
      <c r="AV31" s="1323"/>
      <c r="AW31" s="1323"/>
      <c r="AX31" s="1323"/>
      <c r="AY31" s="1323"/>
      <c r="AZ31" s="1323"/>
      <c r="BA31" s="1532"/>
      <c r="BB31" s="1532"/>
      <c r="BC31" s="1533"/>
      <c r="BE31" s="1041" t="s">
        <v>1529</v>
      </c>
    </row>
    <row r="32" spans="1:81" ht="14.1" customHeight="1" x14ac:dyDescent="0.2">
      <c r="A32" s="1510"/>
      <c r="B32" s="1511"/>
      <c r="C32" s="1511"/>
      <c r="D32" s="1511"/>
      <c r="E32" s="1512"/>
      <c r="F32" s="1513"/>
      <c r="G32" s="1514"/>
      <c r="H32" s="1515"/>
      <c r="I32" s="1513"/>
      <c r="J32" s="1514"/>
      <c r="K32" s="1515"/>
      <c r="L32" s="1516"/>
      <c r="M32" s="1516"/>
      <c r="N32" s="1689" t="s">
        <v>116</v>
      </c>
      <c r="O32" s="1814"/>
      <c r="P32" s="415" t="b">
        <f t="shared" si="3"/>
        <v>1</v>
      </c>
      <c r="R32" s="245" t="b">
        <f t="shared" si="1"/>
        <v>0</v>
      </c>
      <c r="AO32" s="238" t="str">
        <f t="shared" si="2"/>
        <v>40</v>
      </c>
      <c r="AP32" s="945" t="b">
        <v>0</v>
      </c>
      <c r="AQ32" s="1322"/>
      <c r="AR32" s="1323"/>
      <c r="AS32" s="1323"/>
      <c r="AT32" s="1323"/>
      <c r="AU32" s="1323"/>
      <c r="AV32" s="1323"/>
      <c r="AW32" s="1323"/>
      <c r="AX32" s="1323"/>
      <c r="AY32" s="1323"/>
      <c r="AZ32" s="1323"/>
      <c r="BA32" s="1532"/>
      <c r="BB32" s="1532"/>
      <c r="BC32" s="1533"/>
      <c r="BE32" s="1041" t="s">
        <v>1397</v>
      </c>
    </row>
    <row r="33" spans="1:57" ht="14.1" customHeight="1" x14ac:dyDescent="0.2">
      <c r="A33" s="1510"/>
      <c r="B33" s="1511"/>
      <c r="C33" s="1511"/>
      <c r="D33" s="1511"/>
      <c r="E33" s="1512"/>
      <c r="F33" s="1513"/>
      <c r="G33" s="1514"/>
      <c r="H33" s="1515"/>
      <c r="I33" s="1513"/>
      <c r="J33" s="1514"/>
      <c r="K33" s="1515"/>
      <c r="L33" s="1516"/>
      <c r="M33" s="1516"/>
      <c r="N33" s="1689" t="s">
        <v>116</v>
      </c>
      <c r="O33" s="1814"/>
      <c r="P33" s="415" t="b">
        <f t="shared" si="3"/>
        <v>1</v>
      </c>
      <c r="R33" s="245" t="b">
        <f t="shared" si="1"/>
        <v>0</v>
      </c>
      <c r="AO33" s="238" t="str">
        <f t="shared" si="2"/>
        <v>40</v>
      </c>
      <c r="AP33" s="945" t="b">
        <v>0</v>
      </c>
      <c r="AQ33" s="1322"/>
      <c r="AR33" s="1323"/>
      <c r="AS33" s="1323"/>
      <c r="AT33" s="1323"/>
      <c r="AU33" s="1323"/>
      <c r="AV33" s="1323"/>
      <c r="AW33" s="1323"/>
      <c r="AX33" s="1323"/>
      <c r="AY33" s="1323"/>
      <c r="AZ33" s="1323"/>
      <c r="BA33" s="1532"/>
      <c r="BB33" s="1532"/>
      <c r="BC33" s="1533"/>
      <c r="BE33" s="1041" t="s">
        <v>1530</v>
      </c>
    </row>
    <row r="34" spans="1:57" ht="14.1" customHeight="1" x14ac:dyDescent="0.2">
      <c r="A34" s="1510"/>
      <c r="B34" s="1511"/>
      <c r="C34" s="1511"/>
      <c r="D34" s="1511"/>
      <c r="E34" s="1512"/>
      <c r="F34" s="1513"/>
      <c r="G34" s="1514"/>
      <c r="H34" s="1515"/>
      <c r="I34" s="1513"/>
      <c r="J34" s="1514"/>
      <c r="K34" s="1515"/>
      <c r="L34" s="1516"/>
      <c r="M34" s="1516"/>
      <c r="N34" s="1689" t="s">
        <v>116</v>
      </c>
      <c r="O34" s="1814"/>
      <c r="P34" s="415" t="b">
        <f t="shared" si="3"/>
        <v>1</v>
      </c>
      <c r="R34" s="245" t="b">
        <f t="shared" si="1"/>
        <v>0</v>
      </c>
      <c r="AO34" s="238" t="str">
        <f t="shared" si="2"/>
        <v>40</v>
      </c>
      <c r="AP34" s="945" t="b">
        <v>0</v>
      </c>
      <c r="AQ34" s="1322"/>
      <c r="AR34" s="1323"/>
      <c r="AS34" s="1323"/>
      <c r="AT34" s="1323"/>
      <c r="AU34" s="1323"/>
      <c r="AV34" s="1323"/>
      <c r="AW34" s="1323"/>
      <c r="AX34" s="1323"/>
      <c r="AY34" s="1323"/>
      <c r="AZ34" s="1323"/>
      <c r="BA34" s="1532"/>
      <c r="BB34" s="1532"/>
      <c r="BC34" s="1533"/>
      <c r="BE34" s="1041" t="s">
        <v>1531</v>
      </c>
    </row>
    <row r="35" spans="1:57" ht="14.1" customHeight="1" x14ac:dyDescent="0.2">
      <c r="A35" s="1510"/>
      <c r="B35" s="1511"/>
      <c r="C35" s="1511"/>
      <c r="D35" s="1511"/>
      <c r="E35" s="1512"/>
      <c r="F35" s="1513"/>
      <c r="G35" s="1514"/>
      <c r="H35" s="1515"/>
      <c r="I35" s="1513"/>
      <c r="J35" s="1514"/>
      <c r="K35" s="1515"/>
      <c r="L35" s="1516"/>
      <c r="M35" s="1516"/>
      <c r="N35" s="1689" t="s">
        <v>116</v>
      </c>
      <c r="O35" s="1814"/>
      <c r="P35" s="415" t="b">
        <f t="shared" si="3"/>
        <v>1</v>
      </c>
      <c r="R35" s="245" t="b">
        <f t="shared" si="1"/>
        <v>0</v>
      </c>
      <c r="AO35" s="238" t="str">
        <f t="shared" si="2"/>
        <v>40</v>
      </c>
      <c r="AP35" s="945" t="b">
        <v>0</v>
      </c>
      <c r="AQ35" s="1322"/>
      <c r="AR35" s="1323"/>
      <c r="AS35" s="1323"/>
      <c r="AT35" s="1323"/>
      <c r="AU35" s="1323"/>
      <c r="AV35" s="1323"/>
      <c r="AW35" s="1323"/>
      <c r="AX35" s="1323"/>
      <c r="AY35" s="1323"/>
      <c r="AZ35" s="1323"/>
      <c r="BA35" s="1532"/>
      <c r="BB35" s="1532"/>
      <c r="BC35" s="1533"/>
      <c r="BE35" s="1041" t="s">
        <v>1532</v>
      </c>
    </row>
    <row r="36" spans="1:57" ht="14.1" customHeight="1" x14ac:dyDescent="0.2">
      <c r="A36" s="1510"/>
      <c r="B36" s="1511"/>
      <c r="C36" s="1511"/>
      <c r="D36" s="1511"/>
      <c r="E36" s="1512"/>
      <c r="F36" s="1513"/>
      <c r="G36" s="1514"/>
      <c r="H36" s="1515"/>
      <c r="I36" s="1513"/>
      <c r="J36" s="1514"/>
      <c r="K36" s="1515"/>
      <c r="L36" s="1516"/>
      <c r="M36" s="1516"/>
      <c r="N36" s="1689" t="s">
        <v>116</v>
      </c>
      <c r="O36" s="1814"/>
      <c r="P36" s="415" t="b">
        <f t="shared" si="3"/>
        <v>1</v>
      </c>
      <c r="R36" s="245" t="b">
        <f t="shared" si="1"/>
        <v>0</v>
      </c>
      <c r="AO36" s="238" t="str">
        <f t="shared" si="2"/>
        <v>40</v>
      </c>
      <c r="AP36" s="945" t="b">
        <v>0</v>
      </c>
      <c r="AQ36" s="1322"/>
      <c r="AR36" s="1323"/>
      <c r="AS36" s="1323"/>
      <c r="AT36" s="1323"/>
      <c r="AU36" s="1323"/>
      <c r="AV36" s="1323"/>
      <c r="AW36" s="1323"/>
      <c r="AX36" s="1323"/>
      <c r="AY36" s="1323"/>
      <c r="AZ36" s="1323"/>
      <c r="BA36" s="1532"/>
      <c r="BB36" s="1532"/>
      <c r="BC36" s="1533"/>
      <c r="BE36" s="1041" t="s">
        <v>1533</v>
      </c>
    </row>
    <row r="37" spans="1:57" ht="14.1" customHeight="1" x14ac:dyDescent="0.2">
      <c r="A37" s="1510"/>
      <c r="B37" s="1511"/>
      <c r="C37" s="1511"/>
      <c r="D37" s="1511"/>
      <c r="E37" s="1512"/>
      <c r="F37" s="1513"/>
      <c r="G37" s="1514"/>
      <c r="H37" s="1515"/>
      <c r="I37" s="1513"/>
      <c r="J37" s="1514"/>
      <c r="K37" s="1515"/>
      <c r="L37" s="1516"/>
      <c r="M37" s="1516"/>
      <c r="N37" s="1689" t="s">
        <v>116</v>
      </c>
      <c r="O37" s="1814"/>
      <c r="P37" s="415" t="b">
        <f t="shared" si="3"/>
        <v>1</v>
      </c>
      <c r="R37" s="245" t="b">
        <f t="shared" si="1"/>
        <v>0</v>
      </c>
      <c r="AO37" s="238" t="str">
        <f t="shared" si="2"/>
        <v>40</v>
      </c>
      <c r="AP37" s="945" t="b">
        <v>0</v>
      </c>
      <c r="AQ37" s="1322"/>
      <c r="AR37" s="1323"/>
      <c r="AS37" s="1323"/>
      <c r="AT37" s="1323"/>
      <c r="AU37" s="1323"/>
      <c r="AV37" s="1323"/>
      <c r="AW37" s="1323"/>
      <c r="AX37" s="1323"/>
      <c r="AY37" s="1323"/>
      <c r="AZ37" s="1323"/>
      <c r="BA37" s="1532"/>
      <c r="BB37" s="1532"/>
      <c r="BC37" s="1533"/>
      <c r="BE37" s="1041" t="s">
        <v>1562</v>
      </c>
    </row>
    <row r="38" spans="1:57" ht="14.1" customHeight="1" x14ac:dyDescent="0.2">
      <c r="A38" s="1510"/>
      <c r="B38" s="1511"/>
      <c r="C38" s="1511"/>
      <c r="D38" s="1511"/>
      <c r="E38" s="1512"/>
      <c r="F38" s="1513"/>
      <c r="G38" s="1514"/>
      <c r="H38" s="1515"/>
      <c r="I38" s="1513"/>
      <c r="J38" s="1514"/>
      <c r="K38" s="1515"/>
      <c r="L38" s="1516"/>
      <c r="M38" s="1516"/>
      <c r="N38" s="1689" t="s">
        <v>116</v>
      </c>
      <c r="O38" s="1814"/>
      <c r="P38" s="415" t="b">
        <f t="shared" si="3"/>
        <v>1</v>
      </c>
      <c r="R38" s="245" t="b">
        <f t="shared" si="1"/>
        <v>0</v>
      </c>
      <c r="AO38" s="238" t="str">
        <f t="shared" si="2"/>
        <v>40</v>
      </c>
      <c r="AP38" s="945" t="b">
        <v>0</v>
      </c>
      <c r="AQ38" s="1322"/>
      <c r="AR38" s="1323"/>
      <c r="AS38" s="1323"/>
      <c r="AT38" s="1323"/>
      <c r="AU38" s="1323"/>
      <c r="AV38" s="1323"/>
      <c r="AW38" s="1323"/>
      <c r="AX38" s="1323"/>
      <c r="AY38" s="1323"/>
      <c r="AZ38" s="1323"/>
      <c r="BA38" s="1532"/>
      <c r="BB38" s="1532"/>
      <c r="BC38" s="1533"/>
      <c r="BE38" s="1041" t="s">
        <v>1549</v>
      </c>
    </row>
    <row r="39" spans="1:57" ht="14.1" customHeight="1" x14ac:dyDescent="0.2">
      <c r="A39" s="1510"/>
      <c r="B39" s="1511"/>
      <c r="C39" s="1511"/>
      <c r="D39" s="1511"/>
      <c r="E39" s="1512"/>
      <c r="F39" s="1513"/>
      <c r="G39" s="1514"/>
      <c r="H39" s="1515"/>
      <c r="I39" s="1513"/>
      <c r="J39" s="1514"/>
      <c r="K39" s="1515"/>
      <c r="L39" s="1516"/>
      <c r="M39" s="1516"/>
      <c r="N39" s="1689" t="s">
        <v>116</v>
      </c>
      <c r="O39" s="1814"/>
      <c r="P39" s="415" t="b">
        <f t="shared" si="3"/>
        <v>1</v>
      </c>
      <c r="R39" s="245" t="b">
        <f t="shared" si="1"/>
        <v>0</v>
      </c>
      <c r="AO39" s="238" t="str">
        <f t="shared" si="2"/>
        <v>40</v>
      </c>
      <c r="AP39" s="945" t="b">
        <v>0</v>
      </c>
      <c r="AQ39" s="1322"/>
      <c r="AR39" s="1323"/>
      <c r="AS39" s="1323"/>
      <c r="AT39" s="1323"/>
      <c r="AU39" s="1323"/>
      <c r="AV39" s="1323"/>
      <c r="AW39" s="1323"/>
      <c r="AX39" s="1323"/>
      <c r="AY39" s="1323"/>
      <c r="AZ39" s="1323"/>
      <c r="BA39" s="1532"/>
      <c r="BB39" s="1532"/>
      <c r="BC39" s="1533"/>
      <c r="BE39" s="1041" t="s">
        <v>1550</v>
      </c>
    </row>
    <row r="40" spans="1:57" ht="14.1" customHeight="1" x14ac:dyDescent="0.2">
      <c r="A40" s="1510"/>
      <c r="B40" s="1511"/>
      <c r="C40" s="1511"/>
      <c r="D40" s="1511"/>
      <c r="E40" s="1512"/>
      <c r="F40" s="1513"/>
      <c r="G40" s="1514"/>
      <c r="H40" s="1515"/>
      <c r="I40" s="1513"/>
      <c r="J40" s="1514"/>
      <c r="K40" s="1515"/>
      <c r="L40" s="1516"/>
      <c r="M40" s="1516"/>
      <c r="N40" s="1689" t="s">
        <v>116</v>
      </c>
      <c r="O40" s="1814"/>
      <c r="P40" s="415" t="b">
        <f t="shared" si="3"/>
        <v>1</v>
      </c>
      <c r="R40" s="245" t="b">
        <f t="shared" si="1"/>
        <v>0</v>
      </c>
      <c r="AO40" s="238" t="str">
        <f t="shared" si="2"/>
        <v>40</v>
      </c>
      <c r="AP40" s="945" t="b">
        <v>0</v>
      </c>
      <c r="AQ40" s="1322"/>
      <c r="AR40" s="1323"/>
      <c r="AS40" s="1323"/>
      <c r="AT40" s="1323"/>
      <c r="AU40" s="1323"/>
      <c r="AV40" s="1323"/>
      <c r="AW40" s="1323"/>
      <c r="AX40" s="1323"/>
      <c r="AY40" s="1323"/>
      <c r="AZ40" s="1323"/>
      <c r="BA40" s="1532"/>
      <c r="BB40" s="1532"/>
      <c r="BC40" s="1533"/>
      <c r="BE40" s="1041" t="s">
        <v>1535</v>
      </c>
    </row>
    <row r="41" spans="1:57" ht="14.1" customHeight="1" x14ac:dyDescent="0.2">
      <c r="A41" s="1510"/>
      <c r="B41" s="1511"/>
      <c r="C41" s="1511"/>
      <c r="D41" s="1511"/>
      <c r="E41" s="1512"/>
      <c r="F41" s="1513"/>
      <c r="G41" s="1514"/>
      <c r="H41" s="1515"/>
      <c r="I41" s="1513"/>
      <c r="J41" s="1514"/>
      <c r="K41" s="1515"/>
      <c r="L41" s="1516"/>
      <c r="M41" s="1516"/>
      <c r="N41" s="1689" t="s">
        <v>116</v>
      </c>
      <c r="O41" s="1814"/>
      <c r="P41" s="415" t="b">
        <f t="shared" si="3"/>
        <v>1</v>
      </c>
      <c r="R41" s="245" t="b">
        <f t="shared" si="1"/>
        <v>0</v>
      </c>
      <c r="AO41" s="238" t="str">
        <f t="shared" si="2"/>
        <v>40</v>
      </c>
      <c r="AP41" s="945" t="b">
        <v>0</v>
      </c>
      <c r="AQ41" s="1322"/>
      <c r="AR41" s="1323"/>
      <c r="AS41" s="1323"/>
      <c r="AT41" s="1323"/>
      <c r="AU41" s="1323"/>
      <c r="AV41" s="1323"/>
      <c r="AW41" s="1323"/>
      <c r="AX41" s="1323"/>
      <c r="AY41" s="1323"/>
      <c r="AZ41" s="1323"/>
      <c r="BA41" s="1532"/>
      <c r="BB41" s="1532"/>
      <c r="BC41" s="1533"/>
      <c r="BE41" s="1041" t="s">
        <v>1563</v>
      </c>
    </row>
    <row r="42" spans="1:57" ht="14.1" customHeight="1" x14ac:dyDescent="0.2">
      <c r="A42" s="1510"/>
      <c r="B42" s="1511"/>
      <c r="C42" s="1511"/>
      <c r="D42" s="1511"/>
      <c r="E42" s="1512"/>
      <c r="F42" s="1513"/>
      <c r="G42" s="1514"/>
      <c r="H42" s="1515"/>
      <c r="I42" s="1513"/>
      <c r="J42" s="1514"/>
      <c r="K42" s="1515"/>
      <c r="L42" s="1516"/>
      <c r="M42" s="1516"/>
      <c r="N42" s="1689" t="s">
        <v>116</v>
      </c>
      <c r="O42" s="1814"/>
      <c r="P42" s="415" t="b">
        <f t="shared" si="3"/>
        <v>1</v>
      </c>
      <c r="R42" s="245" t="b">
        <f t="shared" si="1"/>
        <v>0</v>
      </c>
      <c r="AO42" s="238" t="str">
        <f t="shared" si="2"/>
        <v>40</v>
      </c>
      <c r="AP42" s="945" t="b">
        <v>0</v>
      </c>
      <c r="AQ42" s="1322"/>
      <c r="AR42" s="1323"/>
      <c r="AS42" s="1323"/>
      <c r="AT42" s="1323"/>
      <c r="AU42" s="1323"/>
      <c r="AV42" s="1323"/>
      <c r="AW42" s="1323"/>
      <c r="AX42" s="1323"/>
      <c r="AY42" s="1323"/>
      <c r="AZ42" s="1323"/>
      <c r="BA42" s="1532"/>
      <c r="BB42" s="1532"/>
      <c r="BC42" s="1533"/>
    </row>
    <row r="43" spans="1:57" ht="14.1" customHeight="1" x14ac:dyDescent="0.2">
      <c r="A43" s="1510"/>
      <c r="B43" s="1511"/>
      <c r="C43" s="1511"/>
      <c r="D43" s="1511"/>
      <c r="E43" s="1512"/>
      <c r="F43" s="1513"/>
      <c r="G43" s="1514"/>
      <c r="H43" s="1515"/>
      <c r="I43" s="1513"/>
      <c r="J43" s="1514"/>
      <c r="K43" s="1515"/>
      <c r="L43" s="1516"/>
      <c r="M43" s="1516"/>
      <c r="N43" s="1689" t="s">
        <v>116</v>
      </c>
      <c r="O43" s="1814"/>
      <c r="P43" s="415" t="b">
        <f t="shared" si="3"/>
        <v>1</v>
      </c>
      <c r="R43" s="245" t="b">
        <f t="shared" si="1"/>
        <v>0</v>
      </c>
      <c r="AO43" s="238" t="str">
        <f t="shared" si="2"/>
        <v>40</v>
      </c>
      <c r="AP43" s="945" t="b">
        <v>0</v>
      </c>
      <c r="AQ43" s="1322"/>
      <c r="AR43" s="1323"/>
      <c r="AS43" s="1323"/>
      <c r="AT43" s="1323"/>
      <c r="AU43" s="1323"/>
      <c r="AV43" s="1323"/>
      <c r="AW43" s="1323"/>
      <c r="AX43" s="1323"/>
      <c r="AY43" s="1323"/>
      <c r="AZ43" s="1323"/>
      <c r="BA43" s="1532"/>
      <c r="BB43" s="1532"/>
      <c r="BC43" s="1533"/>
    </row>
    <row r="44" spans="1:57" ht="14.1" customHeight="1" x14ac:dyDescent="0.2">
      <c r="A44" s="1510"/>
      <c r="B44" s="1511"/>
      <c r="C44" s="1511"/>
      <c r="D44" s="1511"/>
      <c r="E44" s="1512"/>
      <c r="F44" s="1513"/>
      <c r="G44" s="1514"/>
      <c r="H44" s="1515"/>
      <c r="I44" s="1513"/>
      <c r="J44" s="1514"/>
      <c r="K44" s="1515"/>
      <c r="L44" s="1516"/>
      <c r="M44" s="1516"/>
      <c r="N44" s="1689" t="s">
        <v>116</v>
      </c>
      <c r="O44" s="1814"/>
      <c r="P44" s="415" t="b">
        <f t="shared" si="3"/>
        <v>1</v>
      </c>
      <c r="R44" s="245" t="b">
        <f t="shared" si="1"/>
        <v>0</v>
      </c>
      <c r="AO44" s="238" t="str">
        <f t="shared" si="2"/>
        <v>40</v>
      </c>
      <c r="AP44" s="945" t="b">
        <v>0</v>
      </c>
      <c r="AQ44" s="1322"/>
      <c r="AR44" s="1323"/>
      <c r="AS44" s="1323"/>
      <c r="AT44" s="1323"/>
      <c r="AU44" s="1323"/>
      <c r="AV44" s="1323"/>
      <c r="AW44" s="1323"/>
      <c r="AX44" s="1323"/>
      <c r="AY44" s="1323"/>
      <c r="AZ44" s="1323"/>
      <c r="BA44" s="1532"/>
      <c r="BB44" s="1532"/>
      <c r="BC44" s="1533"/>
    </row>
    <row r="45" spans="1:57" ht="14.1" customHeight="1" x14ac:dyDescent="0.2">
      <c r="A45" s="1510"/>
      <c r="B45" s="1511"/>
      <c r="C45" s="1511"/>
      <c r="D45" s="1511"/>
      <c r="E45" s="1512"/>
      <c r="F45" s="1513"/>
      <c r="G45" s="1514"/>
      <c r="H45" s="1515"/>
      <c r="I45" s="1513"/>
      <c r="J45" s="1514"/>
      <c r="K45" s="1515"/>
      <c r="L45" s="1516"/>
      <c r="M45" s="1516"/>
      <c r="N45" s="1689" t="s">
        <v>116</v>
      </c>
      <c r="O45" s="1814"/>
      <c r="P45" s="415" t="b">
        <f t="shared" si="3"/>
        <v>1</v>
      </c>
      <c r="R45" s="245" t="b">
        <f t="shared" si="1"/>
        <v>0</v>
      </c>
      <c r="AO45" s="238" t="str">
        <f t="shared" si="2"/>
        <v>40</v>
      </c>
      <c r="AP45" s="945" t="b">
        <v>0</v>
      </c>
      <c r="AQ45" s="1322"/>
      <c r="AR45" s="1323"/>
      <c r="AS45" s="1323"/>
      <c r="AT45" s="1323"/>
      <c r="AU45" s="1323"/>
      <c r="AV45" s="1323"/>
      <c r="AW45" s="1323"/>
      <c r="AX45" s="1323"/>
      <c r="AY45" s="1323"/>
      <c r="AZ45" s="1323"/>
      <c r="BA45" s="1532"/>
      <c r="BB45" s="1532"/>
      <c r="BC45" s="1533"/>
    </row>
    <row r="46" spans="1:57" ht="14.1" customHeight="1" x14ac:dyDescent="0.2">
      <c r="A46" s="1510"/>
      <c r="B46" s="1511"/>
      <c r="C46" s="1511"/>
      <c r="D46" s="1511"/>
      <c r="E46" s="1512"/>
      <c r="F46" s="1513"/>
      <c r="G46" s="1514"/>
      <c r="H46" s="1515"/>
      <c r="I46" s="1513"/>
      <c r="J46" s="1514"/>
      <c r="K46" s="1515"/>
      <c r="L46" s="1516"/>
      <c r="M46" s="1516"/>
      <c r="N46" s="1689" t="s">
        <v>116</v>
      </c>
      <c r="O46" s="1814"/>
      <c r="P46" s="415" t="b">
        <f t="shared" si="3"/>
        <v>1</v>
      </c>
      <c r="R46" s="245" t="b">
        <f t="shared" si="1"/>
        <v>0</v>
      </c>
      <c r="AO46" s="238" t="str">
        <f t="shared" si="2"/>
        <v>40</v>
      </c>
      <c r="AP46" s="945" t="b">
        <v>0</v>
      </c>
      <c r="AQ46" s="1322"/>
      <c r="AR46" s="1323"/>
      <c r="AS46" s="1323"/>
      <c r="AT46" s="1323"/>
      <c r="AU46" s="1323"/>
      <c r="AV46" s="1323"/>
      <c r="AW46" s="1323"/>
      <c r="AX46" s="1323"/>
      <c r="AY46" s="1323"/>
      <c r="AZ46" s="1323"/>
      <c r="BA46" s="1532"/>
      <c r="BB46" s="1532"/>
      <c r="BC46" s="1533"/>
    </row>
    <row r="47" spans="1:57" ht="14.1" customHeight="1" x14ac:dyDescent="0.2">
      <c r="A47" s="1510"/>
      <c r="B47" s="1511"/>
      <c r="C47" s="1511"/>
      <c r="D47" s="1511"/>
      <c r="E47" s="1512"/>
      <c r="F47" s="1513"/>
      <c r="G47" s="1514"/>
      <c r="H47" s="1515"/>
      <c r="I47" s="1513"/>
      <c r="J47" s="1514"/>
      <c r="K47" s="1515"/>
      <c r="L47" s="1516"/>
      <c r="M47" s="1516"/>
      <c r="N47" s="1689" t="s">
        <v>116</v>
      </c>
      <c r="O47" s="1814"/>
      <c r="P47" s="415" t="b">
        <f t="shared" si="3"/>
        <v>1</v>
      </c>
      <c r="R47" s="245" t="b">
        <f t="shared" si="1"/>
        <v>0</v>
      </c>
      <c r="AO47" s="238" t="str">
        <f t="shared" si="2"/>
        <v>40</v>
      </c>
      <c r="AP47" s="945" t="b">
        <v>0</v>
      </c>
      <c r="AQ47" s="1322"/>
      <c r="AR47" s="1323"/>
      <c r="AS47" s="1323"/>
      <c r="AT47" s="1323"/>
      <c r="AU47" s="1323"/>
      <c r="AV47" s="1323"/>
      <c r="AW47" s="1323"/>
      <c r="AX47" s="1323"/>
      <c r="AY47" s="1323"/>
      <c r="AZ47" s="1323"/>
      <c r="BA47" s="1532"/>
      <c r="BB47" s="1532"/>
      <c r="BC47" s="1533"/>
    </row>
    <row r="48" spans="1:57" ht="14.1" customHeight="1" x14ac:dyDescent="0.2">
      <c r="A48" s="1510"/>
      <c r="B48" s="1511"/>
      <c r="C48" s="1511"/>
      <c r="D48" s="1511"/>
      <c r="E48" s="1512"/>
      <c r="F48" s="1513"/>
      <c r="G48" s="1514"/>
      <c r="H48" s="1515"/>
      <c r="I48" s="1513"/>
      <c r="J48" s="1514"/>
      <c r="K48" s="1515"/>
      <c r="L48" s="1516"/>
      <c r="M48" s="1516"/>
      <c r="N48" s="1689" t="s">
        <v>116</v>
      </c>
      <c r="O48" s="1814"/>
      <c r="P48" s="415" t="b">
        <f t="shared" si="3"/>
        <v>1</v>
      </c>
      <c r="R48" s="245" t="b">
        <f t="shared" si="1"/>
        <v>0</v>
      </c>
      <c r="AO48" s="238" t="str">
        <f t="shared" si="2"/>
        <v>40</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c r="C49" s="1511"/>
      <c r="D49" s="1511"/>
      <c r="E49" s="1512"/>
      <c r="F49" s="1513"/>
      <c r="G49" s="1514"/>
      <c r="H49" s="1515"/>
      <c r="I49" s="1513"/>
      <c r="J49" s="1514"/>
      <c r="K49" s="1515"/>
      <c r="L49" s="1516"/>
      <c r="M49" s="1516"/>
      <c r="N49" s="1689" t="s">
        <v>116</v>
      </c>
      <c r="O49" s="1814"/>
      <c r="P49" s="415" t="b">
        <f t="shared" si="3"/>
        <v>1</v>
      </c>
      <c r="R49" s="245" t="b">
        <f t="shared" si="1"/>
        <v>0</v>
      </c>
      <c r="AO49" s="238" t="str">
        <f t="shared" si="2"/>
        <v>40</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c r="C50" s="1511"/>
      <c r="D50" s="1511"/>
      <c r="E50" s="1512"/>
      <c r="F50" s="1513"/>
      <c r="G50" s="1514"/>
      <c r="H50" s="1515"/>
      <c r="I50" s="1513"/>
      <c r="J50" s="1514"/>
      <c r="K50" s="1515"/>
      <c r="L50" s="1516"/>
      <c r="M50" s="1516"/>
      <c r="N50" s="1689" t="s">
        <v>116</v>
      </c>
      <c r="O50" s="1814"/>
      <c r="P50" s="415" t="b">
        <f t="shared" si="3"/>
        <v>1</v>
      </c>
      <c r="R50" s="245" t="b">
        <f t="shared" si="1"/>
        <v>0</v>
      </c>
      <c r="AO50" s="238" t="str">
        <f t="shared" si="2"/>
        <v>40</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c r="C51" s="1511"/>
      <c r="D51" s="1511"/>
      <c r="E51" s="1512"/>
      <c r="F51" s="1513"/>
      <c r="G51" s="1514"/>
      <c r="H51" s="1515"/>
      <c r="I51" s="1513"/>
      <c r="J51" s="1514"/>
      <c r="K51" s="1515"/>
      <c r="L51" s="1516"/>
      <c r="M51" s="1516"/>
      <c r="N51" s="1689" t="s">
        <v>116</v>
      </c>
      <c r="O51" s="1814"/>
      <c r="P51" s="415" t="b">
        <f t="shared" si="3"/>
        <v>1</v>
      </c>
      <c r="R51" s="245" t="b">
        <f t="shared" si="1"/>
        <v>0</v>
      </c>
      <c r="AO51" s="238" t="str">
        <f t="shared" si="2"/>
        <v>40</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c r="C52" s="1511"/>
      <c r="D52" s="1511"/>
      <c r="E52" s="1512"/>
      <c r="F52" s="1513"/>
      <c r="G52" s="1514"/>
      <c r="H52" s="1515"/>
      <c r="I52" s="1513"/>
      <c r="J52" s="1514"/>
      <c r="K52" s="1515"/>
      <c r="L52" s="1516"/>
      <c r="M52" s="1516"/>
      <c r="N52" s="1689" t="s">
        <v>116</v>
      </c>
      <c r="O52" s="1814"/>
      <c r="P52" s="415" t="b">
        <f t="shared" si="3"/>
        <v>1</v>
      </c>
      <c r="R52" s="245" t="b">
        <f t="shared" si="1"/>
        <v>0</v>
      </c>
      <c r="AO52" s="238" t="str">
        <f t="shared" si="2"/>
        <v>40</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c r="C53" s="1511"/>
      <c r="D53" s="1511"/>
      <c r="E53" s="1512"/>
      <c r="F53" s="1513"/>
      <c r="G53" s="1514"/>
      <c r="H53" s="1515"/>
      <c r="I53" s="1513"/>
      <c r="J53" s="1514"/>
      <c r="K53" s="1515"/>
      <c r="L53" s="1516"/>
      <c r="M53" s="1516"/>
      <c r="N53" s="1689" t="s">
        <v>116</v>
      </c>
      <c r="O53" s="1814"/>
      <c r="P53" s="415" t="b">
        <f t="shared" si="3"/>
        <v>1</v>
      </c>
      <c r="R53" s="245" t="b">
        <f t="shared" si="1"/>
        <v>0</v>
      </c>
      <c r="AO53" s="238" t="str">
        <f t="shared" si="2"/>
        <v>40</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c r="C54" s="1511"/>
      <c r="D54" s="1511"/>
      <c r="E54" s="1512"/>
      <c r="F54" s="1513"/>
      <c r="G54" s="1514"/>
      <c r="H54" s="1515"/>
      <c r="I54" s="1513"/>
      <c r="J54" s="1514"/>
      <c r="K54" s="1515"/>
      <c r="L54" s="1516"/>
      <c r="M54" s="1516"/>
      <c r="N54" s="1689" t="s">
        <v>116</v>
      </c>
      <c r="O54" s="1814"/>
      <c r="P54" s="415" t="b">
        <f t="shared" si="3"/>
        <v>1</v>
      </c>
      <c r="R54" s="245" t="b">
        <f t="shared" si="1"/>
        <v>0</v>
      </c>
      <c r="AO54" s="238" t="str">
        <f t="shared" si="2"/>
        <v>40</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c r="C55" s="1520"/>
      <c r="D55" s="1520"/>
      <c r="E55" s="1521"/>
      <c r="F55" s="1522"/>
      <c r="G55" s="1523"/>
      <c r="H55" s="1524"/>
      <c r="I55" s="1522"/>
      <c r="J55" s="1523"/>
      <c r="K55" s="1524"/>
      <c r="L55" s="1525"/>
      <c r="M55" s="1525"/>
      <c r="N55" s="1690"/>
      <c r="O55" s="1814"/>
      <c r="P55" s="415" t="b">
        <f t="shared" si="3"/>
        <v>1</v>
      </c>
      <c r="R55" s="245" t="b">
        <f t="shared" si="1"/>
        <v>0</v>
      </c>
      <c r="AO55" s="238" t="str">
        <f t="shared" si="2"/>
        <v>40</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43</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t="s">
        <v>1615</v>
      </c>
    </row>
    <row r="62" spans="1:55" ht="15.95" hidden="1" customHeight="1" x14ac:dyDescent="0.2"/>
    <row r="63" spans="1:55" hidden="1" x14ac:dyDescent="0.2"/>
    <row r="64" spans="1:55" hidden="1" x14ac:dyDescent="0.2"/>
    <row r="65" spans="1:1" x14ac:dyDescent="0.2">
      <c r="A65" s="633" t="s">
        <v>1020</v>
      </c>
    </row>
  </sheetData>
  <sheetProtection algorithmName="SHA-512" hashValue="d8JG8vHjf1Q8LuUbBNb8GA3RvdfcDyc5TwLwpatI/UK4VKLmPBQuYZDx93F74qJrbBgxEQ9QGn/ZR7qtyRK6Dg==" saltValue="6uQRnJjyOe1j2qvdee1lFA=="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457" priority="4" stopIfTrue="1">
      <formula>AND($B14="NU",F14&lt;0)</formula>
    </cfRule>
  </conditionalFormatting>
  <conditionalFormatting sqref="B14:B55">
    <cfRule type="expression" dxfId="456" priority="5" stopIfTrue="1">
      <formula>OR(AND($B14="NU",F14&lt;0),AND($B14="NU",I14&lt;0))</formula>
    </cfRule>
  </conditionalFormatting>
  <conditionalFormatting sqref="G14:H55 J14:L55">
    <cfRule type="expression" dxfId="455" priority="6" stopIfTrue="1">
      <formula>$R14</formula>
    </cfRule>
  </conditionalFormatting>
  <conditionalFormatting sqref="I2:K4">
    <cfRule type="cellIs" dxfId="454" priority="7" stopIfTrue="1" operator="equal">
      <formula>""</formula>
    </cfRule>
  </conditionalFormatting>
  <conditionalFormatting sqref="I14:I55">
    <cfRule type="expression" dxfId="453" priority="8" stopIfTrue="1">
      <formula>OR($R14,$B14="CZ",AND($B14="NU",I14&lt;0))</formula>
    </cfRule>
  </conditionalFormatting>
  <conditionalFormatting sqref="A14:A55">
    <cfRule type="expression" dxfId="452" priority="3">
      <formula>NOT($P14)</formula>
    </cfRule>
  </conditionalFormatting>
  <conditionalFormatting sqref="B14:D55">
    <cfRule type="expression" dxfId="45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450" priority="9">
      <formula>AND(NOT($P14),$T$1)</formula>
    </cfRule>
    <cfRule type="expression" dxfId="449" priority="10">
      <formula>AND($AP14,$S$1="M")</formula>
    </cfRule>
  </conditionalFormatting>
  <conditionalFormatting sqref="L14:L55">
    <cfRule type="expression" dxfId="44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7ED14481-B91B-496C-920F-FC610A7E1BC8}">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0440A5C3-ED69-435A-A1AC-54B9CC6F3E9C}">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507A0273-7F3F-4B94-AF63-F8125F18760A}">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CA194B59-1CF1-49E8-92E0-AABB7D14E69C}">
      <formula1>IF($CA$14,$CA$16:$CA$21,$CB$16:$CB$19)</formula1>
    </dataValidation>
    <dataValidation type="list" allowBlank="1" showErrorMessage="1" errorTitle="Invalid Type" error="You MUST select a Type from the dropdown list provided._x000a__x000a_Also, make sure your Cap Lock is turned on." sqref="B14:B55" xr:uid="{080CE7E3-4386-4F65-BD7A-4BB63D8E2EF9}">
      <formula1>$BF$15:$BU$15</formula1>
    </dataValidation>
    <dataValidation allowBlank="1" showInputMessage="1" errorTitle="Invalid Load Case" error="You MUST use a Load Case from the list provided." sqref="M14:M55" xr:uid="{29E759DD-B196-4685-8EE6-4B36E1834F09}"/>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DC0EE-65AA-4784-A36E-F72348454B36}">
  <sheetPr codeName="Sheet29">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48" t="str">
        <f>IF(S1="","",VLOOKUP(S1,'Job Info.'!X:AA,4,FALSE))</f>
        <v>Master</v>
      </c>
      <c r="J1" s="1848"/>
      <c r="K1" s="1848"/>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53" t="str">
        <f>IF(S1="","",IF(VLOOKUP(S1,'Job Info.'!X:Z,2,FALSE),"Released for Fabrication",""))</f>
        <v/>
      </c>
      <c r="J2" s="1854"/>
      <c r="K2" s="1855"/>
      <c r="L2" s="375"/>
      <c r="M2" s="375" t="s">
        <v>96</v>
      </c>
      <c r="N2" s="463" t="str">
        <f ca="1">'Job Info.'!D13</f>
        <v>775-867-2140</v>
      </c>
      <c r="O2" s="1008"/>
      <c r="P2" s="1008"/>
      <c r="BE2" s="1040"/>
    </row>
    <row r="3" spans="1:83" ht="12.95" customHeight="1" x14ac:dyDescent="0.2">
      <c r="A3" s="374"/>
      <c r="B3" s="374"/>
      <c r="C3" s="374"/>
      <c r="D3" s="374"/>
      <c r="E3" s="374"/>
      <c r="F3" s="374"/>
      <c r="G3" s="374"/>
      <c r="H3" s="375"/>
      <c r="I3" s="1856"/>
      <c r="J3" s="1857"/>
      <c r="K3" s="1858"/>
      <c r="L3" s="375"/>
      <c r="M3" s="375" t="s">
        <v>98</v>
      </c>
      <c r="N3" s="463" t="str">
        <f ca="1">'Job Info.'!D14</f>
        <v>775-867-2169</v>
      </c>
      <c r="O3" s="1008"/>
      <c r="P3" s="1008"/>
    </row>
    <row r="4" spans="1:83" ht="12.95" customHeight="1" thickBot="1" x14ac:dyDescent="0.25">
      <c r="A4" s="374"/>
      <c r="B4" s="374"/>
      <c r="C4" s="374"/>
      <c r="D4" s="374"/>
      <c r="E4" s="374"/>
      <c r="F4" s="374"/>
      <c r="G4" s="374"/>
      <c r="H4" s="374"/>
      <c r="I4" s="1859" t="str">
        <f>IF(S1="","",IF(VLOOKUP(S1,'Job Info.'!X:Z,2,FALSE),VLOOKUP(S1,'Job Info.'!X:Z,3,FALSE),""))</f>
        <v/>
      </c>
      <c r="J4" s="1860"/>
      <c r="K4" s="1861"/>
      <c r="L4" s="375"/>
      <c r="M4" s="375" t="s">
        <v>97</v>
      </c>
      <c r="N4" s="463" t="str">
        <f ca="1">'Job Info.'!D15</f>
        <v>775-867-2060</v>
      </c>
      <c r="O4" s="1008"/>
      <c r="P4" s="1008"/>
    </row>
    <row r="5" spans="1:83" ht="12.95" customHeight="1" thickTop="1" x14ac:dyDescent="0.2">
      <c r="A5" s="1862" t="str">
        <f ca="1">'Job Info.'!D11</f>
        <v>8200 Woolery Way | Fallon, NV 89406 | www.newmill.com</v>
      </c>
      <c r="B5" s="1872"/>
      <c r="C5" s="1872"/>
      <c r="D5" s="1872"/>
      <c r="E5" s="1872"/>
      <c r="F5" s="1872"/>
      <c r="G5" s="1872"/>
      <c r="H5" s="1872"/>
      <c r="I5" s="1872"/>
      <c r="J5" s="1872"/>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24" t="str">
        <f>IF(ISBLANK('Job Info.'!D3),"",'Job Info.'!D3)</f>
        <v>MINDEN UPS BLDG 1</v>
      </c>
      <c r="C9" s="1824"/>
      <c r="D9" s="1824"/>
      <c r="E9" s="1824"/>
      <c r="F9" s="1824"/>
      <c r="G9" s="1824"/>
      <c r="H9" s="1825"/>
      <c r="I9" s="469"/>
      <c r="J9" s="458" t="s">
        <v>2</v>
      </c>
      <c r="K9" s="1824" t="str">
        <f>IF(ISBLANK('Job Info.'!D5),"",'Job Info.'!D5)</f>
        <v>NN22-0071</v>
      </c>
      <c r="L9" s="1874"/>
      <c r="M9" s="1874"/>
      <c r="N9" s="1875"/>
      <c r="O9" s="1056"/>
      <c r="P9" s="1056"/>
      <c r="V9" s="631"/>
    </row>
    <row r="10" spans="1:83" ht="12.6" customHeight="1" x14ac:dyDescent="0.2">
      <c r="A10" s="471" t="s">
        <v>3</v>
      </c>
      <c r="B10" s="1824" t="str">
        <f>IF(ISBLANK('Job Info.'!D4),"",'Job Info.'!D4)</f>
        <v>MINDEN, NV</v>
      </c>
      <c r="C10" s="1824"/>
      <c r="D10" s="1824"/>
      <c r="E10" s="1824"/>
      <c r="F10" s="1824"/>
      <c r="G10" s="1824"/>
      <c r="H10" s="1825"/>
      <c r="I10" s="1873" t="s">
        <v>22</v>
      </c>
      <c r="J10" s="1873"/>
      <c r="K10" s="1824" t="str">
        <f>IF(ISBLANK('Job Info.'!D6),"",'Job Info.'!D6)</f>
        <v>JMM</v>
      </c>
      <c r="L10" s="1825"/>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64" t="s">
        <v>77</v>
      </c>
      <c r="B12" s="1865"/>
      <c r="C12" s="1865"/>
      <c r="D12" s="1865"/>
      <c r="E12" s="1866"/>
      <c r="F12" s="1864" t="s">
        <v>49</v>
      </c>
      <c r="G12" s="1865"/>
      <c r="H12" s="1871"/>
      <c r="I12" s="1864" t="s">
        <v>50</v>
      </c>
      <c r="J12" s="1865"/>
      <c r="K12" s="1871"/>
      <c r="L12" s="1867" t="s">
        <v>51</v>
      </c>
      <c r="M12" s="1880" t="s">
        <v>741</v>
      </c>
      <c r="N12" s="1867" t="s">
        <v>52</v>
      </c>
      <c r="O12" s="1085"/>
      <c r="P12" s="1085"/>
      <c r="AO12" s="548" t="s">
        <v>973</v>
      </c>
      <c r="AP12" s="944" t="s">
        <v>170</v>
      </c>
      <c r="AQ12" s="1876" t="s">
        <v>1208</v>
      </c>
      <c r="AR12" s="1877"/>
      <c r="AS12" s="1877"/>
      <c r="AT12" s="1877"/>
      <c r="AU12" s="1877"/>
      <c r="AV12" s="1877"/>
      <c r="AW12" s="1877"/>
      <c r="AX12" s="1877"/>
      <c r="AY12" s="1877"/>
      <c r="AZ12" s="1878"/>
      <c r="BA12" s="1878"/>
      <c r="BB12" s="1878"/>
      <c r="BC12" s="1879"/>
      <c r="BE12" s="1530"/>
    </row>
    <row r="13" spans="1:83" s="478" customFormat="1" ht="14.1" customHeight="1" x14ac:dyDescent="0.2">
      <c r="A13" s="1049" t="s">
        <v>46</v>
      </c>
      <c r="B13" s="1050" t="s">
        <v>17</v>
      </c>
      <c r="C13" s="1050" t="s">
        <v>45</v>
      </c>
      <c r="D13" s="1050" t="s">
        <v>78</v>
      </c>
      <c r="E13" s="1326" t="s">
        <v>44</v>
      </c>
      <c r="F13" s="1049" t="s">
        <v>47</v>
      </c>
      <c r="G13" s="1869" t="s">
        <v>48</v>
      </c>
      <c r="H13" s="1870"/>
      <c r="I13" s="1049" t="s">
        <v>47</v>
      </c>
      <c r="J13" s="1869" t="s">
        <v>48</v>
      </c>
      <c r="K13" s="1870"/>
      <c r="L13" s="1868"/>
      <c r="M13" s="1881"/>
      <c r="N13" s="1882"/>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t="s">
        <v>1775</v>
      </c>
      <c r="B14" s="1504" t="s">
        <v>151</v>
      </c>
      <c r="C14" s="1504" t="s">
        <v>165</v>
      </c>
      <c r="D14" s="1504" t="s">
        <v>145</v>
      </c>
      <c r="E14" s="1687"/>
      <c r="F14" s="1505">
        <v>125</v>
      </c>
      <c r="G14" s="1506"/>
      <c r="H14" s="1507"/>
      <c r="I14" s="1505"/>
      <c r="J14" s="1506"/>
      <c r="K14" s="1507"/>
      <c r="L14" s="1508"/>
      <c r="M14" s="1509" t="s">
        <v>1397</v>
      </c>
      <c r="N14" s="1688"/>
      <c r="O14" s="1644"/>
      <c r="P14" s="245" t="b">
        <f t="shared" ref="P14:P16" si="0">IF(ISERROR(VLOOKUP(AO14,BE:BE,1,FALSE)),FALSE,IF(AO14&lt;&gt;"",VLOOKUP(AO14,BE:BE,1,FALSE)=AO14))</f>
        <v>0</v>
      </c>
      <c r="R14" s="245" t="b">
        <f>OR(B14="CP",B14="CA", B14="AX",B14="M",B14="S")</f>
        <v>0</v>
      </c>
      <c r="AO14" s="238" t="str">
        <f>IF(ISBLANK(A14),"",SUBSTITUTE(A14,"*",""))</f>
        <v>SJ1</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151</v>
      </c>
      <c r="C15" s="1511" t="s">
        <v>167</v>
      </c>
      <c r="D15" s="1511" t="s">
        <v>145</v>
      </c>
      <c r="E15" s="1512"/>
      <c r="F15" s="1513">
        <v>22.680000000000003</v>
      </c>
      <c r="G15" s="1514"/>
      <c r="H15" s="1515"/>
      <c r="I15" s="1513"/>
      <c r="J15" s="1514"/>
      <c r="K15" s="1515"/>
      <c r="L15" s="1516"/>
      <c r="M15" s="1517" t="s">
        <v>1397</v>
      </c>
      <c r="N15" s="1689" t="s">
        <v>116</v>
      </c>
      <c r="O15" s="1644"/>
      <c r="P15" s="245" t="b">
        <f t="shared" si="0"/>
        <v>0</v>
      </c>
      <c r="R15" s="245" t="b">
        <f t="shared" ref="R15:R55" si="1">OR(B15="CP",B15="CA", B15="AX",B15="M",B15="S")</f>
        <v>0</v>
      </c>
      <c r="AO15" s="238" t="str">
        <f t="shared" ref="AO15:AO55" si="2">IF(ISBLANK(A15),AO14,SUBSTITUTE(A15,"*",""))</f>
        <v>SJ1</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151</v>
      </c>
      <c r="C16" s="1511" t="s">
        <v>163</v>
      </c>
      <c r="D16" s="1511" t="s">
        <v>145</v>
      </c>
      <c r="E16" s="1512"/>
      <c r="F16" s="1513">
        <v>446</v>
      </c>
      <c r="G16" s="1514"/>
      <c r="H16" s="1515"/>
      <c r="I16" s="1513"/>
      <c r="J16" s="1514"/>
      <c r="K16" s="1515"/>
      <c r="L16" s="1516" t="s">
        <v>116</v>
      </c>
      <c r="M16" s="1517" t="s">
        <v>1397</v>
      </c>
      <c r="N16" s="1689"/>
      <c r="O16" s="1644"/>
      <c r="P16" s="245" t="b">
        <f t="shared" si="0"/>
        <v>0</v>
      </c>
      <c r="R16" s="245" t="b">
        <f t="shared" si="1"/>
        <v>0</v>
      </c>
      <c r="AO16" s="238" t="str">
        <f t="shared" si="2"/>
        <v>SJ1</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151</v>
      </c>
      <c r="C17" s="1511" t="s">
        <v>163</v>
      </c>
      <c r="D17" s="1511" t="s">
        <v>145</v>
      </c>
      <c r="E17" s="1512"/>
      <c r="F17" s="1513">
        <v>104</v>
      </c>
      <c r="G17" s="1514">
        <v>0</v>
      </c>
      <c r="H17" s="1515">
        <v>0</v>
      </c>
      <c r="I17" s="1513">
        <v>0</v>
      </c>
      <c r="J17" s="1514">
        <v>6</v>
      </c>
      <c r="K17" s="1515">
        <v>3.125</v>
      </c>
      <c r="L17" s="1516" t="s">
        <v>702</v>
      </c>
      <c r="M17" s="1517" t="s">
        <v>1397</v>
      </c>
      <c r="N17" s="1689"/>
      <c r="O17" s="1644"/>
      <c r="P17" s="245" t="b">
        <f>IF(ISERROR(VLOOKUP(AO17,BE:BE,1,FALSE)),FALSE,IF(AO17&lt;&gt;"",VLOOKUP(AO17,BE:BE,1,FALSE)=AO17))</f>
        <v>0</v>
      </c>
      <c r="R17" s="245" t="b">
        <f t="shared" si="1"/>
        <v>0</v>
      </c>
      <c r="AO17" s="238" t="str">
        <f t="shared" si="2"/>
        <v>SJ1</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151</v>
      </c>
      <c r="C18" s="1511" t="s">
        <v>165</v>
      </c>
      <c r="D18" s="1511" t="s">
        <v>145</v>
      </c>
      <c r="E18" s="1512"/>
      <c r="F18" s="1513">
        <v>24</v>
      </c>
      <c r="G18" s="1514"/>
      <c r="H18" s="1515"/>
      <c r="I18" s="1513"/>
      <c r="J18" s="1514"/>
      <c r="K18" s="1515"/>
      <c r="L18" s="1516" t="s">
        <v>116</v>
      </c>
      <c r="M18" s="1517" t="s">
        <v>1397</v>
      </c>
      <c r="N18" s="1689"/>
      <c r="O18" s="1644"/>
      <c r="P18" s="245" t="b">
        <f t="shared" ref="P18:P55" si="3">IF(ISERROR(VLOOKUP(AO18,BE:BE,1,FALSE)),FALSE,IF(AO18&lt;&gt;"",VLOOKUP(AO18,BE:BE,1,FALSE)=AO18))</f>
        <v>0</v>
      </c>
      <c r="R18" s="245" t="b">
        <f t="shared" si="1"/>
        <v>0</v>
      </c>
      <c r="AO18" s="238" t="str">
        <f t="shared" si="2"/>
        <v>SJ1</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t="s">
        <v>1776</v>
      </c>
      <c r="B19" s="1511" t="s">
        <v>151</v>
      </c>
      <c r="C19" s="1511" t="s">
        <v>165</v>
      </c>
      <c r="D19" s="1511" t="s">
        <v>145</v>
      </c>
      <c r="E19" s="1512"/>
      <c r="F19" s="1513">
        <v>125</v>
      </c>
      <c r="G19" s="1514"/>
      <c r="H19" s="1515"/>
      <c r="I19" s="1513"/>
      <c r="J19" s="1514"/>
      <c r="K19" s="1515"/>
      <c r="L19" s="1516"/>
      <c r="M19" s="1517" t="s">
        <v>1397</v>
      </c>
      <c r="N19" s="1689" t="s">
        <v>116</v>
      </c>
      <c r="O19" s="1644"/>
      <c r="P19" s="245" t="b">
        <f t="shared" si="3"/>
        <v>0</v>
      </c>
      <c r="R19" s="245" t="b">
        <f t="shared" si="1"/>
        <v>0</v>
      </c>
      <c r="AO19" s="238" t="str">
        <f t="shared" si="2"/>
        <v>SJ2</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151</v>
      </c>
      <c r="C20" s="1511" t="s">
        <v>167</v>
      </c>
      <c r="D20" s="1511" t="s">
        <v>145</v>
      </c>
      <c r="E20" s="1512"/>
      <c r="F20" s="1513">
        <v>22.680000000000003</v>
      </c>
      <c r="G20" s="1514"/>
      <c r="H20" s="1515"/>
      <c r="I20" s="1513"/>
      <c r="J20" s="1514"/>
      <c r="K20" s="1515"/>
      <c r="L20" s="1516"/>
      <c r="M20" s="1517" t="s">
        <v>1397</v>
      </c>
      <c r="N20" s="1518"/>
      <c r="O20" s="1645"/>
      <c r="P20" s="245" t="b">
        <f t="shared" si="3"/>
        <v>0</v>
      </c>
      <c r="R20" s="245" t="b">
        <f t="shared" si="1"/>
        <v>0</v>
      </c>
      <c r="AO20" s="238" t="str">
        <f t="shared" si="2"/>
        <v>SJ2</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151</v>
      </c>
      <c r="C21" s="1511" t="s">
        <v>163</v>
      </c>
      <c r="D21" s="1511" t="s">
        <v>145</v>
      </c>
      <c r="E21" s="1512"/>
      <c r="F21" s="1513">
        <v>342</v>
      </c>
      <c r="G21" s="1514"/>
      <c r="H21" s="1515"/>
      <c r="I21" s="1513"/>
      <c r="J21" s="1514"/>
      <c r="K21" s="1515"/>
      <c r="L21" s="1516" t="s">
        <v>116</v>
      </c>
      <c r="M21" s="1517" t="s">
        <v>1397</v>
      </c>
      <c r="N21" s="1518"/>
      <c r="O21" s="1645"/>
      <c r="P21" s="245" t="b">
        <f t="shared" si="3"/>
        <v>0</v>
      </c>
      <c r="R21" s="245" t="b">
        <f t="shared" si="1"/>
        <v>0</v>
      </c>
      <c r="AO21" s="238" t="str">
        <f t="shared" si="2"/>
        <v>SJ2</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151</v>
      </c>
      <c r="C22" s="1511" t="s">
        <v>163</v>
      </c>
      <c r="D22" s="1511" t="s">
        <v>145</v>
      </c>
      <c r="E22" s="1512"/>
      <c r="F22" s="1513">
        <v>208</v>
      </c>
      <c r="G22" s="1514">
        <v>0</v>
      </c>
      <c r="H22" s="1515">
        <v>0</v>
      </c>
      <c r="I22" s="1513">
        <v>0</v>
      </c>
      <c r="J22" s="1514">
        <v>12</v>
      </c>
      <c r="K22" s="1515">
        <v>6</v>
      </c>
      <c r="L22" s="1516" t="s">
        <v>702</v>
      </c>
      <c r="M22" s="1517" t="s">
        <v>1397</v>
      </c>
      <c r="N22" s="1518"/>
      <c r="O22" s="1645"/>
      <c r="P22" s="245" t="b">
        <f t="shared" si="3"/>
        <v>0</v>
      </c>
      <c r="R22" s="245" t="b">
        <f t="shared" si="1"/>
        <v>0</v>
      </c>
      <c r="AO22" s="238" t="str">
        <f t="shared" si="2"/>
        <v>SJ2</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t="s">
        <v>1777</v>
      </c>
      <c r="B23" s="1511" t="s">
        <v>151</v>
      </c>
      <c r="C23" s="1511" t="s">
        <v>165</v>
      </c>
      <c r="D23" s="1511" t="s">
        <v>145</v>
      </c>
      <c r="E23" s="1512"/>
      <c r="F23" s="1513">
        <v>125</v>
      </c>
      <c r="G23" s="1514"/>
      <c r="H23" s="1515"/>
      <c r="I23" s="1513"/>
      <c r="J23" s="1514"/>
      <c r="K23" s="1515"/>
      <c r="L23" s="1516"/>
      <c r="M23" s="1517" t="s">
        <v>1397</v>
      </c>
      <c r="N23" s="1518"/>
      <c r="O23" s="1645"/>
      <c r="P23" s="245" t="b">
        <f t="shared" si="3"/>
        <v>0</v>
      </c>
      <c r="R23" s="245" t="b">
        <f t="shared" si="1"/>
        <v>0</v>
      </c>
      <c r="AO23" s="238" t="str">
        <f t="shared" si="2"/>
        <v>SJ3</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151</v>
      </c>
      <c r="C24" s="1511" t="s">
        <v>167</v>
      </c>
      <c r="D24" s="1511" t="s">
        <v>145</v>
      </c>
      <c r="E24" s="1512"/>
      <c r="F24" s="1513">
        <v>22.680000000000003</v>
      </c>
      <c r="G24" s="1514"/>
      <c r="H24" s="1515"/>
      <c r="I24" s="1513"/>
      <c r="J24" s="1514"/>
      <c r="K24" s="1515"/>
      <c r="L24" s="1516"/>
      <c r="M24" s="1517" t="s">
        <v>1397</v>
      </c>
      <c r="N24" s="1518"/>
      <c r="O24" s="1645"/>
      <c r="P24" s="245" t="b">
        <f t="shared" si="3"/>
        <v>0</v>
      </c>
      <c r="R24" s="245" t="b">
        <f t="shared" si="1"/>
        <v>0</v>
      </c>
      <c r="AO24" s="238" t="str">
        <f t="shared" si="2"/>
        <v>SJ3</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151</v>
      </c>
      <c r="C25" s="1511" t="s">
        <v>163</v>
      </c>
      <c r="D25" s="1511" t="s">
        <v>145</v>
      </c>
      <c r="E25" s="1512"/>
      <c r="F25" s="1513">
        <v>238</v>
      </c>
      <c r="G25" s="1514"/>
      <c r="H25" s="1515"/>
      <c r="I25" s="1513"/>
      <c r="J25" s="1514"/>
      <c r="K25" s="1515"/>
      <c r="L25" s="1516" t="s">
        <v>116</v>
      </c>
      <c r="M25" s="1517" t="s">
        <v>1397</v>
      </c>
      <c r="N25" s="1518"/>
      <c r="O25" s="1645"/>
      <c r="P25" s="245" t="b">
        <f t="shared" si="3"/>
        <v>0</v>
      </c>
      <c r="R25" s="245" t="b">
        <f t="shared" si="1"/>
        <v>0</v>
      </c>
      <c r="AO25" s="238" t="str">
        <f t="shared" si="2"/>
        <v>SJ3</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163</v>
      </c>
      <c r="D26" s="1511" t="s">
        <v>145</v>
      </c>
      <c r="E26" s="1512"/>
      <c r="F26" s="1513">
        <v>312</v>
      </c>
      <c r="G26" s="1514">
        <v>0</v>
      </c>
      <c r="H26" s="1515">
        <v>0</v>
      </c>
      <c r="I26" s="1513">
        <v>0</v>
      </c>
      <c r="J26" s="1514">
        <v>18</v>
      </c>
      <c r="K26" s="1515">
        <v>8.625</v>
      </c>
      <c r="L26" s="1516" t="s">
        <v>702</v>
      </c>
      <c r="M26" s="1517" t="s">
        <v>1397</v>
      </c>
      <c r="N26" s="1518"/>
      <c r="O26" s="1645"/>
      <c r="P26" s="245" t="b">
        <f t="shared" si="3"/>
        <v>0</v>
      </c>
      <c r="R26" s="245" t="b">
        <f t="shared" si="1"/>
        <v>0</v>
      </c>
      <c r="AO26" s="238" t="str">
        <f t="shared" si="2"/>
        <v>SJ3</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t="s">
        <v>1778</v>
      </c>
      <c r="B27" s="1511" t="s">
        <v>151</v>
      </c>
      <c r="C27" s="1511" t="s">
        <v>165</v>
      </c>
      <c r="D27" s="1511" t="s">
        <v>145</v>
      </c>
      <c r="E27" s="1512"/>
      <c r="F27" s="1513">
        <v>125</v>
      </c>
      <c r="G27" s="1514"/>
      <c r="H27" s="1515"/>
      <c r="I27" s="1513"/>
      <c r="J27" s="1514"/>
      <c r="K27" s="1515"/>
      <c r="L27" s="1516"/>
      <c r="M27" s="1517" t="s">
        <v>1397</v>
      </c>
      <c r="N27" s="1518"/>
      <c r="O27" s="1645"/>
      <c r="P27" s="245" t="b">
        <f t="shared" si="3"/>
        <v>0</v>
      </c>
      <c r="R27" s="245" t="b">
        <f t="shared" si="1"/>
        <v>0</v>
      </c>
      <c r="AO27" s="238" t="str">
        <f t="shared" si="2"/>
        <v>SJ4</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151</v>
      </c>
      <c r="C28" s="1511" t="s">
        <v>167</v>
      </c>
      <c r="D28" s="1511" t="s">
        <v>145</v>
      </c>
      <c r="E28" s="1512"/>
      <c r="F28" s="1513">
        <v>22.680000000000003</v>
      </c>
      <c r="G28" s="1514"/>
      <c r="H28" s="1515"/>
      <c r="I28" s="1513"/>
      <c r="J28" s="1514"/>
      <c r="K28" s="1515"/>
      <c r="L28" s="1516"/>
      <c r="M28" s="1517" t="s">
        <v>1397</v>
      </c>
      <c r="N28" s="1689"/>
      <c r="O28" s="1644"/>
      <c r="P28" s="245" t="b">
        <f t="shared" si="3"/>
        <v>0</v>
      </c>
      <c r="R28" s="245" t="b">
        <f t="shared" si="1"/>
        <v>0</v>
      </c>
      <c r="AO28" s="238" t="str">
        <f t="shared" si="2"/>
        <v>SJ4</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151</v>
      </c>
      <c r="C29" s="1511" t="s">
        <v>163</v>
      </c>
      <c r="D29" s="1511" t="s">
        <v>145</v>
      </c>
      <c r="E29" s="1512"/>
      <c r="F29" s="1513">
        <v>134</v>
      </c>
      <c r="G29" s="1514"/>
      <c r="H29" s="1515"/>
      <c r="I29" s="1513"/>
      <c r="J29" s="1514"/>
      <c r="K29" s="1515"/>
      <c r="L29" s="1516" t="s">
        <v>116</v>
      </c>
      <c r="M29" s="1517" t="s">
        <v>1397</v>
      </c>
      <c r="N29" s="1689"/>
      <c r="O29" s="1644"/>
      <c r="P29" s="245" t="b">
        <f t="shared" si="3"/>
        <v>0</v>
      </c>
      <c r="R29" s="245" t="b">
        <f t="shared" si="1"/>
        <v>0</v>
      </c>
      <c r="AO29" s="238" t="str">
        <f t="shared" si="2"/>
        <v>SJ4</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151</v>
      </c>
      <c r="C30" s="1511" t="s">
        <v>163</v>
      </c>
      <c r="D30" s="1511" t="s">
        <v>145</v>
      </c>
      <c r="E30" s="1512"/>
      <c r="F30" s="1513">
        <v>416</v>
      </c>
      <c r="G30" s="1514">
        <v>0</v>
      </c>
      <c r="H30" s="1515">
        <v>0</v>
      </c>
      <c r="I30" s="1513">
        <v>0</v>
      </c>
      <c r="J30" s="1514">
        <v>24</v>
      </c>
      <c r="K30" s="1515">
        <v>11.5</v>
      </c>
      <c r="L30" s="1516" t="s">
        <v>702</v>
      </c>
      <c r="M30" s="1517" t="s">
        <v>1397</v>
      </c>
      <c r="N30" s="1689" t="s">
        <v>116</v>
      </c>
      <c r="O30" s="1644"/>
      <c r="P30" s="245" t="b">
        <f t="shared" si="3"/>
        <v>0</v>
      </c>
      <c r="R30" s="245" t="b">
        <f t="shared" si="1"/>
        <v>0</v>
      </c>
      <c r="AO30" s="238" t="str">
        <f t="shared" si="2"/>
        <v>SJ4</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t="s">
        <v>1779</v>
      </c>
      <c r="B31" s="1511" t="s">
        <v>151</v>
      </c>
      <c r="C31" s="1511" t="s">
        <v>165</v>
      </c>
      <c r="D31" s="1511" t="s">
        <v>145</v>
      </c>
      <c r="E31" s="1512"/>
      <c r="F31" s="1513">
        <v>125</v>
      </c>
      <c r="G31" s="1514"/>
      <c r="H31" s="1515"/>
      <c r="I31" s="1513"/>
      <c r="J31" s="1514"/>
      <c r="K31" s="1515"/>
      <c r="L31" s="1516"/>
      <c r="M31" s="1516" t="s">
        <v>1397</v>
      </c>
      <c r="N31" s="1689" t="s">
        <v>116</v>
      </c>
      <c r="O31" s="1644"/>
      <c r="P31" s="245" t="b">
        <f t="shared" si="3"/>
        <v>0</v>
      </c>
      <c r="R31" s="245" t="b">
        <f t="shared" si="1"/>
        <v>0</v>
      </c>
      <c r="AO31" s="238" t="str">
        <f t="shared" si="2"/>
        <v>SJ5</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151</v>
      </c>
      <c r="C32" s="1511" t="s">
        <v>167</v>
      </c>
      <c r="D32" s="1511" t="s">
        <v>145</v>
      </c>
      <c r="E32" s="1512"/>
      <c r="F32" s="1513">
        <v>22.680000000000003</v>
      </c>
      <c r="G32" s="1514"/>
      <c r="H32" s="1515"/>
      <c r="I32" s="1513"/>
      <c r="J32" s="1514"/>
      <c r="K32" s="1515"/>
      <c r="L32" s="1516"/>
      <c r="M32" s="1516" t="s">
        <v>1397</v>
      </c>
      <c r="N32" s="1689" t="s">
        <v>116</v>
      </c>
      <c r="O32" s="1644"/>
      <c r="P32" s="245" t="b">
        <f t="shared" si="3"/>
        <v>0</v>
      </c>
      <c r="R32" s="245" t="b">
        <f t="shared" si="1"/>
        <v>0</v>
      </c>
      <c r="AO32" s="238" t="str">
        <f t="shared" si="2"/>
        <v>SJ5</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151</v>
      </c>
      <c r="C33" s="1511" t="s">
        <v>163</v>
      </c>
      <c r="D33" s="1511" t="s">
        <v>145</v>
      </c>
      <c r="E33" s="1512"/>
      <c r="F33" s="1513">
        <v>35</v>
      </c>
      <c r="G33" s="1514"/>
      <c r="H33" s="1515"/>
      <c r="I33" s="1513"/>
      <c r="J33" s="1514"/>
      <c r="K33" s="1515"/>
      <c r="L33" s="1516" t="s">
        <v>116</v>
      </c>
      <c r="M33" s="1516" t="s">
        <v>1397</v>
      </c>
      <c r="N33" s="1689" t="s">
        <v>116</v>
      </c>
      <c r="O33" s="1644"/>
      <c r="P33" s="245" t="b">
        <f t="shared" si="3"/>
        <v>0</v>
      </c>
      <c r="R33" s="245" t="b">
        <f t="shared" si="1"/>
        <v>0</v>
      </c>
      <c r="AO33" s="238" t="str">
        <f t="shared" si="2"/>
        <v>SJ5</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151</v>
      </c>
      <c r="C34" s="1511" t="s">
        <v>163</v>
      </c>
      <c r="D34" s="1511" t="s">
        <v>145</v>
      </c>
      <c r="E34" s="1512"/>
      <c r="F34" s="1513">
        <v>514</v>
      </c>
      <c r="G34" s="1514">
        <v>0</v>
      </c>
      <c r="H34" s="1515">
        <v>0</v>
      </c>
      <c r="I34" s="1513">
        <v>0</v>
      </c>
      <c r="J34" s="1514">
        <v>30</v>
      </c>
      <c r="K34" s="1515">
        <v>9.75</v>
      </c>
      <c r="L34" s="1516" t="s">
        <v>702</v>
      </c>
      <c r="M34" s="1516" t="s">
        <v>1397</v>
      </c>
      <c r="N34" s="1689" t="s">
        <v>116</v>
      </c>
      <c r="O34" s="1644"/>
      <c r="P34" s="245" t="b">
        <f t="shared" si="3"/>
        <v>0</v>
      </c>
      <c r="R34" s="245" t="b">
        <f t="shared" si="1"/>
        <v>0</v>
      </c>
      <c r="AO34" s="238" t="str">
        <f t="shared" si="2"/>
        <v>SJ5</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154</v>
      </c>
      <c r="C35" s="1511" t="s">
        <v>165</v>
      </c>
      <c r="D35" s="1511" t="s">
        <v>145</v>
      </c>
      <c r="E35" s="1512"/>
      <c r="F35" s="1513">
        <v>540</v>
      </c>
      <c r="G35" s="1514"/>
      <c r="H35" s="1515"/>
      <c r="I35" s="1513"/>
      <c r="J35" s="1514"/>
      <c r="K35" s="1515"/>
      <c r="L35" s="1516" t="s">
        <v>116</v>
      </c>
      <c r="M35" s="1516" t="s">
        <v>1397</v>
      </c>
      <c r="N35" s="1689" t="s">
        <v>116</v>
      </c>
      <c r="O35" s="1644"/>
      <c r="P35" s="245" t="b">
        <f t="shared" si="3"/>
        <v>0</v>
      </c>
      <c r="R35" s="245" t="b">
        <f t="shared" si="1"/>
        <v>1</v>
      </c>
      <c r="AO35" s="238" t="str">
        <f t="shared" si="2"/>
        <v>SJ5</v>
      </c>
      <c r="AP35" s="945" t="b">
        <v>0</v>
      </c>
      <c r="AQ35" s="1322"/>
      <c r="AR35" s="1323"/>
      <c r="AS35" s="1323"/>
      <c r="AT35" s="1323"/>
      <c r="AU35" s="1323"/>
      <c r="AV35" s="1323"/>
      <c r="AW35" s="1323"/>
      <c r="AX35" s="1323"/>
      <c r="AY35" s="1323"/>
      <c r="AZ35" s="1323"/>
      <c r="BA35" s="1532"/>
      <c r="BB35" s="1532"/>
      <c r="BC35" s="1533"/>
    </row>
    <row r="36" spans="1:55" ht="14.1" customHeight="1" x14ac:dyDescent="0.2">
      <c r="A36" s="1510" t="s">
        <v>1780</v>
      </c>
      <c r="B36" s="1511" t="s">
        <v>151</v>
      </c>
      <c r="C36" s="1511" t="s">
        <v>165</v>
      </c>
      <c r="D36" s="1511" t="s">
        <v>145</v>
      </c>
      <c r="E36" s="1512"/>
      <c r="F36" s="1513">
        <v>125</v>
      </c>
      <c r="G36" s="1514"/>
      <c r="H36" s="1515"/>
      <c r="I36" s="1513"/>
      <c r="J36" s="1514"/>
      <c r="K36" s="1515"/>
      <c r="L36" s="1516"/>
      <c r="M36" s="1516" t="s">
        <v>1397</v>
      </c>
      <c r="N36" s="1689" t="s">
        <v>116</v>
      </c>
      <c r="O36" s="1644"/>
      <c r="P36" s="245" t="b">
        <f t="shared" si="3"/>
        <v>0</v>
      </c>
      <c r="R36" s="245" t="b">
        <f t="shared" si="1"/>
        <v>0</v>
      </c>
      <c r="AO36" s="238" t="str">
        <f t="shared" si="2"/>
        <v>SJ6</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151</v>
      </c>
      <c r="C37" s="1511" t="s">
        <v>167</v>
      </c>
      <c r="D37" s="1511" t="s">
        <v>145</v>
      </c>
      <c r="E37" s="1512"/>
      <c r="F37" s="1513">
        <v>22.680000000000003</v>
      </c>
      <c r="G37" s="1514"/>
      <c r="H37" s="1515"/>
      <c r="I37" s="1513"/>
      <c r="J37" s="1514"/>
      <c r="K37" s="1515"/>
      <c r="L37" s="1516"/>
      <c r="M37" s="1516" t="s">
        <v>1397</v>
      </c>
      <c r="N37" s="1689" t="s">
        <v>116</v>
      </c>
      <c r="O37" s="1644"/>
      <c r="P37" s="245" t="b">
        <f t="shared" si="3"/>
        <v>0</v>
      </c>
      <c r="R37" s="245" t="b">
        <f t="shared" si="1"/>
        <v>0</v>
      </c>
      <c r="AO37" s="238" t="str">
        <f t="shared" si="2"/>
        <v>SJ6</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151</v>
      </c>
      <c r="C38" s="1511" t="s">
        <v>163</v>
      </c>
      <c r="D38" s="1511" t="s">
        <v>145</v>
      </c>
      <c r="E38" s="1512"/>
      <c r="F38" s="1513">
        <v>550</v>
      </c>
      <c r="G38" s="1514">
        <v>0</v>
      </c>
      <c r="H38" s="1515">
        <v>0</v>
      </c>
      <c r="I38" s="1513">
        <v>0</v>
      </c>
      <c r="J38" s="1514">
        <v>33</v>
      </c>
      <c r="K38" s="1515">
        <v>0</v>
      </c>
      <c r="L38" s="1516" t="s">
        <v>702</v>
      </c>
      <c r="M38" s="1516" t="s">
        <v>1397</v>
      </c>
      <c r="N38" s="1689" t="s">
        <v>116</v>
      </c>
      <c r="O38" s="1644"/>
      <c r="P38" s="245" t="b">
        <f t="shared" si="3"/>
        <v>0</v>
      </c>
      <c r="R38" s="245" t="b">
        <f t="shared" si="1"/>
        <v>0</v>
      </c>
      <c r="AO38" s="238" t="str">
        <f t="shared" si="2"/>
        <v>SJ6</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154</v>
      </c>
      <c r="C39" s="1511" t="s">
        <v>165</v>
      </c>
      <c r="D39" s="1511" t="s">
        <v>145</v>
      </c>
      <c r="E39" s="1512"/>
      <c r="F39" s="1513">
        <v>540</v>
      </c>
      <c r="G39" s="1514"/>
      <c r="H39" s="1515"/>
      <c r="I39" s="1513"/>
      <c r="J39" s="1514"/>
      <c r="K39" s="1515"/>
      <c r="L39" s="1516" t="s">
        <v>116</v>
      </c>
      <c r="M39" s="1516" t="s">
        <v>1397</v>
      </c>
      <c r="N39" s="1689" t="s">
        <v>116</v>
      </c>
      <c r="O39" s="1644"/>
      <c r="P39" s="245" t="b">
        <f t="shared" si="3"/>
        <v>0</v>
      </c>
      <c r="R39" s="245" t="b">
        <f t="shared" si="1"/>
        <v>1</v>
      </c>
      <c r="AO39" s="238" t="str">
        <f t="shared" si="2"/>
        <v>SJ6</v>
      </c>
      <c r="AP39" s="945" t="b">
        <v>0</v>
      </c>
      <c r="AQ39" s="1322"/>
      <c r="AR39" s="1323"/>
      <c r="AS39" s="1323"/>
      <c r="AT39" s="1323"/>
      <c r="AU39" s="1323"/>
      <c r="AV39" s="1323"/>
      <c r="AW39" s="1323"/>
      <c r="AX39" s="1323"/>
      <c r="AY39" s="1323"/>
      <c r="AZ39" s="1323"/>
      <c r="BA39" s="1532"/>
      <c r="BB39" s="1532"/>
      <c r="BC39" s="1533"/>
    </row>
    <row r="40" spans="1:55" ht="14.1" customHeight="1" x14ac:dyDescent="0.2">
      <c r="A40" s="1510" t="s">
        <v>1781</v>
      </c>
      <c r="B40" s="1511" t="s">
        <v>151</v>
      </c>
      <c r="C40" s="1511" t="s">
        <v>165</v>
      </c>
      <c r="D40" s="1511" t="s">
        <v>145</v>
      </c>
      <c r="E40" s="1512"/>
      <c r="F40" s="1513">
        <v>125</v>
      </c>
      <c r="G40" s="1514"/>
      <c r="H40" s="1515"/>
      <c r="I40" s="1513"/>
      <c r="J40" s="1514"/>
      <c r="K40" s="1515"/>
      <c r="L40" s="1516"/>
      <c r="M40" s="1516" t="s">
        <v>1397</v>
      </c>
      <c r="N40" s="1689" t="s">
        <v>116</v>
      </c>
      <c r="O40" s="1644"/>
      <c r="P40" s="245" t="b">
        <f t="shared" si="3"/>
        <v>0</v>
      </c>
      <c r="R40" s="245" t="b">
        <f t="shared" si="1"/>
        <v>0</v>
      </c>
      <c r="AO40" s="238" t="str">
        <f t="shared" si="2"/>
        <v>SJ7</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151</v>
      </c>
      <c r="C41" s="1511" t="s">
        <v>167</v>
      </c>
      <c r="D41" s="1511" t="s">
        <v>145</v>
      </c>
      <c r="E41" s="1512"/>
      <c r="F41" s="1513">
        <v>22.680000000000003</v>
      </c>
      <c r="G41" s="1514"/>
      <c r="H41" s="1515"/>
      <c r="I41" s="1513"/>
      <c r="J41" s="1514"/>
      <c r="K41" s="1515"/>
      <c r="L41" s="1516"/>
      <c r="M41" s="1516" t="s">
        <v>1397</v>
      </c>
      <c r="N41" s="1689" t="s">
        <v>116</v>
      </c>
      <c r="O41" s="1644"/>
      <c r="P41" s="245" t="b">
        <f t="shared" si="3"/>
        <v>0</v>
      </c>
      <c r="R41" s="245" t="b">
        <f t="shared" si="1"/>
        <v>0</v>
      </c>
      <c r="AO41" s="238" t="str">
        <f t="shared" si="2"/>
        <v>SJ7</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151</v>
      </c>
      <c r="C42" s="1511" t="s">
        <v>163</v>
      </c>
      <c r="D42" s="1511" t="s">
        <v>145</v>
      </c>
      <c r="E42" s="1512"/>
      <c r="F42" s="1513">
        <v>550</v>
      </c>
      <c r="G42" s="1514">
        <v>0</v>
      </c>
      <c r="H42" s="1515">
        <v>0</v>
      </c>
      <c r="I42" s="1513">
        <v>0</v>
      </c>
      <c r="J42" s="1514">
        <v>33</v>
      </c>
      <c r="K42" s="1515">
        <v>0</v>
      </c>
      <c r="L42" s="1516" t="s">
        <v>702</v>
      </c>
      <c r="M42" s="1516" t="s">
        <v>1397</v>
      </c>
      <c r="N42" s="1689" t="s">
        <v>116</v>
      </c>
      <c r="O42" s="1644"/>
      <c r="P42" s="245" t="b">
        <f t="shared" si="3"/>
        <v>0</v>
      </c>
      <c r="R42" s="245" t="b">
        <f t="shared" si="1"/>
        <v>0</v>
      </c>
      <c r="AO42" s="238" t="str">
        <f t="shared" si="2"/>
        <v>SJ7</v>
      </c>
      <c r="AP42" s="945" t="b">
        <v>0</v>
      </c>
      <c r="AQ42" s="1322"/>
      <c r="AR42" s="1323"/>
      <c r="AS42" s="1323"/>
      <c r="AT42" s="1323"/>
      <c r="AU42" s="1323"/>
      <c r="AV42" s="1323"/>
      <c r="AW42" s="1323"/>
      <c r="AX42" s="1323"/>
      <c r="AY42" s="1323"/>
      <c r="AZ42" s="1323"/>
      <c r="BA42" s="1532"/>
      <c r="BB42" s="1532"/>
      <c r="BC42" s="1533"/>
    </row>
    <row r="43" spans="1:55" ht="14.1" customHeight="1" x14ac:dyDescent="0.2">
      <c r="A43" s="1510" t="s">
        <v>1782</v>
      </c>
      <c r="B43" s="1511" t="s">
        <v>151</v>
      </c>
      <c r="C43" s="1511" t="s">
        <v>165</v>
      </c>
      <c r="D43" s="1511" t="s">
        <v>145</v>
      </c>
      <c r="E43" s="1512"/>
      <c r="F43" s="1513">
        <v>125</v>
      </c>
      <c r="G43" s="1514"/>
      <c r="H43" s="1515"/>
      <c r="I43" s="1513"/>
      <c r="J43" s="1514"/>
      <c r="K43" s="1515"/>
      <c r="L43" s="1516"/>
      <c r="M43" s="1516" t="s">
        <v>1397</v>
      </c>
      <c r="N43" s="1689" t="s">
        <v>116</v>
      </c>
      <c r="O43" s="1644"/>
      <c r="P43" s="245" t="b">
        <f t="shared" si="3"/>
        <v>0</v>
      </c>
      <c r="R43" s="245" t="b">
        <f t="shared" si="1"/>
        <v>0</v>
      </c>
      <c r="AO43" s="238" t="str">
        <f t="shared" si="2"/>
        <v>STJ8</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151</v>
      </c>
      <c r="C44" s="1511" t="s">
        <v>167</v>
      </c>
      <c r="D44" s="1511" t="s">
        <v>145</v>
      </c>
      <c r="E44" s="1512"/>
      <c r="F44" s="1513">
        <v>22.680000000000003</v>
      </c>
      <c r="G44" s="1514"/>
      <c r="H44" s="1515"/>
      <c r="I44" s="1513"/>
      <c r="J44" s="1514"/>
      <c r="K44" s="1515"/>
      <c r="L44" s="1516"/>
      <c r="M44" s="1516" t="s">
        <v>1397</v>
      </c>
      <c r="N44" s="1689" t="s">
        <v>116</v>
      </c>
      <c r="O44" s="1644"/>
      <c r="P44" s="245" t="b">
        <f t="shared" si="3"/>
        <v>0</v>
      </c>
      <c r="R44" s="245" t="b">
        <f t="shared" si="1"/>
        <v>0</v>
      </c>
      <c r="AO44" s="238" t="str">
        <f t="shared" si="2"/>
        <v>STJ8</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151</v>
      </c>
      <c r="C45" s="1511" t="s">
        <v>163</v>
      </c>
      <c r="D45" s="1511" t="s">
        <v>145</v>
      </c>
      <c r="E45" s="1512"/>
      <c r="F45" s="1513">
        <v>550</v>
      </c>
      <c r="G45" s="1514">
        <v>0</v>
      </c>
      <c r="H45" s="1515">
        <v>0</v>
      </c>
      <c r="I45" s="1513">
        <v>0</v>
      </c>
      <c r="J45" s="1514">
        <v>33</v>
      </c>
      <c r="K45" s="1515">
        <v>0</v>
      </c>
      <c r="L45" s="1516" t="s">
        <v>702</v>
      </c>
      <c r="M45" s="1516" t="s">
        <v>1397</v>
      </c>
      <c r="N45" s="1689" t="s">
        <v>116</v>
      </c>
      <c r="O45" s="1644"/>
      <c r="P45" s="245" t="b">
        <f t="shared" si="3"/>
        <v>0</v>
      </c>
      <c r="R45" s="245" t="b">
        <f t="shared" si="1"/>
        <v>0</v>
      </c>
      <c r="AO45" s="238" t="str">
        <f t="shared" si="2"/>
        <v>STJ8</v>
      </c>
      <c r="AP45" s="945" t="b">
        <v>0</v>
      </c>
      <c r="AQ45" s="1322"/>
      <c r="AR45" s="1323"/>
      <c r="AS45" s="1323"/>
      <c r="AT45" s="1323"/>
      <c r="AU45" s="1323"/>
      <c r="AV45" s="1323"/>
      <c r="AW45" s="1323"/>
      <c r="AX45" s="1323"/>
      <c r="AY45" s="1323"/>
      <c r="AZ45" s="1323"/>
      <c r="BA45" s="1532"/>
      <c r="BB45" s="1532"/>
      <c r="BC45" s="1533"/>
    </row>
    <row r="46" spans="1:55" ht="14.1" customHeight="1" x14ac:dyDescent="0.2">
      <c r="A46" s="1510" t="s">
        <v>1783</v>
      </c>
      <c r="B46" s="1511" t="s">
        <v>151</v>
      </c>
      <c r="C46" s="1511" t="s">
        <v>165</v>
      </c>
      <c r="D46" s="1511" t="s">
        <v>145</v>
      </c>
      <c r="E46" s="1512"/>
      <c r="F46" s="1513">
        <v>125</v>
      </c>
      <c r="G46" s="1514"/>
      <c r="H46" s="1515"/>
      <c r="I46" s="1513"/>
      <c r="J46" s="1514"/>
      <c r="K46" s="1515"/>
      <c r="L46" s="1516"/>
      <c r="M46" s="1516" t="s">
        <v>1397</v>
      </c>
      <c r="N46" s="1689" t="s">
        <v>116</v>
      </c>
      <c r="O46" s="1644"/>
      <c r="P46" s="245" t="b">
        <f t="shared" si="3"/>
        <v>0</v>
      </c>
      <c r="R46" s="245" t="b">
        <f t="shared" si="1"/>
        <v>0</v>
      </c>
      <c r="AO46" s="238" t="str">
        <f t="shared" si="2"/>
        <v>SJ9</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151</v>
      </c>
      <c r="C47" s="1511" t="s">
        <v>167</v>
      </c>
      <c r="D47" s="1511" t="s">
        <v>145</v>
      </c>
      <c r="E47" s="1512"/>
      <c r="F47" s="1513">
        <v>22.680000000000003</v>
      </c>
      <c r="G47" s="1514"/>
      <c r="H47" s="1515"/>
      <c r="I47" s="1513"/>
      <c r="J47" s="1514"/>
      <c r="K47" s="1515"/>
      <c r="L47" s="1516"/>
      <c r="M47" s="1516" t="s">
        <v>1397</v>
      </c>
      <c r="N47" s="1689" t="s">
        <v>116</v>
      </c>
      <c r="O47" s="1644"/>
      <c r="P47" s="245" t="b">
        <f t="shared" si="3"/>
        <v>0</v>
      </c>
      <c r="R47" s="245" t="b">
        <f t="shared" si="1"/>
        <v>0</v>
      </c>
      <c r="AO47" s="238" t="str">
        <f t="shared" si="2"/>
        <v>SJ9</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151</v>
      </c>
      <c r="C48" s="1511" t="s">
        <v>163</v>
      </c>
      <c r="D48" s="1511" t="s">
        <v>145</v>
      </c>
      <c r="E48" s="1512"/>
      <c r="F48" s="1513">
        <v>249</v>
      </c>
      <c r="G48" s="1514">
        <v>0</v>
      </c>
      <c r="H48" s="1515">
        <v>0</v>
      </c>
      <c r="I48" s="1513">
        <v>0</v>
      </c>
      <c r="J48" s="1514">
        <v>16</v>
      </c>
      <c r="K48" s="1515">
        <v>4</v>
      </c>
      <c r="L48" s="1516" t="s">
        <v>702</v>
      </c>
      <c r="M48" s="1516" t="s">
        <v>1397</v>
      </c>
      <c r="N48" s="1689" t="s">
        <v>116</v>
      </c>
      <c r="O48" s="1644"/>
      <c r="P48" s="245" t="b">
        <f t="shared" si="3"/>
        <v>0</v>
      </c>
      <c r="R48" s="245" t="b">
        <f t="shared" si="1"/>
        <v>0</v>
      </c>
      <c r="AO48" s="238" t="str">
        <f t="shared" si="2"/>
        <v>SJ9</v>
      </c>
      <c r="AP48" s="945" t="b">
        <v>0</v>
      </c>
      <c r="AQ48" s="1322"/>
      <c r="AR48" s="1323"/>
      <c r="AS48" s="1323"/>
      <c r="AT48" s="1323"/>
      <c r="AU48" s="1323"/>
      <c r="AV48" s="1323"/>
      <c r="AW48" s="1323"/>
      <c r="AX48" s="1323"/>
      <c r="AY48" s="1323"/>
      <c r="AZ48" s="1323"/>
      <c r="BA48" s="1532"/>
      <c r="BB48" s="1532"/>
      <c r="BC48" s="1533"/>
    </row>
    <row r="49" spans="1:55" ht="14.1" customHeight="1" x14ac:dyDescent="0.2">
      <c r="A49" s="1510" t="s">
        <v>1784</v>
      </c>
      <c r="B49" s="1511" t="s">
        <v>151</v>
      </c>
      <c r="C49" s="1511" t="s">
        <v>165</v>
      </c>
      <c r="D49" s="1511" t="s">
        <v>145</v>
      </c>
      <c r="E49" s="1512"/>
      <c r="F49" s="1513">
        <v>125</v>
      </c>
      <c r="G49" s="1514"/>
      <c r="H49" s="1515"/>
      <c r="I49" s="1513"/>
      <c r="J49" s="1514"/>
      <c r="K49" s="1515"/>
      <c r="L49" s="1516"/>
      <c r="M49" s="1516" t="s">
        <v>1397</v>
      </c>
      <c r="N49" s="1689" t="s">
        <v>116</v>
      </c>
      <c r="O49" s="1644"/>
      <c r="P49" s="245" t="b">
        <f t="shared" si="3"/>
        <v>0</v>
      </c>
      <c r="R49" s="245" t="b">
        <f t="shared" si="1"/>
        <v>0</v>
      </c>
      <c r="AO49" s="238" t="str">
        <f t="shared" si="2"/>
        <v>SJ10</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151</v>
      </c>
      <c r="C50" s="1511" t="s">
        <v>167</v>
      </c>
      <c r="D50" s="1511" t="s">
        <v>145</v>
      </c>
      <c r="E50" s="1512"/>
      <c r="F50" s="1513">
        <v>22.680000000000003</v>
      </c>
      <c r="G50" s="1514"/>
      <c r="H50" s="1515"/>
      <c r="I50" s="1513"/>
      <c r="J50" s="1514"/>
      <c r="K50" s="1515"/>
      <c r="L50" s="1516"/>
      <c r="M50" s="1516" t="s">
        <v>1397</v>
      </c>
      <c r="N50" s="1689" t="s">
        <v>116</v>
      </c>
      <c r="O50" s="1644"/>
      <c r="P50" s="245" t="b">
        <f t="shared" si="3"/>
        <v>0</v>
      </c>
      <c r="R50" s="245" t="b">
        <f t="shared" si="1"/>
        <v>0</v>
      </c>
      <c r="AO50" s="238" t="str">
        <f t="shared" si="2"/>
        <v>SJ10</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151</v>
      </c>
      <c r="C51" s="1511" t="s">
        <v>163</v>
      </c>
      <c r="D51" s="1511" t="s">
        <v>145</v>
      </c>
      <c r="E51" s="1512"/>
      <c r="F51" s="1513">
        <v>249</v>
      </c>
      <c r="G51" s="1514">
        <v>0</v>
      </c>
      <c r="H51" s="1515">
        <v>0</v>
      </c>
      <c r="I51" s="1513">
        <v>0</v>
      </c>
      <c r="J51" s="1514">
        <v>16</v>
      </c>
      <c r="K51" s="1515">
        <v>4</v>
      </c>
      <c r="L51" s="1516" t="s">
        <v>702</v>
      </c>
      <c r="M51" s="1516" t="s">
        <v>1397</v>
      </c>
      <c r="N51" s="1689" t="s">
        <v>116</v>
      </c>
      <c r="O51" s="1644"/>
      <c r="P51" s="245" t="b">
        <f t="shared" si="3"/>
        <v>0</v>
      </c>
      <c r="R51" s="245" t="b">
        <f t="shared" si="1"/>
        <v>0</v>
      </c>
      <c r="AO51" s="238" t="str">
        <f t="shared" si="2"/>
        <v>SJ10</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154</v>
      </c>
      <c r="C52" s="1511" t="s">
        <v>165</v>
      </c>
      <c r="D52" s="1511" t="s">
        <v>145</v>
      </c>
      <c r="E52" s="1512"/>
      <c r="F52" s="1513">
        <v>1100</v>
      </c>
      <c r="G52" s="1514"/>
      <c r="H52" s="1515"/>
      <c r="I52" s="1513"/>
      <c r="J52" s="1514"/>
      <c r="K52" s="1515"/>
      <c r="L52" s="1516" t="s">
        <v>116</v>
      </c>
      <c r="M52" s="1516" t="s">
        <v>1397</v>
      </c>
      <c r="N52" s="1689" t="s">
        <v>116</v>
      </c>
      <c r="O52" s="1644"/>
      <c r="P52" s="245" t="b">
        <f t="shared" si="3"/>
        <v>0</v>
      </c>
      <c r="R52" s="245" t="b">
        <f t="shared" si="1"/>
        <v>1</v>
      </c>
      <c r="AO52" s="238" t="str">
        <f t="shared" si="2"/>
        <v>SJ10</v>
      </c>
      <c r="AP52" s="945" t="b">
        <v>0</v>
      </c>
      <c r="AQ52" s="1322"/>
      <c r="AR52" s="1323"/>
      <c r="AS52" s="1323"/>
      <c r="AT52" s="1323"/>
      <c r="AU52" s="1323"/>
      <c r="AV52" s="1323"/>
      <c r="AW52" s="1323"/>
      <c r="AX52" s="1323"/>
      <c r="AY52" s="1323"/>
      <c r="AZ52" s="1323"/>
      <c r="BA52" s="1532"/>
      <c r="BB52" s="1532"/>
      <c r="BC52" s="1533"/>
    </row>
    <row r="53" spans="1:55" ht="14.1" customHeight="1" x14ac:dyDescent="0.2">
      <c r="A53" s="1510" t="s">
        <v>1785</v>
      </c>
      <c r="B53" s="1511" t="s">
        <v>151</v>
      </c>
      <c r="C53" s="1511" t="s">
        <v>165</v>
      </c>
      <c r="D53" s="1511" t="s">
        <v>145</v>
      </c>
      <c r="E53" s="1512"/>
      <c r="F53" s="1513">
        <v>125</v>
      </c>
      <c r="G53" s="1514"/>
      <c r="H53" s="1515"/>
      <c r="I53" s="1513"/>
      <c r="J53" s="1514"/>
      <c r="K53" s="1515"/>
      <c r="L53" s="1516"/>
      <c r="M53" s="1516" t="s">
        <v>1397</v>
      </c>
      <c r="N53" s="1689" t="s">
        <v>116</v>
      </c>
      <c r="O53" s="1644"/>
      <c r="P53" s="245" t="b">
        <f t="shared" si="3"/>
        <v>0</v>
      </c>
      <c r="R53" s="245" t="b">
        <f t="shared" si="1"/>
        <v>0</v>
      </c>
      <c r="AO53" s="238" t="str">
        <f t="shared" si="2"/>
        <v>STJ11</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151</v>
      </c>
      <c r="C54" s="1511" t="s">
        <v>167</v>
      </c>
      <c r="D54" s="1511" t="s">
        <v>145</v>
      </c>
      <c r="E54" s="1512"/>
      <c r="F54" s="1513">
        <v>22.680000000000003</v>
      </c>
      <c r="G54" s="1514"/>
      <c r="H54" s="1515"/>
      <c r="I54" s="1513"/>
      <c r="J54" s="1514"/>
      <c r="K54" s="1515"/>
      <c r="L54" s="1516"/>
      <c r="M54" s="1516" t="s">
        <v>1397</v>
      </c>
      <c r="N54" s="1689" t="s">
        <v>116</v>
      </c>
      <c r="O54" s="1644"/>
      <c r="P54" s="245" t="b">
        <f t="shared" si="3"/>
        <v>0</v>
      </c>
      <c r="R54" s="245" t="b">
        <f t="shared" si="1"/>
        <v>0</v>
      </c>
      <c r="AO54" s="238" t="str">
        <f t="shared" si="2"/>
        <v>STJ11</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151</v>
      </c>
      <c r="C55" s="1520" t="s">
        <v>163</v>
      </c>
      <c r="D55" s="1520" t="s">
        <v>145</v>
      </c>
      <c r="E55" s="1521"/>
      <c r="F55" s="1522">
        <v>249</v>
      </c>
      <c r="G55" s="1523">
        <v>0</v>
      </c>
      <c r="H55" s="1524">
        <v>0</v>
      </c>
      <c r="I55" s="1522">
        <v>0</v>
      </c>
      <c r="J55" s="1523">
        <v>16</v>
      </c>
      <c r="K55" s="1524">
        <v>4</v>
      </c>
      <c r="L55" s="1525" t="s">
        <v>702</v>
      </c>
      <c r="M55" s="1525" t="s">
        <v>1397</v>
      </c>
      <c r="N55" s="1690"/>
      <c r="O55" s="1644"/>
      <c r="P55" s="245" t="b">
        <f t="shared" si="3"/>
        <v>0</v>
      </c>
      <c r="R55" s="245" t="b">
        <f t="shared" si="1"/>
        <v>0</v>
      </c>
      <c r="AO55" s="238" t="str">
        <f t="shared" si="2"/>
        <v>STJ11</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69" priority="4" stopIfTrue="1">
      <formula>AND($B14="NU",F14&lt;0)</formula>
    </cfRule>
  </conditionalFormatting>
  <conditionalFormatting sqref="B14:B55">
    <cfRule type="expression" dxfId="68" priority="5" stopIfTrue="1">
      <formula>OR(AND($B14="NU",F14&lt;0),AND($B14="NU",I14&lt;0))</formula>
    </cfRule>
  </conditionalFormatting>
  <conditionalFormatting sqref="G14:H55 J14:L55">
    <cfRule type="expression" dxfId="67" priority="6" stopIfTrue="1">
      <formula>$R14</formula>
    </cfRule>
  </conditionalFormatting>
  <conditionalFormatting sqref="I2:K4">
    <cfRule type="cellIs" dxfId="66" priority="7" stopIfTrue="1" operator="equal">
      <formula>""</formula>
    </cfRule>
  </conditionalFormatting>
  <conditionalFormatting sqref="I14:I55">
    <cfRule type="expression" dxfId="65" priority="8" stopIfTrue="1">
      <formula>OR($R14,$B14="CZ",AND($B14="NU",I14&lt;0))</formula>
    </cfRule>
  </conditionalFormatting>
  <conditionalFormatting sqref="A14:A55">
    <cfRule type="expression" dxfId="64" priority="3">
      <formula>NOT($P14)</formula>
    </cfRule>
  </conditionalFormatting>
  <conditionalFormatting sqref="B14:D55">
    <cfRule type="expression" dxfId="6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62" priority="9">
      <formula>AND(NOT($P14),$T$1)</formula>
    </cfRule>
    <cfRule type="expression" dxfId="61" priority="10">
      <formula>AND($AP14,$S$1="M")</formula>
    </cfRule>
  </conditionalFormatting>
  <conditionalFormatting sqref="L14:L55">
    <cfRule type="expression" dxfId="6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B63F6B19-FCE8-43E6-815D-CF44C965CB2D}">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C15A68E1-4C2B-4F5A-ADB3-7AA8EA139A42}">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B30C5AB0-8049-440E-9ACA-260F0F6DAEA9}">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FBA0BBCE-ED66-46A3-9C24-BFA29C1B59E6}">
      <formula1>IF($CA$14,$CA$16:$CA$21,$CB$16:$CB$19)</formula1>
    </dataValidation>
    <dataValidation type="list" allowBlank="1" showErrorMessage="1" errorTitle="Invalid Type" error="You MUST select a Type from the dropdown list provided._x000a__x000a_Also, make sure your Cap Lock is turned on." sqref="B14:B55" xr:uid="{8D89CFC2-BE6E-4F58-BD7E-882C4236D50B}">
      <formula1>$BF$15:$BU$15</formula1>
    </dataValidation>
    <dataValidation allowBlank="1" showInputMessage="1" errorTitle="Invalid Load Case" error="You MUST use a Load Case from the list provided." sqref="M14:M55" xr:uid="{D9E32862-EC87-48B1-BDBD-C7930EF065CD}"/>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F2ECB-AAC3-458A-A8AC-7F5BC3F976FA}">
  <sheetPr codeName="Sheet30">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48" t="str">
        <f>IF(S1="","",VLOOKUP(S1,'Job Info.'!X:AA,4,FALSE))</f>
        <v>Master</v>
      </c>
      <c r="J1" s="1848"/>
      <c r="K1" s="1848"/>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53" t="str">
        <f>IF(S1="","",IF(VLOOKUP(S1,'Job Info.'!X:Z,2,FALSE),"Released for Fabrication",""))</f>
        <v/>
      </c>
      <c r="J2" s="1854"/>
      <c r="K2" s="1855"/>
      <c r="L2" s="375"/>
      <c r="M2" s="375" t="s">
        <v>96</v>
      </c>
      <c r="N2" s="463" t="str">
        <f ca="1">'Job Info.'!D13</f>
        <v>775-867-2140</v>
      </c>
      <c r="O2" s="1008"/>
      <c r="P2" s="1008"/>
      <c r="BE2" s="1040"/>
    </row>
    <row r="3" spans="1:83" ht="12.95" customHeight="1" x14ac:dyDescent="0.2">
      <c r="A3" s="374"/>
      <c r="B3" s="374"/>
      <c r="C3" s="374"/>
      <c r="D3" s="374"/>
      <c r="E3" s="374"/>
      <c r="F3" s="374"/>
      <c r="G3" s="374"/>
      <c r="H3" s="375"/>
      <c r="I3" s="1856"/>
      <c r="J3" s="1857"/>
      <c r="K3" s="1858"/>
      <c r="L3" s="375"/>
      <c r="M3" s="375" t="s">
        <v>98</v>
      </c>
      <c r="N3" s="463" t="str">
        <f ca="1">'Job Info.'!D14</f>
        <v>775-867-2169</v>
      </c>
      <c r="O3" s="1008"/>
      <c r="P3" s="1008"/>
    </row>
    <row r="4" spans="1:83" ht="12.95" customHeight="1" thickBot="1" x14ac:dyDescent="0.25">
      <c r="A4" s="374"/>
      <c r="B4" s="374"/>
      <c r="C4" s="374"/>
      <c r="D4" s="374"/>
      <c r="E4" s="374"/>
      <c r="F4" s="374"/>
      <c r="G4" s="374"/>
      <c r="H4" s="374"/>
      <c r="I4" s="1859" t="str">
        <f>IF(S1="","",IF(VLOOKUP(S1,'Job Info.'!X:Z,2,FALSE),VLOOKUP(S1,'Job Info.'!X:Z,3,FALSE),""))</f>
        <v/>
      </c>
      <c r="J4" s="1860"/>
      <c r="K4" s="1861"/>
      <c r="L4" s="375"/>
      <c r="M4" s="375" t="s">
        <v>97</v>
      </c>
      <c r="N4" s="463" t="str">
        <f ca="1">'Job Info.'!D15</f>
        <v>775-867-2060</v>
      </c>
      <c r="O4" s="1008"/>
      <c r="P4" s="1008"/>
    </row>
    <row r="5" spans="1:83" ht="12.95" customHeight="1" thickTop="1" x14ac:dyDescent="0.2">
      <c r="A5" s="1862" t="str">
        <f ca="1">'Job Info.'!D11</f>
        <v>8200 Woolery Way | Fallon, NV 89406 | www.newmill.com</v>
      </c>
      <c r="B5" s="1872"/>
      <c r="C5" s="1872"/>
      <c r="D5" s="1872"/>
      <c r="E5" s="1872"/>
      <c r="F5" s="1872"/>
      <c r="G5" s="1872"/>
      <c r="H5" s="1872"/>
      <c r="I5" s="1872"/>
      <c r="J5" s="1872"/>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24" t="str">
        <f>IF(ISBLANK('Job Info.'!D3),"",'Job Info.'!D3)</f>
        <v>MINDEN UPS BLDG 1</v>
      </c>
      <c r="C9" s="1824"/>
      <c r="D9" s="1824"/>
      <c r="E9" s="1824"/>
      <c r="F9" s="1824"/>
      <c r="G9" s="1824"/>
      <c r="H9" s="1825"/>
      <c r="I9" s="469"/>
      <c r="J9" s="458" t="s">
        <v>2</v>
      </c>
      <c r="K9" s="1824" t="str">
        <f>IF(ISBLANK('Job Info.'!D5),"",'Job Info.'!D5)</f>
        <v>NN22-0071</v>
      </c>
      <c r="L9" s="1874"/>
      <c r="M9" s="1874"/>
      <c r="N9" s="1875"/>
      <c r="O9" s="1056"/>
      <c r="P9" s="1056"/>
      <c r="V9" s="631"/>
    </row>
    <row r="10" spans="1:83" ht="12.6" customHeight="1" x14ac:dyDescent="0.2">
      <c r="A10" s="471" t="s">
        <v>3</v>
      </c>
      <c r="B10" s="1824" t="str">
        <f>IF(ISBLANK('Job Info.'!D4),"",'Job Info.'!D4)</f>
        <v>MINDEN, NV</v>
      </c>
      <c r="C10" s="1824"/>
      <c r="D10" s="1824"/>
      <c r="E10" s="1824"/>
      <c r="F10" s="1824"/>
      <c r="G10" s="1824"/>
      <c r="H10" s="1825"/>
      <c r="I10" s="1873" t="s">
        <v>22</v>
      </c>
      <c r="J10" s="1873"/>
      <c r="K10" s="1824" t="str">
        <f>IF(ISBLANK('Job Info.'!D6),"",'Job Info.'!D6)</f>
        <v>JMM</v>
      </c>
      <c r="L10" s="1825"/>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64" t="s">
        <v>77</v>
      </c>
      <c r="B12" s="1865"/>
      <c r="C12" s="1865"/>
      <c r="D12" s="1865"/>
      <c r="E12" s="1866"/>
      <c r="F12" s="1864" t="s">
        <v>49</v>
      </c>
      <c r="G12" s="1865"/>
      <c r="H12" s="1871"/>
      <c r="I12" s="1864" t="s">
        <v>50</v>
      </c>
      <c r="J12" s="1865"/>
      <c r="K12" s="1871"/>
      <c r="L12" s="1867" t="s">
        <v>51</v>
      </c>
      <c r="M12" s="1880" t="s">
        <v>741</v>
      </c>
      <c r="N12" s="1867" t="s">
        <v>52</v>
      </c>
      <c r="O12" s="1085"/>
      <c r="P12" s="1085"/>
      <c r="AO12" s="548" t="s">
        <v>973</v>
      </c>
      <c r="AP12" s="944" t="s">
        <v>170</v>
      </c>
      <c r="AQ12" s="1876" t="s">
        <v>1208</v>
      </c>
      <c r="AR12" s="1877"/>
      <c r="AS12" s="1877"/>
      <c r="AT12" s="1877"/>
      <c r="AU12" s="1877"/>
      <c r="AV12" s="1877"/>
      <c r="AW12" s="1877"/>
      <c r="AX12" s="1877"/>
      <c r="AY12" s="1877"/>
      <c r="AZ12" s="1878"/>
      <c r="BA12" s="1878"/>
      <c r="BB12" s="1878"/>
      <c r="BC12" s="1879"/>
      <c r="BE12" s="1530"/>
    </row>
    <row r="13" spans="1:83" s="478" customFormat="1" ht="14.1" customHeight="1" x14ac:dyDescent="0.2">
      <c r="A13" s="1049" t="s">
        <v>46</v>
      </c>
      <c r="B13" s="1050" t="s">
        <v>17</v>
      </c>
      <c r="C13" s="1050" t="s">
        <v>45</v>
      </c>
      <c r="D13" s="1050" t="s">
        <v>78</v>
      </c>
      <c r="E13" s="1326" t="s">
        <v>44</v>
      </c>
      <c r="F13" s="1049" t="s">
        <v>47</v>
      </c>
      <c r="G13" s="1869" t="s">
        <v>48</v>
      </c>
      <c r="H13" s="1870"/>
      <c r="I13" s="1049" t="s">
        <v>47</v>
      </c>
      <c r="J13" s="1869" t="s">
        <v>48</v>
      </c>
      <c r="K13" s="1870"/>
      <c r="L13" s="1868"/>
      <c r="M13" s="1881"/>
      <c r="N13" s="1882"/>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t="s">
        <v>1786</v>
      </c>
      <c r="B14" s="1504" t="s">
        <v>151</v>
      </c>
      <c r="C14" s="1504" t="s">
        <v>165</v>
      </c>
      <c r="D14" s="1504" t="s">
        <v>145</v>
      </c>
      <c r="E14" s="1687"/>
      <c r="F14" s="1505">
        <v>125</v>
      </c>
      <c r="G14" s="1506"/>
      <c r="H14" s="1507"/>
      <c r="I14" s="1505"/>
      <c r="J14" s="1506"/>
      <c r="K14" s="1507"/>
      <c r="L14" s="1508"/>
      <c r="M14" s="1509" t="s">
        <v>1397</v>
      </c>
      <c r="N14" s="1688"/>
      <c r="O14" s="1644"/>
      <c r="P14" s="245" t="b">
        <f t="shared" ref="P14:P16" si="0">IF(ISERROR(VLOOKUP(AO14,BE:BE,1,FALSE)),FALSE,IF(AO14&lt;&gt;"",VLOOKUP(AO14,BE:BE,1,FALSE)=AO14))</f>
        <v>0</v>
      </c>
      <c r="R14" s="245" t="b">
        <f>OR(B14="CP",B14="CA", B14="AX",B14="M",B14="S")</f>
        <v>0</v>
      </c>
      <c r="AO14" s="238" t="str">
        <f>IF(ISBLANK(A14),"",SUBSTITUTE(A14,"*",""))</f>
        <v>SJ12</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151</v>
      </c>
      <c r="C15" s="1511" t="s">
        <v>167</v>
      </c>
      <c r="D15" s="1511" t="s">
        <v>145</v>
      </c>
      <c r="E15" s="1512"/>
      <c r="F15" s="1513">
        <v>22.680000000000003</v>
      </c>
      <c r="G15" s="1514"/>
      <c r="H15" s="1515"/>
      <c r="I15" s="1513"/>
      <c r="J15" s="1514"/>
      <c r="K15" s="1515"/>
      <c r="L15" s="1516"/>
      <c r="M15" s="1517" t="s">
        <v>1397</v>
      </c>
      <c r="N15" s="1689" t="s">
        <v>116</v>
      </c>
      <c r="O15" s="1644"/>
      <c r="P15" s="245" t="b">
        <f t="shared" si="0"/>
        <v>0</v>
      </c>
      <c r="R15" s="245" t="b">
        <f t="shared" ref="R15:R55" si="1">OR(B15="CP",B15="CA", B15="AX",B15="M",B15="S")</f>
        <v>0</v>
      </c>
      <c r="AO15" s="238" t="str">
        <f t="shared" ref="AO15:AO55" si="2">IF(ISBLANK(A15),AO14,SUBSTITUTE(A15,"*",""))</f>
        <v>SJ12</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151</v>
      </c>
      <c r="C16" s="1511" t="s">
        <v>163</v>
      </c>
      <c r="D16" s="1511" t="s">
        <v>145</v>
      </c>
      <c r="E16" s="1512"/>
      <c r="F16" s="1513">
        <v>249</v>
      </c>
      <c r="G16" s="1514">
        <v>0</v>
      </c>
      <c r="H16" s="1515">
        <v>0</v>
      </c>
      <c r="I16" s="1513">
        <v>0</v>
      </c>
      <c r="J16" s="1514">
        <v>16</v>
      </c>
      <c r="K16" s="1515">
        <v>4</v>
      </c>
      <c r="L16" s="1516" t="s">
        <v>702</v>
      </c>
      <c r="M16" s="1517" t="s">
        <v>1397</v>
      </c>
      <c r="N16" s="1689"/>
      <c r="O16" s="1644"/>
      <c r="P16" s="245" t="b">
        <f t="shared" si="0"/>
        <v>0</v>
      </c>
      <c r="R16" s="245" t="b">
        <f t="shared" si="1"/>
        <v>0</v>
      </c>
      <c r="AO16" s="238" t="str">
        <f t="shared" si="2"/>
        <v>SJ12</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154</v>
      </c>
      <c r="C17" s="1511" t="s">
        <v>165</v>
      </c>
      <c r="D17" s="1511" t="s">
        <v>145</v>
      </c>
      <c r="E17" s="1512"/>
      <c r="F17" s="1513">
        <v>540</v>
      </c>
      <c r="G17" s="1514"/>
      <c r="H17" s="1515"/>
      <c r="I17" s="1513"/>
      <c r="J17" s="1514"/>
      <c r="K17" s="1515"/>
      <c r="L17" s="1516" t="s">
        <v>116</v>
      </c>
      <c r="M17" s="1517" t="s">
        <v>1397</v>
      </c>
      <c r="N17" s="1689"/>
      <c r="O17" s="1644"/>
      <c r="P17" s="245" t="b">
        <f>IF(ISERROR(VLOOKUP(AO17,BE:BE,1,FALSE)),FALSE,IF(AO17&lt;&gt;"",VLOOKUP(AO17,BE:BE,1,FALSE)=AO17))</f>
        <v>0</v>
      </c>
      <c r="R17" s="245" t="b">
        <f t="shared" si="1"/>
        <v>1</v>
      </c>
      <c r="AO17" s="238" t="str">
        <f t="shared" si="2"/>
        <v>SJ12</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t="s">
        <v>1787</v>
      </c>
      <c r="B18" s="1511" t="s">
        <v>151</v>
      </c>
      <c r="C18" s="1511" t="s">
        <v>165</v>
      </c>
      <c r="D18" s="1511" t="s">
        <v>145</v>
      </c>
      <c r="E18" s="1512"/>
      <c r="F18" s="1513">
        <v>125</v>
      </c>
      <c r="G18" s="1514"/>
      <c r="H18" s="1515"/>
      <c r="I18" s="1513"/>
      <c r="J18" s="1514"/>
      <c r="K18" s="1515"/>
      <c r="L18" s="1516"/>
      <c r="M18" s="1517" t="s">
        <v>1397</v>
      </c>
      <c r="N18" s="1689"/>
      <c r="O18" s="1644"/>
      <c r="P18" s="245" t="b">
        <f t="shared" ref="P18:P55" si="3">IF(ISERROR(VLOOKUP(AO18,BE:BE,1,FALSE)),FALSE,IF(AO18&lt;&gt;"",VLOOKUP(AO18,BE:BE,1,FALSE)=AO18))</f>
        <v>0</v>
      </c>
      <c r="R18" s="245" t="b">
        <f t="shared" si="1"/>
        <v>0</v>
      </c>
      <c r="AO18" s="238" t="str">
        <f t="shared" si="2"/>
        <v>SJ13</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151</v>
      </c>
      <c r="C19" s="1511" t="s">
        <v>167</v>
      </c>
      <c r="D19" s="1511" t="s">
        <v>145</v>
      </c>
      <c r="E19" s="1512"/>
      <c r="F19" s="1513">
        <v>22.680000000000003</v>
      </c>
      <c r="G19" s="1514"/>
      <c r="H19" s="1515"/>
      <c r="I19" s="1513"/>
      <c r="J19" s="1514"/>
      <c r="K19" s="1515"/>
      <c r="L19" s="1516"/>
      <c r="M19" s="1517" t="s">
        <v>1397</v>
      </c>
      <c r="N19" s="1689" t="s">
        <v>116</v>
      </c>
      <c r="O19" s="1644"/>
      <c r="P19" s="245" t="b">
        <f t="shared" si="3"/>
        <v>0</v>
      </c>
      <c r="R19" s="245" t="b">
        <f t="shared" si="1"/>
        <v>0</v>
      </c>
      <c r="AO19" s="238" t="str">
        <f t="shared" si="2"/>
        <v>SJ13</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151</v>
      </c>
      <c r="C20" s="1511" t="s">
        <v>163</v>
      </c>
      <c r="D20" s="1511" t="s">
        <v>145</v>
      </c>
      <c r="E20" s="1512"/>
      <c r="F20" s="1513">
        <v>249</v>
      </c>
      <c r="G20" s="1514">
        <v>0</v>
      </c>
      <c r="H20" s="1515">
        <v>0</v>
      </c>
      <c r="I20" s="1513">
        <v>0</v>
      </c>
      <c r="J20" s="1514">
        <v>16</v>
      </c>
      <c r="K20" s="1515">
        <v>4</v>
      </c>
      <c r="L20" s="1516" t="s">
        <v>702</v>
      </c>
      <c r="M20" s="1517" t="s">
        <v>1397</v>
      </c>
      <c r="N20" s="1518"/>
      <c r="O20" s="1645"/>
      <c r="P20" s="245" t="b">
        <f t="shared" si="3"/>
        <v>0</v>
      </c>
      <c r="R20" s="245" t="b">
        <f t="shared" si="1"/>
        <v>0</v>
      </c>
      <c r="AO20" s="238" t="str">
        <f t="shared" si="2"/>
        <v>SJ13</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154</v>
      </c>
      <c r="C21" s="1511" t="s">
        <v>165</v>
      </c>
      <c r="D21" s="1511" t="s">
        <v>145</v>
      </c>
      <c r="E21" s="1512"/>
      <c r="F21" s="1513">
        <v>540</v>
      </c>
      <c r="G21" s="1514"/>
      <c r="H21" s="1515"/>
      <c r="I21" s="1513"/>
      <c r="J21" s="1514"/>
      <c r="K21" s="1515"/>
      <c r="L21" s="1516" t="s">
        <v>116</v>
      </c>
      <c r="M21" s="1517" t="s">
        <v>1397</v>
      </c>
      <c r="N21" s="1518"/>
      <c r="O21" s="1645"/>
      <c r="P21" s="245" t="b">
        <f t="shared" si="3"/>
        <v>0</v>
      </c>
      <c r="R21" s="245" t="b">
        <f t="shared" si="1"/>
        <v>1</v>
      </c>
      <c r="AO21" s="238" t="str">
        <f t="shared" si="2"/>
        <v>SJ13</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146</v>
      </c>
      <c r="C22" s="1511" t="s">
        <v>165</v>
      </c>
      <c r="D22" s="1511" t="s">
        <v>145</v>
      </c>
      <c r="E22" s="1512"/>
      <c r="F22" s="1513">
        <v>300</v>
      </c>
      <c r="G22" s="1514">
        <v>3</v>
      </c>
      <c r="H22" s="1515">
        <v>0</v>
      </c>
      <c r="I22" s="1513"/>
      <c r="J22" s="1514"/>
      <c r="K22" s="1515"/>
      <c r="L22" s="1516" t="s">
        <v>702</v>
      </c>
      <c r="M22" s="1517" t="s">
        <v>1397</v>
      </c>
      <c r="N22" s="1518"/>
      <c r="O22" s="1645"/>
      <c r="P22" s="245" t="b">
        <f t="shared" si="3"/>
        <v>0</v>
      </c>
      <c r="R22" s="245" t="b">
        <f t="shared" si="1"/>
        <v>0</v>
      </c>
      <c r="AO22" s="238" t="str">
        <f t="shared" si="2"/>
        <v>SJ13</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t="s">
        <v>1788</v>
      </c>
      <c r="B23" s="1511" t="s">
        <v>151</v>
      </c>
      <c r="C23" s="1511" t="s">
        <v>165</v>
      </c>
      <c r="D23" s="1511" t="s">
        <v>145</v>
      </c>
      <c r="E23" s="1512"/>
      <c r="F23" s="1513">
        <v>125</v>
      </c>
      <c r="G23" s="1514"/>
      <c r="H23" s="1515"/>
      <c r="I23" s="1513"/>
      <c r="J23" s="1514"/>
      <c r="K23" s="1515"/>
      <c r="L23" s="1516"/>
      <c r="M23" s="1517" t="s">
        <v>1397</v>
      </c>
      <c r="N23" s="1518"/>
      <c r="O23" s="1645"/>
      <c r="P23" s="245" t="b">
        <f t="shared" si="3"/>
        <v>0</v>
      </c>
      <c r="R23" s="245" t="b">
        <f t="shared" si="1"/>
        <v>0</v>
      </c>
      <c r="AO23" s="238" t="str">
        <f t="shared" si="2"/>
        <v>SJ14</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151</v>
      </c>
      <c r="C24" s="1511" t="s">
        <v>167</v>
      </c>
      <c r="D24" s="1511" t="s">
        <v>145</v>
      </c>
      <c r="E24" s="1512"/>
      <c r="F24" s="1513">
        <v>22.680000000000003</v>
      </c>
      <c r="G24" s="1514"/>
      <c r="H24" s="1515"/>
      <c r="I24" s="1513"/>
      <c r="J24" s="1514"/>
      <c r="K24" s="1515"/>
      <c r="L24" s="1516"/>
      <c r="M24" s="1517" t="s">
        <v>1397</v>
      </c>
      <c r="N24" s="1518"/>
      <c r="O24" s="1645"/>
      <c r="P24" s="245" t="b">
        <f t="shared" si="3"/>
        <v>0</v>
      </c>
      <c r="R24" s="245" t="b">
        <f t="shared" si="1"/>
        <v>0</v>
      </c>
      <c r="AO24" s="238" t="str">
        <f t="shared" si="2"/>
        <v>SJ14</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151</v>
      </c>
      <c r="C25" s="1511" t="s">
        <v>163</v>
      </c>
      <c r="D25" s="1511" t="s">
        <v>145</v>
      </c>
      <c r="E25" s="1512"/>
      <c r="F25" s="1513">
        <v>249</v>
      </c>
      <c r="G25" s="1514">
        <v>0</v>
      </c>
      <c r="H25" s="1515">
        <v>0</v>
      </c>
      <c r="I25" s="1513">
        <v>0</v>
      </c>
      <c r="J25" s="1514">
        <v>16</v>
      </c>
      <c r="K25" s="1515">
        <v>4</v>
      </c>
      <c r="L25" s="1516" t="s">
        <v>702</v>
      </c>
      <c r="M25" s="1517" t="s">
        <v>1397</v>
      </c>
      <c r="N25" s="1518"/>
      <c r="O25" s="1645"/>
      <c r="P25" s="245" t="b">
        <f t="shared" si="3"/>
        <v>0</v>
      </c>
      <c r="R25" s="245" t="b">
        <f t="shared" si="1"/>
        <v>0</v>
      </c>
      <c r="AO25" s="238" t="str">
        <f t="shared" si="2"/>
        <v>SJ14</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165</v>
      </c>
      <c r="D26" s="1511" t="s">
        <v>145</v>
      </c>
      <c r="E26" s="1512"/>
      <c r="F26" s="1513">
        <v>24</v>
      </c>
      <c r="G26" s="1514"/>
      <c r="H26" s="1515"/>
      <c r="I26" s="1513"/>
      <c r="J26" s="1514"/>
      <c r="K26" s="1515"/>
      <c r="L26" s="1516" t="s">
        <v>116</v>
      </c>
      <c r="M26" s="1517" t="s">
        <v>1397</v>
      </c>
      <c r="N26" s="1518"/>
      <c r="O26" s="1645"/>
      <c r="P26" s="245" t="b">
        <f t="shared" si="3"/>
        <v>0</v>
      </c>
      <c r="R26" s="245" t="b">
        <f t="shared" si="1"/>
        <v>0</v>
      </c>
      <c r="AO26" s="238" t="str">
        <f t="shared" si="2"/>
        <v>SJ14</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146</v>
      </c>
      <c r="C27" s="1511" t="s">
        <v>165</v>
      </c>
      <c r="D27" s="1511" t="s">
        <v>145</v>
      </c>
      <c r="E27" s="1512"/>
      <c r="F27" s="1513">
        <v>300</v>
      </c>
      <c r="G27" s="1514">
        <v>3</v>
      </c>
      <c r="H27" s="1515">
        <v>0</v>
      </c>
      <c r="I27" s="1513"/>
      <c r="J27" s="1514"/>
      <c r="K27" s="1515"/>
      <c r="L27" s="1516" t="s">
        <v>702</v>
      </c>
      <c r="M27" s="1517" t="s">
        <v>1397</v>
      </c>
      <c r="N27" s="1518"/>
      <c r="O27" s="1645"/>
      <c r="P27" s="245" t="b">
        <f t="shared" si="3"/>
        <v>0</v>
      </c>
      <c r="R27" s="245" t="b">
        <f t="shared" si="1"/>
        <v>0</v>
      </c>
      <c r="AO27" s="238" t="str">
        <f t="shared" si="2"/>
        <v>SJ14</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t="s">
        <v>1789</v>
      </c>
      <c r="B28" s="1511" t="s">
        <v>151</v>
      </c>
      <c r="C28" s="1511" t="s">
        <v>165</v>
      </c>
      <c r="D28" s="1511" t="s">
        <v>145</v>
      </c>
      <c r="E28" s="1512"/>
      <c r="F28" s="1513">
        <v>125</v>
      </c>
      <c r="G28" s="1514"/>
      <c r="H28" s="1515"/>
      <c r="I28" s="1513"/>
      <c r="J28" s="1514"/>
      <c r="K28" s="1515"/>
      <c r="L28" s="1516"/>
      <c r="M28" s="1517" t="s">
        <v>1397</v>
      </c>
      <c r="N28" s="1689"/>
      <c r="O28" s="1644"/>
      <c r="P28" s="245" t="b">
        <f t="shared" si="3"/>
        <v>0</v>
      </c>
      <c r="R28" s="245" t="b">
        <f t="shared" si="1"/>
        <v>0</v>
      </c>
      <c r="AO28" s="238" t="str">
        <f t="shared" si="2"/>
        <v>SJ15</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151</v>
      </c>
      <c r="C29" s="1511" t="s">
        <v>167</v>
      </c>
      <c r="D29" s="1511" t="s">
        <v>145</v>
      </c>
      <c r="E29" s="1512"/>
      <c r="F29" s="1513">
        <v>22.680000000000003</v>
      </c>
      <c r="G29" s="1514"/>
      <c r="H29" s="1515"/>
      <c r="I29" s="1513"/>
      <c r="J29" s="1514"/>
      <c r="K29" s="1515"/>
      <c r="L29" s="1516"/>
      <c r="M29" s="1517" t="s">
        <v>1397</v>
      </c>
      <c r="N29" s="1689"/>
      <c r="O29" s="1644"/>
      <c r="P29" s="245" t="b">
        <f t="shared" si="3"/>
        <v>0</v>
      </c>
      <c r="R29" s="245" t="b">
        <f t="shared" si="1"/>
        <v>0</v>
      </c>
      <c r="AO29" s="238" t="str">
        <f t="shared" si="2"/>
        <v>SJ15</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151</v>
      </c>
      <c r="C30" s="1511" t="s">
        <v>163</v>
      </c>
      <c r="D30" s="1511" t="s">
        <v>145</v>
      </c>
      <c r="E30" s="1512"/>
      <c r="F30" s="1513">
        <v>249</v>
      </c>
      <c r="G30" s="1514">
        <v>0</v>
      </c>
      <c r="H30" s="1515">
        <v>0</v>
      </c>
      <c r="I30" s="1513">
        <v>0</v>
      </c>
      <c r="J30" s="1514">
        <v>16</v>
      </c>
      <c r="K30" s="1515">
        <v>4</v>
      </c>
      <c r="L30" s="1516" t="s">
        <v>702</v>
      </c>
      <c r="M30" s="1517" t="s">
        <v>1397</v>
      </c>
      <c r="N30" s="1689" t="s">
        <v>116</v>
      </c>
      <c r="O30" s="1644"/>
      <c r="P30" s="245" t="b">
        <f t="shared" si="3"/>
        <v>0</v>
      </c>
      <c r="R30" s="245" t="b">
        <f t="shared" si="1"/>
        <v>0</v>
      </c>
      <c r="AO30" s="238" t="str">
        <f t="shared" si="2"/>
        <v>SJ15</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151</v>
      </c>
      <c r="C31" s="1511" t="s">
        <v>165</v>
      </c>
      <c r="D31" s="1511" t="s">
        <v>145</v>
      </c>
      <c r="E31" s="1512"/>
      <c r="F31" s="1513">
        <v>24</v>
      </c>
      <c r="G31" s="1514"/>
      <c r="H31" s="1515"/>
      <c r="I31" s="1513"/>
      <c r="J31" s="1514"/>
      <c r="K31" s="1515"/>
      <c r="L31" s="1516" t="s">
        <v>116</v>
      </c>
      <c r="M31" s="1516" t="s">
        <v>1397</v>
      </c>
      <c r="N31" s="1689" t="s">
        <v>116</v>
      </c>
      <c r="O31" s="1644"/>
      <c r="P31" s="245" t="b">
        <f t="shared" si="3"/>
        <v>0</v>
      </c>
      <c r="R31" s="245" t="b">
        <f t="shared" si="1"/>
        <v>0</v>
      </c>
      <c r="AO31" s="238" t="str">
        <f t="shared" si="2"/>
        <v>SJ15</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146</v>
      </c>
      <c r="C32" s="1511" t="s">
        <v>165</v>
      </c>
      <c r="D32" s="1511" t="s">
        <v>145</v>
      </c>
      <c r="E32" s="1512"/>
      <c r="F32" s="1513">
        <v>300</v>
      </c>
      <c r="G32" s="1514">
        <v>3</v>
      </c>
      <c r="H32" s="1515">
        <v>0</v>
      </c>
      <c r="I32" s="1513"/>
      <c r="J32" s="1514"/>
      <c r="K32" s="1515"/>
      <c r="L32" s="1516" t="s">
        <v>702</v>
      </c>
      <c r="M32" s="1516" t="s">
        <v>1397</v>
      </c>
      <c r="N32" s="1689" t="s">
        <v>116</v>
      </c>
      <c r="O32" s="1644"/>
      <c r="P32" s="245" t="b">
        <f t="shared" si="3"/>
        <v>0</v>
      </c>
      <c r="R32" s="245" t="b">
        <f t="shared" si="1"/>
        <v>0</v>
      </c>
      <c r="AO32" s="238" t="str">
        <f t="shared" si="2"/>
        <v>SJ15</v>
      </c>
      <c r="AP32" s="945" t="b">
        <v>0</v>
      </c>
      <c r="AQ32" s="1322"/>
      <c r="AR32" s="1323"/>
      <c r="AS32" s="1323"/>
      <c r="AT32" s="1323"/>
      <c r="AU32" s="1323"/>
      <c r="AV32" s="1323"/>
      <c r="AW32" s="1323"/>
      <c r="AX32" s="1323"/>
      <c r="AY32" s="1323"/>
      <c r="AZ32" s="1323"/>
      <c r="BA32" s="1532"/>
      <c r="BB32" s="1532"/>
      <c r="BC32" s="1533"/>
    </row>
    <row r="33" spans="1:55" ht="14.1" customHeight="1" x14ac:dyDescent="0.2">
      <c r="A33" s="1510" t="s">
        <v>1790</v>
      </c>
      <c r="B33" s="1511" t="s">
        <v>151</v>
      </c>
      <c r="C33" s="1511" t="s">
        <v>165</v>
      </c>
      <c r="D33" s="1511" t="s">
        <v>145</v>
      </c>
      <c r="E33" s="1512"/>
      <c r="F33" s="1513">
        <v>125</v>
      </c>
      <c r="G33" s="1514"/>
      <c r="H33" s="1515"/>
      <c r="I33" s="1513"/>
      <c r="J33" s="1514"/>
      <c r="K33" s="1515"/>
      <c r="L33" s="1516"/>
      <c r="M33" s="1516" t="s">
        <v>1397</v>
      </c>
      <c r="N33" s="1689" t="s">
        <v>116</v>
      </c>
      <c r="O33" s="1644"/>
      <c r="P33" s="245" t="b">
        <f t="shared" si="3"/>
        <v>0</v>
      </c>
      <c r="R33" s="245" t="b">
        <f t="shared" si="1"/>
        <v>0</v>
      </c>
      <c r="AO33" s="238" t="str">
        <f t="shared" si="2"/>
        <v>SJ16</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151</v>
      </c>
      <c r="C34" s="1511" t="s">
        <v>167</v>
      </c>
      <c r="D34" s="1511" t="s">
        <v>145</v>
      </c>
      <c r="E34" s="1512"/>
      <c r="F34" s="1513">
        <v>22.680000000000003</v>
      </c>
      <c r="G34" s="1514"/>
      <c r="H34" s="1515"/>
      <c r="I34" s="1513"/>
      <c r="J34" s="1514"/>
      <c r="K34" s="1515"/>
      <c r="L34" s="1516"/>
      <c r="M34" s="1516" t="s">
        <v>1397</v>
      </c>
      <c r="N34" s="1689" t="s">
        <v>116</v>
      </c>
      <c r="O34" s="1644"/>
      <c r="P34" s="245" t="b">
        <f t="shared" si="3"/>
        <v>0</v>
      </c>
      <c r="R34" s="245" t="b">
        <f t="shared" si="1"/>
        <v>0</v>
      </c>
      <c r="AO34" s="238" t="str">
        <f t="shared" si="2"/>
        <v>SJ16</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151</v>
      </c>
      <c r="C35" s="1511" t="s">
        <v>163</v>
      </c>
      <c r="D35" s="1511" t="s">
        <v>145</v>
      </c>
      <c r="E35" s="1512"/>
      <c r="F35" s="1513">
        <v>550</v>
      </c>
      <c r="G35" s="1514">
        <v>0</v>
      </c>
      <c r="H35" s="1515">
        <v>0</v>
      </c>
      <c r="I35" s="1513">
        <v>0</v>
      </c>
      <c r="J35" s="1514">
        <v>33</v>
      </c>
      <c r="K35" s="1515">
        <v>0</v>
      </c>
      <c r="L35" s="1516" t="s">
        <v>702</v>
      </c>
      <c r="M35" s="1516" t="s">
        <v>1397</v>
      </c>
      <c r="N35" s="1689" t="s">
        <v>116</v>
      </c>
      <c r="O35" s="1644"/>
      <c r="P35" s="245" t="b">
        <f t="shared" si="3"/>
        <v>0</v>
      </c>
      <c r="R35" s="245" t="b">
        <f t="shared" si="1"/>
        <v>0</v>
      </c>
      <c r="AO35" s="238" t="str">
        <f t="shared" si="2"/>
        <v>SJ16</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151</v>
      </c>
      <c r="C36" s="1511" t="s">
        <v>165</v>
      </c>
      <c r="D36" s="1511" t="s">
        <v>145</v>
      </c>
      <c r="E36" s="1512"/>
      <c r="F36" s="1513">
        <v>24</v>
      </c>
      <c r="G36" s="1514"/>
      <c r="H36" s="1515"/>
      <c r="I36" s="1513"/>
      <c r="J36" s="1514"/>
      <c r="K36" s="1515"/>
      <c r="L36" s="1516" t="s">
        <v>116</v>
      </c>
      <c r="M36" s="1516" t="s">
        <v>1397</v>
      </c>
      <c r="N36" s="1689" t="s">
        <v>116</v>
      </c>
      <c r="O36" s="1644"/>
      <c r="P36" s="245" t="b">
        <f t="shared" si="3"/>
        <v>0</v>
      </c>
      <c r="R36" s="245" t="b">
        <f t="shared" si="1"/>
        <v>0</v>
      </c>
      <c r="AO36" s="238" t="str">
        <f t="shared" si="2"/>
        <v>SJ16</v>
      </c>
      <c r="AP36" s="945" t="b">
        <v>0</v>
      </c>
      <c r="AQ36" s="1322"/>
      <c r="AR36" s="1323"/>
      <c r="AS36" s="1323"/>
      <c r="AT36" s="1323"/>
      <c r="AU36" s="1323"/>
      <c r="AV36" s="1323"/>
      <c r="AW36" s="1323"/>
      <c r="AX36" s="1323"/>
      <c r="AY36" s="1323"/>
      <c r="AZ36" s="1323"/>
      <c r="BA36" s="1532"/>
      <c r="BB36" s="1532"/>
      <c r="BC36" s="1533"/>
    </row>
    <row r="37" spans="1:55" ht="14.1" customHeight="1" x14ac:dyDescent="0.2">
      <c r="A37" s="1510" t="s">
        <v>1791</v>
      </c>
      <c r="B37" s="1511" t="s">
        <v>151</v>
      </c>
      <c r="C37" s="1511" t="s">
        <v>165</v>
      </c>
      <c r="D37" s="1511" t="s">
        <v>145</v>
      </c>
      <c r="E37" s="1512"/>
      <c r="F37" s="1513">
        <v>125</v>
      </c>
      <c r="G37" s="1514"/>
      <c r="H37" s="1515"/>
      <c r="I37" s="1513"/>
      <c r="J37" s="1514"/>
      <c r="K37" s="1515"/>
      <c r="L37" s="1516"/>
      <c r="M37" s="1516" t="s">
        <v>1397</v>
      </c>
      <c r="N37" s="1689" t="s">
        <v>116</v>
      </c>
      <c r="O37" s="1644"/>
      <c r="P37" s="245" t="b">
        <f t="shared" si="3"/>
        <v>0</v>
      </c>
      <c r="R37" s="245" t="b">
        <f t="shared" si="1"/>
        <v>0</v>
      </c>
      <c r="AO37" s="238" t="str">
        <f t="shared" si="2"/>
        <v>STJ17</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151</v>
      </c>
      <c r="C38" s="1511" t="s">
        <v>167</v>
      </c>
      <c r="D38" s="1511" t="s">
        <v>145</v>
      </c>
      <c r="E38" s="1512"/>
      <c r="F38" s="1513">
        <v>22.680000000000003</v>
      </c>
      <c r="G38" s="1514"/>
      <c r="H38" s="1515"/>
      <c r="I38" s="1513"/>
      <c r="J38" s="1514"/>
      <c r="K38" s="1515"/>
      <c r="L38" s="1516"/>
      <c r="M38" s="1516" t="s">
        <v>1397</v>
      </c>
      <c r="N38" s="1689" t="s">
        <v>116</v>
      </c>
      <c r="O38" s="1644"/>
      <c r="P38" s="245" t="b">
        <f t="shared" si="3"/>
        <v>0</v>
      </c>
      <c r="R38" s="245" t="b">
        <f t="shared" si="1"/>
        <v>0</v>
      </c>
      <c r="AO38" s="238" t="str">
        <f t="shared" si="2"/>
        <v>STJ17</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151</v>
      </c>
      <c r="C39" s="1511" t="s">
        <v>163</v>
      </c>
      <c r="D39" s="1511" t="s">
        <v>145</v>
      </c>
      <c r="E39" s="1512"/>
      <c r="F39" s="1513">
        <v>550</v>
      </c>
      <c r="G39" s="1514">
        <v>0</v>
      </c>
      <c r="H39" s="1515">
        <v>0</v>
      </c>
      <c r="I39" s="1513">
        <v>0</v>
      </c>
      <c r="J39" s="1514">
        <v>33</v>
      </c>
      <c r="K39" s="1515">
        <v>0</v>
      </c>
      <c r="L39" s="1516" t="s">
        <v>702</v>
      </c>
      <c r="M39" s="1516" t="s">
        <v>1397</v>
      </c>
      <c r="N39" s="1689" t="s">
        <v>116</v>
      </c>
      <c r="O39" s="1644"/>
      <c r="P39" s="245" t="b">
        <f t="shared" si="3"/>
        <v>0</v>
      </c>
      <c r="R39" s="245" t="b">
        <f t="shared" si="1"/>
        <v>0</v>
      </c>
      <c r="AO39" s="238" t="str">
        <f t="shared" si="2"/>
        <v>STJ17</v>
      </c>
      <c r="AP39" s="945" t="b">
        <v>0</v>
      </c>
      <c r="AQ39" s="1322"/>
      <c r="AR39" s="1323"/>
      <c r="AS39" s="1323"/>
      <c r="AT39" s="1323"/>
      <c r="AU39" s="1323"/>
      <c r="AV39" s="1323"/>
      <c r="AW39" s="1323"/>
      <c r="AX39" s="1323"/>
      <c r="AY39" s="1323"/>
      <c r="AZ39" s="1323"/>
      <c r="BA39" s="1532"/>
      <c r="BB39" s="1532"/>
      <c r="BC39" s="1533"/>
    </row>
    <row r="40" spans="1:55" ht="14.1" customHeight="1" x14ac:dyDescent="0.2">
      <c r="A40" s="1510" t="s">
        <v>1792</v>
      </c>
      <c r="B40" s="1511" t="s">
        <v>151</v>
      </c>
      <c r="C40" s="1511" t="s">
        <v>165</v>
      </c>
      <c r="D40" s="1511" t="s">
        <v>145</v>
      </c>
      <c r="E40" s="1512"/>
      <c r="F40" s="1513">
        <v>125</v>
      </c>
      <c r="G40" s="1514"/>
      <c r="H40" s="1515"/>
      <c r="I40" s="1513"/>
      <c r="J40" s="1514"/>
      <c r="K40" s="1515"/>
      <c r="L40" s="1516"/>
      <c r="M40" s="1516" t="s">
        <v>1397</v>
      </c>
      <c r="N40" s="1689" t="s">
        <v>116</v>
      </c>
      <c r="O40" s="1644"/>
      <c r="P40" s="245" t="b">
        <f t="shared" si="3"/>
        <v>0</v>
      </c>
      <c r="R40" s="245" t="b">
        <f t="shared" si="1"/>
        <v>0</v>
      </c>
      <c r="AO40" s="238" t="str">
        <f t="shared" si="2"/>
        <v>SJ18</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151</v>
      </c>
      <c r="C41" s="1511" t="s">
        <v>167</v>
      </c>
      <c r="D41" s="1511" t="s">
        <v>145</v>
      </c>
      <c r="E41" s="1512"/>
      <c r="F41" s="1513">
        <v>22.680000000000003</v>
      </c>
      <c r="G41" s="1514"/>
      <c r="H41" s="1515"/>
      <c r="I41" s="1513"/>
      <c r="J41" s="1514"/>
      <c r="K41" s="1515"/>
      <c r="L41" s="1516"/>
      <c r="M41" s="1516" t="s">
        <v>1397</v>
      </c>
      <c r="N41" s="1689" t="s">
        <v>116</v>
      </c>
      <c r="O41" s="1644"/>
      <c r="P41" s="245" t="b">
        <f t="shared" si="3"/>
        <v>0</v>
      </c>
      <c r="R41" s="245" t="b">
        <f t="shared" si="1"/>
        <v>0</v>
      </c>
      <c r="AO41" s="238" t="str">
        <f t="shared" si="2"/>
        <v>SJ18</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151</v>
      </c>
      <c r="C42" s="1511" t="s">
        <v>163</v>
      </c>
      <c r="D42" s="1511" t="s">
        <v>145</v>
      </c>
      <c r="E42" s="1512"/>
      <c r="F42" s="1513">
        <v>550</v>
      </c>
      <c r="G42" s="1514">
        <v>0</v>
      </c>
      <c r="H42" s="1515">
        <v>0</v>
      </c>
      <c r="I42" s="1513">
        <v>0</v>
      </c>
      <c r="J42" s="1514">
        <v>33</v>
      </c>
      <c r="K42" s="1515">
        <v>0</v>
      </c>
      <c r="L42" s="1516" t="s">
        <v>702</v>
      </c>
      <c r="M42" s="1516" t="s">
        <v>1397</v>
      </c>
      <c r="N42" s="1689" t="s">
        <v>116</v>
      </c>
      <c r="O42" s="1644"/>
      <c r="P42" s="245" t="b">
        <f t="shared" si="3"/>
        <v>0</v>
      </c>
      <c r="R42" s="245" t="b">
        <f t="shared" si="1"/>
        <v>0</v>
      </c>
      <c r="AO42" s="238" t="str">
        <f t="shared" si="2"/>
        <v>SJ18</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154</v>
      </c>
      <c r="C43" s="1511" t="s">
        <v>165</v>
      </c>
      <c r="D43" s="1511" t="s">
        <v>145</v>
      </c>
      <c r="E43" s="1512"/>
      <c r="F43" s="1513">
        <v>1100</v>
      </c>
      <c r="G43" s="1514"/>
      <c r="H43" s="1515"/>
      <c r="I43" s="1513"/>
      <c r="J43" s="1514"/>
      <c r="K43" s="1515"/>
      <c r="L43" s="1516" t="s">
        <v>116</v>
      </c>
      <c r="M43" s="1516" t="s">
        <v>1397</v>
      </c>
      <c r="N43" s="1689" t="s">
        <v>116</v>
      </c>
      <c r="O43" s="1644"/>
      <c r="P43" s="245" t="b">
        <f t="shared" si="3"/>
        <v>0</v>
      </c>
      <c r="R43" s="245" t="b">
        <f t="shared" si="1"/>
        <v>1</v>
      </c>
      <c r="AO43" s="238" t="str">
        <f t="shared" si="2"/>
        <v>SJ18</v>
      </c>
      <c r="AP43" s="945" t="b">
        <v>0</v>
      </c>
      <c r="AQ43" s="1322"/>
      <c r="AR43" s="1323"/>
      <c r="AS43" s="1323"/>
      <c r="AT43" s="1323"/>
      <c r="AU43" s="1323"/>
      <c r="AV43" s="1323"/>
      <c r="AW43" s="1323"/>
      <c r="AX43" s="1323"/>
      <c r="AY43" s="1323"/>
      <c r="AZ43" s="1323"/>
      <c r="BA43" s="1532"/>
      <c r="BB43" s="1532"/>
      <c r="BC43" s="1533"/>
    </row>
    <row r="44" spans="1:55" ht="14.1" customHeight="1" x14ac:dyDescent="0.2">
      <c r="A44" s="1510" t="s">
        <v>1793</v>
      </c>
      <c r="B44" s="1511" t="s">
        <v>151</v>
      </c>
      <c r="C44" s="1511" t="s">
        <v>165</v>
      </c>
      <c r="D44" s="1511" t="s">
        <v>145</v>
      </c>
      <c r="E44" s="1512"/>
      <c r="F44" s="1513">
        <v>125</v>
      </c>
      <c r="G44" s="1514"/>
      <c r="H44" s="1515"/>
      <c r="I44" s="1513"/>
      <c r="J44" s="1514"/>
      <c r="K44" s="1515"/>
      <c r="L44" s="1516"/>
      <c r="M44" s="1516" t="s">
        <v>1397</v>
      </c>
      <c r="N44" s="1689" t="s">
        <v>116</v>
      </c>
      <c r="O44" s="1644"/>
      <c r="P44" s="245" t="b">
        <f t="shared" si="3"/>
        <v>0</v>
      </c>
      <c r="R44" s="245" t="b">
        <f t="shared" si="1"/>
        <v>0</v>
      </c>
      <c r="AO44" s="238" t="str">
        <f t="shared" si="2"/>
        <v>STJ19</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151</v>
      </c>
      <c r="C45" s="1511" t="s">
        <v>167</v>
      </c>
      <c r="D45" s="1511" t="s">
        <v>145</v>
      </c>
      <c r="E45" s="1512"/>
      <c r="F45" s="1513">
        <v>22.680000000000003</v>
      </c>
      <c r="G45" s="1514"/>
      <c r="H45" s="1515"/>
      <c r="I45" s="1513"/>
      <c r="J45" s="1514"/>
      <c r="K45" s="1515"/>
      <c r="L45" s="1516"/>
      <c r="M45" s="1516" t="s">
        <v>1397</v>
      </c>
      <c r="N45" s="1689" t="s">
        <v>116</v>
      </c>
      <c r="O45" s="1644"/>
      <c r="P45" s="245" t="b">
        <f t="shared" si="3"/>
        <v>0</v>
      </c>
      <c r="R45" s="245" t="b">
        <f t="shared" si="1"/>
        <v>0</v>
      </c>
      <c r="AO45" s="238" t="str">
        <f t="shared" si="2"/>
        <v>STJ19</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151</v>
      </c>
      <c r="C46" s="1511" t="s">
        <v>163</v>
      </c>
      <c r="D46" s="1511" t="s">
        <v>145</v>
      </c>
      <c r="E46" s="1512"/>
      <c r="F46" s="1513">
        <v>550</v>
      </c>
      <c r="G46" s="1514">
        <v>0</v>
      </c>
      <c r="H46" s="1515">
        <v>0</v>
      </c>
      <c r="I46" s="1513">
        <v>0</v>
      </c>
      <c r="J46" s="1514">
        <v>33</v>
      </c>
      <c r="K46" s="1515">
        <v>0</v>
      </c>
      <c r="L46" s="1516" t="s">
        <v>702</v>
      </c>
      <c r="M46" s="1516" t="s">
        <v>1397</v>
      </c>
      <c r="N46" s="1689" t="s">
        <v>116</v>
      </c>
      <c r="O46" s="1644"/>
      <c r="P46" s="245" t="b">
        <f t="shared" si="3"/>
        <v>0</v>
      </c>
      <c r="R46" s="245" t="b">
        <f t="shared" si="1"/>
        <v>0</v>
      </c>
      <c r="AO46" s="238" t="str">
        <f t="shared" si="2"/>
        <v>STJ19</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154</v>
      </c>
      <c r="C47" s="1511" t="s">
        <v>165</v>
      </c>
      <c r="D47" s="1511" t="s">
        <v>145</v>
      </c>
      <c r="E47" s="1512"/>
      <c r="F47" s="1513">
        <v>540</v>
      </c>
      <c r="G47" s="1514"/>
      <c r="H47" s="1515"/>
      <c r="I47" s="1513"/>
      <c r="J47" s="1514"/>
      <c r="K47" s="1515"/>
      <c r="L47" s="1516" t="s">
        <v>116</v>
      </c>
      <c r="M47" s="1516" t="s">
        <v>1397</v>
      </c>
      <c r="N47" s="1689" t="s">
        <v>116</v>
      </c>
      <c r="O47" s="1644"/>
      <c r="P47" s="245" t="b">
        <f t="shared" si="3"/>
        <v>0</v>
      </c>
      <c r="R47" s="245" t="b">
        <f t="shared" si="1"/>
        <v>1</v>
      </c>
      <c r="AO47" s="238" t="str">
        <f t="shared" si="2"/>
        <v>STJ19</v>
      </c>
      <c r="AP47" s="945" t="b">
        <v>0</v>
      </c>
      <c r="AQ47" s="1322"/>
      <c r="AR47" s="1323"/>
      <c r="AS47" s="1323"/>
      <c r="AT47" s="1323"/>
      <c r="AU47" s="1323"/>
      <c r="AV47" s="1323"/>
      <c r="AW47" s="1323"/>
      <c r="AX47" s="1323"/>
      <c r="AY47" s="1323"/>
      <c r="AZ47" s="1323"/>
      <c r="BA47" s="1532"/>
      <c r="BB47" s="1532"/>
      <c r="BC47" s="1533"/>
    </row>
    <row r="48" spans="1:55" ht="14.1" customHeight="1" x14ac:dyDescent="0.2">
      <c r="A48" s="1510" t="s">
        <v>1794</v>
      </c>
      <c r="B48" s="1511" t="s">
        <v>151</v>
      </c>
      <c r="C48" s="1511" t="s">
        <v>165</v>
      </c>
      <c r="D48" s="1511" t="s">
        <v>145</v>
      </c>
      <c r="E48" s="1512"/>
      <c r="F48" s="1513">
        <v>125</v>
      </c>
      <c r="G48" s="1514"/>
      <c r="H48" s="1515"/>
      <c r="I48" s="1513"/>
      <c r="J48" s="1514"/>
      <c r="K48" s="1515"/>
      <c r="L48" s="1516"/>
      <c r="M48" s="1516" t="s">
        <v>1397</v>
      </c>
      <c r="N48" s="1689" t="s">
        <v>116</v>
      </c>
      <c r="O48" s="1644"/>
      <c r="P48" s="245" t="b">
        <f t="shared" si="3"/>
        <v>0</v>
      </c>
      <c r="R48" s="245" t="b">
        <f t="shared" si="1"/>
        <v>0</v>
      </c>
      <c r="AO48" s="238" t="str">
        <f t="shared" si="2"/>
        <v>SJ20</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151</v>
      </c>
      <c r="C49" s="1511" t="s">
        <v>167</v>
      </c>
      <c r="D49" s="1511" t="s">
        <v>145</v>
      </c>
      <c r="E49" s="1512"/>
      <c r="F49" s="1513">
        <v>22.680000000000003</v>
      </c>
      <c r="G49" s="1514"/>
      <c r="H49" s="1515"/>
      <c r="I49" s="1513"/>
      <c r="J49" s="1514"/>
      <c r="K49" s="1515"/>
      <c r="L49" s="1516"/>
      <c r="M49" s="1516" t="s">
        <v>1397</v>
      </c>
      <c r="N49" s="1689" t="s">
        <v>116</v>
      </c>
      <c r="O49" s="1644"/>
      <c r="P49" s="245" t="b">
        <f t="shared" si="3"/>
        <v>0</v>
      </c>
      <c r="R49" s="245" t="b">
        <f t="shared" si="1"/>
        <v>0</v>
      </c>
      <c r="AO49" s="238" t="str">
        <f t="shared" si="2"/>
        <v>SJ20</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151</v>
      </c>
      <c r="C50" s="1511" t="s">
        <v>163</v>
      </c>
      <c r="D50" s="1511" t="s">
        <v>145</v>
      </c>
      <c r="E50" s="1512"/>
      <c r="F50" s="1513">
        <v>446</v>
      </c>
      <c r="G50" s="1514">
        <v>0</v>
      </c>
      <c r="H50" s="1515">
        <v>0</v>
      </c>
      <c r="I50" s="1513">
        <v>446</v>
      </c>
      <c r="J50" s="1514">
        <v>25</v>
      </c>
      <c r="K50" s="1515">
        <v>0</v>
      </c>
      <c r="L50" s="1516" t="s">
        <v>700</v>
      </c>
      <c r="M50" s="1516" t="s">
        <v>1397</v>
      </c>
      <c r="N50" s="1689" t="s">
        <v>116</v>
      </c>
      <c r="O50" s="1644"/>
      <c r="P50" s="245" t="b">
        <f t="shared" si="3"/>
        <v>0</v>
      </c>
      <c r="R50" s="245" t="b">
        <f t="shared" si="1"/>
        <v>0</v>
      </c>
      <c r="AO50" s="238" t="str">
        <f t="shared" si="2"/>
        <v>SJ20</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151</v>
      </c>
      <c r="C51" s="1511" t="s">
        <v>163</v>
      </c>
      <c r="D51" s="1511" t="s">
        <v>145</v>
      </c>
      <c r="E51" s="1512"/>
      <c r="F51" s="1513">
        <v>154</v>
      </c>
      <c r="G51" s="1514">
        <v>25</v>
      </c>
      <c r="H51" s="1515">
        <v>0</v>
      </c>
      <c r="I51" s="1513">
        <v>154</v>
      </c>
      <c r="J51" s="1514">
        <v>50</v>
      </c>
      <c r="K51" s="1515">
        <v>0</v>
      </c>
      <c r="L51" s="1516" t="s">
        <v>700</v>
      </c>
      <c r="M51" s="1516" t="s">
        <v>1397</v>
      </c>
      <c r="N51" s="1689" t="s">
        <v>116</v>
      </c>
      <c r="O51" s="1644"/>
      <c r="P51" s="245" t="b">
        <f t="shared" si="3"/>
        <v>0</v>
      </c>
      <c r="R51" s="245" t="b">
        <f t="shared" si="1"/>
        <v>0</v>
      </c>
      <c r="AO51" s="238" t="str">
        <f t="shared" si="2"/>
        <v>SJ20</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151</v>
      </c>
      <c r="C52" s="1511" t="s">
        <v>165</v>
      </c>
      <c r="D52" s="1511" t="s">
        <v>145</v>
      </c>
      <c r="E52" s="1512"/>
      <c r="F52" s="1513">
        <v>24</v>
      </c>
      <c r="G52" s="1514"/>
      <c r="H52" s="1515"/>
      <c r="I52" s="1513"/>
      <c r="J52" s="1514"/>
      <c r="K52" s="1515"/>
      <c r="L52" s="1516" t="s">
        <v>116</v>
      </c>
      <c r="M52" s="1516" t="s">
        <v>1397</v>
      </c>
      <c r="N52" s="1689" t="s">
        <v>116</v>
      </c>
      <c r="O52" s="1644"/>
      <c r="P52" s="245" t="b">
        <f t="shared" si="3"/>
        <v>0</v>
      </c>
      <c r="R52" s="245" t="b">
        <f t="shared" si="1"/>
        <v>0</v>
      </c>
      <c r="AO52" s="238" t="str">
        <f t="shared" si="2"/>
        <v>SJ20</v>
      </c>
      <c r="AP52" s="945" t="b">
        <v>0</v>
      </c>
      <c r="AQ52" s="1322"/>
      <c r="AR52" s="1323"/>
      <c r="AS52" s="1323"/>
      <c r="AT52" s="1323"/>
      <c r="AU52" s="1323"/>
      <c r="AV52" s="1323"/>
      <c r="AW52" s="1323"/>
      <c r="AX52" s="1323"/>
      <c r="AY52" s="1323"/>
      <c r="AZ52" s="1323"/>
      <c r="BA52" s="1532"/>
      <c r="BB52" s="1532"/>
      <c r="BC52" s="1533"/>
    </row>
    <row r="53" spans="1:55" ht="14.1" customHeight="1" x14ac:dyDescent="0.2">
      <c r="A53" s="1510" t="s">
        <v>1795</v>
      </c>
      <c r="B53" s="1511" t="s">
        <v>151</v>
      </c>
      <c r="C53" s="1511" t="s">
        <v>165</v>
      </c>
      <c r="D53" s="1511" t="s">
        <v>145</v>
      </c>
      <c r="E53" s="1512"/>
      <c r="F53" s="1513">
        <v>125</v>
      </c>
      <c r="G53" s="1514"/>
      <c r="H53" s="1515"/>
      <c r="I53" s="1513"/>
      <c r="J53" s="1514"/>
      <c r="K53" s="1515"/>
      <c r="L53" s="1516"/>
      <c r="M53" s="1516" t="s">
        <v>1397</v>
      </c>
      <c r="N53" s="1689" t="s">
        <v>116</v>
      </c>
      <c r="O53" s="1644"/>
      <c r="P53" s="245" t="b">
        <f t="shared" si="3"/>
        <v>0</v>
      </c>
      <c r="R53" s="245" t="b">
        <f t="shared" si="1"/>
        <v>0</v>
      </c>
      <c r="AO53" s="238" t="str">
        <f t="shared" si="2"/>
        <v>SJ21</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151</v>
      </c>
      <c r="C54" s="1511" t="s">
        <v>167</v>
      </c>
      <c r="D54" s="1511" t="s">
        <v>145</v>
      </c>
      <c r="E54" s="1512"/>
      <c r="F54" s="1513">
        <v>22.680000000000003</v>
      </c>
      <c r="G54" s="1514"/>
      <c r="H54" s="1515"/>
      <c r="I54" s="1513"/>
      <c r="J54" s="1514"/>
      <c r="K54" s="1515"/>
      <c r="L54" s="1516"/>
      <c r="M54" s="1516" t="s">
        <v>1397</v>
      </c>
      <c r="N54" s="1689" t="s">
        <v>116</v>
      </c>
      <c r="O54" s="1644"/>
      <c r="P54" s="245" t="b">
        <f t="shared" si="3"/>
        <v>0</v>
      </c>
      <c r="R54" s="245" t="b">
        <f t="shared" si="1"/>
        <v>0</v>
      </c>
      <c r="AO54" s="238" t="str">
        <f t="shared" si="2"/>
        <v>SJ21</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151</v>
      </c>
      <c r="C55" s="1520" t="s">
        <v>163</v>
      </c>
      <c r="D55" s="1520" t="s">
        <v>145</v>
      </c>
      <c r="E55" s="1521"/>
      <c r="F55" s="1522">
        <v>342</v>
      </c>
      <c r="G55" s="1523">
        <v>0</v>
      </c>
      <c r="H55" s="1524">
        <v>0</v>
      </c>
      <c r="I55" s="1522">
        <v>342</v>
      </c>
      <c r="J55" s="1523">
        <v>25</v>
      </c>
      <c r="K55" s="1524">
        <v>0</v>
      </c>
      <c r="L55" s="1525" t="s">
        <v>700</v>
      </c>
      <c r="M55" s="1525" t="s">
        <v>1397</v>
      </c>
      <c r="N55" s="1690"/>
      <c r="O55" s="1644"/>
      <c r="P55" s="245" t="b">
        <f t="shared" si="3"/>
        <v>0</v>
      </c>
      <c r="R55" s="245" t="b">
        <f t="shared" si="1"/>
        <v>0</v>
      </c>
      <c r="AO55" s="238" t="str">
        <f t="shared" si="2"/>
        <v>SJ21</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59" priority="4" stopIfTrue="1">
      <formula>AND($B14="NU",F14&lt;0)</formula>
    </cfRule>
  </conditionalFormatting>
  <conditionalFormatting sqref="B14:B55">
    <cfRule type="expression" dxfId="58" priority="5" stopIfTrue="1">
      <formula>OR(AND($B14="NU",F14&lt;0),AND($B14="NU",I14&lt;0))</formula>
    </cfRule>
  </conditionalFormatting>
  <conditionalFormatting sqref="G14:H55 J14:L55">
    <cfRule type="expression" dxfId="57" priority="6" stopIfTrue="1">
      <formula>$R14</formula>
    </cfRule>
  </conditionalFormatting>
  <conditionalFormatting sqref="I2:K4">
    <cfRule type="cellIs" dxfId="56" priority="7" stopIfTrue="1" operator="equal">
      <formula>""</formula>
    </cfRule>
  </conditionalFormatting>
  <conditionalFormatting sqref="I14:I55">
    <cfRule type="expression" dxfId="55" priority="8" stopIfTrue="1">
      <formula>OR($R14,$B14="CZ",AND($B14="NU",I14&lt;0))</formula>
    </cfRule>
  </conditionalFormatting>
  <conditionalFormatting sqref="A14:A55">
    <cfRule type="expression" dxfId="54" priority="3">
      <formula>NOT($P14)</formula>
    </cfRule>
  </conditionalFormatting>
  <conditionalFormatting sqref="B14:D55">
    <cfRule type="expression" dxfId="5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52" priority="9">
      <formula>AND(NOT($P14),$T$1)</formula>
    </cfRule>
    <cfRule type="expression" dxfId="51" priority="10">
      <formula>AND($AP14,$S$1="M")</formula>
    </cfRule>
  </conditionalFormatting>
  <conditionalFormatting sqref="L14:L55">
    <cfRule type="expression" dxfId="5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9384B91D-B23F-47F2-B8C2-01EDAC6F2617}">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CCCA1F1D-6056-463A-A1B3-0AD1797CF408}">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AA362E74-2244-414D-990F-97BDC49F78B9}">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F27EF822-D4E8-448F-A908-D5B73955932A}">
      <formula1>IF($CA$14,$CA$16:$CA$21,$CB$16:$CB$19)</formula1>
    </dataValidation>
    <dataValidation type="list" allowBlank="1" showErrorMessage="1" errorTitle="Invalid Type" error="You MUST select a Type from the dropdown list provided._x000a__x000a_Also, make sure your Cap Lock is turned on." sqref="B14:B55" xr:uid="{8C3286E4-F450-4694-86AA-EA8909DF69BC}">
      <formula1>$BF$15:$BU$15</formula1>
    </dataValidation>
    <dataValidation allowBlank="1" showInputMessage="1" errorTitle="Invalid Load Case" error="You MUST use a Load Case from the list provided." sqref="M14:M55" xr:uid="{4B5F50F0-4ECF-43B1-9AA5-A1C94984D4F4}"/>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D1BA8-E288-4FB3-92CA-536E87FD51B0}">
  <sheetPr codeName="Sheet38">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48" t="str">
        <f>IF(S1="","",VLOOKUP(S1,'Job Info.'!X:AA,4,FALSE))</f>
        <v>Master</v>
      </c>
      <c r="J1" s="1848"/>
      <c r="K1" s="1848"/>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53" t="str">
        <f>IF(S1="","",IF(VLOOKUP(S1,'Job Info.'!X:Z,2,FALSE),"Released for Fabrication",""))</f>
        <v/>
      </c>
      <c r="J2" s="1854"/>
      <c r="K2" s="1855"/>
      <c r="L2" s="375"/>
      <c r="M2" s="375" t="s">
        <v>96</v>
      </c>
      <c r="N2" s="463" t="str">
        <f ca="1">'Job Info.'!D13</f>
        <v>775-867-2140</v>
      </c>
      <c r="O2" s="1008"/>
      <c r="P2" s="1008"/>
      <c r="BE2" s="1040"/>
    </row>
    <row r="3" spans="1:83" ht="12.95" customHeight="1" x14ac:dyDescent="0.2">
      <c r="A3" s="374"/>
      <c r="B3" s="374"/>
      <c r="C3" s="374"/>
      <c r="D3" s="374"/>
      <c r="E3" s="374"/>
      <c r="F3" s="374"/>
      <c r="G3" s="374"/>
      <c r="H3" s="375"/>
      <c r="I3" s="1856"/>
      <c r="J3" s="1857"/>
      <c r="K3" s="1858"/>
      <c r="L3" s="375"/>
      <c r="M3" s="375" t="s">
        <v>98</v>
      </c>
      <c r="N3" s="463" t="str">
        <f ca="1">'Job Info.'!D14</f>
        <v>775-867-2169</v>
      </c>
      <c r="O3" s="1008"/>
      <c r="P3" s="1008"/>
    </row>
    <row r="4" spans="1:83" ht="12.95" customHeight="1" thickBot="1" x14ac:dyDescent="0.25">
      <c r="A4" s="374"/>
      <c r="B4" s="374"/>
      <c r="C4" s="374"/>
      <c r="D4" s="374"/>
      <c r="E4" s="374"/>
      <c r="F4" s="374"/>
      <c r="G4" s="374"/>
      <c r="H4" s="374"/>
      <c r="I4" s="1859" t="str">
        <f>IF(S1="","",IF(VLOOKUP(S1,'Job Info.'!X:Z,2,FALSE),VLOOKUP(S1,'Job Info.'!X:Z,3,FALSE),""))</f>
        <v/>
      </c>
      <c r="J4" s="1860"/>
      <c r="K4" s="1861"/>
      <c r="L4" s="375"/>
      <c r="M4" s="375" t="s">
        <v>97</v>
      </c>
      <c r="N4" s="463" t="str">
        <f ca="1">'Job Info.'!D15</f>
        <v>775-867-2060</v>
      </c>
      <c r="O4" s="1008"/>
      <c r="P4" s="1008"/>
    </row>
    <row r="5" spans="1:83" ht="12.95" customHeight="1" thickTop="1" x14ac:dyDescent="0.2">
      <c r="A5" s="1862" t="str">
        <f ca="1">'Job Info.'!D11</f>
        <v>8200 Woolery Way | Fallon, NV 89406 | www.newmill.com</v>
      </c>
      <c r="B5" s="1872"/>
      <c r="C5" s="1872"/>
      <c r="D5" s="1872"/>
      <c r="E5" s="1872"/>
      <c r="F5" s="1872"/>
      <c r="G5" s="1872"/>
      <c r="H5" s="1872"/>
      <c r="I5" s="1872"/>
      <c r="J5" s="1872"/>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24" t="str">
        <f>IF(ISBLANK('Job Info.'!D3),"",'Job Info.'!D3)</f>
        <v>MINDEN UPS BLDG 1</v>
      </c>
      <c r="C9" s="1824"/>
      <c r="D9" s="1824"/>
      <c r="E9" s="1824"/>
      <c r="F9" s="1824"/>
      <c r="G9" s="1824"/>
      <c r="H9" s="1825"/>
      <c r="I9" s="469"/>
      <c r="J9" s="458" t="s">
        <v>2</v>
      </c>
      <c r="K9" s="1824" t="str">
        <f>IF(ISBLANK('Job Info.'!D5),"",'Job Info.'!D5)</f>
        <v>NN22-0071</v>
      </c>
      <c r="L9" s="1874"/>
      <c r="M9" s="1874"/>
      <c r="N9" s="1875"/>
      <c r="O9" s="1056"/>
      <c r="P9" s="1056"/>
      <c r="V9" s="631"/>
    </row>
    <row r="10" spans="1:83" ht="12.6" customHeight="1" x14ac:dyDescent="0.2">
      <c r="A10" s="471" t="s">
        <v>3</v>
      </c>
      <c r="B10" s="1824" t="str">
        <f>IF(ISBLANK('Job Info.'!D4),"",'Job Info.'!D4)</f>
        <v>MINDEN, NV</v>
      </c>
      <c r="C10" s="1824"/>
      <c r="D10" s="1824"/>
      <c r="E10" s="1824"/>
      <c r="F10" s="1824"/>
      <c r="G10" s="1824"/>
      <c r="H10" s="1825"/>
      <c r="I10" s="1873" t="s">
        <v>22</v>
      </c>
      <c r="J10" s="1873"/>
      <c r="K10" s="1824" t="str">
        <f>IF(ISBLANK('Job Info.'!D6),"",'Job Info.'!D6)</f>
        <v>JMM</v>
      </c>
      <c r="L10" s="1825"/>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64" t="s">
        <v>77</v>
      </c>
      <c r="B12" s="1865"/>
      <c r="C12" s="1865"/>
      <c r="D12" s="1865"/>
      <c r="E12" s="1866"/>
      <c r="F12" s="1864" t="s">
        <v>49</v>
      </c>
      <c r="G12" s="1865"/>
      <c r="H12" s="1871"/>
      <c r="I12" s="1864" t="s">
        <v>50</v>
      </c>
      <c r="J12" s="1865"/>
      <c r="K12" s="1871"/>
      <c r="L12" s="1867" t="s">
        <v>51</v>
      </c>
      <c r="M12" s="1880" t="s">
        <v>741</v>
      </c>
      <c r="N12" s="1867" t="s">
        <v>52</v>
      </c>
      <c r="O12" s="1085"/>
      <c r="P12" s="1085"/>
      <c r="AO12" s="548" t="s">
        <v>973</v>
      </c>
      <c r="AP12" s="944" t="s">
        <v>170</v>
      </c>
      <c r="AQ12" s="1876" t="s">
        <v>1208</v>
      </c>
      <c r="AR12" s="1877"/>
      <c r="AS12" s="1877"/>
      <c r="AT12" s="1877"/>
      <c r="AU12" s="1877"/>
      <c r="AV12" s="1877"/>
      <c r="AW12" s="1877"/>
      <c r="AX12" s="1877"/>
      <c r="AY12" s="1877"/>
      <c r="AZ12" s="1878"/>
      <c r="BA12" s="1878"/>
      <c r="BB12" s="1878"/>
      <c r="BC12" s="1879"/>
      <c r="BE12" s="1530"/>
    </row>
    <row r="13" spans="1:83" s="478" customFormat="1" ht="14.1" customHeight="1" x14ac:dyDescent="0.2">
      <c r="A13" s="1049" t="s">
        <v>46</v>
      </c>
      <c r="B13" s="1050" t="s">
        <v>17</v>
      </c>
      <c r="C13" s="1050" t="s">
        <v>45</v>
      </c>
      <c r="D13" s="1050" t="s">
        <v>78</v>
      </c>
      <c r="E13" s="1326" t="s">
        <v>44</v>
      </c>
      <c r="F13" s="1049" t="s">
        <v>47</v>
      </c>
      <c r="G13" s="1869" t="s">
        <v>48</v>
      </c>
      <c r="H13" s="1870"/>
      <c r="I13" s="1049" t="s">
        <v>47</v>
      </c>
      <c r="J13" s="1869" t="s">
        <v>48</v>
      </c>
      <c r="K13" s="1870"/>
      <c r="L13" s="1868"/>
      <c r="M13" s="1881"/>
      <c r="N13" s="1882"/>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151</v>
      </c>
      <c r="C14" s="1504" t="s">
        <v>163</v>
      </c>
      <c r="D14" s="1504" t="s">
        <v>145</v>
      </c>
      <c r="E14" s="1687"/>
      <c r="F14" s="1505">
        <v>60</v>
      </c>
      <c r="G14" s="1506">
        <v>25</v>
      </c>
      <c r="H14" s="1507">
        <v>0</v>
      </c>
      <c r="I14" s="1505">
        <v>60</v>
      </c>
      <c r="J14" s="1506">
        <v>50</v>
      </c>
      <c r="K14" s="1507">
        <v>0</v>
      </c>
      <c r="L14" s="1508" t="s">
        <v>700</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1796</v>
      </c>
      <c r="B15" s="1511" t="s">
        <v>151</v>
      </c>
      <c r="C15" s="1511" t="s">
        <v>165</v>
      </c>
      <c r="D15" s="1511" t="s">
        <v>145</v>
      </c>
      <c r="E15" s="1512"/>
      <c r="F15" s="1513">
        <v>125</v>
      </c>
      <c r="G15" s="1514"/>
      <c r="H15" s="1515"/>
      <c r="I15" s="1513"/>
      <c r="J15" s="1514"/>
      <c r="K15" s="1515"/>
      <c r="L15" s="1516"/>
      <c r="M15" s="1517" t="s">
        <v>1397</v>
      </c>
      <c r="N15" s="1689" t="s">
        <v>116</v>
      </c>
      <c r="O15" s="1644"/>
      <c r="P15" s="245" t="b">
        <f t="shared" si="0"/>
        <v>0</v>
      </c>
      <c r="R15" s="245" t="b">
        <f t="shared" ref="R15:R55" si="1">OR(B15="CP",B15="CA", B15="AX",B15="M",B15="S")</f>
        <v>0</v>
      </c>
      <c r="AO15" s="238" t="str">
        <f t="shared" ref="AO15:AO55" si="2">IF(ISBLANK(A15),AO14,SUBSTITUTE(A15,"*",""))</f>
        <v>SJ22</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151</v>
      </c>
      <c r="C16" s="1511" t="s">
        <v>167</v>
      </c>
      <c r="D16" s="1511" t="s">
        <v>145</v>
      </c>
      <c r="E16" s="1512"/>
      <c r="F16" s="1513">
        <v>22.680000000000003</v>
      </c>
      <c r="G16" s="1514"/>
      <c r="H16" s="1515"/>
      <c r="I16" s="1513"/>
      <c r="J16" s="1514"/>
      <c r="K16" s="1515"/>
      <c r="L16" s="1516"/>
      <c r="M16" s="1517" t="s">
        <v>1397</v>
      </c>
      <c r="N16" s="1689"/>
      <c r="O16" s="1644"/>
      <c r="P16" s="245" t="b">
        <f t="shared" si="0"/>
        <v>0</v>
      </c>
      <c r="R16" s="245" t="b">
        <f t="shared" si="1"/>
        <v>0</v>
      </c>
      <c r="AO16" s="238" t="str">
        <f t="shared" si="2"/>
        <v>SJ22</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151</v>
      </c>
      <c r="C17" s="1511" t="s">
        <v>163</v>
      </c>
      <c r="D17" s="1511" t="s">
        <v>145</v>
      </c>
      <c r="E17" s="1512"/>
      <c r="F17" s="1513">
        <v>238</v>
      </c>
      <c r="G17" s="1514">
        <v>0</v>
      </c>
      <c r="H17" s="1515">
        <v>0</v>
      </c>
      <c r="I17" s="1513">
        <v>238</v>
      </c>
      <c r="J17" s="1514">
        <v>25</v>
      </c>
      <c r="K17" s="1515">
        <v>0</v>
      </c>
      <c r="L17" s="1516" t="s">
        <v>700</v>
      </c>
      <c r="M17" s="1517" t="s">
        <v>1397</v>
      </c>
      <c r="N17" s="1689"/>
      <c r="O17" s="1644"/>
      <c r="P17" s="245" t="b">
        <f>IF(ISERROR(VLOOKUP(AO17,BE:BE,1,FALSE)),FALSE,IF(AO17&lt;&gt;"",VLOOKUP(AO17,BE:BE,1,FALSE)=AO17))</f>
        <v>0</v>
      </c>
      <c r="R17" s="245" t="b">
        <f t="shared" si="1"/>
        <v>0</v>
      </c>
      <c r="AO17" s="238" t="str">
        <f t="shared" si="2"/>
        <v>SJ22</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151</v>
      </c>
      <c r="C18" s="1511" t="s">
        <v>163</v>
      </c>
      <c r="D18" s="1511" t="s">
        <v>145</v>
      </c>
      <c r="E18" s="1512"/>
      <c r="F18" s="1513">
        <v>4</v>
      </c>
      <c r="G18" s="1514">
        <v>25</v>
      </c>
      <c r="H18" s="1515">
        <v>0</v>
      </c>
      <c r="I18" s="1513">
        <v>4</v>
      </c>
      <c r="J18" s="1514">
        <v>50</v>
      </c>
      <c r="K18" s="1515">
        <v>0</v>
      </c>
      <c r="L18" s="1516" t="s">
        <v>700</v>
      </c>
      <c r="M18" s="1517" t="s">
        <v>1397</v>
      </c>
      <c r="N18" s="1689"/>
      <c r="O18" s="1644"/>
      <c r="P18" s="245" t="b">
        <f t="shared" ref="P18:P55" si="3">IF(ISERROR(VLOOKUP(AO18,BE:BE,1,FALSE)),FALSE,IF(AO18&lt;&gt;"",VLOOKUP(AO18,BE:BE,1,FALSE)=AO18))</f>
        <v>0</v>
      </c>
      <c r="R18" s="245" t="b">
        <f t="shared" si="1"/>
        <v>0</v>
      </c>
      <c r="AO18" s="238" t="str">
        <f t="shared" si="2"/>
        <v>SJ22</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t="s">
        <v>1797</v>
      </c>
      <c r="B19" s="1511" t="s">
        <v>151</v>
      </c>
      <c r="C19" s="1511" t="s">
        <v>165</v>
      </c>
      <c r="D19" s="1511" t="s">
        <v>145</v>
      </c>
      <c r="E19" s="1512"/>
      <c r="F19" s="1513">
        <v>125</v>
      </c>
      <c r="G19" s="1514"/>
      <c r="H19" s="1515"/>
      <c r="I19" s="1513"/>
      <c r="J19" s="1514"/>
      <c r="K19" s="1515"/>
      <c r="L19" s="1516"/>
      <c r="M19" s="1517" t="s">
        <v>1397</v>
      </c>
      <c r="N19" s="1689" t="s">
        <v>116</v>
      </c>
      <c r="O19" s="1644"/>
      <c r="P19" s="245" t="b">
        <f t="shared" si="3"/>
        <v>0</v>
      </c>
      <c r="R19" s="245" t="b">
        <f t="shared" si="1"/>
        <v>0</v>
      </c>
      <c r="AO19" s="238" t="str">
        <f t="shared" si="2"/>
        <v>SJ23</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151</v>
      </c>
      <c r="C20" s="1511" t="s">
        <v>167</v>
      </c>
      <c r="D20" s="1511" t="s">
        <v>145</v>
      </c>
      <c r="E20" s="1512"/>
      <c r="F20" s="1513">
        <v>22.680000000000003</v>
      </c>
      <c r="G20" s="1514"/>
      <c r="H20" s="1515"/>
      <c r="I20" s="1513"/>
      <c r="J20" s="1514"/>
      <c r="K20" s="1515"/>
      <c r="L20" s="1516"/>
      <c r="M20" s="1517" t="s">
        <v>1397</v>
      </c>
      <c r="N20" s="1518"/>
      <c r="O20" s="1645"/>
      <c r="P20" s="245" t="b">
        <f t="shared" si="3"/>
        <v>0</v>
      </c>
      <c r="R20" s="245" t="b">
        <f t="shared" si="1"/>
        <v>0</v>
      </c>
      <c r="AO20" s="238" t="str">
        <f t="shared" si="2"/>
        <v>SJ23</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151</v>
      </c>
      <c r="C21" s="1511" t="s">
        <v>163</v>
      </c>
      <c r="D21" s="1511" t="s">
        <v>145</v>
      </c>
      <c r="E21" s="1512"/>
      <c r="F21" s="1513">
        <v>134</v>
      </c>
      <c r="G21" s="1514">
        <v>0</v>
      </c>
      <c r="H21" s="1515">
        <v>0</v>
      </c>
      <c r="I21" s="1513">
        <v>134</v>
      </c>
      <c r="J21" s="1514">
        <v>25</v>
      </c>
      <c r="K21" s="1515">
        <v>0</v>
      </c>
      <c r="L21" s="1516" t="s">
        <v>700</v>
      </c>
      <c r="M21" s="1517" t="s">
        <v>1397</v>
      </c>
      <c r="N21" s="1518"/>
      <c r="O21" s="1645"/>
      <c r="P21" s="245" t="b">
        <f t="shared" si="3"/>
        <v>0</v>
      </c>
      <c r="R21" s="245" t="b">
        <f t="shared" si="1"/>
        <v>0</v>
      </c>
      <c r="AO21" s="238" t="str">
        <f t="shared" si="2"/>
        <v>SJ23</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t="s">
        <v>1798</v>
      </c>
      <c r="B22" s="1511" t="s">
        <v>151</v>
      </c>
      <c r="C22" s="1511" t="s">
        <v>165</v>
      </c>
      <c r="D22" s="1511" t="s">
        <v>145</v>
      </c>
      <c r="E22" s="1512"/>
      <c r="F22" s="1513">
        <v>125</v>
      </c>
      <c r="G22" s="1514"/>
      <c r="H22" s="1515"/>
      <c r="I22" s="1513"/>
      <c r="J22" s="1514"/>
      <c r="K22" s="1515"/>
      <c r="L22" s="1516"/>
      <c r="M22" s="1517" t="s">
        <v>1397</v>
      </c>
      <c r="N22" s="1518"/>
      <c r="O22" s="1645"/>
      <c r="P22" s="245" t="b">
        <f t="shared" si="3"/>
        <v>0</v>
      </c>
      <c r="R22" s="245" t="b">
        <f t="shared" si="1"/>
        <v>0</v>
      </c>
      <c r="AO22" s="238" t="str">
        <f t="shared" si="2"/>
        <v>SJ24</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151</v>
      </c>
      <c r="C23" s="1511" t="s">
        <v>167</v>
      </c>
      <c r="D23" s="1511" t="s">
        <v>145</v>
      </c>
      <c r="E23" s="1512"/>
      <c r="F23" s="1513">
        <v>22.680000000000003</v>
      </c>
      <c r="G23" s="1514"/>
      <c r="H23" s="1515"/>
      <c r="I23" s="1513"/>
      <c r="J23" s="1514"/>
      <c r="K23" s="1515"/>
      <c r="L23" s="1516"/>
      <c r="M23" s="1517" t="s">
        <v>1397</v>
      </c>
      <c r="N23" s="1518"/>
      <c r="O23" s="1645"/>
      <c r="P23" s="245" t="b">
        <f t="shared" si="3"/>
        <v>0</v>
      </c>
      <c r="R23" s="245" t="b">
        <f t="shared" si="1"/>
        <v>0</v>
      </c>
      <c r="AO23" s="238" t="str">
        <f t="shared" si="2"/>
        <v>SJ24</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151</v>
      </c>
      <c r="C24" s="1511" t="s">
        <v>163</v>
      </c>
      <c r="D24" s="1511" t="s">
        <v>145</v>
      </c>
      <c r="E24" s="1512"/>
      <c r="F24" s="1513">
        <v>35</v>
      </c>
      <c r="G24" s="1514">
        <v>0</v>
      </c>
      <c r="H24" s="1515">
        <v>0</v>
      </c>
      <c r="I24" s="1513">
        <v>35</v>
      </c>
      <c r="J24" s="1514">
        <v>25</v>
      </c>
      <c r="K24" s="1515">
        <v>0</v>
      </c>
      <c r="L24" s="1516" t="s">
        <v>700</v>
      </c>
      <c r="M24" s="1517" t="s">
        <v>1397</v>
      </c>
      <c r="N24" s="1518"/>
      <c r="O24" s="1645"/>
      <c r="P24" s="245" t="b">
        <f t="shared" si="3"/>
        <v>0</v>
      </c>
      <c r="R24" s="245" t="b">
        <f t="shared" si="1"/>
        <v>0</v>
      </c>
      <c r="AO24" s="238" t="str">
        <f t="shared" si="2"/>
        <v>SJ24</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t="s">
        <v>1799</v>
      </c>
      <c r="B25" s="1511" t="s">
        <v>151</v>
      </c>
      <c r="C25" s="1511" t="s">
        <v>165</v>
      </c>
      <c r="D25" s="1511" t="s">
        <v>145</v>
      </c>
      <c r="E25" s="1512"/>
      <c r="F25" s="1513">
        <v>125</v>
      </c>
      <c r="G25" s="1514"/>
      <c r="H25" s="1515"/>
      <c r="I25" s="1513"/>
      <c r="J25" s="1514"/>
      <c r="K25" s="1515"/>
      <c r="L25" s="1516"/>
      <c r="M25" s="1517" t="s">
        <v>1397</v>
      </c>
      <c r="N25" s="1518"/>
      <c r="O25" s="1645"/>
      <c r="P25" s="245" t="b">
        <f t="shared" si="3"/>
        <v>0</v>
      </c>
      <c r="R25" s="245" t="b">
        <f t="shared" si="1"/>
        <v>0</v>
      </c>
      <c r="AO25" s="238" t="str">
        <f t="shared" si="2"/>
        <v>SJ25</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167</v>
      </c>
      <c r="D26" s="1511" t="s">
        <v>145</v>
      </c>
      <c r="E26" s="1512"/>
      <c r="F26" s="1513">
        <v>22.680000000000003</v>
      </c>
      <c r="G26" s="1514"/>
      <c r="H26" s="1515"/>
      <c r="I26" s="1513"/>
      <c r="J26" s="1514"/>
      <c r="K26" s="1515"/>
      <c r="L26" s="1516"/>
      <c r="M26" s="1517" t="s">
        <v>1397</v>
      </c>
      <c r="N26" s="1518"/>
      <c r="O26" s="1645"/>
      <c r="P26" s="245" t="b">
        <f t="shared" si="3"/>
        <v>0</v>
      </c>
      <c r="R26" s="245" t="b">
        <f t="shared" si="1"/>
        <v>0</v>
      </c>
      <c r="AO26" s="238" t="str">
        <f t="shared" si="2"/>
        <v>SJ25</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t="s">
        <v>1800</v>
      </c>
      <c r="B27" s="1511" t="s">
        <v>151</v>
      </c>
      <c r="C27" s="1511" t="s">
        <v>165</v>
      </c>
      <c r="D27" s="1511" t="s">
        <v>145</v>
      </c>
      <c r="E27" s="1512"/>
      <c r="F27" s="1513">
        <v>125</v>
      </c>
      <c r="G27" s="1514"/>
      <c r="H27" s="1515"/>
      <c r="I27" s="1513"/>
      <c r="J27" s="1514"/>
      <c r="K27" s="1515"/>
      <c r="L27" s="1516"/>
      <c r="M27" s="1517" t="s">
        <v>1397</v>
      </c>
      <c r="N27" s="1518"/>
      <c r="O27" s="1645"/>
      <c r="P27" s="245" t="b">
        <f t="shared" si="3"/>
        <v>0</v>
      </c>
      <c r="R27" s="245" t="b">
        <f t="shared" si="1"/>
        <v>0</v>
      </c>
      <c r="AO27" s="238" t="str">
        <f t="shared" si="2"/>
        <v>STJ26</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151</v>
      </c>
      <c r="C28" s="1511" t="s">
        <v>167</v>
      </c>
      <c r="D28" s="1511" t="s">
        <v>145</v>
      </c>
      <c r="E28" s="1512"/>
      <c r="F28" s="1513">
        <v>22.680000000000003</v>
      </c>
      <c r="G28" s="1514"/>
      <c r="H28" s="1515"/>
      <c r="I28" s="1513"/>
      <c r="J28" s="1514"/>
      <c r="K28" s="1515"/>
      <c r="L28" s="1516"/>
      <c r="M28" s="1517" t="s">
        <v>1397</v>
      </c>
      <c r="N28" s="1689"/>
      <c r="O28" s="1644"/>
      <c r="P28" s="245" t="b">
        <f t="shared" si="3"/>
        <v>0</v>
      </c>
      <c r="R28" s="245" t="b">
        <f t="shared" si="1"/>
        <v>0</v>
      </c>
      <c r="AO28" s="238" t="str">
        <f t="shared" si="2"/>
        <v>STJ26</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t="s">
        <v>1801</v>
      </c>
      <c r="B29" s="1511" t="s">
        <v>151</v>
      </c>
      <c r="C29" s="1511" t="s">
        <v>165</v>
      </c>
      <c r="D29" s="1511" t="s">
        <v>145</v>
      </c>
      <c r="E29" s="1512"/>
      <c r="F29" s="1513">
        <v>125</v>
      </c>
      <c r="G29" s="1514"/>
      <c r="H29" s="1515"/>
      <c r="I29" s="1513"/>
      <c r="J29" s="1514"/>
      <c r="K29" s="1515"/>
      <c r="L29" s="1516"/>
      <c r="M29" s="1517" t="s">
        <v>1397</v>
      </c>
      <c r="N29" s="1689"/>
      <c r="O29" s="1644"/>
      <c r="P29" s="245" t="b">
        <f t="shared" si="3"/>
        <v>0</v>
      </c>
      <c r="R29" s="245" t="b">
        <f t="shared" si="1"/>
        <v>0</v>
      </c>
      <c r="AO29" s="238" t="str">
        <f t="shared" si="2"/>
        <v>SJ27</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151</v>
      </c>
      <c r="C30" s="1511" t="s">
        <v>167</v>
      </c>
      <c r="D30" s="1511" t="s">
        <v>145</v>
      </c>
      <c r="E30" s="1512"/>
      <c r="F30" s="1513">
        <v>22.680000000000003</v>
      </c>
      <c r="G30" s="1514"/>
      <c r="H30" s="1515"/>
      <c r="I30" s="1513"/>
      <c r="J30" s="1514"/>
      <c r="K30" s="1515"/>
      <c r="L30" s="1516"/>
      <c r="M30" s="1517" t="s">
        <v>1397</v>
      </c>
      <c r="N30" s="1689" t="s">
        <v>116</v>
      </c>
      <c r="O30" s="1644"/>
      <c r="P30" s="245" t="b">
        <f t="shared" si="3"/>
        <v>0</v>
      </c>
      <c r="R30" s="245" t="b">
        <f t="shared" si="1"/>
        <v>0</v>
      </c>
      <c r="AO30" s="238" t="str">
        <f t="shared" si="2"/>
        <v>SJ27</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151</v>
      </c>
      <c r="C31" s="1511" t="s">
        <v>165</v>
      </c>
      <c r="D31" s="1511" t="s">
        <v>145</v>
      </c>
      <c r="E31" s="1512"/>
      <c r="F31" s="1513">
        <v>24</v>
      </c>
      <c r="G31" s="1514"/>
      <c r="H31" s="1515"/>
      <c r="I31" s="1513"/>
      <c r="J31" s="1514"/>
      <c r="K31" s="1515"/>
      <c r="L31" s="1516" t="s">
        <v>116</v>
      </c>
      <c r="M31" s="1516" t="s">
        <v>1397</v>
      </c>
      <c r="N31" s="1689" t="s">
        <v>116</v>
      </c>
      <c r="O31" s="1644"/>
      <c r="P31" s="245" t="b">
        <f t="shared" si="3"/>
        <v>0</v>
      </c>
      <c r="R31" s="245" t="b">
        <f t="shared" si="1"/>
        <v>0</v>
      </c>
      <c r="AO31" s="238" t="str">
        <f t="shared" si="2"/>
        <v>SJ27</v>
      </c>
      <c r="AP31" s="945" t="b">
        <v>0</v>
      </c>
      <c r="AQ31" s="1322"/>
      <c r="AR31" s="1323"/>
      <c r="AS31" s="1323"/>
      <c r="AT31" s="1323"/>
      <c r="AU31" s="1323"/>
      <c r="AV31" s="1323"/>
      <c r="AW31" s="1323"/>
      <c r="AX31" s="1323"/>
      <c r="AY31" s="1323"/>
      <c r="AZ31" s="1323"/>
      <c r="BA31" s="1532"/>
      <c r="BB31" s="1532"/>
      <c r="BC31" s="1533"/>
    </row>
    <row r="32" spans="1:81" ht="14.1" customHeight="1" x14ac:dyDescent="0.2">
      <c r="A32" s="1510" t="s">
        <v>1802</v>
      </c>
      <c r="B32" s="1511" t="s">
        <v>151</v>
      </c>
      <c r="C32" s="1511" t="s">
        <v>165</v>
      </c>
      <c r="D32" s="1511" t="s">
        <v>145</v>
      </c>
      <c r="E32" s="1512"/>
      <c r="F32" s="1513">
        <v>125</v>
      </c>
      <c r="G32" s="1514"/>
      <c r="H32" s="1515"/>
      <c r="I32" s="1513"/>
      <c r="J32" s="1514"/>
      <c r="K32" s="1515"/>
      <c r="L32" s="1516"/>
      <c r="M32" s="1516" t="s">
        <v>1397</v>
      </c>
      <c r="N32" s="1689" t="s">
        <v>116</v>
      </c>
      <c r="O32" s="1644"/>
      <c r="P32" s="245" t="b">
        <f t="shared" si="3"/>
        <v>0</v>
      </c>
      <c r="R32" s="245" t="b">
        <f t="shared" si="1"/>
        <v>0</v>
      </c>
      <c r="AO32" s="238" t="str">
        <f t="shared" si="2"/>
        <v>SJ28</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151</v>
      </c>
      <c r="C33" s="1511" t="s">
        <v>167</v>
      </c>
      <c r="D33" s="1511" t="s">
        <v>145</v>
      </c>
      <c r="E33" s="1512"/>
      <c r="F33" s="1513">
        <v>22.680000000000003</v>
      </c>
      <c r="G33" s="1514"/>
      <c r="H33" s="1515"/>
      <c r="I33" s="1513"/>
      <c r="J33" s="1514"/>
      <c r="K33" s="1515"/>
      <c r="L33" s="1516"/>
      <c r="M33" s="1516" t="s">
        <v>1397</v>
      </c>
      <c r="N33" s="1689" t="s">
        <v>116</v>
      </c>
      <c r="O33" s="1644"/>
      <c r="P33" s="245" t="b">
        <f t="shared" si="3"/>
        <v>0</v>
      </c>
      <c r="R33" s="245" t="b">
        <f t="shared" si="1"/>
        <v>0</v>
      </c>
      <c r="AO33" s="238" t="str">
        <f t="shared" si="2"/>
        <v>SJ28</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151</v>
      </c>
      <c r="C34" s="1511" t="s">
        <v>165</v>
      </c>
      <c r="D34" s="1511" t="s">
        <v>145</v>
      </c>
      <c r="E34" s="1512"/>
      <c r="F34" s="1513">
        <v>24</v>
      </c>
      <c r="G34" s="1514"/>
      <c r="H34" s="1515"/>
      <c r="I34" s="1513"/>
      <c r="J34" s="1514"/>
      <c r="K34" s="1515"/>
      <c r="L34" s="1516" t="s">
        <v>116</v>
      </c>
      <c r="M34" s="1516" t="s">
        <v>1397</v>
      </c>
      <c r="N34" s="1689" t="s">
        <v>116</v>
      </c>
      <c r="O34" s="1644"/>
      <c r="P34" s="245" t="b">
        <f t="shared" si="3"/>
        <v>0</v>
      </c>
      <c r="R34" s="245" t="b">
        <f t="shared" si="1"/>
        <v>0</v>
      </c>
      <c r="AO34" s="238" t="str">
        <f t="shared" si="2"/>
        <v>SJ28</v>
      </c>
      <c r="AP34" s="945" t="b">
        <v>0</v>
      </c>
      <c r="AQ34" s="1322"/>
      <c r="AR34" s="1323"/>
      <c r="AS34" s="1323"/>
      <c r="AT34" s="1323"/>
      <c r="AU34" s="1323"/>
      <c r="AV34" s="1323"/>
      <c r="AW34" s="1323"/>
      <c r="AX34" s="1323"/>
      <c r="AY34" s="1323"/>
      <c r="AZ34" s="1323"/>
      <c r="BA34" s="1532"/>
      <c r="BB34" s="1532"/>
      <c r="BC34" s="1533"/>
    </row>
    <row r="35" spans="1:55" ht="14.1" customHeight="1" x14ac:dyDescent="0.2">
      <c r="A35" s="1510" t="s">
        <v>1803</v>
      </c>
      <c r="B35" s="1511" t="s">
        <v>151</v>
      </c>
      <c r="C35" s="1511" t="s">
        <v>165</v>
      </c>
      <c r="D35" s="1511" t="s">
        <v>145</v>
      </c>
      <c r="E35" s="1512"/>
      <c r="F35" s="1513">
        <v>125</v>
      </c>
      <c r="G35" s="1514"/>
      <c r="H35" s="1515"/>
      <c r="I35" s="1513"/>
      <c r="J35" s="1514"/>
      <c r="K35" s="1515"/>
      <c r="L35" s="1516"/>
      <c r="M35" s="1516" t="s">
        <v>1397</v>
      </c>
      <c r="N35" s="1689" t="s">
        <v>116</v>
      </c>
      <c r="O35" s="1644"/>
      <c r="P35" s="245" t="b">
        <f t="shared" si="3"/>
        <v>0</v>
      </c>
      <c r="R35" s="245" t="b">
        <f t="shared" si="1"/>
        <v>0</v>
      </c>
      <c r="AO35" s="238" t="str">
        <f t="shared" si="2"/>
        <v>SJ29</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151</v>
      </c>
      <c r="C36" s="1511" t="s">
        <v>167</v>
      </c>
      <c r="D36" s="1511" t="s">
        <v>145</v>
      </c>
      <c r="E36" s="1512"/>
      <c r="F36" s="1513">
        <v>22.680000000000003</v>
      </c>
      <c r="G36" s="1514"/>
      <c r="H36" s="1515"/>
      <c r="I36" s="1513"/>
      <c r="J36" s="1514"/>
      <c r="K36" s="1515"/>
      <c r="L36" s="1516"/>
      <c r="M36" s="1516" t="s">
        <v>1397</v>
      </c>
      <c r="N36" s="1689" t="s">
        <v>116</v>
      </c>
      <c r="O36" s="1644"/>
      <c r="P36" s="245" t="b">
        <f t="shared" si="3"/>
        <v>0</v>
      </c>
      <c r="R36" s="245" t="b">
        <f t="shared" si="1"/>
        <v>0</v>
      </c>
      <c r="AO36" s="238" t="str">
        <f t="shared" si="2"/>
        <v>SJ29</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151</v>
      </c>
      <c r="C37" s="1511" t="s">
        <v>165</v>
      </c>
      <c r="D37" s="1511" t="s">
        <v>145</v>
      </c>
      <c r="E37" s="1512"/>
      <c r="F37" s="1513">
        <v>24</v>
      </c>
      <c r="G37" s="1514"/>
      <c r="H37" s="1515"/>
      <c r="I37" s="1513"/>
      <c r="J37" s="1514"/>
      <c r="K37" s="1515"/>
      <c r="L37" s="1516" t="s">
        <v>116</v>
      </c>
      <c r="M37" s="1516" t="s">
        <v>1397</v>
      </c>
      <c r="N37" s="1689" t="s">
        <v>116</v>
      </c>
      <c r="O37" s="1644"/>
      <c r="P37" s="245" t="b">
        <f t="shared" si="3"/>
        <v>0</v>
      </c>
      <c r="R37" s="245" t="b">
        <f t="shared" si="1"/>
        <v>0</v>
      </c>
      <c r="AO37" s="238" t="str">
        <f t="shared" si="2"/>
        <v>SJ29</v>
      </c>
      <c r="AP37" s="945" t="b">
        <v>0</v>
      </c>
      <c r="AQ37" s="1322"/>
      <c r="AR37" s="1323"/>
      <c r="AS37" s="1323"/>
      <c r="AT37" s="1323"/>
      <c r="AU37" s="1323"/>
      <c r="AV37" s="1323"/>
      <c r="AW37" s="1323"/>
      <c r="AX37" s="1323"/>
      <c r="AY37" s="1323"/>
      <c r="AZ37" s="1323"/>
      <c r="BA37" s="1532"/>
      <c r="BB37" s="1532"/>
      <c r="BC37" s="1533"/>
    </row>
    <row r="38" spans="1:55" ht="14.1" customHeight="1" x14ac:dyDescent="0.2">
      <c r="A38" s="1510" t="s">
        <v>1804</v>
      </c>
      <c r="B38" s="1511" t="s">
        <v>151</v>
      </c>
      <c r="C38" s="1511" t="s">
        <v>165</v>
      </c>
      <c r="D38" s="1511" t="s">
        <v>145</v>
      </c>
      <c r="E38" s="1512"/>
      <c r="F38" s="1513">
        <v>125</v>
      </c>
      <c r="G38" s="1514"/>
      <c r="H38" s="1515"/>
      <c r="I38" s="1513"/>
      <c r="J38" s="1514"/>
      <c r="K38" s="1515"/>
      <c r="L38" s="1516"/>
      <c r="M38" s="1516" t="s">
        <v>1397</v>
      </c>
      <c r="N38" s="1689" t="s">
        <v>116</v>
      </c>
      <c r="O38" s="1644"/>
      <c r="P38" s="245" t="b">
        <f t="shared" si="3"/>
        <v>0</v>
      </c>
      <c r="R38" s="245" t="b">
        <f t="shared" si="1"/>
        <v>0</v>
      </c>
      <c r="AO38" s="238" t="str">
        <f t="shared" si="2"/>
        <v>SJ30</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151</v>
      </c>
      <c r="C39" s="1511" t="s">
        <v>167</v>
      </c>
      <c r="D39" s="1511" t="s">
        <v>145</v>
      </c>
      <c r="E39" s="1512"/>
      <c r="F39" s="1513">
        <v>22.680000000000003</v>
      </c>
      <c r="G39" s="1514"/>
      <c r="H39" s="1515"/>
      <c r="I39" s="1513"/>
      <c r="J39" s="1514"/>
      <c r="K39" s="1515"/>
      <c r="L39" s="1516"/>
      <c r="M39" s="1516" t="s">
        <v>1397</v>
      </c>
      <c r="N39" s="1689" t="s">
        <v>116</v>
      </c>
      <c r="O39" s="1644"/>
      <c r="P39" s="245" t="b">
        <f t="shared" si="3"/>
        <v>0</v>
      </c>
      <c r="R39" s="245" t="b">
        <f t="shared" si="1"/>
        <v>0</v>
      </c>
      <c r="AO39" s="238" t="str">
        <f t="shared" si="2"/>
        <v>SJ30</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154</v>
      </c>
      <c r="C40" s="1511" t="s">
        <v>165</v>
      </c>
      <c r="D40" s="1511" t="s">
        <v>145</v>
      </c>
      <c r="E40" s="1512"/>
      <c r="F40" s="1513">
        <v>540</v>
      </c>
      <c r="G40" s="1514"/>
      <c r="H40" s="1515"/>
      <c r="I40" s="1513"/>
      <c r="J40" s="1514"/>
      <c r="K40" s="1515"/>
      <c r="L40" s="1516" t="s">
        <v>116</v>
      </c>
      <c r="M40" s="1516" t="s">
        <v>1397</v>
      </c>
      <c r="N40" s="1689" t="s">
        <v>116</v>
      </c>
      <c r="O40" s="1644"/>
      <c r="P40" s="245" t="b">
        <f t="shared" si="3"/>
        <v>0</v>
      </c>
      <c r="R40" s="245" t="b">
        <f t="shared" si="1"/>
        <v>1</v>
      </c>
      <c r="AO40" s="238" t="str">
        <f t="shared" si="2"/>
        <v>SJ30</v>
      </c>
      <c r="AP40" s="945" t="b">
        <v>0</v>
      </c>
      <c r="AQ40" s="1322"/>
      <c r="AR40" s="1323"/>
      <c r="AS40" s="1323"/>
      <c r="AT40" s="1323"/>
      <c r="AU40" s="1323"/>
      <c r="AV40" s="1323"/>
      <c r="AW40" s="1323"/>
      <c r="AX40" s="1323"/>
      <c r="AY40" s="1323"/>
      <c r="AZ40" s="1323"/>
      <c r="BA40" s="1532"/>
      <c r="BB40" s="1532"/>
      <c r="BC40" s="1533"/>
    </row>
    <row r="41" spans="1:55" ht="14.1" customHeight="1" x14ac:dyDescent="0.2">
      <c r="A41" s="1510" t="s">
        <v>1805</v>
      </c>
      <c r="B41" s="1511" t="s">
        <v>151</v>
      </c>
      <c r="C41" s="1511" t="s">
        <v>165</v>
      </c>
      <c r="D41" s="1511" t="s">
        <v>145</v>
      </c>
      <c r="E41" s="1512"/>
      <c r="F41" s="1513">
        <v>125</v>
      </c>
      <c r="G41" s="1514"/>
      <c r="H41" s="1515"/>
      <c r="I41" s="1513"/>
      <c r="J41" s="1514"/>
      <c r="K41" s="1515"/>
      <c r="L41" s="1516"/>
      <c r="M41" s="1516" t="s">
        <v>1397</v>
      </c>
      <c r="N41" s="1689" t="s">
        <v>116</v>
      </c>
      <c r="O41" s="1644"/>
      <c r="P41" s="245" t="b">
        <f t="shared" si="3"/>
        <v>0</v>
      </c>
      <c r="R41" s="245" t="b">
        <f t="shared" si="1"/>
        <v>0</v>
      </c>
      <c r="AO41" s="238" t="str">
        <f t="shared" si="2"/>
        <v>STJ31</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151</v>
      </c>
      <c r="C42" s="1511" t="s">
        <v>167</v>
      </c>
      <c r="D42" s="1511" t="s">
        <v>145</v>
      </c>
      <c r="E42" s="1512"/>
      <c r="F42" s="1513">
        <v>22.680000000000003</v>
      </c>
      <c r="G42" s="1514"/>
      <c r="H42" s="1515"/>
      <c r="I42" s="1513"/>
      <c r="J42" s="1514"/>
      <c r="K42" s="1515"/>
      <c r="L42" s="1516"/>
      <c r="M42" s="1516" t="s">
        <v>1397</v>
      </c>
      <c r="N42" s="1689" t="s">
        <v>116</v>
      </c>
      <c r="O42" s="1644"/>
      <c r="P42" s="245" t="b">
        <f t="shared" si="3"/>
        <v>0</v>
      </c>
      <c r="R42" s="245" t="b">
        <f t="shared" si="1"/>
        <v>0</v>
      </c>
      <c r="AO42" s="238" t="str">
        <f t="shared" si="2"/>
        <v>STJ31</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154</v>
      </c>
      <c r="C43" s="1511" t="s">
        <v>165</v>
      </c>
      <c r="D43" s="1511" t="s">
        <v>145</v>
      </c>
      <c r="E43" s="1512"/>
      <c r="F43" s="1513">
        <v>540</v>
      </c>
      <c r="G43" s="1514"/>
      <c r="H43" s="1515"/>
      <c r="I43" s="1513"/>
      <c r="J43" s="1514"/>
      <c r="K43" s="1515"/>
      <c r="L43" s="1516" t="s">
        <v>116</v>
      </c>
      <c r="M43" s="1516" t="s">
        <v>1397</v>
      </c>
      <c r="N43" s="1689" t="s">
        <v>116</v>
      </c>
      <c r="O43" s="1644"/>
      <c r="P43" s="245" t="b">
        <f t="shared" si="3"/>
        <v>0</v>
      </c>
      <c r="R43" s="245" t="b">
        <f t="shared" si="1"/>
        <v>1</v>
      </c>
      <c r="AO43" s="238" t="str">
        <f t="shared" si="2"/>
        <v>STJ31</v>
      </c>
      <c r="AP43" s="945" t="b">
        <v>0</v>
      </c>
      <c r="AQ43" s="1322"/>
      <c r="AR43" s="1323"/>
      <c r="AS43" s="1323"/>
      <c r="AT43" s="1323"/>
      <c r="AU43" s="1323"/>
      <c r="AV43" s="1323"/>
      <c r="AW43" s="1323"/>
      <c r="AX43" s="1323"/>
      <c r="AY43" s="1323"/>
      <c r="AZ43" s="1323"/>
      <c r="BA43" s="1532"/>
      <c r="BB43" s="1532"/>
      <c r="BC43" s="1533"/>
    </row>
    <row r="44" spans="1:55" ht="14.1" customHeight="1" x14ac:dyDescent="0.2">
      <c r="A44" s="1510" t="s">
        <v>1806</v>
      </c>
      <c r="B44" s="1511" t="s">
        <v>151</v>
      </c>
      <c r="C44" s="1511" t="s">
        <v>165</v>
      </c>
      <c r="D44" s="1511" t="s">
        <v>145</v>
      </c>
      <c r="E44" s="1512"/>
      <c r="F44" s="1513">
        <v>125</v>
      </c>
      <c r="G44" s="1514"/>
      <c r="H44" s="1515"/>
      <c r="I44" s="1513"/>
      <c r="J44" s="1514"/>
      <c r="K44" s="1515"/>
      <c r="L44" s="1516"/>
      <c r="M44" s="1516" t="s">
        <v>1397</v>
      </c>
      <c r="N44" s="1689" t="s">
        <v>116</v>
      </c>
      <c r="O44" s="1644"/>
      <c r="P44" s="245" t="b">
        <f t="shared" si="3"/>
        <v>0</v>
      </c>
      <c r="R44" s="245" t="b">
        <f t="shared" si="1"/>
        <v>0</v>
      </c>
      <c r="AO44" s="238" t="str">
        <f t="shared" si="2"/>
        <v>SJ32</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151</v>
      </c>
      <c r="C45" s="1511" t="s">
        <v>167</v>
      </c>
      <c r="D45" s="1511" t="s">
        <v>145</v>
      </c>
      <c r="E45" s="1512"/>
      <c r="F45" s="1513">
        <v>22.680000000000003</v>
      </c>
      <c r="G45" s="1514"/>
      <c r="H45" s="1515"/>
      <c r="I45" s="1513"/>
      <c r="J45" s="1514"/>
      <c r="K45" s="1515"/>
      <c r="L45" s="1516"/>
      <c r="M45" s="1516" t="s">
        <v>1397</v>
      </c>
      <c r="N45" s="1689" t="s">
        <v>116</v>
      </c>
      <c r="O45" s="1644"/>
      <c r="P45" s="245" t="b">
        <f t="shared" si="3"/>
        <v>0</v>
      </c>
      <c r="R45" s="245" t="b">
        <f t="shared" si="1"/>
        <v>0</v>
      </c>
      <c r="AO45" s="238" t="str">
        <f t="shared" si="2"/>
        <v>SJ32</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154</v>
      </c>
      <c r="C46" s="1511" t="s">
        <v>165</v>
      </c>
      <c r="D46" s="1511" t="s">
        <v>145</v>
      </c>
      <c r="E46" s="1512"/>
      <c r="F46" s="1513">
        <v>1100</v>
      </c>
      <c r="G46" s="1514"/>
      <c r="H46" s="1515"/>
      <c r="I46" s="1513"/>
      <c r="J46" s="1514"/>
      <c r="K46" s="1515"/>
      <c r="L46" s="1516" t="s">
        <v>116</v>
      </c>
      <c r="M46" s="1516" t="s">
        <v>1397</v>
      </c>
      <c r="N46" s="1689" t="s">
        <v>116</v>
      </c>
      <c r="O46" s="1644"/>
      <c r="P46" s="245" t="b">
        <f t="shared" si="3"/>
        <v>0</v>
      </c>
      <c r="R46" s="245" t="b">
        <f t="shared" si="1"/>
        <v>1</v>
      </c>
      <c r="AO46" s="238" t="str">
        <f t="shared" si="2"/>
        <v>SJ32</v>
      </c>
      <c r="AP46" s="945" t="b">
        <v>0</v>
      </c>
      <c r="AQ46" s="1322"/>
      <c r="AR46" s="1323"/>
      <c r="AS46" s="1323"/>
      <c r="AT46" s="1323"/>
      <c r="AU46" s="1323"/>
      <c r="AV46" s="1323"/>
      <c r="AW46" s="1323"/>
      <c r="AX46" s="1323"/>
      <c r="AY46" s="1323"/>
      <c r="AZ46" s="1323"/>
      <c r="BA46" s="1532"/>
      <c r="BB46" s="1532"/>
      <c r="BC46" s="1533"/>
    </row>
    <row r="47" spans="1:55" ht="14.1" customHeight="1" x14ac:dyDescent="0.2">
      <c r="A47" s="1510" t="s">
        <v>1807</v>
      </c>
      <c r="B47" s="1511" t="s">
        <v>151</v>
      </c>
      <c r="C47" s="1511" t="s">
        <v>165</v>
      </c>
      <c r="D47" s="1511" t="s">
        <v>145</v>
      </c>
      <c r="E47" s="1512"/>
      <c r="F47" s="1513">
        <v>125</v>
      </c>
      <c r="G47" s="1514"/>
      <c r="H47" s="1515"/>
      <c r="I47" s="1513"/>
      <c r="J47" s="1514"/>
      <c r="K47" s="1515"/>
      <c r="L47" s="1516"/>
      <c r="M47" s="1516" t="s">
        <v>1397</v>
      </c>
      <c r="N47" s="1689" t="s">
        <v>116</v>
      </c>
      <c r="O47" s="1644"/>
      <c r="P47" s="245" t="b">
        <f t="shared" si="3"/>
        <v>0</v>
      </c>
      <c r="R47" s="245" t="b">
        <f t="shared" si="1"/>
        <v>0</v>
      </c>
      <c r="AO47" s="238" t="str">
        <f t="shared" si="2"/>
        <v>SJ33</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151</v>
      </c>
      <c r="C48" s="1511" t="s">
        <v>167</v>
      </c>
      <c r="D48" s="1511" t="s">
        <v>145</v>
      </c>
      <c r="E48" s="1512"/>
      <c r="F48" s="1513">
        <v>22.680000000000003</v>
      </c>
      <c r="G48" s="1514"/>
      <c r="H48" s="1515"/>
      <c r="I48" s="1513"/>
      <c r="J48" s="1514"/>
      <c r="K48" s="1515"/>
      <c r="L48" s="1516"/>
      <c r="M48" s="1516" t="s">
        <v>1397</v>
      </c>
      <c r="N48" s="1689" t="s">
        <v>116</v>
      </c>
      <c r="O48" s="1644"/>
      <c r="P48" s="245" t="b">
        <f t="shared" si="3"/>
        <v>0</v>
      </c>
      <c r="R48" s="245" t="b">
        <f t="shared" si="1"/>
        <v>0</v>
      </c>
      <c r="AO48" s="238" t="str">
        <f t="shared" si="2"/>
        <v>SJ33</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151</v>
      </c>
      <c r="C49" s="1511" t="s">
        <v>163</v>
      </c>
      <c r="D49" s="1511" t="s">
        <v>145</v>
      </c>
      <c r="E49" s="1512"/>
      <c r="F49" s="1513">
        <v>154</v>
      </c>
      <c r="G49" s="1514"/>
      <c r="H49" s="1515"/>
      <c r="I49" s="1513"/>
      <c r="J49" s="1514"/>
      <c r="K49" s="1515"/>
      <c r="L49" s="1516" t="s">
        <v>116</v>
      </c>
      <c r="M49" s="1516" t="s">
        <v>1397</v>
      </c>
      <c r="N49" s="1689" t="s">
        <v>116</v>
      </c>
      <c r="O49" s="1644"/>
      <c r="P49" s="245" t="b">
        <f t="shared" si="3"/>
        <v>0</v>
      </c>
      <c r="R49" s="245" t="b">
        <f t="shared" si="1"/>
        <v>0</v>
      </c>
      <c r="AO49" s="238" t="str">
        <f t="shared" si="2"/>
        <v>SJ33</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151</v>
      </c>
      <c r="C50" s="1511" t="s">
        <v>165</v>
      </c>
      <c r="D50" s="1511" t="s">
        <v>145</v>
      </c>
      <c r="E50" s="1512"/>
      <c r="F50" s="1513">
        <v>24</v>
      </c>
      <c r="G50" s="1514"/>
      <c r="H50" s="1515"/>
      <c r="I50" s="1513"/>
      <c r="J50" s="1514"/>
      <c r="K50" s="1515"/>
      <c r="L50" s="1516" t="s">
        <v>116</v>
      </c>
      <c r="M50" s="1516" t="s">
        <v>1397</v>
      </c>
      <c r="N50" s="1689" t="s">
        <v>116</v>
      </c>
      <c r="O50" s="1644"/>
      <c r="P50" s="245" t="b">
        <f t="shared" si="3"/>
        <v>0</v>
      </c>
      <c r="R50" s="245" t="b">
        <f t="shared" si="1"/>
        <v>0</v>
      </c>
      <c r="AO50" s="238" t="str">
        <f t="shared" si="2"/>
        <v>SJ33</v>
      </c>
      <c r="AP50" s="945" t="b">
        <v>0</v>
      </c>
      <c r="AQ50" s="1322"/>
      <c r="AR50" s="1323"/>
      <c r="AS50" s="1323"/>
      <c r="AT50" s="1323"/>
      <c r="AU50" s="1323"/>
      <c r="AV50" s="1323"/>
      <c r="AW50" s="1323"/>
      <c r="AX50" s="1323"/>
      <c r="AY50" s="1323"/>
      <c r="AZ50" s="1323"/>
      <c r="BA50" s="1532"/>
      <c r="BB50" s="1532"/>
      <c r="BC50" s="1533"/>
    </row>
    <row r="51" spans="1:55" ht="14.1" customHeight="1" x14ac:dyDescent="0.2">
      <c r="A51" s="1510" t="s">
        <v>1808</v>
      </c>
      <c r="B51" s="1511" t="s">
        <v>151</v>
      </c>
      <c r="C51" s="1511" t="s">
        <v>165</v>
      </c>
      <c r="D51" s="1511" t="s">
        <v>145</v>
      </c>
      <c r="E51" s="1512"/>
      <c r="F51" s="1513">
        <v>125</v>
      </c>
      <c r="G51" s="1514"/>
      <c r="H51" s="1515"/>
      <c r="I51" s="1513"/>
      <c r="J51" s="1514"/>
      <c r="K51" s="1515"/>
      <c r="L51" s="1516"/>
      <c r="M51" s="1516" t="s">
        <v>1397</v>
      </c>
      <c r="N51" s="1689" t="s">
        <v>116</v>
      </c>
      <c r="O51" s="1644"/>
      <c r="P51" s="245" t="b">
        <f t="shared" si="3"/>
        <v>0</v>
      </c>
      <c r="R51" s="245" t="b">
        <f t="shared" si="1"/>
        <v>0</v>
      </c>
      <c r="AO51" s="238" t="str">
        <f t="shared" si="2"/>
        <v>SJ34</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151</v>
      </c>
      <c r="C52" s="1511" t="s">
        <v>167</v>
      </c>
      <c r="D52" s="1511" t="s">
        <v>145</v>
      </c>
      <c r="E52" s="1512"/>
      <c r="F52" s="1513">
        <v>22.680000000000003</v>
      </c>
      <c r="G52" s="1514"/>
      <c r="H52" s="1515"/>
      <c r="I52" s="1513"/>
      <c r="J52" s="1514"/>
      <c r="K52" s="1515"/>
      <c r="L52" s="1516"/>
      <c r="M52" s="1516" t="s">
        <v>1397</v>
      </c>
      <c r="N52" s="1689" t="s">
        <v>116</v>
      </c>
      <c r="O52" s="1644"/>
      <c r="P52" s="245" t="b">
        <f t="shared" si="3"/>
        <v>0</v>
      </c>
      <c r="R52" s="245" t="b">
        <f t="shared" si="1"/>
        <v>0</v>
      </c>
      <c r="AO52" s="238" t="str">
        <f t="shared" si="2"/>
        <v>SJ34</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151</v>
      </c>
      <c r="C53" s="1511" t="s">
        <v>163</v>
      </c>
      <c r="D53" s="1511" t="s">
        <v>145</v>
      </c>
      <c r="E53" s="1512"/>
      <c r="F53" s="1513">
        <v>60</v>
      </c>
      <c r="G53" s="1514"/>
      <c r="H53" s="1515"/>
      <c r="I53" s="1513"/>
      <c r="J53" s="1514"/>
      <c r="K53" s="1515"/>
      <c r="L53" s="1516" t="s">
        <v>116</v>
      </c>
      <c r="M53" s="1516" t="s">
        <v>1397</v>
      </c>
      <c r="N53" s="1689" t="s">
        <v>116</v>
      </c>
      <c r="O53" s="1644"/>
      <c r="P53" s="245" t="b">
        <f t="shared" si="3"/>
        <v>0</v>
      </c>
      <c r="R53" s="245" t="b">
        <f t="shared" si="1"/>
        <v>0</v>
      </c>
      <c r="AO53" s="238" t="str">
        <f t="shared" si="2"/>
        <v>SJ34</v>
      </c>
      <c r="AP53" s="945" t="b">
        <v>0</v>
      </c>
      <c r="AQ53" s="1322"/>
      <c r="AR53" s="1323"/>
      <c r="AS53" s="1323"/>
      <c r="AT53" s="1323"/>
      <c r="AU53" s="1323"/>
      <c r="AV53" s="1323"/>
      <c r="AW53" s="1323"/>
      <c r="AX53" s="1323"/>
      <c r="AY53" s="1323"/>
      <c r="AZ53" s="1323"/>
      <c r="BA53" s="1532"/>
      <c r="BB53" s="1532"/>
      <c r="BC53" s="1533"/>
    </row>
    <row r="54" spans="1:55" ht="14.1" customHeight="1" x14ac:dyDescent="0.2">
      <c r="A54" s="1510" t="s">
        <v>1809</v>
      </c>
      <c r="B54" s="1511" t="s">
        <v>151</v>
      </c>
      <c r="C54" s="1511" t="s">
        <v>165</v>
      </c>
      <c r="D54" s="1511" t="s">
        <v>145</v>
      </c>
      <c r="E54" s="1512"/>
      <c r="F54" s="1513">
        <v>125</v>
      </c>
      <c r="G54" s="1514"/>
      <c r="H54" s="1515"/>
      <c r="I54" s="1513"/>
      <c r="J54" s="1514"/>
      <c r="K54" s="1515"/>
      <c r="L54" s="1516"/>
      <c r="M54" s="1516" t="s">
        <v>1397</v>
      </c>
      <c r="N54" s="1689" t="s">
        <v>116</v>
      </c>
      <c r="O54" s="1644"/>
      <c r="P54" s="245" t="b">
        <f t="shared" si="3"/>
        <v>0</v>
      </c>
      <c r="R54" s="245" t="b">
        <f t="shared" si="1"/>
        <v>0</v>
      </c>
      <c r="AO54" s="238" t="str">
        <f t="shared" si="2"/>
        <v>SJ35</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151</v>
      </c>
      <c r="C55" s="1520" t="s">
        <v>167</v>
      </c>
      <c r="D55" s="1520" t="s">
        <v>145</v>
      </c>
      <c r="E55" s="1521"/>
      <c r="F55" s="1522">
        <v>22.680000000000003</v>
      </c>
      <c r="G55" s="1523"/>
      <c r="H55" s="1524"/>
      <c r="I55" s="1522"/>
      <c r="J55" s="1523"/>
      <c r="K55" s="1524"/>
      <c r="L55" s="1525"/>
      <c r="M55" s="1525" t="s">
        <v>1397</v>
      </c>
      <c r="N55" s="1690"/>
      <c r="O55" s="1644"/>
      <c r="P55" s="245" t="b">
        <f t="shared" si="3"/>
        <v>0</v>
      </c>
      <c r="R55" s="245" t="b">
        <f t="shared" si="1"/>
        <v>0</v>
      </c>
      <c r="AO55" s="238" t="str">
        <f t="shared" si="2"/>
        <v>SJ35</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49" priority="4" stopIfTrue="1">
      <formula>AND($B14="NU",F14&lt;0)</formula>
    </cfRule>
  </conditionalFormatting>
  <conditionalFormatting sqref="B14:B55">
    <cfRule type="expression" dxfId="48" priority="5" stopIfTrue="1">
      <formula>OR(AND($B14="NU",F14&lt;0),AND($B14="NU",I14&lt;0))</formula>
    </cfRule>
  </conditionalFormatting>
  <conditionalFormatting sqref="G14:H55 J14:L55">
    <cfRule type="expression" dxfId="47" priority="6" stopIfTrue="1">
      <formula>$R14</formula>
    </cfRule>
  </conditionalFormatting>
  <conditionalFormatting sqref="I2:K4">
    <cfRule type="cellIs" dxfId="46" priority="7" stopIfTrue="1" operator="equal">
      <formula>""</formula>
    </cfRule>
  </conditionalFormatting>
  <conditionalFormatting sqref="I14:I55">
    <cfRule type="expression" dxfId="45" priority="8" stopIfTrue="1">
      <formula>OR($R14,$B14="CZ",AND($B14="NU",I14&lt;0))</formula>
    </cfRule>
  </conditionalFormatting>
  <conditionalFormatting sqref="A14:A55">
    <cfRule type="expression" dxfId="44" priority="3">
      <formula>NOT($P14)</formula>
    </cfRule>
  </conditionalFormatting>
  <conditionalFormatting sqref="B14:D55">
    <cfRule type="expression" dxfId="4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42" priority="9">
      <formula>AND(NOT($P14),$T$1)</formula>
    </cfRule>
    <cfRule type="expression" dxfId="41" priority="10">
      <formula>AND($AP14,$S$1="M")</formula>
    </cfRule>
  </conditionalFormatting>
  <conditionalFormatting sqref="L14:L55">
    <cfRule type="expression" dxfId="4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516B1A8B-B509-4264-A5F7-823D811E5EC3}">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E7B2961E-858E-4142-B253-52604DB75B8B}">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A672F8B9-1DD1-4070-8D69-6DD20A234535}">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9F70F8B3-C735-4EEC-9D25-0C658F19C4CB}">
      <formula1>IF($CA$14,$CA$16:$CA$21,$CB$16:$CB$19)</formula1>
    </dataValidation>
    <dataValidation type="list" allowBlank="1" showErrorMessage="1" errorTitle="Invalid Type" error="You MUST select a Type from the dropdown list provided._x000a__x000a_Also, make sure your Cap Lock is turned on." sqref="B14:B55" xr:uid="{5D69308D-8EC9-4BCE-A6D0-7BD3794C3EE9}">
      <formula1>$BF$15:$BU$15</formula1>
    </dataValidation>
    <dataValidation allowBlank="1" showInputMessage="1" errorTitle="Invalid Load Case" error="You MUST use a Load Case from the list provided." sqref="M14:M55" xr:uid="{E8B66C4E-6ACC-4602-9136-21936EB14D33}"/>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CD876-FE75-48B5-A9C3-94EA1B087BE2}">
  <sheetPr codeName="Sheet39">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48" t="str">
        <f>IF(S1="","",VLOOKUP(S1,'Job Info.'!X:AA,4,FALSE))</f>
        <v>Master</v>
      </c>
      <c r="J1" s="1848"/>
      <c r="K1" s="1848"/>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53" t="str">
        <f>IF(S1="","",IF(VLOOKUP(S1,'Job Info.'!X:Z,2,FALSE),"Released for Fabrication",""))</f>
        <v/>
      </c>
      <c r="J2" s="1854"/>
      <c r="K2" s="1855"/>
      <c r="L2" s="375"/>
      <c r="M2" s="375" t="s">
        <v>96</v>
      </c>
      <c r="N2" s="463" t="str">
        <f ca="1">'Job Info.'!D13</f>
        <v>775-867-2140</v>
      </c>
      <c r="O2" s="1008"/>
      <c r="P2" s="1008"/>
      <c r="BE2" s="1040"/>
    </row>
    <row r="3" spans="1:83" ht="12.95" customHeight="1" x14ac:dyDescent="0.2">
      <c r="A3" s="374"/>
      <c r="B3" s="374"/>
      <c r="C3" s="374"/>
      <c r="D3" s="374"/>
      <c r="E3" s="374"/>
      <c r="F3" s="374"/>
      <c r="G3" s="374"/>
      <c r="H3" s="375"/>
      <c r="I3" s="1856"/>
      <c r="J3" s="1857"/>
      <c r="K3" s="1858"/>
      <c r="L3" s="375"/>
      <c r="M3" s="375" t="s">
        <v>98</v>
      </c>
      <c r="N3" s="463" t="str">
        <f ca="1">'Job Info.'!D14</f>
        <v>775-867-2169</v>
      </c>
      <c r="O3" s="1008"/>
      <c r="P3" s="1008"/>
    </row>
    <row r="4" spans="1:83" ht="12.95" customHeight="1" thickBot="1" x14ac:dyDescent="0.25">
      <c r="A4" s="374"/>
      <c r="B4" s="374"/>
      <c r="C4" s="374"/>
      <c r="D4" s="374"/>
      <c r="E4" s="374"/>
      <c r="F4" s="374"/>
      <c r="G4" s="374"/>
      <c r="H4" s="374"/>
      <c r="I4" s="1859" t="str">
        <f>IF(S1="","",IF(VLOOKUP(S1,'Job Info.'!X:Z,2,FALSE),VLOOKUP(S1,'Job Info.'!X:Z,3,FALSE),""))</f>
        <v/>
      </c>
      <c r="J4" s="1860"/>
      <c r="K4" s="1861"/>
      <c r="L4" s="375"/>
      <c r="M4" s="375" t="s">
        <v>97</v>
      </c>
      <c r="N4" s="463" t="str">
        <f ca="1">'Job Info.'!D15</f>
        <v>775-867-2060</v>
      </c>
      <c r="O4" s="1008"/>
      <c r="P4" s="1008"/>
    </row>
    <row r="5" spans="1:83" ht="12.95" customHeight="1" thickTop="1" x14ac:dyDescent="0.2">
      <c r="A5" s="1862" t="str">
        <f ca="1">'Job Info.'!D11</f>
        <v>8200 Woolery Way | Fallon, NV 89406 | www.newmill.com</v>
      </c>
      <c r="B5" s="1872"/>
      <c r="C5" s="1872"/>
      <c r="D5" s="1872"/>
      <c r="E5" s="1872"/>
      <c r="F5" s="1872"/>
      <c r="G5" s="1872"/>
      <c r="H5" s="1872"/>
      <c r="I5" s="1872"/>
      <c r="J5" s="1872"/>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24" t="str">
        <f>IF(ISBLANK('Job Info.'!D3),"",'Job Info.'!D3)</f>
        <v>MINDEN UPS BLDG 1</v>
      </c>
      <c r="C9" s="1824"/>
      <c r="D9" s="1824"/>
      <c r="E9" s="1824"/>
      <c r="F9" s="1824"/>
      <c r="G9" s="1824"/>
      <c r="H9" s="1825"/>
      <c r="I9" s="469"/>
      <c r="J9" s="458" t="s">
        <v>2</v>
      </c>
      <c r="K9" s="1824" t="str">
        <f>IF(ISBLANK('Job Info.'!D5),"",'Job Info.'!D5)</f>
        <v>NN22-0071</v>
      </c>
      <c r="L9" s="1874"/>
      <c r="M9" s="1874"/>
      <c r="N9" s="1875"/>
      <c r="O9" s="1056"/>
      <c r="P9" s="1056"/>
      <c r="V9" s="631"/>
    </row>
    <row r="10" spans="1:83" ht="12.6" customHeight="1" x14ac:dyDescent="0.2">
      <c r="A10" s="471" t="s">
        <v>3</v>
      </c>
      <c r="B10" s="1824" t="str">
        <f>IF(ISBLANK('Job Info.'!D4),"",'Job Info.'!D4)</f>
        <v>MINDEN, NV</v>
      </c>
      <c r="C10" s="1824"/>
      <c r="D10" s="1824"/>
      <c r="E10" s="1824"/>
      <c r="F10" s="1824"/>
      <c r="G10" s="1824"/>
      <c r="H10" s="1825"/>
      <c r="I10" s="1873" t="s">
        <v>22</v>
      </c>
      <c r="J10" s="1873"/>
      <c r="K10" s="1824" t="str">
        <f>IF(ISBLANK('Job Info.'!D6),"",'Job Info.'!D6)</f>
        <v>JMM</v>
      </c>
      <c r="L10" s="1825"/>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64" t="s">
        <v>77</v>
      </c>
      <c r="B12" s="1865"/>
      <c r="C12" s="1865"/>
      <c r="D12" s="1865"/>
      <c r="E12" s="1866"/>
      <c r="F12" s="1864" t="s">
        <v>49</v>
      </c>
      <c r="G12" s="1865"/>
      <c r="H12" s="1871"/>
      <c r="I12" s="1864" t="s">
        <v>50</v>
      </c>
      <c r="J12" s="1865"/>
      <c r="K12" s="1871"/>
      <c r="L12" s="1867" t="s">
        <v>51</v>
      </c>
      <c r="M12" s="1880" t="s">
        <v>741</v>
      </c>
      <c r="N12" s="1867" t="s">
        <v>52</v>
      </c>
      <c r="O12" s="1085"/>
      <c r="P12" s="1085"/>
      <c r="AO12" s="548" t="s">
        <v>973</v>
      </c>
      <c r="AP12" s="944" t="s">
        <v>170</v>
      </c>
      <c r="AQ12" s="1876" t="s">
        <v>1208</v>
      </c>
      <c r="AR12" s="1877"/>
      <c r="AS12" s="1877"/>
      <c r="AT12" s="1877"/>
      <c r="AU12" s="1877"/>
      <c r="AV12" s="1877"/>
      <c r="AW12" s="1877"/>
      <c r="AX12" s="1877"/>
      <c r="AY12" s="1877"/>
      <c r="AZ12" s="1878"/>
      <c r="BA12" s="1878"/>
      <c r="BB12" s="1878"/>
      <c r="BC12" s="1879"/>
      <c r="BE12" s="1530"/>
    </row>
    <row r="13" spans="1:83" s="478" customFormat="1" ht="14.1" customHeight="1" x14ac:dyDescent="0.2">
      <c r="A13" s="1049" t="s">
        <v>46</v>
      </c>
      <c r="B13" s="1050" t="s">
        <v>17</v>
      </c>
      <c r="C13" s="1050" t="s">
        <v>45</v>
      </c>
      <c r="D13" s="1050" t="s">
        <v>78</v>
      </c>
      <c r="E13" s="1326" t="s">
        <v>44</v>
      </c>
      <c r="F13" s="1049" t="s">
        <v>47</v>
      </c>
      <c r="G13" s="1869" t="s">
        <v>48</v>
      </c>
      <c r="H13" s="1870"/>
      <c r="I13" s="1049" t="s">
        <v>47</v>
      </c>
      <c r="J13" s="1869" t="s">
        <v>48</v>
      </c>
      <c r="K13" s="1870"/>
      <c r="L13" s="1868"/>
      <c r="M13" s="1881"/>
      <c r="N13" s="1882"/>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151</v>
      </c>
      <c r="C14" s="1504" t="s">
        <v>163</v>
      </c>
      <c r="D14" s="1504" t="s">
        <v>145</v>
      </c>
      <c r="E14" s="1687"/>
      <c r="F14" s="1505">
        <v>4</v>
      </c>
      <c r="G14" s="1506"/>
      <c r="H14" s="1507"/>
      <c r="I14" s="1505"/>
      <c r="J14" s="1506"/>
      <c r="K14" s="1507"/>
      <c r="L14" s="1508" t="s">
        <v>116</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1810</v>
      </c>
      <c r="B15" s="1511" t="s">
        <v>151</v>
      </c>
      <c r="C15" s="1511" t="s">
        <v>165</v>
      </c>
      <c r="D15" s="1511" t="s">
        <v>145</v>
      </c>
      <c r="E15" s="1512"/>
      <c r="F15" s="1513">
        <v>125</v>
      </c>
      <c r="G15" s="1514"/>
      <c r="H15" s="1515"/>
      <c r="I15" s="1513"/>
      <c r="J15" s="1514"/>
      <c r="K15" s="1515"/>
      <c r="L15" s="1516"/>
      <c r="M15" s="1517" t="s">
        <v>1397</v>
      </c>
      <c r="N15" s="1689" t="s">
        <v>116</v>
      </c>
      <c r="O15" s="1644"/>
      <c r="P15" s="245" t="b">
        <f t="shared" si="0"/>
        <v>0</v>
      </c>
      <c r="R15" s="245" t="b">
        <f t="shared" ref="R15:R55" si="1">OR(B15="CP",B15="CA", B15="AX",B15="M",B15="S")</f>
        <v>0</v>
      </c>
      <c r="AO15" s="238" t="str">
        <f t="shared" ref="AO15:AO55" si="2">IF(ISBLANK(A15),AO14,SUBSTITUTE(A15,"*",""))</f>
        <v>SJ36</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151</v>
      </c>
      <c r="C16" s="1511" t="s">
        <v>167</v>
      </c>
      <c r="D16" s="1511" t="s">
        <v>145</v>
      </c>
      <c r="E16" s="1512"/>
      <c r="F16" s="1513">
        <v>22.680000000000003</v>
      </c>
      <c r="G16" s="1514"/>
      <c r="H16" s="1515"/>
      <c r="I16" s="1513"/>
      <c r="J16" s="1514"/>
      <c r="K16" s="1515"/>
      <c r="L16" s="1516"/>
      <c r="M16" s="1517" t="s">
        <v>1397</v>
      </c>
      <c r="N16" s="1689"/>
      <c r="O16" s="1644"/>
      <c r="P16" s="245" t="b">
        <f t="shared" si="0"/>
        <v>0</v>
      </c>
      <c r="R16" s="245" t="b">
        <f t="shared" si="1"/>
        <v>0</v>
      </c>
      <c r="AO16" s="238" t="str">
        <f t="shared" si="2"/>
        <v>SJ36</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t="s">
        <v>1811</v>
      </c>
      <c r="B17" s="1511" t="s">
        <v>151</v>
      </c>
      <c r="C17" s="1511" t="s">
        <v>165</v>
      </c>
      <c r="D17" s="1511" t="s">
        <v>145</v>
      </c>
      <c r="E17" s="1512"/>
      <c r="F17" s="1513">
        <v>125</v>
      </c>
      <c r="G17" s="1514"/>
      <c r="H17" s="1515"/>
      <c r="I17" s="1513"/>
      <c r="J17" s="1514"/>
      <c r="K17" s="1515"/>
      <c r="L17" s="1516"/>
      <c r="M17" s="1517" t="s">
        <v>1397</v>
      </c>
      <c r="N17" s="1689"/>
      <c r="O17" s="1644"/>
      <c r="P17" s="245" t="b">
        <f>IF(ISERROR(VLOOKUP(AO17,BE:BE,1,FALSE)),FALSE,IF(AO17&lt;&gt;"",VLOOKUP(AO17,BE:BE,1,FALSE)=AO17))</f>
        <v>0</v>
      </c>
      <c r="R17" s="245" t="b">
        <f t="shared" si="1"/>
        <v>0</v>
      </c>
      <c r="AO17" s="238" t="str">
        <f t="shared" si="2"/>
        <v>SJ37</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151</v>
      </c>
      <c r="C18" s="1511" t="s">
        <v>167</v>
      </c>
      <c r="D18" s="1511" t="s">
        <v>145</v>
      </c>
      <c r="E18" s="1512"/>
      <c r="F18" s="1513">
        <v>22.680000000000003</v>
      </c>
      <c r="G18" s="1514"/>
      <c r="H18" s="1515"/>
      <c r="I18" s="1513"/>
      <c r="J18" s="1514"/>
      <c r="K18" s="1515"/>
      <c r="L18" s="1516"/>
      <c r="M18" s="1517" t="s">
        <v>1397</v>
      </c>
      <c r="N18" s="1689"/>
      <c r="O18" s="1644"/>
      <c r="P18" s="245" t="b">
        <f t="shared" ref="P18:P55" si="3">IF(ISERROR(VLOOKUP(AO18,BE:BE,1,FALSE)),FALSE,IF(AO18&lt;&gt;"",VLOOKUP(AO18,BE:BE,1,FALSE)=AO18))</f>
        <v>0</v>
      </c>
      <c r="R18" s="245" t="b">
        <f t="shared" si="1"/>
        <v>0</v>
      </c>
      <c r="AO18" s="238" t="str">
        <f t="shared" si="2"/>
        <v>SJ37</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154</v>
      </c>
      <c r="C19" s="1511" t="s">
        <v>165</v>
      </c>
      <c r="D19" s="1511" t="s">
        <v>145</v>
      </c>
      <c r="E19" s="1512"/>
      <c r="F19" s="1513">
        <v>540</v>
      </c>
      <c r="G19" s="1514"/>
      <c r="H19" s="1515"/>
      <c r="I19" s="1513"/>
      <c r="J19" s="1514"/>
      <c r="K19" s="1515"/>
      <c r="L19" s="1516" t="s">
        <v>116</v>
      </c>
      <c r="M19" s="1517" t="s">
        <v>1397</v>
      </c>
      <c r="N19" s="1689" t="s">
        <v>116</v>
      </c>
      <c r="O19" s="1644"/>
      <c r="P19" s="245" t="b">
        <f t="shared" si="3"/>
        <v>0</v>
      </c>
      <c r="R19" s="245" t="b">
        <f t="shared" si="1"/>
        <v>1</v>
      </c>
      <c r="AO19" s="238" t="str">
        <f t="shared" si="2"/>
        <v>SJ37</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151</v>
      </c>
      <c r="C20" s="1511" t="s">
        <v>165</v>
      </c>
      <c r="D20" s="1511" t="s">
        <v>145</v>
      </c>
      <c r="E20" s="1512"/>
      <c r="F20" s="1513">
        <v>24</v>
      </c>
      <c r="G20" s="1514"/>
      <c r="H20" s="1515"/>
      <c r="I20" s="1513"/>
      <c r="J20" s="1514"/>
      <c r="K20" s="1515"/>
      <c r="L20" s="1516" t="s">
        <v>116</v>
      </c>
      <c r="M20" s="1517" t="s">
        <v>1397</v>
      </c>
      <c r="N20" s="1518"/>
      <c r="O20" s="1645"/>
      <c r="P20" s="245" t="b">
        <f t="shared" si="3"/>
        <v>0</v>
      </c>
      <c r="R20" s="245" t="b">
        <f t="shared" si="1"/>
        <v>0</v>
      </c>
      <c r="AO20" s="238" t="str">
        <f t="shared" si="2"/>
        <v>SJ37</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146</v>
      </c>
      <c r="C21" s="1511" t="s">
        <v>165</v>
      </c>
      <c r="D21" s="1511" t="s">
        <v>145</v>
      </c>
      <c r="E21" s="1512"/>
      <c r="F21" s="1513">
        <v>150</v>
      </c>
      <c r="G21" s="1514">
        <v>18</v>
      </c>
      <c r="H21" s="1515">
        <v>0</v>
      </c>
      <c r="I21" s="1513"/>
      <c r="J21" s="1514"/>
      <c r="K21" s="1515"/>
      <c r="L21" s="1516" t="s">
        <v>700</v>
      </c>
      <c r="M21" s="1517" t="s">
        <v>1397</v>
      </c>
      <c r="N21" s="1518"/>
      <c r="O21" s="1645"/>
      <c r="P21" s="245" t="b">
        <f t="shared" si="3"/>
        <v>0</v>
      </c>
      <c r="R21" s="245" t="b">
        <f t="shared" si="1"/>
        <v>0</v>
      </c>
      <c r="AO21" s="238" t="str">
        <f t="shared" si="2"/>
        <v>SJ37</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t="s">
        <v>1812</v>
      </c>
      <c r="B22" s="1511" t="s">
        <v>151</v>
      </c>
      <c r="C22" s="1511" t="s">
        <v>165</v>
      </c>
      <c r="D22" s="1511" t="s">
        <v>145</v>
      </c>
      <c r="E22" s="1512"/>
      <c r="F22" s="1513">
        <v>125</v>
      </c>
      <c r="G22" s="1514"/>
      <c r="H22" s="1515"/>
      <c r="I22" s="1513"/>
      <c r="J22" s="1514"/>
      <c r="K22" s="1515"/>
      <c r="L22" s="1516"/>
      <c r="M22" s="1517" t="s">
        <v>1397</v>
      </c>
      <c r="N22" s="1518"/>
      <c r="O22" s="1645"/>
      <c r="P22" s="245" t="b">
        <f t="shared" si="3"/>
        <v>0</v>
      </c>
      <c r="R22" s="245" t="b">
        <f t="shared" si="1"/>
        <v>0</v>
      </c>
      <c r="AO22" s="238" t="str">
        <f t="shared" si="2"/>
        <v>SJ38</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151</v>
      </c>
      <c r="C23" s="1511" t="s">
        <v>167</v>
      </c>
      <c r="D23" s="1511" t="s">
        <v>145</v>
      </c>
      <c r="E23" s="1512"/>
      <c r="F23" s="1513">
        <v>22.680000000000003</v>
      </c>
      <c r="G23" s="1514"/>
      <c r="H23" s="1515"/>
      <c r="I23" s="1513"/>
      <c r="J23" s="1514"/>
      <c r="K23" s="1515"/>
      <c r="L23" s="1516"/>
      <c r="M23" s="1517" t="s">
        <v>1397</v>
      </c>
      <c r="N23" s="1518"/>
      <c r="O23" s="1645"/>
      <c r="P23" s="245" t="b">
        <f t="shared" si="3"/>
        <v>0</v>
      </c>
      <c r="R23" s="245" t="b">
        <f t="shared" si="1"/>
        <v>0</v>
      </c>
      <c r="AO23" s="238" t="str">
        <f t="shared" si="2"/>
        <v>SJ38</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151</v>
      </c>
      <c r="C24" s="1511" t="s">
        <v>165</v>
      </c>
      <c r="D24" s="1511" t="s">
        <v>145</v>
      </c>
      <c r="E24" s="1512"/>
      <c r="F24" s="1513">
        <v>24</v>
      </c>
      <c r="G24" s="1514"/>
      <c r="H24" s="1515"/>
      <c r="I24" s="1513"/>
      <c r="J24" s="1514"/>
      <c r="K24" s="1515"/>
      <c r="L24" s="1516" t="s">
        <v>116</v>
      </c>
      <c r="M24" s="1517" t="s">
        <v>1397</v>
      </c>
      <c r="N24" s="1518"/>
      <c r="O24" s="1645"/>
      <c r="P24" s="245" t="b">
        <f t="shared" si="3"/>
        <v>0</v>
      </c>
      <c r="R24" s="245" t="b">
        <f t="shared" si="1"/>
        <v>0</v>
      </c>
      <c r="AO24" s="238" t="str">
        <f t="shared" si="2"/>
        <v>SJ38</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146</v>
      </c>
      <c r="C25" s="1511" t="s">
        <v>165</v>
      </c>
      <c r="D25" s="1511" t="s">
        <v>145</v>
      </c>
      <c r="E25" s="1512"/>
      <c r="F25" s="1513">
        <v>150</v>
      </c>
      <c r="G25" s="1514">
        <v>18</v>
      </c>
      <c r="H25" s="1515">
        <v>0</v>
      </c>
      <c r="I25" s="1513"/>
      <c r="J25" s="1514"/>
      <c r="K25" s="1515"/>
      <c r="L25" s="1516" t="s">
        <v>700</v>
      </c>
      <c r="M25" s="1517" t="s">
        <v>1397</v>
      </c>
      <c r="N25" s="1518"/>
      <c r="O25" s="1645"/>
      <c r="P25" s="245" t="b">
        <f t="shared" si="3"/>
        <v>0</v>
      </c>
      <c r="R25" s="245" t="b">
        <f t="shared" si="1"/>
        <v>0</v>
      </c>
      <c r="AO25" s="238" t="str">
        <f t="shared" si="2"/>
        <v>SJ38</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t="s">
        <v>1813</v>
      </c>
      <c r="B26" s="1511" t="s">
        <v>151</v>
      </c>
      <c r="C26" s="1511" t="s">
        <v>165</v>
      </c>
      <c r="D26" s="1511" t="s">
        <v>145</v>
      </c>
      <c r="E26" s="1512"/>
      <c r="F26" s="1513">
        <v>125</v>
      </c>
      <c r="G26" s="1514"/>
      <c r="H26" s="1515"/>
      <c r="I26" s="1513"/>
      <c r="J26" s="1514"/>
      <c r="K26" s="1515"/>
      <c r="L26" s="1516"/>
      <c r="M26" s="1517" t="s">
        <v>1397</v>
      </c>
      <c r="N26" s="1518"/>
      <c r="O26" s="1645"/>
      <c r="P26" s="245" t="b">
        <f t="shared" si="3"/>
        <v>0</v>
      </c>
      <c r="R26" s="245" t="b">
        <f t="shared" si="1"/>
        <v>0</v>
      </c>
      <c r="AO26" s="238" t="str">
        <f t="shared" si="2"/>
        <v>SJ39</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151</v>
      </c>
      <c r="C27" s="1511" t="s">
        <v>167</v>
      </c>
      <c r="D27" s="1511" t="s">
        <v>145</v>
      </c>
      <c r="E27" s="1512"/>
      <c r="F27" s="1513">
        <v>22.680000000000003</v>
      </c>
      <c r="G27" s="1514"/>
      <c r="H27" s="1515"/>
      <c r="I27" s="1513"/>
      <c r="J27" s="1514"/>
      <c r="K27" s="1515"/>
      <c r="L27" s="1516"/>
      <c r="M27" s="1517" t="s">
        <v>1397</v>
      </c>
      <c r="N27" s="1518"/>
      <c r="O27" s="1645"/>
      <c r="P27" s="245" t="b">
        <f t="shared" si="3"/>
        <v>0</v>
      </c>
      <c r="R27" s="245" t="b">
        <f t="shared" si="1"/>
        <v>0</v>
      </c>
      <c r="AO27" s="238" t="str">
        <f t="shared" si="2"/>
        <v>SJ39</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151</v>
      </c>
      <c r="C28" s="1511" t="s">
        <v>163</v>
      </c>
      <c r="D28" s="1511" t="s">
        <v>145</v>
      </c>
      <c r="E28" s="1512"/>
      <c r="F28" s="1513">
        <v>154</v>
      </c>
      <c r="G28" s="1514"/>
      <c r="H28" s="1515"/>
      <c r="I28" s="1513"/>
      <c r="J28" s="1514"/>
      <c r="K28" s="1515"/>
      <c r="L28" s="1516" t="s">
        <v>116</v>
      </c>
      <c r="M28" s="1517" t="s">
        <v>1397</v>
      </c>
      <c r="N28" s="1689"/>
      <c r="O28" s="1644"/>
      <c r="P28" s="245" t="b">
        <f t="shared" si="3"/>
        <v>0</v>
      </c>
      <c r="R28" s="245" t="b">
        <f t="shared" si="1"/>
        <v>0</v>
      </c>
      <c r="AO28" s="238" t="str">
        <f t="shared" si="2"/>
        <v>SJ39</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151</v>
      </c>
      <c r="C29" s="1511" t="s">
        <v>165</v>
      </c>
      <c r="D29" s="1511" t="s">
        <v>145</v>
      </c>
      <c r="E29" s="1512"/>
      <c r="F29" s="1513">
        <v>24</v>
      </c>
      <c r="G29" s="1514"/>
      <c r="H29" s="1515"/>
      <c r="I29" s="1513"/>
      <c r="J29" s="1514"/>
      <c r="K29" s="1515"/>
      <c r="L29" s="1516" t="s">
        <v>116</v>
      </c>
      <c r="M29" s="1517" t="s">
        <v>1397</v>
      </c>
      <c r="N29" s="1689"/>
      <c r="O29" s="1644"/>
      <c r="P29" s="245" t="b">
        <f t="shared" si="3"/>
        <v>0</v>
      </c>
      <c r="R29" s="245" t="b">
        <f t="shared" si="1"/>
        <v>0</v>
      </c>
      <c r="AO29" s="238" t="str">
        <f t="shared" si="2"/>
        <v>SJ39</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t="s">
        <v>1814</v>
      </c>
      <c r="B30" s="1511" t="s">
        <v>151</v>
      </c>
      <c r="C30" s="1511" t="s">
        <v>165</v>
      </c>
      <c r="D30" s="1511" t="s">
        <v>145</v>
      </c>
      <c r="E30" s="1512"/>
      <c r="F30" s="1513">
        <v>125</v>
      </c>
      <c r="G30" s="1514"/>
      <c r="H30" s="1515"/>
      <c r="I30" s="1513"/>
      <c r="J30" s="1514"/>
      <c r="K30" s="1515"/>
      <c r="L30" s="1516"/>
      <c r="M30" s="1517" t="s">
        <v>1397</v>
      </c>
      <c r="N30" s="1689" t="s">
        <v>116</v>
      </c>
      <c r="O30" s="1644"/>
      <c r="P30" s="245" t="b">
        <f t="shared" si="3"/>
        <v>0</v>
      </c>
      <c r="R30" s="245" t="b">
        <f t="shared" si="1"/>
        <v>0</v>
      </c>
      <c r="AO30" s="238" t="str">
        <f t="shared" si="2"/>
        <v>SJ40</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151</v>
      </c>
      <c r="C31" s="1511" t="s">
        <v>167</v>
      </c>
      <c r="D31" s="1511" t="s">
        <v>145</v>
      </c>
      <c r="E31" s="1512"/>
      <c r="F31" s="1513">
        <v>22.680000000000003</v>
      </c>
      <c r="G31" s="1514"/>
      <c r="H31" s="1515"/>
      <c r="I31" s="1513"/>
      <c r="J31" s="1514"/>
      <c r="K31" s="1515"/>
      <c r="L31" s="1516"/>
      <c r="M31" s="1516" t="s">
        <v>1397</v>
      </c>
      <c r="N31" s="1689" t="s">
        <v>116</v>
      </c>
      <c r="O31" s="1644"/>
      <c r="P31" s="245" t="b">
        <f t="shared" si="3"/>
        <v>0</v>
      </c>
      <c r="R31" s="245" t="b">
        <f t="shared" si="1"/>
        <v>0</v>
      </c>
      <c r="AO31" s="238" t="str">
        <f t="shared" si="2"/>
        <v>SJ40</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151</v>
      </c>
      <c r="C32" s="1511" t="s">
        <v>163</v>
      </c>
      <c r="D32" s="1511" t="s">
        <v>145</v>
      </c>
      <c r="E32" s="1512"/>
      <c r="F32" s="1513">
        <v>60</v>
      </c>
      <c r="G32" s="1514"/>
      <c r="H32" s="1515"/>
      <c r="I32" s="1513"/>
      <c r="J32" s="1514"/>
      <c r="K32" s="1515"/>
      <c r="L32" s="1516" t="s">
        <v>116</v>
      </c>
      <c r="M32" s="1516" t="s">
        <v>1397</v>
      </c>
      <c r="N32" s="1689" t="s">
        <v>116</v>
      </c>
      <c r="O32" s="1644"/>
      <c r="P32" s="245" t="b">
        <f t="shared" si="3"/>
        <v>0</v>
      </c>
      <c r="R32" s="245" t="b">
        <f t="shared" si="1"/>
        <v>0</v>
      </c>
      <c r="AO32" s="238" t="str">
        <f t="shared" si="2"/>
        <v>SJ40</v>
      </c>
      <c r="AP32" s="945" t="b">
        <v>0</v>
      </c>
      <c r="AQ32" s="1322"/>
      <c r="AR32" s="1323"/>
      <c r="AS32" s="1323"/>
      <c r="AT32" s="1323"/>
      <c r="AU32" s="1323"/>
      <c r="AV32" s="1323"/>
      <c r="AW32" s="1323"/>
      <c r="AX32" s="1323"/>
      <c r="AY32" s="1323"/>
      <c r="AZ32" s="1323"/>
      <c r="BA32" s="1532"/>
      <c r="BB32" s="1532"/>
      <c r="BC32" s="1533"/>
    </row>
    <row r="33" spans="1:55" ht="14.1" customHeight="1" x14ac:dyDescent="0.2">
      <c r="A33" s="1510" t="s">
        <v>1815</v>
      </c>
      <c r="B33" s="1511" t="s">
        <v>151</v>
      </c>
      <c r="C33" s="1511" t="s">
        <v>165</v>
      </c>
      <c r="D33" s="1511" t="s">
        <v>145</v>
      </c>
      <c r="E33" s="1512"/>
      <c r="F33" s="1513">
        <v>125</v>
      </c>
      <c r="G33" s="1514"/>
      <c r="H33" s="1515"/>
      <c r="I33" s="1513"/>
      <c r="J33" s="1514"/>
      <c r="K33" s="1515"/>
      <c r="L33" s="1516"/>
      <c r="M33" s="1516" t="s">
        <v>1397</v>
      </c>
      <c r="N33" s="1689" t="s">
        <v>116</v>
      </c>
      <c r="O33" s="1644"/>
      <c r="P33" s="245" t="b">
        <f t="shared" si="3"/>
        <v>0</v>
      </c>
      <c r="R33" s="245" t="b">
        <f t="shared" si="1"/>
        <v>0</v>
      </c>
      <c r="AO33" s="238" t="str">
        <f t="shared" si="2"/>
        <v>SJ41</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151</v>
      </c>
      <c r="C34" s="1511" t="s">
        <v>167</v>
      </c>
      <c r="D34" s="1511" t="s">
        <v>145</v>
      </c>
      <c r="E34" s="1512"/>
      <c r="F34" s="1513">
        <v>22.680000000000003</v>
      </c>
      <c r="G34" s="1514"/>
      <c r="H34" s="1515"/>
      <c r="I34" s="1513"/>
      <c r="J34" s="1514"/>
      <c r="K34" s="1515"/>
      <c r="L34" s="1516"/>
      <c r="M34" s="1516" t="s">
        <v>1397</v>
      </c>
      <c r="N34" s="1689" t="s">
        <v>116</v>
      </c>
      <c r="O34" s="1644"/>
      <c r="P34" s="245" t="b">
        <f t="shared" si="3"/>
        <v>0</v>
      </c>
      <c r="R34" s="245" t="b">
        <f t="shared" si="1"/>
        <v>0</v>
      </c>
      <c r="AO34" s="238" t="str">
        <f t="shared" si="2"/>
        <v>SJ41</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151</v>
      </c>
      <c r="C35" s="1511" t="s">
        <v>163</v>
      </c>
      <c r="D35" s="1511" t="s">
        <v>145</v>
      </c>
      <c r="E35" s="1512"/>
      <c r="F35" s="1513">
        <v>4</v>
      </c>
      <c r="G35" s="1514"/>
      <c r="H35" s="1515"/>
      <c r="I35" s="1513"/>
      <c r="J35" s="1514"/>
      <c r="K35" s="1515"/>
      <c r="L35" s="1516" t="s">
        <v>116</v>
      </c>
      <c r="M35" s="1516" t="s">
        <v>1397</v>
      </c>
      <c r="N35" s="1689" t="s">
        <v>116</v>
      </c>
      <c r="O35" s="1644"/>
      <c r="P35" s="245" t="b">
        <f t="shared" si="3"/>
        <v>0</v>
      </c>
      <c r="R35" s="245" t="b">
        <f t="shared" si="1"/>
        <v>0</v>
      </c>
      <c r="AO35" s="238" t="str">
        <f t="shared" si="2"/>
        <v>SJ41</v>
      </c>
      <c r="AP35" s="945" t="b">
        <v>0</v>
      </c>
      <c r="AQ35" s="1322"/>
      <c r="AR35" s="1323"/>
      <c r="AS35" s="1323"/>
      <c r="AT35" s="1323"/>
      <c r="AU35" s="1323"/>
      <c r="AV35" s="1323"/>
      <c r="AW35" s="1323"/>
      <c r="AX35" s="1323"/>
      <c r="AY35" s="1323"/>
      <c r="AZ35" s="1323"/>
      <c r="BA35" s="1532"/>
      <c r="BB35" s="1532"/>
      <c r="BC35" s="1533"/>
    </row>
    <row r="36" spans="1:55" ht="14.1" customHeight="1" x14ac:dyDescent="0.2">
      <c r="A36" s="1510" t="s">
        <v>1816</v>
      </c>
      <c r="B36" s="1511" t="s">
        <v>151</v>
      </c>
      <c r="C36" s="1511" t="s">
        <v>165</v>
      </c>
      <c r="D36" s="1511" t="s">
        <v>145</v>
      </c>
      <c r="E36" s="1512"/>
      <c r="F36" s="1513">
        <v>125</v>
      </c>
      <c r="G36" s="1514"/>
      <c r="H36" s="1515"/>
      <c r="I36" s="1513"/>
      <c r="J36" s="1514"/>
      <c r="K36" s="1515"/>
      <c r="L36" s="1516"/>
      <c r="M36" s="1516" t="s">
        <v>1397</v>
      </c>
      <c r="N36" s="1689" t="s">
        <v>116</v>
      </c>
      <c r="O36" s="1644"/>
      <c r="P36" s="245" t="b">
        <f t="shared" si="3"/>
        <v>0</v>
      </c>
      <c r="R36" s="245" t="b">
        <f t="shared" si="1"/>
        <v>0</v>
      </c>
      <c r="AO36" s="238" t="str">
        <f t="shared" si="2"/>
        <v>SJ42</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151</v>
      </c>
      <c r="C37" s="1511" t="s">
        <v>167</v>
      </c>
      <c r="D37" s="1511" t="s">
        <v>145</v>
      </c>
      <c r="E37" s="1512"/>
      <c r="F37" s="1513">
        <v>22.680000000000003</v>
      </c>
      <c r="G37" s="1514"/>
      <c r="H37" s="1515"/>
      <c r="I37" s="1513"/>
      <c r="J37" s="1514"/>
      <c r="K37" s="1515"/>
      <c r="L37" s="1516"/>
      <c r="M37" s="1516" t="s">
        <v>1397</v>
      </c>
      <c r="N37" s="1689" t="s">
        <v>116</v>
      </c>
      <c r="O37" s="1644"/>
      <c r="P37" s="245" t="b">
        <f t="shared" si="3"/>
        <v>0</v>
      </c>
      <c r="R37" s="245" t="b">
        <f t="shared" si="1"/>
        <v>0</v>
      </c>
      <c r="AO37" s="238" t="str">
        <f t="shared" si="2"/>
        <v>SJ42</v>
      </c>
      <c r="AP37" s="945" t="b">
        <v>0</v>
      </c>
      <c r="AQ37" s="1322"/>
      <c r="AR37" s="1323"/>
      <c r="AS37" s="1323"/>
      <c r="AT37" s="1323"/>
      <c r="AU37" s="1323"/>
      <c r="AV37" s="1323"/>
      <c r="AW37" s="1323"/>
      <c r="AX37" s="1323"/>
      <c r="AY37" s="1323"/>
      <c r="AZ37" s="1323"/>
      <c r="BA37" s="1532"/>
      <c r="BB37" s="1532"/>
      <c r="BC37" s="1533"/>
    </row>
    <row r="38" spans="1:55" ht="14.1" customHeight="1" x14ac:dyDescent="0.2">
      <c r="A38" s="1510" t="s">
        <v>1817</v>
      </c>
      <c r="B38" s="1511" t="s">
        <v>151</v>
      </c>
      <c r="C38" s="1511" t="s">
        <v>165</v>
      </c>
      <c r="D38" s="1511" t="s">
        <v>145</v>
      </c>
      <c r="E38" s="1512"/>
      <c r="F38" s="1513">
        <v>125</v>
      </c>
      <c r="G38" s="1514"/>
      <c r="H38" s="1515"/>
      <c r="I38" s="1513"/>
      <c r="J38" s="1514"/>
      <c r="K38" s="1515"/>
      <c r="L38" s="1516"/>
      <c r="M38" s="1516" t="s">
        <v>1397</v>
      </c>
      <c r="N38" s="1689" t="s">
        <v>116</v>
      </c>
      <c r="O38" s="1644"/>
      <c r="P38" s="245" t="b">
        <f t="shared" si="3"/>
        <v>0</v>
      </c>
      <c r="R38" s="245" t="b">
        <f t="shared" si="1"/>
        <v>0</v>
      </c>
      <c r="AO38" s="238" t="str">
        <f t="shared" si="2"/>
        <v>SJ43</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151</v>
      </c>
      <c r="C39" s="1511" t="s">
        <v>167</v>
      </c>
      <c r="D39" s="1511" t="s">
        <v>145</v>
      </c>
      <c r="E39" s="1512"/>
      <c r="F39" s="1513">
        <v>22.680000000000003</v>
      </c>
      <c r="G39" s="1514"/>
      <c r="H39" s="1515"/>
      <c r="I39" s="1513"/>
      <c r="J39" s="1514"/>
      <c r="K39" s="1515"/>
      <c r="L39" s="1516"/>
      <c r="M39" s="1516" t="s">
        <v>1397</v>
      </c>
      <c r="N39" s="1689" t="s">
        <v>116</v>
      </c>
      <c r="O39" s="1644"/>
      <c r="P39" s="245" t="b">
        <f t="shared" si="3"/>
        <v>0</v>
      </c>
      <c r="R39" s="245" t="b">
        <f t="shared" si="1"/>
        <v>0</v>
      </c>
      <c r="AO39" s="238" t="str">
        <f t="shared" si="2"/>
        <v>SJ43</v>
      </c>
      <c r="AP39" s="945" t="b">
        <v>0</v>
      </c>
      <c r="AQ39" s="1322"/>
      <c r="AR39" s="1323"/>
      <c r="AS39" s="1323"/>
      <c r="AT39" s="1323"/>
      <c r="AU39" s="1323"/>
      <c r="AV39" s="1323"/>
      <c r="AW39" s="1323"/>
      <c r="AX39" s="1323"/>
      <c r="AY39" s="1323"/>
      <c r="AZ39" s="1323"/>
      <c r="BA39" s="1532"/>
      <c r="BB39" s="1532"/>
      <c r="BC39" s="1533"/>
    </row>
    <row r="40" spans="1:55" ht="14.1" customHeight="1" x14ac:dyDescent="0.2">
      <c r="A40" s="1510" t="s">
        <v>1818</v>
      </c>
      <c r="B40" s="1511" t="s">
        <v>151</v>
      </c>
      <c r="C40" s="1511" t="s">
        <v>165</v>
      </c>
      <c r="D40" s="1511" t="s">
        <v>145</v>
      </c>
      <c r="E40" s="1512"/>
      <c r="F40" s="1513">
        <v>125</v>
      </c>
      <c r="G40" s="1514"/>
      <c r="H40" s="1515"/>
      <c r="I40" s="1513"/>
      <c r="J40" s="1514"/>
      <c r="K40" s="1515"/>
      <c r="L40" s="1516"/>
      <c r="M40" s="1516" t="s">
        <v>1397</v>
      </c>
      <c r="N40" s="1689" t="s">
        <v>116</v>
      </c>
      <c r="O40" s="1644"/>
      <c r="P40" s="245" t="b">
        <f t="shared" si="3"/>
        <v>0</v>
      </c>
      <c r="R40" s="245" t="b">
        <f t="shared" si="1"/>
        <v>0</v>
      </c>
      <c r="AO40" s="238" t="str">
        <f t="shared" si="2"/>
        <v>STJ44</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151</v>
      </c>
      <c r="C41" s="1511" t="s">
        <v>167</v>
      </c>
      <c r="D41" s="1511" t="s">
        <v>145</v>
      </c>
      <c r="E41" s="1512"/>
      <c r="F41" s="1513">
        <v>22.680000000000003</v>
      </c>
      <c r="G41" s="1514"/>
      <c r="H41" s="1515"/>
      <c r="I41" s="1513"/>
      <c r="J41" s="1514"/>
      <c r="K41" s="1515"/>
      <c r="L41" s="1516"/>
      <c r="M41" s="1516" t="s">
        <v>1397</v>
      </c>
      <c r="N41" s="1689" t="s">
        <v>116</v>
      </c>
      <c r="O41" s="1644"/>
      <c r="P41" s="245" t="b">
        <f t="shared" si="3"/>
        <v>0</v>
      </c>
      <c r="R41" s="245" t="b">
        <f t="shared" si="1"/>
        <v>0</v>
      </c>
      <c r="AO41" s="238" t="str">
        <f t="shared" si="2"/>
        <v>STJ44</v>
      </c>
      <c r="AP41" s="945" t="b">
        <v>0</v>
      </c>
      <c r="AQ41" s="1322"/>
      <c r="AR41" s="1323"/>
      <c r="AS41" s="1323"/>
      <c r="AT41" s="1323"/>
      <c r="AU41" s="1323"/>
      <c r="AV41" s="1323"/>
      <c r="AW41" s="1323"/>
      <c r="AX41" s="1323"/>
      <c r="AY41" s="1323"/>
      <c r="AZ41" s="1323"/>
      <c r="BA41" s="1532"/>
      <c r="BB41" s="1532"/>
      <c r="BC41" s="1533"/>
    </row>
    <row r="42" spans="1:55" ht="14.1" customHeight="1" x14ac:dyDescent="0.2">
      <c r="A42" s="1510" t="s">
        <v>1819</v>
      </c>
      <c r="B42" s="1511" t="s">
        <v>151</v>
      </c>
      <c r="C42" s="1511" t="s">
        <v>165</v>
      </c>
      <c r="D42" s="1511" t="s">
        <v>145</v>
      </c>
      <c r="E42" s="1512"/>
      <c r="F42" s="1513">
        <v>125</v>
      </c>
      <c r="G42" s="1514"/>
      <c r="H42" s="1515"/>
      <c r="I42" s="1513"/>
      <c r="J42" s="1514"/>
      <c r="K42" s="1515"/>
      <c r="L42" s="1516"/>
      <c r="M42" s="1516" t="s">
        <v>1397</v>
      </c>
      <c r="N42" s="1689" t="s">
        <v>116</v>
      </c>
      <c r="O42" s="1644"/>
      <c r="P42" s="245" t="b">
        <f t="shared" si="3"/>
        <v>0</v>
      </c>
      <c r="R42" s="245" t="b">
        <f t="shared" si="1"/>
        <v>0</v>
      </c>
      <c r="AO42" s="238" t="str">
        <f t="shared" si="2"/>
        <v>SJ45</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151</v>
      </c>
      <c r="C43" s="1511" t="s">
        <v>167</v>
      </c>
      <c r="D43" s="1511" t="s">
        <v>145</v>
      </c>
      <c r="E43" s="1512"/>
      <c r="F43" s="1513">
        <v>22.680000000000003</v>
      </c>
      <c r="G43" s="1514"/>
      <c r="H43" s="1515"/>
      <c r="I43" s="1513"/>
      <c r="J43" s="1514"/>
      <c r="K43" s="1515"/>
      <c r="L43" s="1516"/>
      <c r="M43" s="1516" t="s">
        <v>1397</v>
      </c>
      <c r="N43" s="1689" t="s">
        <v>116</v>
      </c>
      <c r="O43" s="1644"/>
      <c r="P43" s="245" t="b">
        <f t="shared" si="3"/>
        <v>0</v>
      </c>
      <c r="R43" s="245" t="b">
        <f t="shared" si="1"/>
        <v>0</v>
      </c>
      <c r="AO43" s="238" t="str">
        <f t="shared" si="2"/>
        <v>SJ45</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151</v>
      </c>
      <c r="C44" s="1511" t="s">
        <v>165</v>
      </c>
      <c r="D44" s="1511" t="s">
        <v>145</v>
      </c>
      <c r="E44" s="1512"/>
      <c r="F44" s="1513">
        <v>24</v>
      </c>
      <c r="G44" s="1514"/>
      <c r="H44" s="1515"/>
      <c r="I44" s="1513"/>
      <c r="J44" s="1514"/>
      <c r="K44" s="1515"/>
      <c r="L44" s="1516" t="s">
        <v>116</v>
      </c>
      <c r="M44" s="1516" t="s">
        <v>1397</v>
      </c>
      <c r="N44" s="1689" t="s">
        <v>116</v>
      </c>
      <c r="O44" s="1644"/>
      <c r="P44" s="245" t="b">
        <f t="shared" si="3"/>
        <v>0</v>
      </c>
      <c r="R44" s="245" t="b">
        <f t="shared" si="1"/>
        <v>0</v>
      </c>
      <c r="AO44" s="238" t="str">
        <f t="shared" si="2"/>
        <v>SJ45</v>
      </c>
      <c r="AP44" s="945" t="b">
        <v>0</v>
      </c>
      <c r="AQ44" s="1322"/>
      <c r="AR44" s="1323"/>
      <c r="AS44" s="1323"/>
      <c r="AT44" s="1323"/>
      <c r="AU44" s="1323"/>
      <c r="AV44" s="1323"/>
      <c r="AW44" s="1323"/>
      <c r="AX44" s="1323"/>
      <c r="AY44" s="1323"/>
      <c r="AZ44" s="1323"/>
      <c r="BA44" s="1532"/>
      <c r="BB44" s="1532"/>
      <c r="BC44" s="1533"/>
    </row>
    <row r="45" spans="1:55" ht="14.1" customHeight="1" x14ac:dyDescent="0.2">
      <c r="A45" s="1510" t="s">
        <v>1820</v>
      </c>
      <c r="B45" s="1511" t="s">
        <v>151</v>
      </c>
      <c r="C45" s="1511" t="s">
        <v>165</v>
      </c>
      <c r="D45" s="1511" t="s">
        <v>145</v>
      </c>
      <c r="E45" s="1512"/>
      <c r="F45" s="1513">
        <v>125</v>
      </c>
      <c r="G45" s="1514"/>
      <c r="H45" s="1515"/>
      <c r="I45" s="1513"/>
      <c r="J45" s="1514"/>
      <c r="K45" s="1515"/>
      <c r="L45" s="1516"/>
      <c r="M45" s="1516" t="s">
        <v>1397</v>
      </c>
      <c r="N45" s="1689" t="s">
        <v>116</v>
      </c>
      <c r="O45" s="1644"/>
      <c r="P45" s="245" t="b">
        <f t="shared" si="3"/>
        <v>0</v>
      </c>
      <c r="R45" s="245" t="b">
        <f t="shared" si="1"/>
        <v>0</v>
      </c>
      <c r="AO45" s="238" t="str">
        <f t="shared" si="2"/>
        <v>SJ46</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151</v>
      </c>
      <c r="C46" s="1511" t="s">
        <v>167</v>
      </c>
      <c r="D46" s="1511" t="s">
        <v>145</v>
      </c>
      <c r="E46" s="1512"/>
      <c r="F46" s="1513">
        <v>22.680000000000003</v>
      </c>
      <c r="G46" s="1514"/>
      <c r="H46" s="1515"/>
      <c r="I46" s="1513"/>
      <c r="J46" s="1514"/>
      <c r="K46" s="1515"/>
      <c r="L46" s="1516"/>
      <c r="M46" s="1516" t="s">
        <v>1397</v>
      </c>
      <c r="N46" s="1689" t="s">
        <v>116</v>
      </c>
      <c r="O46" s="1644"/>
      <c r="P46" s="245" t="b">
        <f t="shared" si="3"/>
        <v>0</v>
      </c>
      <c r="R46" s="245" t="b">
        <f t="shared" si="1"/>
        <v>0</v>
      </c>
      <c r="AO46" s="238" t="str">
        <f t="shared" si="2"/>
        <v>SJ46</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151</v>
      </c>
      <c r="C47" s="1511" t="s">
        <v>165</v>
      </c>
      <c r="D47" s="1511" t="s">
        <v>145</v>
      </c>
      <c r="E47" s="1512"/>
      <c r="F47" s="1513">
        <v>24</v>
      </c>
      <c r="G47" s="1514"/>
      <c r="H47" s="1515"/>
      <c r="I47" s="1513"/>
      <c r="J47" s="1514"/>
      <c r="K47" s="1515"/>
      <c r="L47" s="1516" t="s">
        <v>116</v>
      </c>
      <c r="M47" s="1516" t="s">
        <v>1397</v>
      </c>
      <c r="N47" s="1689" t="s">
        <v>116</v>
      </c>
      <c r="O47" s="1644"/>
      <c r="P47" s="245" t="b">
        <f t="shared" si="3"/>
        <v>0</v>
      </c>
      <c r="R47" s="245" t="b">
        <f t="shared" si="1"/>
        <v>0</v>
      </c>
      <c r="AO47" s="238" t="str">
        <f t="shared" si="2"/>
        <v>SJ46</v>
      </c>
      <c r="AP47" s="945" t="b">
        <v>0</v>
      </c>
      <c r="AQ47" s="1322"/>
      <c r="AR47" s="1323"/>
      <c r="AS47" s="1323"/>
      <c r="AT47" s="1323"/>
      <c r="AU47" s="1323"/>
      <c r="AV47" s="1323"/>
      <c r="AW47" s="1323"/>
      <c r="AX47" s="1323"/>
      <c r="AY47" s="1323"/>
      <c r="AZ47" s="1323"/>
      <c r="BA47" s="1532"/>
      <c r="BB47" s="1532"/>
      <c r="BC47" s="1533"/>
    </row>
    <row r="48" spans="1:55" ht="14.1" customHeight="1" x14ac:dyDescent="0.2">
      <c r="A48" s="1510" t="s">
        <v>1821</v>
      </c>
      <c r="B48" s="1511" t="s">
        <v>151</v>
      </c>
      <c r="C48" s="1511" t="s">
        <v>165</v>
      </c>
      <c r="D48" s="1511" t="s">
        <v>145</v>
      </c>
      <c r="E48" s="1512"/>
      <c r="F48" s="1513">
        <v>125</v>
      </c>
      <c r="G48" s="1514"/>
      <c r="H48" s="1515"/>
      <c r="I48" s="1513"/>
      <c r="J48" s="1514"/>
      <c r="K48" s="1515"/>
      <c r="L48" s="1516"/>
      <c r="M48" s="1516" t="s">
        <v>1397</v>
      </c>
      <c r="N48" s="1689" t="s">
        <v>116</v>
      </c>
      <c r="O48" s="1644"/>
      <c r="P48" s="245" t="b">
        <f t="shared" si="3"/>
        <v>0</v>
      </c>
      <c r="R48" s="245" t="b">
        <f t="shared" si="1"/>
        <v>0</v>
      </c>
      <c r="AO48" s="238" t="str">
        <f t="shared" si="2"/>
        <v>SJ47</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151</v>
      </c>
      <c r="C49" s="1511" t="s">
        <v>167</v>
      </c>
      <c r="D49" s="1511" t="s">
        <v>145</v>
      </c>
      <c r="E49" s="1512"/>
      <c r="F49" s="1513">
        <v>22.680000000000003</v>
      </c>
      <c r="G49" s="1514"/>
      <c r="H49" s="1515"/>
      <c r="I49" s="1513"/>
      <c r="J49" s="1514"/>
      <c r="K49" s="1515"/>
      <c r="L49" s="1516"/>
      <c r="M49" s="1516" t="s">
        <v>1397</v>
      </c>
      <c r="N49" s="1689" t="s">
        <v>116</v>
      </c>
      <c r="O49" s="1644"/>
      <c r="P49" s="245" t="b">
        <f t="shared" si="3"/>
        <v>0</v>
      </c>
      <c r="R49" s="245" t="b">
        <f t="shared" si="1"/>
        <v>0</v>
      </c>
      <c r="AO49" s="238" t="str">
        <f t="shared" si="2"/>
        <v>SJ47</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151</v>
      </c>
      <c r="C50" s="1511" t="s">
        <v>163</v>
      </c>
      <c r="D50" s="1511" t="s">
        <v>145</v>
      </c>
      <c r="E50" s="1512"/>
      <c r="F50" s="1513">
        <v>446</v>
      </c>
      <c r="G50" s="1514"/>
      <c r="H50" s="1515"/>
      <c r="I50" s="1513"/>
      <c r="J50" s="1514"/>
      <c r="K50" s="1515"/>
      <c r="L50" s="1516" t="s">
        <v>116</v>
      </c>
      <c r="M50" s="1516" t="s">
        <v>1397</v>
      </c>
      <c r="N50" s="1689" t="s">
        <v>116</v>
      </c>
      <c r="O50" s="1644"/>
      <c r="P50" s="245" t="b">
        <f t="shared" si="3"/>
        <v>0</v>
      </c>
      <c r="R50" s="245" t="b">
        <f t="shared" si="1"/>
        <v>0</v>
      </c>
      <c r="AO50" s="238" t="str">
        <f t="shared" si="2"/>
        <v>SJ47</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151</v>
      </c>
      <c r="C51" s="1511" t="s">
        <v>163</v>
      </c>
      <c r="D51" s="1511" t="s">
        <v>145</v>
      </c>
      <c r="E51" s="1512"/>
      <c r="F51" s="1513">
        <v>104</v>
      </c>
      <c r="G51" s="1514">
        <v>0</v>
      </c>
      <c r="H51" s="1515">
        <v>0</v>
      </c>
      <c r="I51" s="1513">
        <v>0</v>
      </c>
      <c r="J51" s="1514">
        <v>6</v>
      </c>
      <c r="K51" s="1515">
        <v>3.125</v>
      </c>
      <c r="L51" s="1516" t="s">
        <v>702</v>
      </c>
      <c r="M51" s="1516" t="s">
        <v>1397</v>
      </c>
      <c r="N51" s="1689" t="s">
        <v>116</v>
      </c>
      <c r="O51" s="1644"/>
      <c r="P51" s="245" t="b">
        <f t="shared" si="3"/>
        <v>0</v>
      </c>
      <c r="R51" s="245" t="b">
        <f t="shared" si="1"/>
        <v>0</v>
      </c>
      <c r="AO51" s="238" t="str">
        <f t="shared" si="2"/>
        <v>SJ47</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151</v>
      </c>
      <c r="C52" s="1511" t="s">
        <v>165</v>
      </c>
      <c r="D52" s="1511" t="s">
        <v>145</v>
      </c>
      <c r="E52" s="1512"/>
      <c r="F52" s="1513">
        <v>24</v>
      </c>
      <c r="G52" s="1514"/>
      <c r="H52" s="1515"/>
      <c r="I52" s="1513"/>
      <c r="J52" s="1514"/>
      <c r="K52" s="1515"/>
      <c r="L52" s="1516" t="s">
        <v>116</v>
      </c>
      <c r="M52" s="1516" t="s">
        <v>1397</v>
      </c>
      <c r="N52" s="1689" t="s">
        <v>116</v>
      </c>
      <c r="O52" s="1644"/>
      <c r="P52" s="245" t="b">
        <f t="shared" si="3"/>
        <v>0</v>
      </c>
      <c r="R52" s="245" t="b">
        <f t="shared" si="1"/>
        <v>0</v>
      </c>
      <c r="AO52" s="238" t="str">
        <f t="shared" si="2"/>
        <v>SJ47</v>
      </c>
      <c r="AP52" s="945" t="b">
        <v>0</v>
      </c>
      <c r="AQ52" s="1322"/>
      <c r="AR52" s="1323"/>
      <c r="AS52" s="1323"/>
      <c r="AT52" s="1323"/>
      <c r="AU52" s="1323"/>
      <c r="AV52" s="1323"/>
      <c r="AW52" s="1323"/>
      <c r="AX52" s="1323"/>
      <c r="AY52" s="1323"/>
      <c r="AZ52" s="1323"/>
      <c r="BA52" s="1532"/>
      <c r="BB52" s="1532"/>
      <c r="BC52" s="1533"/>
    </row>
    <row r="53" spans="1:55" ht="14.1" customHeight="1" x14ac:dyDescent="0.2">
      <c r="A53" s="1510" t="s">
        <v>1822</v>
      </c>
      <c r="B53" s="1511" t="s">
        <v>151</v>
      </c>
      <c r="C53" s="1511" t="s">
        <v>165</v>
      </c>
      <c r="D53" s="1511" t="s">
        <v>145</v>
      </c>
      <c r="E53" s="1512"/>
      <c r="F53" s="1513">
        <v>125</v>
      </c>
      <c r="G53" s="1514"/>
      <c r="H53" s="1515"/>
      <c r="I53" s="1513"/>
      <c r="J53" s="1514"/>
      <c r="K53" s="1515"/>
      <c r="L53" s="1516"/>
      <c r="M53" s="1516" t="s">
        <v>1397</v>
      </c>
      <c r="N53" s="1689" t="s">
        <v>116</v>
      </c>
      <c r="O53" s="1644"/>
      <c r="P53" s="245" t="b">
        <f t="shared" si="3"/>
        <v>0</v>
      </c>
      <c r="R53" s="245" t="b">
        <f t="shared" si="1"/>
        <v>0</v>
      </c>
      <c r="AO53" s="238" t="str">
        <f t="shared" si="2"/>
        <v>SJ48</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151</v>
      </c>
      <c r="C54" s="1511" t="s">
        <v>167</v>
      </c>
      <c r="D54" s="1511" t="s">
        <v>145</v>
      </c>
      <c r="E54" s="1512"/>
      <c r="F54" s="1513">
        <v>22.680000000000003</v>
      </c>
      <c r="G54" s="1514"/>
      <c r="H54" s="1515"/>
      <c r="I54" s="1513"/>
      <c r="J54" s="1514"/>
      <c r="K54" s="1515"/>
      <c r="L54" s="1516"/>
      <c r="M54" s="1516" t="s">
        <v>1397</v>
      </c>
      <c r="N54" s="1689" t="s">
        <v>116</v>
      </c>
      <c r="O54" s="1644"/>
      <c r="P54" s="245" t="b">
        <f t="shared" si="3"/>
        <v>0</v>
      </c>
      <c r="R54" s="245" t="b">
        <f t="shared" si="1"/>
        <v>0</v>
      </c>
      <c r="AO54" s="238" t="str">
        <f t="shared" si="2"/>
        <v>SJ48</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151</v>
      </c>
      <c r="C55" s="1520" t="s">
        <v>163</v>
      </c>
      <c r="D55" s="1520" t="s">
        <v>145</v>
      </c>
      <c r="E55" s="1521"/>
      <c r="F55" s="1522">
        <v>342</v>
      </c>
      <c r="G55" s="1523"/>
      <c r="H55" s="1524"/>
      <c r="I55" s="1522"/>
      <c r="J55" s="1523"/>
      <c r="K55" s="1524"/>
      <c r="L55" s="1525" t="s">
        <v>116</v>
      </c>
      <c r="M55" s="1525" t="s">
        <v>1397</v>
      </c>
      <c r="N55" s="1690"/>
      <c r="O55" s="1644"/>
      <c r="P55" s="245" t="b">
        <f t="shared" si="3"/>
        <v>0</v>
      </c>
      <c r="R55" s="245" t="b">
        <f t="shared" si="1"/>
        <v>0</v>
      </c>
      <c r="AO55" s="238" t="str">
        <f t="shared" si="2"/>
        <v>SJ48</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39" priority="4" stopIfTrue="1">
      <formula>AND($B14="NU",F14&lt;0)</formula>
    </cfRule>
  </conditionalFormatting>
  <conditionalFormatting sqref="B14:B55">
    <cfRule type="expression" dxfId="38" priority="5" stopIfTrue="1">
      <formula>OR(AND($B14="NU",F14&lt;0),AND($B14="NU",I14&lt;0))</formula>
    </cfRule>
  </conditionalFormatting>
  <conditionalFormatting sqref="G14:H55 J14:L55">
    <cfRule type="expression" dxfId="37" priority="6" stopIfTrue="1">
      <formula>$R14</formula>
    </cfRule>
  </conditionalFormatting>
  <conditionalFormatting sqref="I2:K4">
    <cfRule type="cellIs" dxfId="36" priority="7" stopIfTrue="1" operator="equal">
      <formula>""</formula>
    </cfRule>
  </conditionalFormatting>
  <conditionalFormatting sqref="I14:I55">
    <cfRule type="expression" dxfId="35" priority="8" stopIfTrue="1">
      <formula>OR($R14,$B14="CZ",AND($B14="NU",I14&lt;0))</formula>
    </cfRule>
  </conditionalFormatting>
  <conditionalFormatting sqref="A14:A55">
    <cfRule type="expression" dxfId="34" priority="3">
      <formula>NOT($P14)</formula>
    </cfRule>
  </conditionalFormatting>
  <conditionalFormatting sqref="B14:D55">
    <cfRule type="expression" dxfId="3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32" priority="9">
      <formula>AND(NOT($P14),$T$1)</formula>
    </cfRule>
    <cfRule type="expression" dxfId="31" priority="10">
      <formula>AND($AP14,$S$1="M")</formula>
    </cfRule>
  </conditionalFormatting>
  <conditionalFormatting sqref="L14:L55">
    <cfRule type="expression" dxfId="3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2DB89DB1-574F-4580-AC4D-0C25496DBD51}">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50CCDCE0-8E8B-4F9A-ABFB-B8AC4200880E}">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50FCDD51-420F-4F23-9430-B51C9D80A58C}">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D107D36A-7F75-414A-ACF7-3F459663CA41}">
      <formula1>IF($CA$14,$CA$16:$CA$21,$CB$16:$CB$19)</formula1>
    </dataValidation>
    <dataValidation type="list" allowBlank="1" showErrorMessage="1" errorTitle="Invalid Type" error="You MUST select a Type from the dropdown list provided._x000a__x000a_Also, make sure your Cap Lock is turned on." sqref="B14:B55" xr:uid="{DC5C00AF-9058-4BEA-A883-384F5BB9049D}">
      <formula1>$BF$15:$BU$15</formula1>
    </dataValidation>
    <dataValidation allowBlank="1" showInputMessage="1" errorTitle="Invalid Load Case" error="You MUST use a Load Case from the list provided." sqref="M14:M55" xr:uid="{B001B053-95C5-45B5-BB04-0C3AA57C1485}"/>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D95F6-EA86-474D-9A20-89373A520401}">
  <sheetPr codeName="Sheet40">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48" t="str">
        <f>IF(S1="","",VLOOKUP(S1,'Job Info.'!X:AA,4,FALSE))</f>
        <v>Master</v>
      </c>
      <c r="J1" s="1848"/>
      <c r="K1" s="1848"/>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53" t="str">
        <f>IF(S1="","",IF(VLOOKUP(S1,'Job Info.'!X:Z,2,FALSE),"Released for Fabrication",""))</f>
        <v/>
      </c>
      <c r="J2" s="1854"/>
      <c r="K2" s="1855"/>
      <c r="L2" s="375"/>
      <c r="M2" s="375" t="s">
        <v>96</v>
      </c>
      <c r="N2" s="463" t="str">
        <f ca="1">'Job Info.'!D13</f>
        <v>775-867-2140</v>
      </c>
      <c r="O2" s="1008"/>
      <c r="P2" s="1008"/>
      <c r="BE2" s="1040"/>
    </row>
    <row r="3" spans="1:83" ht="12.95" customHeight="1" x14ac:dyDescent="0.2">
      <c r="A3" s="374"/>
      <c r="B3" s="374"/>
      <c r="C3" s="374"/>
      <c r="D3" s="374"/>
      <c r="E3" s="374"/>
      <c r="F3" s="374"/>
      <c r="G3" s="374"/>
      <c r="H3" s="375"/>
      <c r="I3" s="1856"/>
      <c r="J3" s="1857"/>
      <c r="K3" s="1858"/>
      <c r="L3" s="375"/>
      <c r="M3" s="375" t="s">
        <v>98</v>
      </c>
      <c r="N3" s="463" t="str">
        <f ca="1">'Job Info.'!D14</f>
        <v>775-867-2169</v>
      </c>
      <c r="O3" s="1008"/>
      <c r="P3" s="1008"/>
    </row>
    <row r="4" spans="1:83" ht="12.95" customHeight="1" thickBot="1" x14ac:dyDescent="0.25">
      <c r="A4" s="374"/>
      <c r="B4" s="374"/>
      <c r="C4" s="374"/>
      <c r="D4" s="374"/>
      <c r="E4" s="374"/>
      <c r="F4" s="374"/>
      <c r="G4" s="374"/>
      <c r="H4" s="374"/>
      <c r="I4" s="1859" t="str">
        <f>IF(S1="","",IF(VLOOKUP(S1,'Job Info.'!X:Z,2,FALSE),VLOOKUP(S1,'Job Info.'!X:Z,3,FALSE),""))</f>
        <v/>
      </c>
      <c r="J4" s="1860"/>
      <c r="K4" s="1861"/>
      <c r="L4" s="375"/>
      <c r="M4" s="375" t="s">
        <v>97</v>
      </c>
      <c r="N4" s="463" t="str">
        <f ca="1">'Job Info.'!D15</f>
        <v>775-867-2060</v>
      </c>
      <c r="O4" s="1008"/>
      <c r="P4" s="1008"/>
    </row>
    <row r="5" spans="1:83" ht="12.95" customHeight="1" thickTop="1" x14ac:dyDescent="0.2">
      <c r="A5" s="1862" t="str">
        <f ca="1">'Job Info.'!D11</f>
        <v>8200 Woolery Way | Fallon, NV 89406 | www.newmill.com</v>
      </c>
      <c r="B5" s="1872"/>
      <c r="C5" s="1872"/>
      <c r="D5" s="1872"/>
      <c r="E5" s="1872"/>
      <c r="F5" s="1872"/>
      <c r="G5" s="1872"/>
      <c r="H5" s="1872"/>
      <c r="I5" s="1872"/>
      <c r="J5" s="1872"/>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24" t="str">
        <f>IF(ISBLANK('Job Info.'!D3),"",'Job Info.'!D3)</f>
        <v>MINDEN UPS BLDG 1</v>
      </c>
      <c r="C9" s="1824"/>
      <c r="D9" s="1824"/>
      <c r="E9" s="1824"/>
      <c r="F9" s="1824"/>
      <c r="G9" s="1824"/>
      <c r="H9" s="1825"/>
      <c r="I9" s="469"/>
      <c r="J9" s="458" t="s">
        <v>2</v>
      </c>
      <c r="K9" s="1824" t="str">
        <f>IF(ISBLANK('Job Info.'!D5),"",'Job Info.'!D5)</f>
        <v>NN22-0071</v>
      </c>
      <c r="L9" s="1874"/>
      <c r="M9" s="1874"/>
      <c r="N9" s="1875"/>
      <c r="O9" s="1056"/>
      <c r="P9" s="1056"/>
      <c r="V9" s="631"/>
    </row>
    <row r="10" spans="1:83" ht="12.6" customHeight="1" x14ac:dyDescent="0.2">
      <c r="A10" s="471" t="s">
        <v>3</v>
      </c>
      <c r="B10" s="1824" t="str">
        <f>IF(ISBLANK('Job Info.'!D4),"",'Job Info.'!D4)</f>
        <v>MINDEN, NV</v>
      </c>
      <c r="C10" s="1824"/>
      <c r="D10" s="1824"/>
      <c r="E10" s="1824"/>
      <c r="F10" s="1824"/>
      <c r="G10" s="1824"/>
      <c r="H10" s="1825"/>
      <c r="I10" s="1873" t="s">
        <v>22</v>
      </c>
      <c r="J10" s="1873"/>
      <c r="K10" s="1824" t="str">
        <f>IF(ISBLANK('Job Info.'!D6),"",'Job Info.'!D6)</f>
        <v>JMM</v>
      </c>
      <c r="L10" s="1825"/>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64" t="s">
        <v>77</v>
      </c>
      <c r="B12" s="1865"/>
      <c r="C12" s="1865"/>
      <c r="D12" s="1865"/>
      <c r="E12" s="1866"/>
      <c r="F12" s="1864" t="s">
        <v>49</v>
      </c>
      <c r="G12" s="1865"/>
      <c r="H12" s="1871"/>
      <c r="I12" s="1864" t="s">
        <v>50</v>
      </c>
      <c r="J12" s="1865"/>
      <c r="K12" s="1871"/>
      <c r="L12" s="1867" t="s">
        <v>51</v>
      </c>
      <c r="M12" s="1880" t="s">
        <v>741</v>
      </c>
      <c r="N12" s="1867" t="s">
        <v>52</v>
      </c>
      <c r="O12" s="1085"/>
      <c r="P12" s="1085"/>
      <c r="AO12" s="548" t="s">
        <v>973</v>
      </c>
      <c r="AP12" s="944" t="s">
        <v>170</v>
      </c>
      <c r="AQ12" s="1876" t="s">
        <v>1208</v>
      </c>
      <c r="AR12" s="1877"/>
      <c r="AS12" s="1877"/>
      <c r="AT12" s="1877"/>
      <c r="AU12" s="1877"/>
      <c r="AV12" s="1877"/>
      <c r="AW12" s="1877"/>
      <c r="AX12" s="1877"/>
      <c r="AY12" s="1877"/>
      <c r="AZ12" s="1878"/>
      <c r="BA12" s="1878"/>
      <c r="BB12" s="1878"/>
      <c r="BC12" s="1879"/>
      <c r="BE12" s="1530"/>
    </row>
    <row r="13" spans="1:83" s="478" customFormat="1" ht="14.1" customHeight="1" x14ac:dyDescent="0.2">
      <c r="A13" s="1049" t="s">
        <v>46</v>
      </c>
      <c r="B13" s="1050" t="s">
        <v>17</v>
      </c>
      <c r="C13" s="1050" t="s">
        <v>45</v>
      </c>
      <c r="D13" s="1050" t="s">
        <v>78</v>
      </c>
      <c r="E13" s="1326" t="s">
        <v>44</v>
      </c>
      <c r="F13" s="1049" t="s">
        <v>47</v>
      </c>
      <c r="G13" s="1869" t="s">
        <v>48</v>
      </c>
      <c r="H13" s="1870"/>
      <c r="I13" s="1049" t="s">
        <v>47</v>
      </c>
      <c r="J13" s="1869" t="s">
        <v>48</v>
      </c>
      <c r="K13" s="1870"/>
      <c r="L13" s="1868"/>
      <c r="M13" s="1881"/>
      <c r="N13" s="1882"/>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151</v>
      </c>
      <c r="C14" s="1504" t="s">
        <v>163</v>
      </c>
      <c r="D14" s="1504" t="s">
        <v>145</v>
      </c>
      <c r="E14" s="1687"/>
      <c r="F14" s="1505">
        <v>208</v>
      </c>
      <c r="G14" s="1506">
        <v>0</v>
      </c>
      <c r="H14" s="1507">
        <v>0</v>
      </c>
      <c r="I14" s="1505">
        <v>0</v>
      </c>
      <c r="J14" s="1506">
        <v>12</v>
      </c>
      <c r="K14" s="1507">
        <v>6</v>
      </c>
      <c r="L14" s="1508" t="s">
        <v>702</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1823</v>
      </c>
      <c r="B15" s="1511" t="s">
        <v>151</v>
      </c>
      <c r="C15" s="1511" t="s">
        <v>165</v>
      </c>
      <c r="D15" s="1511" t="s">
        <v>145</v>
      </c>
      <c r="E15" s="1512"/>
      <c r="F15" s="1513">
        <v>125</v>
      </c>
      <c r="G15" s="1514"/>
      <c r="H15" s="1515"/>
      <c r="I15" s="1513"/>
      <c r="J15" s="1514"/>
      <c r="K15" s="1515"/>
      <c r="L15" s="1516"/>
      <c r="M15" s="1517" t="s">
        <v>1397</v>
      </c>
      <c r="N15" s="1689" t="s">
        <v>116</v>
      </c>
      <c r="O15" s="1644"/>
      <c r="P15" s="245" t="b">
        <f t="shared" si="0"/>
        <v>0</v>
      </c>
      <c r="R15" s="245" t="b">
        <f t="shared" ref="R15:R55" si="1">OR(B15="CP",B15="CA", B15="AX",B15="M",B15="S")</f>
        <v>0</v>
      </c>
      <c r="AO15" s="238" t="str">
        <f t="shared" ref="AO15:AO55" si="2">IF(ISBLANK(A15),AO14,SUBSTITUTE(A15,"*",""))</f>
        <v>SJ49</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151</v>
      </c>
      <c r="C16" s="1511" t="s">
        <v>167</v>
      </c>
      <c r="D16" s="1511" t="s">
        <v>145</v>
      </c>
      <c r="E16" s="1512"/>
      <c r="F16" s="1513">
        <v>22.680000000000003</v>
      </c>
      <c r="G16" s="1514"/>
      <c r="H16" s="1515"/>
      <c r="I16" s="1513"/>
      <c r="J16" s="1514"/>
      <c r="K16" s="1515"/>
      <c r="L16" s="1516"/>
      <c r="M16" s="1517" t="s">
        <v>1397</v>
      </c>
      <c r="N16" s="1689"/>
      <c r="O16" s="1644"/>
      <c r="P16" s="245" t="b">
        <f t="shared" si="0"/>
        <v>0</v>
      </c>
      <c r="R16" s="245" t="b">
        <f t="shared" si="1"/>
        <v>0</v>
      </c>
      <c r="AO16" s="238" t="str">
        <f t="shared" si="2"/>
        <v>SJ49</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151</v>
      </c>
      <c r="C17" s="1511" t="s">
        <v>163</v>
      </c>
      <c r="D17" s="1511" t="s">
        <v>145</v>
      </c>
      <c r="E17" s="1512"/>
      <c r="F17" s="1513">
        <v>238</v>
      </c>
      <c r="G17" s="1514"/>
      <c r="H17" s="1515"/>
      <c r="I17" s="1513"/>
      <c r="J17" s="1514"/>
      <c r="K17" s="1515"/>
      <c r="L17" s="1516" t="s">
        <v>116</v>
      </c>
      <c r="M17" s="1517" t="s">
        <v>1397</v>
      </c>
      <c r="N17" s="1689"/>
      <c r="O17" s="1644"/>
      <c r="P17" s="245" t="b">
        <f>IF(ISERROR(VLOOKUP(AO17,BE:BE,1,FALSE)),FALSE,IF(AO17&lt;&gt;"",VLOOKUP(AO17,BE:BE,1,FALSE)=AO17))</f>
        <v>0</v>
      </c>
      <c r="R17" s="245" t="b">
        <f t="shared" si="1"/>
        <v>0</v>
      </c>
      <c r="AO17" s="238" t="str">
        <f t="shared" si="2"/>
        <v>SJ49</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151</v>
      </c>
      <c r="C18" s="1511" t="s">
        <v>163</v>
      </c>
      <c r="D18" s="1511" t="s">
        <v>145</v>
      </c>
      <c r="E18" s="1512"/>
      <c r="F18" s="1513">
        <v>312</v>
      </c>
      <c r="G18" s="1514">
        <v>0</v>
      </c>
      <c r="H18" s="1515">
        <v>0</v>
      </c>
      <c r="I18" s="1513">
        <v>0</v>
      </c>
      <c r="J18" s="1514">
        <v>18</v>
      </c>
      <c r="K18" s="1515">
        <v>8.625</v>
      </c>
      <c r="L18" s="1516" t="s">
        <v>702</v>
      </c>
      <c r="M18" s="1517" t="s">
        <v>1397</v>
      </c>
      <c r="N18" s="1689"/>
      <c r="O18" s="1644"/>
      <c r="P18" s="245" t="b">
        <f t="shared" ref="P18:P55" si="3">IF(ISERROR(VLOOKUP(AO18,BE:BE,1,FALSE)),FALSE,IF(AO18&lt;&gt;"",VLOOKUP(AO18,BE:BE,1,FALSE)=AO18))</f>
        <v>0</v>
      </c>
      <c r="R18" s="245" t="b">
        <f t="shared" si="1"/>
        <v>0</v>
      </c>
      <c r="AO18" s="238" t="str">
        <f t="shared" si="2"/>
        <v>SJ49</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t="s">
        <v>1824</v>
      </c>
      <c r="B19" s="1511" t="s">
        <v>151</v>
      </c>
      <c r="C19" s="1511" t="s">
        <v>165</v>
      </c>
      <c r="D19" s="1511" t="s">
        <v>145</v>
      </c>
      <c r="E19" s="1512"/>
      <c r="F19" s="1513">
        <v>125</v>
      </c>
      <c r="G19" s="1514"/>
      <c r="H19" s="1515"/>
      <c r="I19" s="1513"/>
      <c r="J19" s="1514"/>
      <c r="K19" s="1515"/>
      <c r="L19" s="1516"/>
      <c r="M19" s="1517" t="s">
        <v>1397</v>
      </c>
      <c r="N19" s="1689" t="s">
        <v>116</v>
      </c>
      <c r="O19" s="1644"/>
      <c r="P19" s="245" t="b">
        <f t="shared" si="3"/>
        <v>0</v>
      </c>
      <c r="R19" s="245" t="b">
        <f t="shared" si="1"/>
        <v>0</v>
      </c>
      <c r="AO19" s="238" t="str">
        <f t="shared" si="2"/>
        <v>SJ50</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151</v>
      </c>
      <c r="C20" s="1511" t="s">
        <v>167</v>
      </c>
      <c r="D20" s="1511" t="s">
        <v>145</v>
      </c>
      <c r="E20" s="1512"/>
      <c r="F20" s="1513">
        <v>22.680000000000003</v>
      </c>
      <c r="G20" s="1514"/>
      <c r="H20" s="1515"/>
      <c r="I20" s="1513"/>
      <c r="J20" s="1514"/>
      <c r="K20" s="1515"/>
      <c r="L20" s="1516"/>
      <c r="M20" s="1517" t="s">
        <v>1397</v>
      </c>
      <c r="N20" s="1518"/>
      <c r="O20" s="1645"/>
      <c r="P20" s="245" t="b">
        <f t="shared" si="3"/>
        <v>0</v>
      </c>
      <c r="R20" s="245" t="b">
        <f t="shared" si="1"/>
        <v>0</v>
      </c>
      <c r="AO20" s="238" t="str">
        <f t="shared" si="2"/>
        <v>SJ50</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151</v>
      </c>
      <c r="C21" s="1511" t="s">
        <v>163</v>
      </c>
      <c r="D21" s="1511" t="s">
        <v>145</v>
      </c>
      <c r="E21" s="1512"/>
      <c r="F21" s="1513">
        <v>134</v>
      </c>
      <c r="G21" s="1514"/>
      <c r="H21" s="1515"/>
      <c r="I21" s="1513"/>
      <c r="J21" s="1514"/>
      <c r="K21" s="1515"/>
      <c r="L21" s="1516" t="s">
        <v>116</v>
      </c>
      <c r="M21" s="1517" t="s">
        <v>1397</v>
      </c>
      <c r="N21" s="1518"/>
      <c r="O21" s="1645"/>
      <c r="P21" s="245" t="b">
        <f t="shared" si="3"/>
        <v>0</v>
      </c>
      <c r="R21" s="245" t="b">
        <f t="shared" si="1"/>
        <v>0</v>
      </c>
      <c r="AO21" s="238" t="str">
        <f t="shared" si="2"/>
        <v>SJ50</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151</v>
      </c>
      <c r="C22" s="1511" t="s">
        <v>163</v>
      </c>
      <c r="D22" s="1511" t="s">
        <v>145</v>
      </c>
      <c r="E22" s="1512"/>
      <c r="F22" s="1513">
        <v>416</v>
      </c>
      <c r="G22" s="1514">
        <v>0</v>
      </c>
      <c r="H22" s="1515">
        <v>0</v>
      </c>
      <c r="I22" s="1513">
        <v>0</v>
      </c>
      <c r="J22" s="1514">
        <v>24</v>
      </c>
      <c r="K22" s="1515">
        <v>11.5</v>
      </c>
      <c r="L22" s="1516" t="s">
        <v>702</v>
      </c>
      <c r="M22" s="1517" t="s">
        <v>1397</v>
      </c>
      <c r="N22" s="1518"/>
      <c r="O22" s="1645"/>
      <c r="P22" s="245" t="b">
        <f t="shared" si="3"/>
        <v>0</v>
      </c>
      <c r="R22" s="245" t="b">
        <f t="shared" si="1"/>
        <v>0</v>
      </c>
      <c r="AO22" s="238" t="str">
        <f t="shared" si="2"/>
        <v>SJ50</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t="s">
        <v>1825</v>
      </c>
      <c r="B23" s="1511" t="s">
        <v>151</v>
      </c>
      <c r="C23" s="1511" t="s">
        <v>165</v>
      </c>
      <c r="D23" s="1511" t="s">
        <v>145</v>
      </c>
      <c r="E23" s="1512"/>
      <c r="F23" s="1513">
        <v>125</v>
      </c>
      <c r="G23" s="1514"/>
      <c r="H23" s="1515"/>
      <c r="I23" s="1513"/>
      <c r="J23" s="1514"/>
      <c r="K23" s="1515"/>
      <c r="L23" s="1516"/>
      <c r="M23" s="1517" t="s">
        <v>1397</v>
      </c>
      <c r="N23" s="1518"/>
      <c r="O23" s="1645"/>
      <c r="P23" s="245" t="b">
        <f t="shared" si="3"/>
        <v>0</v>
      </c>
      <c r="R23" s="245" t="b">
        <f t="shared" si="1"/>
        <v>0</v>
      </c>
      <c r="AO23" s="238" t="str">
        <f t="shared" si="2"/>
        <v>SJ51</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151</v>
      </c>
      <c r="C24" s="1511" t="s">
        <v>167</v>
      </c>
      <c r="D24" s="1511" t="s">
        <v>145</v>
      </c>
      <c r="E24" s="1512"/>
      <c r="F24" s="1513">
        <v>22.680000000000003</v>
      </c>
      <c r="G24" s="1514"/>
      <c r="H24" s="1515"/>
      <c r="I24" s="1513"/>
      <c r="J24" s="1514"/>
      <c r="K24" s="1515"/>
      <c r="L24" s="1516"/>
      <c r="M24" s="1517" t="s">
        <v>1397</v>
      </c>
      <c r="N24" s="1518"/>
      <c r="O24" s="1645"/>
      <c r="P24" s="245" t="b">
        <f t="shared" si="3"/>
        <v>0</v>
      </c>
      <c r="R24" s="245" t="b">
        <f t="shared" si="1"/>
        <v>0</v>
      </c>
      <c r="AO24" s="238" t="str">
        <f t="shared" si="2"/>
        <v>SJ51</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151</v>
      </c>
      <c r="C25" s="1511" t="s">
        <v>163</v>
      </c>
      <c r="D25" s="1511" t="s">
        <v>145</v>
      </c>
      <c r="E25" s="1512"/>
      <c r="F25" s="1513">
        <v>35</v>
      </c>
      <c r="G25" s="1514"/>
      <c r="H25" s="1515"/>
      <c r="I25" s="1513"/>
      <c r="J25" s="1514"/>
      <c r="K25" s="1515"/>
      <c r="L25" s="1516" t="s">
        <v>116</v>
      </c>
      <c r="M25" s="1517" t="s">
        <v>1397</v>
      </c>
      <c r="N25" s="1518"/>
      <c r="O25" s="1645"/>
      <c r="P25" s="245" t="b">
        <f t="shared" si="3"/>
        <v>0</v>
      </c>
      <c r="R25" s="245" t="b">
        <f t="shared" si="1"/>
        <v>0</v>
      </c>
      <c r="AO25" s="238" t="str">
        <f t="shared" si="2"/>
        <v>SJ51</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163</v>
      </c>
      <c r="D26" s="1511" t="s">
        <v>145</v>
      </c>
      <c r="E26" s="1512"/>
      <c r="F26" s="1513">
        <v>514</v>
      </c>
      <c r="G26" s="1514">
        <v>0</v>
      </c>
      <c r="H26" s="1515">
        <v>0</v>
      </c>
      <c r="I26" s="1513">
        <v>0</v>
      </c>
      <c r="J26" s="1514">
        <v>30</v>
      </c>
      <c r="K26" s="1515">
        <v>9.75</v>
      </c>
      <c r="L26" s="1516" t="s">
        <v>702</v>
      </c>
      <c r="M26" s="1517" t="s">
        <v>1397</v>
      </c>
      <c r="N26" s="1518"/>
      <c r="O26" s="1645"/>
      <c r="P26" s="245" t="b">
        <f t="shared" si="3"/>
        <v>0</v>
      </c>
      <c r="R26" s="245" t="b">
        <f t="shared" si="1"/>
        <v>0</v>
      </c>
      <c r="AO26" s="238" t="str">
        <f t="shared" si="2"/>
        <v>SJ51</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154</v>
      </c>
      <c r="C27" s="1511" t="s">
        <v>165</v>
      </c>
      <c r="D27" s="1511" t="s">
        <v>145</v>
      </c>
      <c r="E27" s="1512"/>
      <c r="F27" s="1513">
        <v>540</v>
      </c>
      <c r="G27" s="1514"/>
      <c r="H27" s="1515"/>
      <c r="I27" s="1513"/>
      <c r="J27" s="1514"/>
      <c r="K27" s="1515"/>
      <c r="L27" s="1516" t="s">
        <v>116</v>
      </c>
      <c r="M27" s="1517" t="s">
        <v>1397</v>
      </c>
      <c r="N27" s="1518"/>
      <c r="O27" s="1645"/>
      <c r="P27" s="245" t="b">
        <f t="shared" si="3"/>
        <v>0</v>
      </c>
      <c r="R27" s="245" t="b">
        <f t="shared" si="1"/>
        <v>1</v>
      </c>
      <c r="AO27" s="238" t="str">
        <f t="shared" si="2"/>
        <v>SJ51</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t="s">
        <v>1826</v>
      </c>
      <c r="B28" s="1511" t="s">
        <v>151</v>
      </c>
      <c r="C28" s="1511" t="s">
        <v>165</v>
      </c>
      <c r="D28" s="1511" t="s">
        <v>145</v>
      </c>
      <c r="E28" s="1512"/>
      <c r="F28" s="1513">
        <v>125</v>
      </c>
      <c r="G28" s="1514"/>
      <c r="H28" s="1515"/>
      <c r="I28" s="1513"/>
      <c r="J28" s="1514"/>
      <c r="K28" s="1515"/>
      <c r="L28" s="1516"/>
      <c r="M28" s="1517" t="s">
        <v>1397</v>
      </c>
      <c r="N28" s="1689"/>
      <c r="O28" s="1644"/>
      <c r="P28" s="245" t="b">
        <f t="shared" si="3"/>
        <v>0</v>
      </c>
      <c r="R28" s="245" t="b">
        <f t="shared" si="1"/>
        <v>0</v>
      </c>
      <c r="AO28" s="238" t="str">
        <f t="shared" si="2"/>
        <v>SJ52</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151</v>
      </c>
      <c r="C29" s="1511" t="s">
        <v>167</v>
      </c>
      <c r="D29" s="1511" t="s">
        <v>145</v>
      </c>
      <c r="E29" s="1512"/>
      <c r="F29" s="1513">
        <v>22.680000000000003</v>
      </c>
      <c r="G29" s="1514"/>
      <c r="H29" s="1515"/>
      <c r="I29" s="1513"/>
      <c r="J29" s="1514"/>
      <c r="K29" s="1515"/>
      <c r="L29" s="1516"/>
      <c r="M29" s="1517" t="s">
        <v>1397</v>
      </c>
      <c r="N29" s="1689"/>
      <c r="O29" s="1644"/>
      <c r="P29" s="245" t="b">
        <f t="shared" si="3"/>
        <v>0</v>
      </c>
      <c r="R29" s="245" t="b">
        <f t="shared" si="1"/>
        <v>0</v>
      </c>
      <c r="AO29" s="238" t="str">
        <f t="shared" si="2"/>
        <v>SJ52</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151</v>
      </c>
      <c r="C30" s="1511" t="s">
        <v>163</v>
      </c>
      <c r="D30" s="1511" t="s">
        <v>145</v>
      </c>
      <c r="E30" s="1512"/>
      <c r="F30" s="1513">
        <v>550</v>
      </c>
      <c r="G30" s="1514">
        <v>0</v>
      </c>
      <c r="H30" s="1515">
        <v>0</v>
      </c>
      <c r="I30" s="1513">
        <v>0</v>
      </c>
      <c r="J30" s="1514">
        <v>33</v>
      </c>
      <c r="K30" s="1515">
        <v>0</v>
      </c>
      <c r="L30" s="1516" t="s">
        <v>702</v>
      </c>
      <c r="M30" s="1517" t="s">
        <v>1397</v>
      </c>
      <c r="N30" s="1689" t="s">
        <v>116</v>
      </c>
      <c r="O30" s="1644"/>
      <c r="P30" s="245" t="b">
        <f t="shared" si="3"/>
        <v>0</v>
      </c>
      <c r="R30" s="245" t="b">
        <f t="shared" si="1"/>
        <v>0</v>
      </c>
      <c r="AO30" s="238" t="str">
        <f t="shared" si="2"/>
        <v>SJ52</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154</v>
      </c>
      <c r="C31" s="1511" t="s">
        <v>165</v>
      </c>
      <c r="D31" s="1511" t="s">
        <v>145</v>
      </c>
      <c r="E31" s="1512"/>
      <c r="F31" s="1513">
        <v>540</v>
      </c>
      <c r="G31" s="1514"/>
      <c r="H31" s="1515"/>
      <c r="I31" s="1513"/>
      <c r="J31" s="1514"/>
      <c r="K31" s="1515"/>
      <c r="L31" s="1516" t="s">
        <v>116</v>
      </c>
      <c r="M31" s="1516" t="s">
        <v>1397</v>
      </c>
      <c r="N31" s="1689" t="s">
        <v>116</v>
      </c>
      <c r="O31" s="1644"/>
      <c r="P31" s="245" t="b">
        <f t="shared" si="3"/>
        <v>0</v>
      </c>
      <c r="R31" s="245" t="b">
        <f t="shared" si="1"/>
        <v>1</v>
      </c>
      <c r="AO31" s="238" t="str">
        <f t="shared" si="2"/>
        <v>SJ52</v>
      </c>
      <c r="AP31" s="945" t="b">
        <v>0</v>
      </c>
      <c r="AQ31" s="1322"/>
      <c r="AR31" s="1323"/>
      <c r="AS31" s="1323"/>
      <c r="AT31" s="1323"/>
      <c r="AU31" s="1323"/>
      <c r="AV31" s="1323"/>
      <c r="AW31" s="1323"/>
      <c r="AX31" s="1323"/>
      <c r="AY31" s="1323"/>
      <c r="AZ31" s="1323"/>
      <c r="BA31" s="1532"/>
      <c r="BB31" s="1532"/>
      <c r="BC31" s="1533"/>
    </row>
    <row r="32" spans="1:81" ht="14.1" customHeight="1" x14ac:dyDescent="0.2">
      <c r="A32" s="1510" t="s">
        <v>1827</v>
      </c>
      <c r="B32" s="1511" t="s">
        <v>151</v>
      </c>
      <c r="C32" s="1511" t="s">
        <v>165</v>
      </c>
      <c r="D32" s="1511" t="s">
        <v>145</v>
      </c>
      <c r="E32" s="1512"/>
      <c r="F32" s="1513">
        <v>125</v>
      </c>
      <c r="G32" s="1514"/>
      <c r="H32" s="1515"/>
      <c r="I32" s="1513"/>
      <c r="J32" s="1514"/>
      <c r="K32" s="1515"/>
      <c r="L32" s="1516"/>
      <c r="M32" s="1516" t="s">
        <v>1397</v>
      </c>
      <c r="N32" s="1689" t="s">
        <v>116</v>
      </c>
      <c r="O32" s="1644"/>
      <c r="P32" s="245" t="b">
        <f t="shared" si="3"/>
        <v>0</v>
      </c>
      <c r="R32" s="245" t="b">
        <f t="shared" si="1"/>
        <v>0</v>
      </c>
      <c r="AO32" s="238" t="str">
        <f t="shared" si="2"/>
        <v>SJ53</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151</v>
      </c>
      <c r="C33" s="1511" t="s">
        <v>167</v>
      </c>
      <c r="D33" s="1511" t="s">
        <v>145</v>
      </c>
      <c r="E33" s="1512"/>
      <c r="F33" s="1513">
        <v>22.680000000000003</v>
      </c>
      <c r="G33" s="1514"/>
      <c r="H33" s="1515"/>
      <c r="I33" s="1513"/>
      <c r="J33" s="1514"/>
      <c r="K33" s="1515"/>
      <c r="L33" s="1516"/>
      <c r="M33" s="1516" t="s">
        <v>1397</v>
      </c>
      <c r="N33" s="1689" t="s">
        <v>116</v>
      </c>
      <c r="O33" s="1644"/>
      <c r="P33" s="245" t="b">
        <f t="shared" si="3"/>
        <v>0</v>
      </c>
      <c r="R33" s="245" t="b">
        <f t="shared" si="1"/>
        <v>0</v>
      </c>
      <c r="AO33" s="238" t="str">
        <f t="shared" si="2"/>
        <v>SJ53</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151</v>
      </c>
      <c r="C34" s="1511" t="s">
        <v>163</v>
      </c>
      <c r="D34" s="1511" t="s">
        <v>145</v>
      </c>
      <c r="E34" s="1512"/>
      <c r="F34" s="1513">
        <v>249</v>
      </c>
      <c r="G34" s="1514">
        <v>0</v>
      </c>
      <c r="H34" s="1515">
        <v>0</v>
      </c>
      <c r="I34" s="1513">
        <v>0</v>
      </c>
      <c r="J34" s="1514">
        <v>16</v>
      </c>
      <c r="K34" s="1515">
        <v>4</v>
      </c>
      <c r="L34" s="1516" t="s">
        <v>702</v>
      </c>
      <c r="M34" s="1516" t="s">
        <v>1397</v>
      </c>
      <c r="N34" s="1689" t="s">
        <v>116</v>
      </c>
      <c r="O34" s="1644"/>
      <c r="P34" s="245" t="b">
        <f t="shared" si="3"/>
        <v>0</v>
      </c>
      <c r="R34" s="245" t="b">
        <f t="shared" si="1"/>
        <v>0</v>
      </c>
      <c r="AO34" s="238" t="str">
        <f t="shared" si="2"/>
        <v>SJ53</v>
      </c>
      <c r="AP34" s="945" t="b">
        <v>0</v>
      </c>
      <c r="AQ34" s="1322"/>
      <c r="AR34" s="1323"/>
      <c r="AS34" s="1323"/>
      <c r="AT34" s="1323"/>
      <c r="AU34" s="1323"/>
      <c r="AV34" s="1323"/>
      <c r="AW34" s="1323"/>
      <c r="AX34" s="1323"/>
      <c r="AY34" s="1323"/>
      <c r="AZ34" s="1323"/>
      <c r="BA34" s="1532"/>
      <c r="BB34" s="1532"/>
      <c r="BC34" s="1533"/>
    </row>
    <row r="35" spans="1:55" ht="14.1" customHeight="1" x14ac:dyDescent="0.2">
      <c r="A35" s="1510" t="s">
        <v>1828</v>
      </c>
      <c r="B35" s="1511" t="s">
        <v>151</v>
      </c>
      <c r="C35" s="1511" t="s">
        <v>165</v>
      </c>
      <c r="D35" s="1511" t="s">
        <v>145</v>
      </c>
      <c r="E35" s="1512"/>
      <c r="F35" s="1513">
        <v>125</v>
      </c>
      <c r="G35" s="1514"/>
      <c r="H35" s="1515"/>
      <c r="I35" s="1513"/>
      <c r="J35" s="1514"/>
      <c r="K35" s="1515"/>
      <c r="L35" s="1516"/>
      <c r="M35" s="1516" t="s">
        <v>1397</v>
      </c>
      <c r="N35" s="1689" t="s">
        <v>116</v>
      </c>
      <c r="O35" s="1644"/>
      <c r="P35" s="245" t="b">
        <f t="shared" si="3"/>
        <v>0</v>
      </c>
      <c r="R35" s="245" t="b">
        <f t="shared" si="1"/>
        <v>0</v>
      </c>
      <c r="AO35" s="238" t="str">
        <f t="shared" si="2"/>
        <v>STJ54</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151</v>
      </c>
      <c r="C36" s="1511" t="s">
        <v>167</v>
      </c>
      <c r="D36" s="1511" t="s">
        <v>145</v>
      </c>
      <c r="E36" s="1512"/>
      <c r="F36" s="1513">
        <v>22.680000000000003</v>
      </c>
      <c r="G36" s="1514"/>
      <c r="H36" s="1515"/>
      <c r="I36" s="1513"/>
      <c r="J36" s="1514"/>
      <c r="K36" s="1515"/>
      <c r="L36" s="1516"/>
      <c r="M36" s="1516" t="s">
        <v>1397</v>
      </c>
      <c r="N36" s="1689" t="s">
        <v>116</v>
      </c>
      <c r="O36" s="1644"/>
      <c r="P36" s="245" t="b">
        <f t="shared" si="3"/>
        <v>0</v>
      </c>
      <c r="R36" s="245" t="b">
        <f t="shared" si="1"/>
        <v>0</v>
      </c>
      <c r="AO36" s="238" t="str">
        <f t="shared" si="2"/>
        <v>STJ54</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151</v>
      </c>
      <c r="C37" s="1511" t="s">
        <v>163</v>
      </c>
      <c r="D37" s="1511" t="s">
        <v>145</v>
      </c>
      <c r="E37" s="1512"/>
      <c r="F37" s="1513">
        <v>249</v>
      </c>
      <c r="G37" s="1514">
        <v>0</v>
      </c>
      <c r="H37" s="1515">
        <v>0</v>
      </c>
      <c r="I37" s="1513">
        <v>0</v>
      </c>
      <c r="J37" s="1514">
        <v>16</v>
      </c>
      <c r="K37" s="1515">
        <v>4</v>
      </c>
      <c r="L37" s="1516" t="s">
        <v>702</v>
      </c>
      <c r="M37" s="1516" t="s">
        <v>1397</v>
      </c>
      <c r="N37" s="1689" t="s">
        <v>116</v>
      </c>
      <c r="O37" s="1644"/>
      <c r="P37" s="245" t="b">
        <f t="shared" si="3"/>
        <v>0</v>
      </c>
      <c r="R37" s="245" t="b">
        <f t="shared" si="1"/>
        <v>0</v>
      </c>
      <c r="AO37" s="238" t="str">
        <f t="shared" si="2"/>
        <v>STJ54</v>
      </c>
      <c r="AP37" s="945" t="b">
        <v>0</v>
      </c>
      <c r="AQ37" s="1322"/>
      <c r="AR37" s="1323"/>
      <c r="AS37" s="1323"/>
      <c r="AT37" s="1323"/>
      <c r="AU37" s="1323"/>
      <c r="AV37" s="1323"/>
      <c r="AW37" s="1323"/>
      <c r="AX37" s="1323"/>
      <c r="AY37" s="1323"/>
      <c r="AZ37" s="1323"/>
      <c r="BA37" s="1532"/>
      <c r="BB37" s="1532"/>
      <c r="BC37" s="1533"/>
    </row>
    <row r="38" spans="1:55" ht="14.1" customHeight="1" x14ac:dyDescent="0.2">
      <c r="A38" s="1510" t="s">
        <v>1829</v>
      </c>
      <c r="B38" s="1511" t="s">
        <v>151</v>
      </c>
      <c r="C38" s="1511" t="s">
        <v>165</v>
      </c>
      <c r="D38" s="1511" t="s">
        <v>145</v>
      </c>
      <c r="E38" s="1512"/>
      <c r="F38" s="1513">
        <v>125</v>
      </c>
      <c r="G38" s="1514"/>
      <c r="H38" s="1515"/>
      <c r="I38" s="1513"/>
      <c r="J38" s="1514"/>
      <c r="K38" s="1515"/>
      <c r="L38" s="1516"/>
      <c r="M38" s="1516" t="s">
        <v>1397</v>
      </c>
      <c r="N38" s="1689" t="s">
        <v>116</v>
      </c>
      <c r="O38" s="1644"/>
      <c r="P38" s="245" t="b">
        <f t="shared" si="3"/>
        <v>0</v>
      </c>
      <c r="R38" s="245" t="b">
        <f t="shared" si="1"/>
        <v>0</v>
      </c>
      <c r="AO38" s="238" t="str">
        <f t="shared" si="2"/>
        <v>SJ55</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151</v>
      </c>
      <c r="C39" s="1511" t="s">
        <v>167</v>
      </c>
      <c r="D39" s="1511" t="s">
        <v>145</v>
      </c>
      <c r="E39" s="1512"/>
      <c r="F39" s="1513">
        <v>22.680000000000003</v>
      </c>
      <c r="G39" s="1514"/>
      <c r="H39" s="1515"/>
      <c r="I39" s="1513"/>
      <c r="J39" s="1514"/>
      <c r="K39" s="1515"/>
      <c r="L39" s="1516"/>
      <c r="M39" s="1516" t="s">
        <v>1397</v>
      </c>
      <c r="N39" s="1689" t="s">
        <v>116</v>
      </c>
      <c r="O39" s="1644"/>
      <c r="P39" s="245" t="b">
        <f t="shared" si="3"/>
        <v>0</v>
      </c>
      <c r="R39" s="245" t="b">
        <f t="shared" si="1"/>
        <v>0</v>
      </c>
      <c r="AO39" s="238" t="str">
        <f t="shared" si="2"/>
        <v>SJ55</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151</v>
      </c>
      <c r="C40" s="1511" t="s">
        <v>163</v>
      </c>
      <c r="D40" s="1511" t="s">
        <v>145</v>
      </c>
      <c r="E40" s="1512"/>
      <c r="F40" s="1513">
        <v>249</v>
      </c>
      <c r="G40" s="1514">
        <v>0</v>
      </c>
      <c r="H40" s="1515">
        <v>0</v>
      </c>
      <c r="I40" s="1513">
        <v>0</v>
      </c>
      <c r="J40" s="1514">
        <v>16</v>
      </c>
      <c r="K40" s="1515">
        <v>4</v>
      </c>
      <c r="L40" s="1516" t="s">
        <v>702</v>
      </c>
      <c r="M40" s="1516" t="s">
        <v>1397</v>
      </c>
      <c r="N40" s="1689" t="s">
        <v>116</v>
      </c>
      <c r="O40" s="1644"/>
      <c r="P40" s="245" t="b">
        <f t="shared" si="3"/>
        <v>0</v>
      </c>
      <c r="R40" s="245" t="b">
        <f t="shared" si="1"/>
        <v>0</v>
      </c>
      <c r="AO40" s="238" t="str">
        <f t="shared" si="2"/>
        <v>SJ55</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154</v>
      </c>
      <c r="C41" s="1511" t="s">
        <v>165</v>
      </c>
      <c r="D41" s="1511" t="s">
        <v>145</v>
      </c>
      <c r="E41" s="1512"/>
      <c r="F41" s="1513">
        <v>1100</v>
      </c>
      <c r="G41" s="1514"/>
      <c r="H41" s="1515"/>
      <c r="I41" s="1513"/>
      <c r="J41" s="1514"/>
      <c r="K41" s="1515"/>
      <c r="L41" s="1516" t="s">
        <v>116</v>
      </c>
      <c r="M41" s="1516" t="s">
        <v>1397</v>
      </c>
      <c r="N41" s="1689" t="s">
        <v>116</v>
      </c>
      <c r="O41" s="1644"/>
      <c r="P41" s="245" t="b">
        <f t="shared" si="3"/>
        <v>0</v>
      </c>
      <c r="R41" s="245" t="b">
        <f t="shared" si="1"/>
        <v>1</v>
      </c>
      <c r="AO41" s="238" t="str">
        <f t="shared" si="2"/>
        <v>SJ55</v>
      </c>
      <c r="AP41" s="945" t="b">
        <v>0</v>
      </c>
      <c r="AQ41" s="1322"/>
      <c r="AR41" s="1323"/>
      <c r="AS41" s="1323"/>
      <c r="AT41" s="1323"/>
      <c r="AU41" s="1323"/>
      <c r="AV41" s="1323"/>
      <c r="AW41" s="1323"/>
      <c r="AX41" s="1323"/>
      <c r="AY41" s="1323"/>
      <c r="AZ41" s="1323"/>
      <c r="BA41" s="1532"/>
      <c r="BB41" s="1532"/>
      <c r="BC41" s="1533"/>
    </row>
    <row r="42" spans="1:55" ht="14.1" customHeight="1" x14ac:dyDescent="0.2">
      <c r="A42" s="1510" t="s">
        <v>1830</v>
      </c>
      <c r="B42" s="1511" t="s">
        <v>151</v>
      </c>
      <c r="C42" s="1511" t="s">
        <v>165</v>
      </c>
      <c r="D42" s="1511" t="s">
        <v>145</v>
      </c>
      <c r="E42" s="1512"/>
      <c r="F42" s="1513">
        <v>125</v>
      </c>
      <c r="G42" s="1514"/>
      <c r="H42" s="1515"/>
      <c r="I42" s="1513"/>
      <c r="J42" s="1514"/>
      <c r="K42" s="1515"/>
      <c r="L42" s="1516"/>
      <c r="M42" s="1516" t="s">
        <v>1397</v>
      </c>
      <c r="N42" s="1689" t="s">
        <v>116</v>
      </c>
      <c r="O42" s="1644"/>
      <c r="P42" s="245" t="b">
        <f t="shared" si="3"/>
        <v>0</v>
      </c>
      <c r="R42" s="245" t="b">
        <f t="shared" si="1"/>
        <v>0</v>
      </c>
      <c r="AO42" s="238" t="str">
        <f t="shared" si="2"/>
        <v>SJ56</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151</v>
      </c>
      <c r="C43" s="1511" t="s">
        <v>167</v>
      </c>
      <c r="D43" s="1511" t="s">
        <v>145</v>
      </c>
      <c r="E43" s="1512"/>
      <c r="F43" s="1513">
        <v>22.680000000000003</v>
      </c>
      <c r="G43" s="1514"/>
      <c r="H43" s="1515"/>
      <c r="I43" s="1513"/>
      <c r="J43" s="1514"/>
      <c r="K43" s="1515"/>
      <c r="L43" s="1516"/>
      <c r="M43" s="1516" t="s">
        <v>1397</v>
      </c>
      <c r="N43" s="1689" t="s">
        <v>116</v>
      </c>
      <c r="O43" s="1644"/>
      <c r="P43" s="245" t="b">
        <f t="shared" si="3"/>
        <v>0</v>
      </c>
      <c r="R43" s="245" t="b">
        <f t="shared" si="1"/>
        <v>0</v>
      </c>
      <c r="AO43" s="238" t="str">
        <f t="shared" si="2"/>
        <v>SJ56</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151</v>
      </c>
      <c r="C44" s="1511" t="s">
        <v>163</v>
      </c>
      <c r="D44" s="1511" t="s">
        <v>145</v>
      </c>
      <c r="E44" s="1512"/>
      <c r="F44" s="1513">
        <v>249</v>
      </c>
      <c r="G44" s="1514">
        <v>0</v>
      </c>
      <c r="H44" s="1515">
        <v>0</v>
      </c>
      <c r="I44" s="1513">
        <v>0</v>
      </c>
      <c r="J44" s="1514">
        <v>16</v>
      </c>
      <c r="K44" s="1515">
        <v>4</v>
      </c>
      <c r="L44" s="1516" t="s">
        <v>702</v>
      </c>
      <c r="M44" s="1516" t="s">
        <v>1397</v>
      </c>
      <c r="N44" s="1689" t="s">
        <v>116</v>
      </c>
      <c r="O44" s="1644"/>
      <c r="P44" s="245" t="b">
        <f t="shared" si="3"/>
        <v>0</v>
      </c>
      <c r="R44" s="245" t="b">
        <f t="shared" si="1"/>
        <v>0</v>
      </c>
      <c r="AO44" s="238" t="str">
        <f t="shared" si="2"/>
        <v>SJ56</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154</v>
      </c>
      <c r="C45" s="1511" t="s">
        <v>165</v>
      </c>
      <c r="D45" s="1511" t="s">
        <v>145</v>
      </c>
      <c r="E45" s="1512"/>
      <c r="F45" s="1513">
        <v>540</v>
      </c>
      <c r="G45" s="1514"/>
      <c r="H45" s="1515"/>
      <c r="I45" s="1513"/>
      <c r="J45" s="1514"/>
      <c r="K45" s="1515"/>
      <c r="L45" s="1516" t="s">
        <v>116</v>
      </c>
      <c r="M45" s="1516" t="s">
        <v>1397</v>
      </c>
      <c r="N45" s="1689" t="s">
        <v>116</v>
      </c>
      <c r="O45" s="1644"/>
      <c r="P45" s="245" t="b">
        <f t="shared" si="3"/>
        <v>0</v>
      </c>
      <c r="R45" s="245" t="b">
        <f t="shared" si="1"/>
        <v>1</v>
      </c>
      <c r="AO45" s="238" t="str">
        <f t="shared" si="2"/>
        <v>SJ56</v>
      </c>
      <c r="AP45" s="945" t="b">
        <v>0</v>
      </c>
      <c r="AQ45" s="1322"/>
      <c r="AR45" s="1323"/>
      <c r="AS45" s="1323"/>
      <c r="AT45" s="1323"/>
      <c r="AU45" s="1323"/>
      <c r="AV45" s="1323"/>
      <c r="AW45" s="1323"/>
      <c r="AX45" s="1323"/>
      <c r="AY45" s="1323"/>
      <c r="AZ45" s="1323"/>
      <c r="BA45" s="1532"/>
      <c r="BB45" s="1532"/>
      <c r="BC45" s="1533"/>
    </row>
    <row r="46" spans="1:55" ht="14.1" customHeight="1" x14ac:dyDescent="0.2">
      <c r="A46" s="1510" t="s">
        <v>1831</v>
      </c>
      <c r="B46" s="1511" t="s">
        <v>151</v>
      </c>
      <c r="C46" s="1511" t="s">
        <v>165</v>
      </c>
      <c r="D46" s="1511" t="s">
        <v>145</v>
      </c>
      <c r="E46" s="1512"/>
      <c r="F46" s="1513">
        <v>125</v>
      </c>
      <c r="G46" s="1514"/>
      <c r="H46" s="1515"/>
      <c r="I46" s="1513"/>
      <c r="J46" s="1514"/>
      <c r="K46" s="1515"/>
      <c r="L46" s="1516"/>
      <c r="M46" s="1516" t="s">
        <v>1397</v>
      </c>
      <c r="N46" s="1689" t="s">
        <v>116</v>
      </c>
      <c r="O46" s="1644"/>
      <c r="P46" s="245" t="b">
        <f t="shared" si="3"/>
        <v>0</v>
      </c>
      <c r="R46" s="245" t="b">
        <f t="shared" si="1"/>
        <v>0</v>
      </c>
      <c r="AO46" s="238" t="str">
        <f t="shared" si="2"/>
        <v>SJ57</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151</v>
      </c>
      <c r="C47" s="1511" t="s">
        <v>167</v>
      </c>
      <c r="D47" s="1511" t="s">
        <v>145</v>
      </c>
      <c r="E47" s="1512"/>
      <c r="F47" s="1513">
        <v>22.680000000000003</v>
      </c>
      <c r="G47" s="1514"/>
      <c r="H47" s="1515"/>
      <c r="I47" s="1513"/>
      <c r="J47" s="1514"/>
      <c r="K47" s="1515"/>
      <c r="L47" s="1516"/>
      <c r="M47" s="1516" t="s">
        <v>1397</v>
      </c>
      <c r="N47" s="1689" t="s">
        <v>116</v>
      </c>
      <c r="O47" s="1644"/>
      <c r="P47" s="245" t="b">
        <f t="shared" si="3"/>
        <v>0</v>
      </c>
      <c r="R47" s="245" t="b">
        <f t="shared" si="1"/>
        <v>0</v>
      </c>
      <c r="AO47" s="238" t="str">
        <f t="shared" si="2"/>
        <v>SJ57</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151</v>
      </c>
      <c r="C48" s="1511" t="s">
        <v>163</v>
      </c>
      <c r="D48" s="1511" t="s">
        <v>145</v>
      </c>
      <c r="E48" s="1512"/>
      <c r="F48" s="1513">
        <v>249</v>
      </c>
      <c r="G48" s="1514">
        <v>0</v>
      </c>
      <c r="H48" s="1515">
        <v>0</v>
      </c>
      <c r="I48" s="1513">
        <v>0</v>
      </c>
      <c r="J48" s="1514">
        <v>16</v>
      </c>
      <c r="K48" s="1515">
        <v>4</v>
      </c>
      <c r="L48" s="1516" t="s">
        <v>702</v>
      </c>
      <c r="M48" s="1516" t="s">
        <v>1397</v>
      </c>
      <c r="N48" s="1689" t="s">
        <v>116</v>
      </c>
      <c r="O48" s="1644"/>
      <c r="P48" s="245" t="b">
        <f t="shared" si="3"/>
        <v>0</v>
      </c>
      <c r="R48" s="245" t="b">
        <f t="shared" si="1"/>
        <v>0</v>
      </c>
      <c r="AO48" s="238" t="str">
        <f t="shared" si="2"/>
        <v>SJ57</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151</v>
      </c>
      <c r="C49" s="1511" t="s">
        <v>165</v>
      </c>
      <c r="D49" s="1511" t="s">
        <v>145</v>
      </c>
      <c r="E49" s="1512"/>
      <c r="F49" s="1513">
        <v>24</v>
      </c>
      <c r="G49" s="1514"/>
      <c r="H49" s="1515"/>
      <c r="I49" s="1513"/>
      <c r="J49" s="1514"/>
      <c r="K49" s="1515"/>
      <c r="L49" s="1516" t="s">
        <v>116</v>
      </c>
      <c r="M49" s="1516" t="s">
        <v>1397</v>
      </c>
      <c r="N49" s="1689" t="s">
        <v>116</v>
      </c>
      <c r="O49" s="1644"/>
      <c r="P49" s="245" t="b">
        <f t="shared" si="3"/>
        <v>0</v>
      </c>
      <c r="R49" s="245" t="b">
        <f t="shared" si="1"/>
        <v>0</v>
      </c>
      <c r="AO49" s="238" t="str">
        <f t="shared" si="2"/>
        <v>SJ57</v>
      </c>
      <c r="AP49" s="945" t="b">
        <v>0</v>
      </c>
      <c r="AQ49" s="1322"/>
      <c r="AR49" s="1323"/>
      <c r="AS49" s="1323"/>
      <c r="AT49" s="1323"/>
      <c r="AU49" s="1323"/>
      <c r="AV49" s="1323"/>
      <c r="AW49" s="1323"/>
      <c r="AX49" s="1323"/>
      <c r="AY49" s="1323"/>
      <c r="AZ49" s="1323"/>
      <c r="BA49" s="1532"/>
      <c r="BB49" s="1532"/>
      <c r="BC49" s="1533"/>
    </row>
    <row r="50" spans="1:55" ht="14.1" customHeight="1" x14ac:dyDescent="0.2">
      <c r="A50" s="1510" t="s">
        <v>1832</v>
      </c>
      <c r="B50" s="1511" t="s">
        <v>151</v>
      </c>
      <c r="C50" s="1511" t="s">
        <v>165</v>
      </c>
      <c r="D50" s="1511" t="s">
        <v>145</v>
      </c>
      <c r="E50" s="1512"/>
      <c r="F50" s="1513">
        <v>125</v>
      </c>
      <c r="G50" s="1514"/>
      <c r="H50" s="1515"/>
      <c r="I50" s="1513"/>
      <c r="J50" s="1514"/>
      <c r="K50" s="1515"/>
      <c r="L50" s="1516"/>
      <c r="M50" s="1516" t="s">
        <v>1397</v>
      </c>
      <c r="N50" s="1689" t="s">
        <v>116</v>
      </c>
      <c r="O50" s="1644"/>
      <c r="P50" s="245" t="b">
        <f t="shared" si="3"/>
        <v>0</v>
      </c>
      <c r="R50" s="245" t="b">
        <f t="shared" si="1"/>
        <v>0</v>
      </c>
      <c r="AO50" s="238" t="str">
        <f t="shared" si="2"/>
        <v>SJ58</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151</v>
      </c>
      <c r="C51" s="1511" t="s">
        <v>167</v>
      </c>
      <c r="D51" s="1511" t="s">
        <v>145</v>
      </c>
      <c r="E51" s="1512"/>
      <c r="F51" s="1513">
        <v>22.680000000000003</v>
      </c>
      <c r="G51" s="1514"/>
      <c r="H51" s="1515"/>
      <c r="I51" s="1513"/>
      <c r="J51" s="1514"/>
      <c r="K51" s="1515"/>
      <c r="L51" s="1516"/>
      <c r="M51" s="1516" t="s">
        <v>1397</v>
      </c>
      <c r="N51" s="1689" t="s">
        <v>116</v>
      </c>
      <c r="O51" s="1644"/>
      <c r="P51" s="245" t="b">
        <f t="shared" si="3"/>
        <v>0</v>
      </c>
      <c r="R51" s="245" t="b">
        <f t="shared" si="1"/>
        <v>0</v>
      </c>
      <c r="AO51" s="238" t="str">
        <f t="shared" si="2"/>
        <v>SJ58</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151</v>
      </c>
      <c r="C52" s="1511" t="s">
        <v>163</v>
      </c>
      <c r="D52" s="1511" t="s">
        <v>145</v>
      </c>
      <c r="E52" s="1512"/>
      <c r="F52" s="1513">
        <v>249</v>
      </c>
      <c r="G52" s="1514">
        <v>0</v>
      </c>
      <c r="H52" s="1515">
        <v>0</v>
      </c>
      <c r="I52" s="1513">
        <v>0</v>
      </c>
      <c r="J52" s="1514">
        <v>16</v>
      </c>
      <c r="K52" s="1515">
        <v>4</v>
      </c>
      <c r="L52" s="1516" t="s">
        <v>702</v>
      </c>
      <c r="M52" s="1516" t="s">
        <v>1397</v>
      </c>
      <c r="N52" s="1689" t="s">
        <v>116</v>
      </c>
      <c r="O52" s="1644"/>
      <c r="P52" s="245" t="b">
        <f t="shared" si="3"/>
        <v>0</v>
      </c>
      <c r="R52" s="245" t="b">
        <f t="shared" si="1"/>
        <v>0</v>
      </c>
      <c r="AO52" s="238" t="str">
        <f t="shared" si="2"/>
        <v>SJ58</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151</v>
      </c>
      <c r="C53" s="1511" t="s">
        <v>165</v>
      </c>
      <c r="D53" s="1511" t="s">
        <v>145</v>
      </c>
      <c r="E53" s="1512"/>
      <c r="F53" s="1513">
        <v>24</v>
      </c>
      <c r="G53" s="1514"/>
      <c r="H53" s="1515"/>
      <c r="I53" s="1513"/>
      <c r="J53" s="1514"/>
      <c r="K53" s="1515"/>
      <c r="L53" s="1516" t="s">
        <v>116</v>
      </c>
      <c r="M53" s="1516" t="s">
        <v>1397</v>
      </c>
      <c r="N53" s="1689" t="s">
        <v>116</v>
      </c>
      <c r="O53" s="1644"/>
      <c r="P53" s="245" t="b">
        <f t="shared" si="3"/>
        <v>0</v>
      </c>
      <c r="R53" s="245" t="b">
        <f t="shared" si="1"/>
        <v>0</v>
      </c>
      <c r="AO53" s="238" t="str">
        <f t="shared" si="2"/>
        <v>SJ58</v>
      </c>
      <c r="AP53" s="945" t="b">
        <v>0</v>
      </c>
      <c r="AQ53" s="1322"/>
      <c r="AR53" s="1323"/>
      <c r="AS53" s="1323"/>
      <c r="AT53" s="1323"/>
      <c r="AU53" s="1323"/>
      <c r="AV53" s="1323"/>
      <c r="AW53" s="1323"/>
      <c r="AX53" s="1323"/>
      <c r="AY53" s="1323"/>
      <c r="AZ53" s="1323"/>
      <c r="BA53" s="1532"/>
      <c r="BB53" s="1532"/>
      <c r="BC53" s="1533"/>
    </row>
    <row r="54" spans="1:55" ht="14.1" customHeight="1" x14ac:dyDescent="0.2">
      <c r="A54" s="1510" t="s">
        <v>1833</v>
      </c>
      <c r="B54" s="1511" t="s">
        <v>151</v>
      </c>
      <c r="C54" s="1511" t="s">
        <v>165</v>
      </c>
      <c r="D54" s="1511" t="s">
        <v>145</v>
      </c>
      <c r="E54" s="1512"/>
      <c r="F54" s="1513">
        <v>125</v>
      </c>
      <c r="G54" s="1514"/>
      <c r="H54" s="1515"/>
      <c r="I54" s="1513"/>
      <c r="J54" s="1514"/>
      <c r="K54" s="1515"/>
      <c r="L54" s="1516"/>
      <c r="M54" s="1516" t="s">
        <v>1397</v>
      </c>
      <c r="N54" s="1689" t="s">
        <v>116</v>
      </c>
      <c r="O54" s="1644"/>
      <c r="P54" s="245" t="b">
        <f t="shared" si="3"/>
        <v>0</v>
      </c>
      <c r="R54" s="245" t="b">
        <f t="shared" si="1"/>
        <v>0</v>
      </c>
      <c r="AO54" s="238" t="str">
        <f t="shared" si="2"/>
        <v>STJ59</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151</v>
      </c>
      <c r="C55" s="1520" t="s">
        <v>167</v>
      </c>
      <c r="D55" s="1520" t="s">
        <v>145</v>
      </c>
      <c r="E55" s="1521"/>
      <c r="F55" s="1522">
        <v>22.680000000000003</v>
      </c>
      <c r="G55" s="1523"/>
      <c r="H55" s="1524"/>
      <c r="I55" s="1522"/>
      <c r="J55" s="1523"/>
      <c r="K55" s="1524"/>
      <c r="L55" s="1525"/>
      <c r="M55" s="1525" t="s">
        <v>1397</v>
      </c>
      <c r="N55" s="1690"/>
      <c r="O55" s="1644"/>
      <c r="P55" s="245" t="b">
        <f t="shared" si="3"/>
        <v>0</v>
      </c>
      <c r="R55" s="245" t="b">
        <f t="shared" si="1"/>
        <v>0</v>
      </c>
      <c r="AO55" s="238" t="str">
        <f t="shared" si="2"/>
        <v>STJ59</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9" priority="4" stopIfTrue="1">
      <formula>AND($B14="NU",F14&lt;0)</formula>
    </cfRule>
  </conditionalFormatting>
  <conditionalFormatting sqref="B14:B55">
    <cfRule type="expression" dxfId="28" priority="5" stopIfTrue="1">
      <formula>OR(AND($B14="NU",F14&lt;0),AND($B14="NU",I14&lt;0))</formula>
    </cfRule>
  </conditionalFormatting>
  <conditionalFormatting sqref="G14:H55 J14:L55">
    <cfRule type="expression" dxfId="27" priority="6" stopIfTrue="1">
      <formula>$R14</formula>
    </cfRule>
  </conditionalFormatting>
  <conditionalFormatting sqref="I2:K4">
    <cfRule type="cellIs" dxfId="26" priority="7" stopIfTrue="1" operator="equal">
      <formula>""</formula>
    </cfRule>
  </conditionalFormatting>
  <conditionalFormatting sqref="I14:I55">
    <cfRule type="expression" dxfId="25" priority="8" stopIfTrue="1">
      <formula>OR($R14,$B14="CZ",AND($B14="NU",I14&lt;0))</formula>
    </cfRule>
  </conditionalFormatting>
  <conditionalFormatting sqref="A14:A55">
    <cfRule type="expression" dxfId="24" priority="3">
      <formula>NOT($P14)</formula>
    </cfRule>
  </conditionalFormatting>
  <conditionalFormatting sqref="B14:D55">
    <cfRule type="expression" dxfId="2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22" priority="9">
      <formula>AND(NOT($P14),$T$1)</formula>
    </cfRule>
    <cfRule type="expression" dxfId="21" priority="10">
      <formula>AND($AP14,$S$1="M")</formula>
    </cfRule>
  </conditionalFormatting>
  <conditionalFormatting sqref="L14:L55">
    <cfRule type="expression" dxfId="2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8B5EFCA2-EA8F-4A1F-9767-BC82B5A3AAE5}">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59963232-747B-4E6B-8679-41CBE3183E95}">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31C4710A-D2C4-40D1-B1F5-3BAB26EC3DEF}">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EE184857-20D3-4932-923D-3D81E33F240B}">
      <formula1>IF($CA$14,$CA$16:$CA$21,$CB$16:$CB$19)</formula1>
    </dataValidation>
    <dataValidation type="list" allowBlank="1" showErrorMessage="1" errorTitle="Invalid Type" error="You MUST select a Type from the dropdown list provided._x000a__x000a_Also, make sure your Cap Lock is turned on." sqref="B14:B55" xr:uid="{DF4DB4C8-A277-4EB1-BD0B-26F25EF0252E}">
      <formula1>$BF$15:$BU$15</formula1>
    </dataValidation>
    <dataValidation allowBlank="1" showInputMessage="1" errorTitle="Invalid Load Case" error="You MUST use a Load Case from the list provided." sqref="M14:M55" xr:uid="{CDBB6078-FE54-426A-918D-BDF4DFEEF4A6}"/>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39707-B63B-4FFD-8C69-5A4AE6EED560}">
  <sheetPr codeName="Sheet41">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48" t="str">
        <f>IF(S1="","",VLOOKUP(S1,'Job Info.'!X:AA,4,FALSE))</f>
        <v>Master</v>
      </c>
      <c r="J1" s="1848"/>
      <c r="K1" s="1848"/>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53" t="str">
        <f>IF(S1="","",IF(VLOOKUP(S1,'Job Info.'!X:Z,2,FALSE),"Released for Fabrication",""))</f>
        <v/>
      </c>
      <c r="J2" s="1854"/>
      <c r="K2" s="1855"/>
      <c r="L2" s="375"/>
      <c r="M2" s="375" t="s">
        <v>96</v>
      </c>
      <c r="N2" s="463" t="str">
        <f ca="1">'Job Info.'!D13</f>
        <v>775-867-2140</v>
      </c>
      <c r="O2" s="1008"/>
      <c r="P2" s="1008"/>
      <c r="BE2" s="1040"/>
    </row>
    <row r="3" spans="1:83" ht="12.95" customHeight="1" x14ac:dyDescent="0.2">
      <c r="A3" s="374"/>
      <c r="B3" s="374"/>
      <c r="C3" s="374"/>
      <c r="D3" s="374"/>
      <c r="E3" s="374"/>
      <c r="F3" s="374"/>
      <c r="G3" s="374"/>
      <c r="H3" s="375"/>
      <c r="I3" s="1856"/>
      <c r="J3" s="1857"/>
      <c r="K3" s="1858"/>
      <c r="L3" s="375"/>
      <c r="M3" s="375" t="s">
        <v>98</v>
      </c>
      <c r="N3" s="463" t="str">
        <f ca="1">'Job Info.'!D14</f>
        <v>775-867-2169</v>
      </c>
      <c r="O3" s="1008"/>
      <c r="P3" s="1008"/>
    </row>
    <row r="4" spans="1:83" ht="12.95" customHeight="1" thickBot="1" x14ac:dyDescent="0.25">
      <c r="A4" s="374"/>
      <c r="B4" s="374"/>
      <c r="C4" s="374"/>
      <c r="D4" s="374"/>
      <c r="E4" s="374"/>
      <c r="F4" s="374"/>
      <c r="G4" s="374"/>
      <c r="H4" s="374"/>
      <c r="I4" s="1859" t="str">
        <f>IF(S1="","",IF(VLOOKUP(S1,'Job Info.'!X:Z,2,FALSE),VLOOKUP(S1,'Job Info.'!X:Z,3,FALSE),""))</f>
        <v/>
      </c>
      <c r="J4" s="1860"/>
      <c r="K4" s="1861"/>
      <c r="L4" s="375"/>
      <c r="M4" s="375" t="s">
        <v>97</v>
      </c>
      <c r="N4" s="463" t="str">
        <f ca="1">'Job Info.'!D15</f>
        <v>775-867-2060</v>
      </c>
      <c r="O4" s="1008"/>
      <c r="P4" s="1008"/>
    </row>
    <row r="5" spans="1:83" ht="12.95" customHeight="1" thickTop="1" x14ac:dyDescent="0.2">
      <c r="A5" s="1862" t="str">
        <f ca="1">'Job Info.'!D11</f>
        <v>8200 Woolery Way | Fallon, NV 89406 | www.newmill.com</v>
      </c>
      <c r="B5" s="1872"/>
      <c r="C5" s="1872"/>
      <c r="D5" s="1872"/>
      <c r="E5" s="1872"/>
      <c r="F5" s="1872"/>
      <c r="G5" s="1872"/>
      <c r="H5" s="1872"/>
      <c r="I5" s="1872"/>
      <c r="J5" s="1872"/>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24" t="str">
        <f>IF(ISBLANK('Job Info.'!D3),"",'Job Info.'!D3)</f>
        <v>MINDEN UPS BLDG 1</v>
      </c>
      <c r="C9" s="1824"/>
      <c r="D9" s="1824"/>
      <c r="E9" s="1824"/>
      <c r="F9" s="1824"/>
      <c r="G9" s="1824"/>
      <c r="H9" s="1825"/>
      <c r="I9" s="469"/>
      <c r="J9" s="458" t="s">
        <v>2</v>
      </c>
      <c r="K9" s="1824" t="str">
        <f>IF(ISBLANK('Job Info.'!D5),"",'Job Info.'!D5)</f>
        <v>NN22-0071</v>
      </c>
      <c r="L9" s="1874"/>
      <c r="M9" s="1874"/>
      <c r="N9" s="1875"/>
      <c r="O9" s="1056"/>
      <c r="P9" s="1056"/>
      <c r="V9" s="631"/>
    </row>
    <row r="10" spans="1:83" ht="12.6" customHeight="1" x14ac:dyDescent="0.2">
      <c r="A10" s="471" t="s">
        <v>3</v>
      </c>
      <c r="B10" s="1824" t="str">
        <f>IF(ISBLANK('Job Info.'!D4),"",'Job Info.'!D4)</f>
        <v>MINDEN, NV</v>
      </c>
      <c r="C10" s="1824"/>
      <c r="D10" s="1824"/>
      <c r="E10" s="1824"/>
      <c r="F10" s="1824"/>
      <c r="G10" s="1824"/>
      <c r="H10" s="1825"/>
      <c r="I10" s="1873" t="s">
        <v>22</v>
      </c>
      <c r="J10" s="1873"/>
      <c r="K10" s="1824" t="str">
        <f>IF(ISBLANK('Job Info.'!D6),"",'Job Info.'!D6)</f>
        <v>JMM</v>
      </c>
      <c r="L10" s="1825"/>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64" t="s">
        <v>77</v>
      </c>
      <c r="B12" s="1865"/>
      <c r="C12" s="1865"/>
      <c r="D12" s="1865"/>
      <c r="E12" s="1866"/>
      <c r="F12" s="1864" t="s">
        <v>49</v>
      </c>
      <c r="G12" s="1865"/>
      <c r="H12" s="1871"/>
      <c r="I12" s="1864" t="s">
        <v>50</v>
      </c>
      <c r="J12" s="1865"/>
      <c r="K12" s="1871"/>
      <c r="L12" s="1867" t="s">
        <v>51</v>
      </c>
      <c r="M12" s="1880" t="s">
        <v>741</v>
      </c>
      <c r="N12" s="1867" t="s">
        <v>52</v>
      </c>
      <c r="O12" s="1085"/>
      <c r="P12" s="1085"/>
      <c r="AO12" s="548" t="s">
        <v>973</v>
      </c>
      <c r="AP12" s="944" t="s">
        <v>170</v>
      </c>
      <c r="AQ12" s="1876" t="s">
        <v>1208</v>
      </c>
      <c r="AR12" s="1877"/>
      <c r="AS12" s="1877"/>
      <c r="AT12" s="1877"/>
      <c r="AU12" s="1877"/>
      <c r="AV12" s="1877"/>
      <c r="AW12" s="1877"/>
      <c r="AX12" s="1877"/>
      <c r="AY12" s="1877"/>
      <c r="AZ12" s="1878"/>
      <c r="BA12" s="1878"/>
      <c r="BB12" s="1878"/>
      <c r="BC12" s="1879"/>
      <c r="BE12" s="1530"/>
    </row>
    <row r="13" spans="1:83" s="478" customFormat="1" ht="14.1" customHeight="1" x14ac:dyDescent="0.2">
      <c r="A13" s="1049" t="s">
        <v>46</v>
      </c>
      <c r="B13" s="1050" t="s">
        <v>17</v>
      </c>
      <c r="C13" s="1050" t="s">
        <v>45</v>
      </c>
      <c r="D13" s="1050" t="s">
        <v>78</v>
      </c>
      <c r="E13" s="1326" t="s">
        <v>44</v>
      </c>
      <c r="F13" s="1049" t="s">
        <v>47</v>
      </c>
      <c r="G13" s="1869" t="s">
        <v>48</v>
      </c>
      <c r="H13" s="1870"/>
      <c r="I13" s="1049" t="s">
        <v>47</v>
      </c>
      <c r="J13" s="1869" t="s">
        <v>48</v>
      </c>
      <c r="K13" s="1870"/>
      <c r="L13" s="1868"/>
      <c r="M13" s="1881"/>
      <c r="N13" s="1882"/>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151</v>
      </c>
      <c r="C14" s="1504" t="s">
        <v>163</v>
      </c>
      <c r="D14" s="1504" t="s">
        <v>145</v>
      </c>
      <c r="E14" s="1687"/>
      <c r="F14" s="1505">
        <v>424</v>
      </c>
      <c r="G14" s="1506">
        <v>0</v>
      </c>
      <c r="H14" s="1507">
        <v>0</v>
      </c>
      <c r="I14" s="1505">
        <v>0</v>
      </c>
      <c r="J14" s="1506">
        <v>20</v>
      </c>
      <c r="K14" s="1507">
        <v>9</v>
      </c>
      <c r="L14" s="1508" t="s">
        <v>702</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1834</v>
      </c>
      <c r="B15" s="1511" t="s">
        <v>151</v>
      </c>
      <c r="C15" s="1511" t="s">
        <v>165</v>
      </c>
      <c r="D15" s="1511" t="s">
        <v>145</v>
      </c>
      <c r="E15" s="1512"/>
      <c r="F15" s="1513">
        <v>125</v>
      </c>
      <c r="G15" s="1514"/>
      <c r="H15" s="1515"/>
      <c r="I15" s="1513"/>
      <c r="J15" s="1514"/>
      <c r="K15" s="1515"/>
      <c r="L15" s="1516"/>
      <c r="M15" s="1517" t="s">
        <v>1397</v>
      </c>
      <c r="N15" s="1689" t="s">
        <v>116</v>
      </c>
      <c r="O15" s="1644"/>
      <c r="P15" s="245" t="b">
        <f t="shared" si="0"/>
        <v>0</v>
      </c>
      <c r="R15" s="245" t="b">
        <f t="shared" ref="R15:R55" si="1">OR(B15="CP",B15="CA", B15="AX",B15="M",B15="S")</f>
        <v>0</v>
      </c>
      <c r="AO15" s="238" t="str">
        <f t="shared" ref="AO15:AO55" si="2">IF(ISBLANK(A15),AO14,SUBSTITUTE(A15,"*",""))</f>
        <v>SJ60</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151</v>
      </c>
      <c r="C16" s="1511" t="s">
        <v>167</v>
      </c>
      <c r="D16" s="1511" t="s">
        <v>145</v>
      </c>
      <c r="E16" s="1512"/>
      <c r="F16" s="1513">
        <v>22.680000000000003</v>
      </c>
      <c r="G16" s="1514"/>
      <c r="H16" s="1515"/>
      <c r="I16" s="1513"/>
      <c r="J16" s="1514"/>
      <c r="K16" s="1515"/>
      <c r="L16" s="1516"/>
      <c r="M16" s="1517" t="s">
        <v>1397</v>
      </c>
      <c r="N16" s="1689"/>
      <c r="O16" s="1644"/>
      <c r="P16" s="245" t="b">
        <f t="shared" si="0"/>
        <v>0</v>
      </c>
      <c r="R16" s="245" t="b">
        <f t="shared" si="1"/>
        <v>0</v>
      </c>
      <c r="AO16" s="238" t="str">
        <f t="shared" si="2"/>
        <v>SJ60</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151</v>
      </c>
      <c r="C17" s="1511" t="s">
        <v>163</v>
      </c>
      <c r="D17" s="1511" t="s">
        <v>145</v>
      </c>
      <c r="E17" s="1512"/>
      <c r="F17" s="1513">
        <v>424</v>
      </c>
      <c r="G17" s="1514">
        <v>0</v>
      </c>
      <c r="H17" s="1515">
        <v>0</v>
      </c>
      <c r="I17" s="1513">
        <v>0</v>
      </c>
      <c r="J17" s="1514">
        <v>20</v>
      </c>
      <c r="K17" s="1515">
        <v>9</v>
      </c>
      <c r="L17" s="1516" t="s">
        <v>702</v>
      </c>
      <c r="M17" s="1517" t="s">
        <v>1397</v>
      </c>
      <c r="N17" s="1689"/>
      <c r="O17" s="1644"/>
      <c r="P17" s="245" t="b">
        <f>IF(ISERROR(VLOOKUP(AO17,BE:BE,1,FALSE)),FALSE,IF(AO17&lt;&gt;"",VLOOKUP(AO17,BE:BE,1,FALSE)=AO17))</f>
        <v>0</v>
      </c>
      <c r="R17" s="245" t="b">
        <f t="shared" si="1"/>
        <v>0</v>
      </c>
      <c r="AO17" s="238" t="str">
        <f t="shared" si="2"/>
        <v>SJ60</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t="s">
        <v>1835</v>
      </c>
      <c r="B18" s="1511" t="s">
        <v>151</v>
      </c>
      <c r="C18" s="1511" t="s">
        <v>165</v>
      </c>
      <c r="D18" s="1511" t="s">
        <v>145</v>
      </c>
      <c r="E18" s="1512"/>
      <c r="F18" s="1513">
        <v>125</v>
      </c>
      <c r="G18" s="1514"/>
      <c r="H18" s="1515"/>
      <c r="I18" s="1513"/>
      <c r="J18" s="1514"/>
      <c r="K18" s="1515"/>
      <c r="L18" s="1516"/>
      <c r="M18" s="1517" t="s">
        <v>1397</v>
      </c>
      <c r="N18" s="1689"/>
      <c r="O18" s="1644"/>
      <c r="P18" s="245" t="b">
        <f t="shared" ref="P18:P55" si="3">IF(ISERROR(VLOOKUP(AO18,BE:BE,1,FALSE)),FALSE,IF(AO18&lt;&gt;"",VLOOKUP(AO18,BE:BE,1,FALSE)=AO18))</f>
        <v>0</v>
      </c>
      <c r="R18" s="245" t="b">
        <f t="shared" si="1"/>
        <v>0</v>
      </c>
      <c r="AO18" s="238" t="str">
        <f t="shared" si="2"/>
        <v>SJ61</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151</v>
      </c>
      <c r="C19" s="1511" t="s">
        <v>167</v>
      </c>
      <c r="D19" s="1511" t="s">
        <v>145</v>
      </c>
      <c r="E19" s="1512"/>
      <c r="F19" s="1513">
        <v>22.680000000000003</v>
      </c>
      <c r="G19" s="1514"/>
      <c r="H19" s="1515"/>
      <c r="I19" s="1513"/>
      <c r="J19" s="1514"/>
      <c r="K19" s="1515"/>
      <c r="L19" s="1516"/>
      <c r="M19" s="1517" t="s">
        <v>1397</v>
      </c>
      <c r="N19" s="1689" t="s">
        <v>116</v>
      </c>
      <c r="O19" s="1644"/>
      <c r="P19" s="245" t="b">
        <f t="shared" si="3"/>
        <v>0</v>
      </c>
      <c r="R19" s="245" t="b">
        <f t="shared" si="1"/>
        <v>0</v>
      </c>
      <c r="AO19" s="238" t="str">
        <f t="shared" si="2"/>
        <v>SJ61</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151</v>
      </c>
      <c r="C20" s="1511" t="s">
        <v>163</v>
      </c>
      <c r="D20" s="1511" t="s">
        <v>145</v>
      </c>
      <c r="E20" s="1512"/>
      <c r="F20" s="1513">
        <v>424</v>
      </c>
      <c r="G20" s="1514">
        <v>0</v>
      </c>
      <c r="H20" s="1515">
        <v>0</v>
      </c>
      <c r="I20" s="1513">
        <v>0</v>
      </c>
      <c r="J20" s="1514">
        <v>20</v>
      </c>
      <c r="K20" s="1515">
        <v>9</v>
      </c>
      <c r="L20" s="1516" t="s">
        <v>702</v>
      </c>
      <c r="M20" s="1517" t="s">
        <v>1397</v>
      </c>
      <c r="N20" s="1518"/>
      <c r="O20" s="1645"/>
      <c r="P20" s="245" t="b">
        <f t="shared" si="3"/>
        <v>0</v>
      </c>
      <c r="R20" s="245" t="b">
        <f t="shared" si="1"/>
        <v>0</v>
      </c>
      <c r="AO20" s="238" t="str">
        <f t="shared" si="2"/>
        <v>SJ61</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154</v>
      </c>
      <c r="C21" s="1511" t="s">
        <v>165</v>
      </c>
      <c r="D21" s="1511" t="s">
        <v>145</v>
      </c>
      <c r="E21" s="1512"/>
      <c r="F21" s="1513">
        <v>1100</v>
      </c>
      <c r="G21" s="1514"/>
      <c r="H21" s="1515"/>
      <c r="I21" s="1513"/>
      <c r="J21" s="1514"/>
      <c r="K21" s="1515"/>
      <c r="L21" s="1516" t="s">
        <v>116</v>
      </c>
      <c r="M21" s="1517" t="s">
        <v>1397</v>
      </c>
      <c r="N21" s="1518"/>
      <c r="O21" s="1645"/>
      <c r="P21" s="245" t="b">
        <f t="shared" si="3"/>
        <v>0</v>
      </c>
      <c r="R21" s="245" t="b">
        <f t="shared" si="1"/>
        <v>1</v>
      </c>
      <c r="AO21" s="238" t="str">
        <f t="shared" si="2"/>
        <v>SJ61</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t="s">
        <v>1836</v>
      </c>
      <c r="B22" s="1511" t="s">
        <v>151</v>
      </c>
      <c r="C22" s="1511" t="s">
        <v>165</v>
      </c>
      <c r="D22" s="1511" t="s">
        <v>145</v>
      </c>
      <c r="E22" s="1512"/>
      <c r="F22" s="1513">
        <v>125</v>
      </c>
      <c r="G22" s="1514"/>
      <c r="H22" s="1515"/>
      <c r="I22" s="1513"/>
      <c r="J22" s="1514"/>
      <c r="K22" s="1515"/>
      <c r="L22" s="1516"/>
      <c r="M22" s="1517" t="s">
        <v>1397</v>
      </c>
      <c r="N22" s="1518"/>
      <c r="O22" s="1645"/>
      <c r="P22" s="245" t="b">
        <f t="shared" si="3"/>
        <v>0</v>
      </c>
      <c r="R22" s="245" t="b">
        <f t="shared" si="1"/>
        <v>0</v>
      </c>
      <c r="AO22" s="238" t="str">
        <f t="shared" si="2"/>
        <v>SJ62</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151</v>
      </c>
      <c r="C23" s="1511" t="s">
        <v>167</v>
      </c>
      <c r="D23" s="1511" t="s">
        <v>145</v>
      </c>
      <c r="E23" s="1512"/>
      <c r="F23" s="1513">
        <v>22.680000000000003</v>
      </c>
      <c r="G23" s="1514"/>
      <c r="H23" s="1515"/>
      <c r="I23" s="1513"/>
      <c r="J23" s="1514"/>
      <c r="K23" s="1515"/>
      <c r="L23" s="1516"/>
      <c r="M23" s="1517" t="s">
        <v>1397</v>
      </c>
      <c r="N23" s="1518"/>
      <c r="O23" s="1645"/>
      <c r="P23" s="245" t="b">
        <f t="shared" si="3"/>
        <v>0</v>
      </c>
      <c r="R23" s="245" t="b">
        <f t="shared" si="1"/>
        <v>0</v>
      </c>
      <c r="AO23" s="238" t="str">
        <f t="shared" si="2"/>
        <v>SJ62</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151</v>
      </c>
      <c r="C24" s="1511" t="s">
        <v>163</v>
      </c>
      <c r="D24" s="1511" t="s">
        <v>145</v>
      </c>
      <c r="E24" s="1512"/>
      <c r="F24" s="1513">
        <v>550</v>
      </c>
      <c r="G24" s="1514">
        <v>0</v>
      </c>
      <c r="H24" s="1515">
        <v>0</v>
      </c>
      <c r="I24" s="1513">
        <v>0</v>
      </c>
      <c r="J24" s="1514">
        <v>33</v>
      </c>
      <c r="K24" s="1515">
        <v>0</v>
      </c>
      <c r="L24" s="1516" t="s">
        <v>702</v>
      </c>
      <c r="M24" s="1517" t="s">
        <v>1397</v>
      </c>
      <c r="N24" s="1518"/>
      <c r="O24" s="1645"/>
      <c r="P24" s="245" t="b">
        <f t="shared" si="3"/>
        <v>0</v>
      </c>
      <c r="R24" s="245" t="b">
        <f t="shared" si="1"/>
        <v>0</v>
      </c>
      <c r="AO24" s="238" t="str">
        <f t="shared" si="2"/>
        <v>SJ62</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146</v>
      </c>
      <c r="C25" s="1511" t="s">
        <v>165</v>
      </c>
      <c r="D25" s="1511" t="s">
        <v>145</v>
      </c>
      <c r="E25" s="1512"/>
      <c r="F25" s="1513">
        <v>600</v>
      </c>
      <c r="G25" s="1514">
        <v>3</v>
      </c>
      <c r="H25" s="1515">
        <v>0</v>
      </c>
      <c r="I25" s="1513"/>
      <c r="J25" s="1514"/>
      <c r="K25" s="1515"/>
      <c r="L25" s="1516" t="s">
        <v>702</v>
      </c>
      <c r="M25" s="1517" t="s">
        <v>1397</v>
      </c>
      <c r="N25" s="1518"/>
      <c r="O25" s="1645"/>
      <c r="P25" s="245" t="b">
        <f t="shared" si="3"/>
        <v>0</v>
      </c>
      <c r="R25" s="245" t="b">
        <f t="shared" si="1"/>
        <v>0</v>
      </c>
      <c r="AO25" s="238" t="str">
        <f t="shared" si="2"/>
        <v>SJ62</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t="s">
        <v>1837</v>
      </c>
      <c r="B26" s="1511" t="s">
        <v>151</v>
      </c>
      <c r="C26" s="1511" t="s">
        <v>165</v>
      </c>
      <c r="D26" s="1511" t="s">
        <v>145</v>
      </c>
      <c r="E26" s="1512"/>
      <c r="F26" s="1513">
        <v>125</v>
      </c>
      <c r="G26" s="1514"/>
      <c r="H26" s="1515"/>
      <c r="I26" s="1513"/>
      <c r="J26" s="1514"/>
      <c r="K26" s="1515"/>
      <c r="L26" s="1516"/>
      <c r="M26" s="1517" t="s">
        <v>1397</v>
      </c>
      <c r="N26" s="1518"/>
      <c r="O26" s="1645"/>
      <c r="P26" s="245" t="b">
        <f t="shared" si="3"/>
        <v>0</v>
      </c>
      <c r="R26" s="245" t="b">
        <f t="shared" si="1"/>
        <v>0</v>
      </c>
      <c r="AO26" s="238" t="str">
        <f t="shared" si="2"/>
        <v>STJ63</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151</v>
      </c>
      <c r="C27" s="1511" t="s">
        <v>167</v>
      </c>
      <c r="D27" s="1511" t="s">
        <v>145</v>
      </c>
      <c r="E27" s="1512"/>
      <c r="F27" s="1513">
        <v>22.680000000000003</v>
      </c>
      <c r="G27" s="1514"/>
      <c r="H27" s="1515"/>
      <c r="I27" s="1513"/>
      <c r="J27" s="1514"/>
      <c r="K27" s="1515"/>
      <c r="L27" s="1516"/>
      <c r="M27" s="1517" t="s">
        <v>1397</v>
      </c>
      <c r="N27" s="1518"/>
      <c r="O27" s="1645"/>
      <c r="P27" s="245" t="b">
        <f t="shared" si="3"/>
        <v>0</v>
      </c>
      <c r="R27" s="245" t="b">
        <f t="shared" si="1"/>
        <v>0</v>
      </c>
      <c r="AO27" s="238" t="str">
        <f t="shared" si="2"/>
        <v>STJ63</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151</v>
      </c>
      <c r="C28" s="1511" t="s">
        <v>163</v>
      </c>
      <c r="D28" s="1511" t="s">
        <v>145</v>
      </c>
      <c r="E28" s="1512"/>
      <c r="F28" s="1513">
        <v>550</v>
      </c>
      <c r="G28" s="1514">
        <v>0</v>
      </c>
      <c r="H28" s="1515">
        <v>0</v>
      </c>
      <c r="I28" s="1513">
        <v>0</v>
      </c>
      <c r="J28" s="1514">
        <v>33</v>
      </c>
      <c r="K28" s="1515">
        <v>0</v>
      </c>
      <c r="L28" s="1516" t="s">
        <v>702</v>
      </c>
      <c r="M28" s="1517" t="s">
        <v>1397</v>
      </c>
      <c r="N28" s="1689"/>
      <c r="O28" s="1644"/>
      <c r="P28" s="245" t="b">
        <f t="shared" si="3"/>
        <v>0</v>
      </c>
      <c r="R28" s="245" t="b">
        <f t="shared" si="1"/>
        <v>0</v>
      </c>
      <c r="AO28" s="238" t="str">
        <f t="shared" si="2"/>
        <v>STJ63</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146</v>
      </c>
      <c r="C29" s="1511" t="s">
        <v>165</v>
      </c>
      <c r="D29" s="1511" t="s">
        <v>145</v>
      </c>
      <c r="E29" s="1512"/>
      <c r="F29" s="1513">
        <v>600</v>
      </c>
      <c r="G29" s="1514">
        <v>3</v>
      </c>
      <c r="H29" s="1515">
        <v>0</v>
      </c>
      <c r="I29" s="1513"/>
      <c r="J29" s="1514"/>
      <c r="K29" s="1515"/>
      <c r="L29" s="1516" t="s">
        <v>702</v>
      </c>
      <c r="M29" s="1517" t="s">
        <v>1397</v>
      </c>
      <c r="N29" s="1689"/>
      <c r="O29" s="1644"/>
      <c r="P29" s="245" t="b">
        <f t="shared" si="3"/>
        <v>0</v>
      </c>
      <c r="R29" s="245" t="b">
        <f t="shared" si="1"/>
        <v>0</v>
      </c>
      <c r="AO29" s="238" t="str">
        <f t="shared" si="2"/>
        <v>STJ63</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t="s">
        <v>1838</v>
      </c>
      <c r="B30" s="1511" t="s">
        <v>151</v>
      </c>
      <c r="C30" s="1511" t="s">
        <v>165</v>
      </c>
      <c r="D30" s="1511" t="s">
        <v>145</v>
      </c>
      <c r="E30" s="1512"/>
      <c r="F30" s="1513">
        <v>125</v>
      </c>
      <c r="G30" s="1514"/>
      <c r="H30" s="1515"/>
      <c r="I30" s="1513"/>
      <c r="J30" s="1514"/>
      <c r="K30" s="1515"/>
      <c r="L30" s="1516"/>
      <c r="M30" s="1517" t="s">
        <v>1397</v>
      </c>
      <c r="N30" s="1689" t="s">
        <v>116</v>
      </c>
      <c r="O30" s="1644"/>
      <c r="P30" s="245" t="b">
        <f t="shared" si="3"/>
        <v>0</v>
      </c>
      <c r="R30" s="245" t="b">
        <f t="shared" si="1"/>
        <v>0</v>
      </c>
      <c r="AO30" s="238" t="str">
        <f t="shared" si="2"/>
        <v>SJ64</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151</v>
      </c>
      <c r="C31" s="1511" t="s">
        <v>167</v>
      </c>
      <c r="D31" s="1511" t="s">
        <v>145</v>
      </c>
      <c r="E31" s="1512"/>
      <c r="F31" s="1513">
        <v>22.680000000000003</v>
      </c>
      <c r="G31" s="1514"/>
      <c r="H31" s="1515"/>
      <c r="I31" s="1513"/>
      <c r="J31" s="1514"/>
      <c r="K31" s="1515"/>
      <c r="L31" s="1516"/>
      <c r="M31" s="1516" t="s">
        <v>1397</v>
      </c>
      <c r="N31" s="1689" t="s">
        <v>116</v>
      </c>
      <c r="O31" s="1644"/>
      <c r="P31" s="245" t="b">
        <f t="shared" si="3"/>
        <v>0</v>
      </c>
      <c r="R31" s="245" t="b">
        <f t="shared" si="1"/>
        <v>0</v>
      </c>
      <c r="AO31" s="238" t="str">
        <f t="shared" si="2"/>
        <v>SJ64</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151</v>
      </c>
      <c r="C32" s="1511" t="s">
        <v>163</v>
      </c>
      <c r="D32" s="1511" t="s">
        <v>145</v>
      </c>
      <c r="E32" s="1512"/>
      <c r="F32" s="1513">
        <v>550</v>
      </c>
      <c r="G32" s="1514">
        <v>0</v>
      </c>
      <c r="H32" s="1515">
        <v>0</v>
      </c>
      <c r="I32" s="1513">
        <v>0</v>
      </c>
      <c r="J32" s="1514">
        <v>33</v>
      </c>
      <c r="K32" s="1515">
        <v>0</v>
      </c>
      <c r="L32" s="1516" t="s">
        <v>702</v>
      </c>
      <c r="M32" s="1516" t="s">
        <v>1397</v>
      </c>
      <c r="N32" s="1689" t="s">
        <v>116</v>
      </c>
      <c r="O32" s="1644"/>
      <c r="P32" s="245" t="b">
        <f t="shared" si="3"/>
        <v>0</v>
      </c>
      <c r="R32" s="245" t="b">
        <f t="shared" si="1"/>
        <v>0</v>
      </c>
      <c r="AO32" s="238" t="str">
        <f t="shared" si="2"/>
        <v>SJ64</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154</v>
      </c>
      <c r="C33" s="1511" t="s">
        <v>165</v>
      </c>
      <c r="D33" s="1511" t="s">
        <v>145</v>
      </c>
      <c r="E33" s="1512"/>
      <c r="F33" s="1513">
        <v>540</v>
      </c>
      <c r="G33" s="1514"/>
      <c r="H33" s="1515"/>
      <c r="I33" s="1513"/>
      <c r="J33" s="1514"/>
      <c r="K33" s="1515"/>
      <c r="L33" s="1516" t="s">
        <v>116</v>
      </c>
      <c r="M33" s="1516" t="s">
        <v>1397</v>
      </c>
      <c r="N33" s="1689" t="s">
        <v>116</v>
      </c>
      <c r="O33" s="1644"/>
      <c r="P33" s="245" t="b">
        <f t="shared" si="3"/>
        <v>0</v>
      </c>
      <c r="R33" s="245" t="b">
        <f t="shared" si="1"/>
        <v>1</v>
      </c>
      <c r="AO33" s="238" t="str">
        <f t="shared" si="2"/>
        <v>SJ64</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146</v>
      </c>
      <c r="C34" s="1511" t="s">
        <v>165</v>
      </c>
      <c r="D34" s="1511" t="s">
        <v>145</v>
      </c>
      <c r="E34" s="1512"/>
      <c r="F34" s="1513">
        <v>600</v>
      </c>
      <c r="G34" s="1514">
        <v>3</v>
      </c>
      <c r="H34" s="1515">
        <v>0</v>
      </c>
      <c r="I34" s="1513"/>
      <c r="J34" s="1514"/>
      <c r="K34" s="1515"/>
      <c r="L34" s="1516" t="s">
        <v>702</v>
      </c>
      <c r="M34" s="1516" t="s">
        <v>1397</v>
      </c>
      <c r="N34" s="1689" t="s">
        <v>116</v>
      </c>
      <c r="O34" s="1644"/>
      <c r="P34" s="245" t="b">
        <f t="shared" si="3"/>
        <v>0</v>
      </c>
      <c r="R34" s="245" t="b">
        <f t="shared" si="1"/>
        <v>0</v>
      </c>
      <c r="AO34" s="238" t="str">
        <f t="shared" si="2"/>
        <v>SJ64</v>
      </c>
      <c r="AP34" s="945" t="b">
        <v>0</v>
      </c>
      <c r="AQ34" s="1322"/>
      <c r="AR34" s="1323"/>
      <c r="AS34" s="1323"/>
      <c r="AT34" s="1323"/>
      <c r="AU34" s="1323"/>
      <c r="AV34" s="1323"/>
      <c r="AW34" s="1323"/>
      <c r="AX34" s="1323"/>
      <c r="AY34" s="1323"/>
      <c r="AZ34" s="1323"/>
      <c r="BA34" s="1532"/>
      <c r="BB34" s="1532"/>
      <c r="BC34" s="1533"/>
    </row>
    <row r="35" spans="1:55" ht="14.1" customHeight="1" x14ac:dyDescent="0.2">
      <c r="A35" s="1510" t="s">
        <v>1839</v>
      </c>
      <c r="B35" s="1511" t="s">
        <v>151</v>
      </c>
      <c r="C35" s="1511" t="s">
        <v>165</v>
      </c>
      <c r="D35" s="1511" t="s">
        <v>145</v>
      </c>
      <c r="E35" s="1512"/>
      <c r="F35" s="1513">
        <v>125</v>
      </c>
      <c r="G35" s="1514"/>
      <c r="H35" s="1515"/>
      <c r="I35" s="1513"/>
      <c r="J35" s="1514"/>
      <c r="K35" s="1515"/>
      <c r="L35" s="1516"/>
      <c r="M35" s="1516" t="s">
        <v>1397</v>
      </c>
      <c r="N35" s="1689" t="s">
        <v>116</v>
      </c>
      <c r="O35" s="1644"/>
      <c r="P35" s="245" t="b">
        <f t="shared" si="3"/>
        <v>0</v>
      </c>
      <c r="R35" s="245" t="b">
        <f t="shared" si="1"/>
        <v>0</v>
      </c>
      <c r="AO35" s="238" t="str">
        <f t="shared" si="2"/>
        <v>SJ65</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151</v>
      </c>
      <c r="C36" s="1511" t="s">
        <v>167</v>
      </c>
      <c r="D36" s="1511" t="s">
        <v>145</v>
      </c>
      <c r="E36" s="1512"/>
      <c r="F36" s="1513">
        <v>22.680000000000003</v>
      </c>
      <c r="G36" s="1514"/>
      <c r="H36" s="1515"/>
      <c r="I36" s="1513"/>
      <c r="J36" s="1514"/>
      <c r="K36" s="1515"/>
      <c r="L36" s="1516"/>
      <c r="M36" s="1516" t="s">
        <v>1397</v>
      </c>
      <c r="N36" s="1689" t="s">
        <v>116</v>
      </c>
      <c r="O36" s="1644"/>
      <c r="P36" s="245" t="b">
        <f t="shared" si="3"/>
        <v>0</v>
      </c>
      <c r="R36" s="245" t="b">
        <f t="shared" si="1"/>
        <v>0</v>
      </c>
      <c r="AO36" s="238" t="str">
        <f t="shared" si="2"/>
        <v>SJ65</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151</v>
      </c>
      <c r="C37" s="1511" t="s">
        <v>163</v>
      </c>
      <c r="D37" s="1511" t="s">
        <v>145</v>
      </c>
      <c r="E37" s="1512"/>
      <c r="F37" s="1513">
        <v>550</v>
      </c>
      <c r="G37" s="1514">
        <v>0</v>
      </c>
      <c r="H37" s="1515">
        <v>0</v>
      </c>
      <c r="I37" s="1513">
        <v>0</v>
      </c>
      <c r="J37" s="1514">
        <v>33</v>
      </c>
      <c r="K37" s="1515">
        <v>0</v>
      </c>
      <c r="L37" s="1516" t="s">
        <v>702</v>
      </c>
      <c r="M37" s="1516" t="s">
        <v>1397</v>
      </c>
      <c r="N37" s="1689" t="s">
        <v>116</v>
      </c>
      <c r="O37" s="1644"/>
      <c r="P37" s="245" t="b">
        <f t="shared" si="3"/>
        <v>0</v>
      </c>
      <c r="R37" s="245" t="b">
        <f t="shared" si="1"/>
        <v>0</v>
      </c>
      <c r="AO37" s="238" t="str">
        <f t="shared" si="2"/>
        <v>SJ65</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151</v>
      </c>
      <c r="C38" s="1511" t="s">
        <v>165</v>
      </c>
      <c r="D38" s="1511" t="s">
        <v>145</v>
      </c>
      <c r="E38" s="1512"/>
      <c r="F38" s="1513">
        <v>24</v>
      </c>
      <c r="G38" s="1514"/>
      <c r="H38" s="1515"/>
      <c r="I38" s="1513"/>
      <c r="J38" s="1514"/>
      <c r="K38" s="1515"/>
      <c r="L38" s="1516" t="s">
        <v>116</v>
      </c>
      <c r="M38" s="1516" t="s">
        <v>1397</v>
      </c>
      <c r="N38" s="1689" t="s">
        <v>116</v>
      </c>
      <c r="O38" s="1644"/>
      <c r="P38" s="245" t="b">
        <f t="shared" si="3"/>
        <v>0</v>
      </c>
      <c r="R38" s="245" t="b">
        <f t="shared" si="1"/>
        <v>0</v>
      </c>
      <c r="AO38" s="238" t="str">
        <f t="shared" si="2"/>
        <v>SJ65</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146</v>
      </c>
      <c r="C39" s="1511" t="s">
        <v>165</v>
      </c>
      <c r="D39" s="1511" t="s">
        <v>145</v>
      </c>
      <c r="E39" s="1512"/>
      <c r="F39" s="1513">
        <v>600</v>
      </c>
      <c r="G39" s="1514">
        <v>3</v>
      </c>
      <c r="H39" s="1515">
        <v>0</v>
      </c>
      <c r="I39" s="1513"/>
      <c r="J39" s="1514"/>
      <c r="K39" s="1515"/>
      <c r="L39" s="1516" t="s">
        <v>702</v>
      </c>
      <c r="M39" s="1516" t="s">
        <v>1397</v>
      </c>
      <c r="N39" s="1689" t="s">
        <v>116</v>
      </c>
      <c r="O39" s="1644"/>
      <c r="P39" s="245" t="b">
        <f t="shared" si="3"/>
        <v>0</v>
      </c>
      <c r="R39" s="245" t="b">
        <f t="shared" si="1"/>
        <v>0</v>
      </c>
      <c r="AO39" s="238" t="str">
        <f t="shared" si="2"/>
        <v>SJ65</v>
      </c>
      <c r="AP39" s="945" t="b">
        <v>0</v>
      </c>
      <c r="AQ39" s="1322"/>
      <c r="AR39" s="1323"/>
      <c r="AS39" s="1323"/>
      <c r="AT39" s="1323"/>
      <c r="AU39" s="1323"/>
      <c r="AV39" s="1323"/>
      <c r="AW39" s="1323"/>
      <c r="AX39" s="1323"/>
      <c r="AY39" s="1323"/>
      <c r="AZ39" s="1323"/>
      <c r="BA39" s="1532"/>
      <c r="BB39" s="1532"/>
      <c r="BC39" s="1533"/>
    </row>
    <row r="40" spans="1:55" ht="14.1" customHeight="1" x14ac:dyDescent="0.2">
      <c r="A40" s="1510" t="s">
        <v>1840</v>
      </c>
      <c r="B40" s="1511" t="s">
        <v>151</v>
      </c>
      <c r="C40" s="1511" t="s">
        <v>165</v>
      </c>
      <c r="D40" s="1511" t="s">
        <v>145</v>
      </c>
      <c r="E40" s="1512"/>
      <c r="F40" s="1513">
        <v>125</v>
      </c>
      <c r="G40" s="1514"/>
      <c r="H40" s="1515"/>
      <c r="I40" s="1513"/>
      <c r="J40" s="1514"/>
      <c r="K40" s="1515"/>
      <c r="L40" s="1516"/>
      <c r="M40" s="1516" t="s">
        <v>1397</v>
      </c>
      <c r="N40" s="1689" t="s">
        <v>116</v>
      </c>
      <c r="O40" s="1644"/>
      <c r="P40" s="245" t="b">
        <f t="shared" si="3"/>
        <v>0</v>
      </c>
      <c r="R40" s="245" t="b">
        <f t="shared" si="1"/>
        <v>0</v>
      </c>
      <c r="AO40" s="238" t="str">
        <f t="shared" si="2"/>
        <v>SJ66</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151</v>
      </c>
      <c r="C41" s="1511" t="s">
        <v>167</v>
      </c>
      <c r="D41" s="1511" t="s">
        <v>145</v>
      </c>
      <c r="E41" s="1512"/>
      <c r="F41" s="1513">
        <v>22.680000000000003</v>
      </c>
      <c r="G41" s="1514"/>
      <c r="H41" s="1515"/>
      <c r="I41" s="1513"/>
      <c r="J41" s="1514"/>
      <c r="K41" s="1515"/>
      <c r="L41" s="1516"/>
      <c r="M41" s="1516" t="s">
        <v>1397</v>
      </c>
      <c r="N41" s="1689" t="s">
        <v>116</v>
      </c>
      <c r="O41" s="1644"/>
      <c r="P41" s="245" t="b">
        <f t="shared" si="3"/>
        <v>0</v>
      </c>
      <c r="R41" s="245" t="b">
        <f t="shared" si="1"/>
        <v>0</v>
      </c>
      <c r="AO41" s="238" t="str">
        <f t="shared" si="2"/>
        <v>SJ66</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151</v>
      </c>
      <c r="C42" s="1511" t="s">
        <v>163</v>
      </c>
      <c r="D42" s="1511" t="s">
        <v>145</v>
      </c>
      <c r="E42" s="1512"/>
      <c r="F42" s="1513">
        <v>550</v>
      </c>
      <c r="G42" s="1514">
        <v>0</v>
      </c>
      <c r="H42" s="1515">
        <v>0</v>
      </c>
      <c r="I42" s="1513">
        <v>0</v>
      </c>
      <c r="J42" s="1514">
        <v>33</v>
      </c>
      <c r="K42" s="1515">
        <v>0</v>
      </c>
      <c r="L42" s="1516" t="s">
        <v>702</v>
      </c>
      <c r="M42" s="1516" t="s">
        <v>1397</v>
      </c>
      <c r="N42" s="1689" t="s">
        <v>116</v>
      </c>
      <c r="O42" s="1644"/>
      <c r="P42" s="245" t="b">
        <f t="shared" si="3"/>
        <v>0</v>
      </c>
      <c r="R42" s="245" t="b">
        <f t="shared" si="1"/>
        <v>0</v>
      </c>
      <c r="AO42" s="238" t="str">
        <f t="shared" si="2"/>
        <v>SJ66</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151</v>
      </c>
      <c r="C43" s="1511" t="s">
        <v>165</v>
      </c>
      <c r="D43" s="1511" t="s">
        <v>145</v>
      </c>
      <c r="E43" s="1512"/>
      <c r="F43" s="1513">
        <v>24</v>
      </c>
      <c r="G43" s="1514"/>
      <c r="H43" s="1515"/>
      <c r="I43" s="1513"/>
      <c r="J43" s="1514"/>
      <c r="K43" s="1515"/>
      <c r="L43" s="1516" t="s">
        <v>116</v>
      </c>
      <c r="M43" s="1516" t="s">
        <v>1397</v>
      </c>
      <c r="N43" s="1689" t="s">
        <v>116</v>
      </c>
      <c r="O43" s="1644"/>
      <c r="P43" s="245" t="b">
        <f t="shared" si="3"/>
        <v>0</v>
      </c>
      <c r="R43" s="245" t="b">
        <f t="shared" si="1"/>
        <v>0</v>
      </c>
      <c r="AO43" s="238" t="str">
        <f t="shared" si="2"/>
        <v>SJ66</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146</v>
      </c>
      <c r="C44" s="1511" t="s">
        <v>165</v>
      </c>
      <c r="D44" s="1511" t="s">
        <v>145</v>
      </c>
      <c r="E44" s="1512"/>
      <c r="F44" s="1513">
        <v>600</v>
      </c>
      <c r="G44" s="1514">
        <v>3</v>
      </c>
      <c r="H44" s="1515">
        <v>0</v>
      </c>
      <c r="I44" s="1513"/>
      <c r="J44" s="1514"/>
      <c r="K44" s="1515"/>
      <c r="L44" s="1516" t="s">
        <v>702</v>
      </c>
      <c r="M44" s="1516" t="s">
        <v>1397</v>
      </c>
      <c r="N44" s="1689" t="s">
        <v>116</v>
      </c>
      <c r="O44" s="1644"/>
      <c r="P44" s="245" t="b">
        <f t="shared" si="3"/>
        <v>0</v>
      </c>
      <c r="R44" s="245" t="b">
        <f t="shared" si="1"/>
        <v>0</v>
      </c>
      <c r="AO44" s="238" t="str">
        <f t="shared" si="2"/>
        <v>SJ66</v>
      </c>
      <c r="AP44" s="945" t="b">
        <v>0</v>
      </c>
      <c r="AQ44" s="1322"/>
      <c r="AR44" s="1323"/>
      <c r="AS44" s="1323"/>
      <c r="AT44" s="1323"/>
      <c r="AU44" s="1323"/>
      <c r="AV44" s="1323"/>
      <c r="AW44" s="1323"/>
      <c r="AX44" s="1323"/>
      <c r="AY44" s="1323"/>
      <c r="AZ44" s="1323"/>
      <c r="BA44" s="1532"/>
      <c r="BB44" s="1532"/>
      <c r="BC44" s="1533"/>
    </row>
    <row r="45" spans="1:55" ht="14.1" customHeight="1" x14ac:dyDescent="0.2">
      <c r="A45" s="1510" t="s">
        <v>1841</v>
      </c>
      <c r="B45" s="1511" t="s">
        <v>151</v>
      </c>
      <c r="C45" s="1511" t="s">
        <v>165</v>
      </c>
      <c r="D45" s="1511" t="s">
        <v>145</v>
      </c>
      <c r="E45" s="1512"/>
      <c r="F45" s="1513">
        <v>125</v>
      </c>
      <c r="G45" s="1514"/>
      <c r="H45" s="1515"/>
      <c r="I45" s="1513"/>
      <c r="J45" s="1514"/>
      <c r="K45" s="1515"/>
      <c r="L45" s="1516"/>
      <c r="M45" s="1516" t="s">
        <v>1397</v>
      </c>
      <c r="N45" s="1689" t="s">
        <v>116</v>
      </c>
      <c r="O45" s="1644"/>
      <c r="P45" s="245" t="b">
        <f t="shared" si="3"/>
        <v>0</v>
      </c>
      <c r="R45" s="245" t="b">
        <f t="shared" si="1"/>
        <v>0</v>
      </c>
      <c r="AO45" s="238" t="str">
        <f t="shared" si="2"/>
        <v>SJ67</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151</v>
      </c>
      <c r="C46" s="1511" t="s">
        <v>167</v>
      </c>
      <c r="D46" s="1511" t="s">
        <v>145</v>
      </c>
      <c r="E46" s="1512"/>
      <c r="F46" s="1513">
        <v>22.680000000000003</v>
      </c>
      <c r="G46" s="1514"/>
      <c r="H46" s="1515"/>
      <c r="I46" s="1513"/>
      <c r="J46" s="1514"/>
      <c r="K46" s="1515"/>
      <c r="L46" s="1516"/>
      <c r="M46" s="1516" t="s">
        <v>1397</v>
      </c>
      <c r="N46" s="1689" t="s">
        <v>116</v>
      </c>
      <c r="O46" s="1644"/>
      <c r="P46" s="245" t="b">
        <f t="shared" si="3"/>
        <v>0</v>
      </c>
      <c r="R46" s="245" t="b">
        <f t="shared" si="1"/>
        <v>0</v>
      </c>
      <c r="AO46" s="238" t="str">
        <f t="shared" si="2"/>
        <v>SJ67</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151</v>
      </c>
      <c r="C47" s="1511" t="s">
        <v>163</v>
      </c>
      <c r="D47" s="1511" t="s">
        <v>145</v>
      </c>
      <c r="E47" s="1512"/>
      <c r="F47" s="1513">
        <v>249</v>
      </c>
      <c r="G47" s="1514">
        <v>0</v>
      </c>
      <c r="H47" s="1515">
        <v>0</v>
      </c>
      <c r="I47" s="1513">
        <v>0</v>
      </c>
      <c r="J47" s="1514">
        <v>16</v>
      </c>
      <c r="K47" s="1515">
        <v>4</v>
      </c>
      <c r="L47" s="1516" t="s">
        <v>702</v>
      </c>
      <c r="M47" s="1516" t="s">
        <v>1397</v>
      </c>
      <c r="N47" s="1689" t="s">
        <v>116</v>
      </c>
      <c r="O47" s="1644"/>
      <c r="P47" s="245" t="b">
        <f t="shared" si="3"/>
        <v>0</v>
      </c>
      <c r="R47" s="245" t="b">
        <f t="shared" si="1"/>
        <v>0</v>
      </c>
      <c r="AO47" s="238" t="str">
        <f t="shared" si="2"/>
        <v>SJ67</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151</v>
      </c>
      <c r="C48" s="1511" t="s">
        <v>165</v>
      </c>
      <c r="D48" s="1511" t="s">
        <v>145</v>
      </c>
      <c r="E48" s="1512"/>
      <c r="F48" s="1513">
        <v>24</v>
      </c>
      <c r="G48" s="1514"/>
      <c r="H48" s="1515"/>
      <c r="I48" s="1513"/>
      <c r="J48" s="1514"/>
      <c r="K48" s="1515"/>
      <c r="L48" s="1516" t="s">
        <v>116</v>
      </c>
      <c r="M48" s="1516" t="s">
        <v>1397</v>
      </c>
      <c r="N48" s="1689" t="s">
        <v>116</v>
      </c>
      <c r="O48" s="1644"/>
      <c r="P48" s="245" t="b">
        <f t="shared" si="3"/>
        <v>0</v>
      </c>
      <c r="R48" s="245" t="b">
        <f t="shared" si="1"/>
        <v>0</v>
      </c>
      <c r="AO48" s="238" t="str">
        <f t="shared" si="2"/>
        <v>SJ67</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146</v>
      </c>
      <c r="C49" s="1511" t="s">
        <v>165</v>
      </c>
      <c r="D49" s="1511" t="s">
        <v>145</v>
      </c>
      <c r="E49" s="1512"/>
      <c r="F49" s="1513">
        <v>600</v>
      </c>
      <c r="G49" s="1514">
        <v>3</v>
      </c>
      <c r="H49" s="1515">
        <v>0</v>
      </c>
      <c r="I49" s="1513"/>
      <c r="J49" s="1514"/>
      <c r="K49" s="1515"/>
      <c r="L49" s="1516" t="s">
        <v>702</v>
      </c>
      <c r="M49" s="1516" t="s">
        <v>1397</v>
      </c>
      <c r="N49" s="1689" t="s">
        <v>116</v>
      </c>
      <c r="O49" s="1644"/>
      <c r="P49" s="245" t="b">
        <f t="shared" si="3"/>
        <v>0</v>
      </c>
      <c r="R49" s="245" t="b">
        <f t="shared" si="1"/>
        <v>0</v>
      </c>
      <c r="AO49" s="238" t="str">
        <f t="shared" si="2"/>
        <v>SJ67</v>
      </c>
      <c r="AP49" s="945" t="b">
        <v>0</v>
      </c>
      <c r="AQ49" s="1322"/>
      <c r="AR49" s="1323"/>
      <c r="AS49" s="1323"/>
      <c r="AT49" s="1323"/>
      <c r="AU49" s="1323"/>
      <c r="AV49" s="1323"/>
      <c r="AW49" s="1323"/>
      <c r="AX49" s="1323"/>
      <c r="AY49" s="1323"/>
      <c r="AZ49" s="1323"/>
      <c r="BA49" s="1532"/>
      <c r="BB49" s="1532"/>
      <c r="BC49" s="1533"/>
    </row>
    <row r="50" spans="1:55" ht="14.1" customHeight="1" x14ac:dyDescent="0.2">
      <c r="A50" s="1510" t="s">
        <v>1842</v>
      </c>
      <c r="B50" s="1511" t="s">
        <v>151</v>
      </c>
      <c r="C50" s="1511" t="s">
        <v>165</v>
      </c>
      <c r="D50" s="1511" t="s">
        <v>145</v>
      </c>
      <c r="E50" s="1512"/>
      <c r="F50" s="1513">
        <v>125</v>
      </c>
      <c r="G50" s="1514"/>
      <c r="H50" s="1515"/>
      <c r="I50" s="1513"/>
      <c r="J50" s="1514"/>
      <c r="K50" s="1515"/>
      <c r="L50" s="1516"/>
      <c r="M50" s="1516" t="s">
        <v>1397</v>
      </c>
      <c r="N50" s="1689" t="s">
        <v>116</v>
      </c>
      <c r="O50" s="1644"/>
      <c r="P50" s="245" t="b">
        <f t="shared" si="3"/>
        <v>0</v>
      </c>
      <c r="R50" s="245" t="b">
        <f t="shared" si="1"/>
        <v>0</v>
      </c>
      <c r="AO50" s="238" t="str">
        <f t="shared" si="2"/>
        <v>SJ68</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151</v>
      </c>
      <c r="C51" s="1511" t="s">
        <v>167</v>
      </c>
      <c r="D51" s="1511" t="s">
        <v>145</v>
      </c>
      <c r="E51" s="1512"/>
      <c r="F51" s="1513">
        <v>22.680000000000003</v>
      </c>
      <c r="G51" s="1514"/>
      <c r="H51" s="1515"/>
      <c r="I51" s="1513"/>
      <c r="J51" s="1514"/>
      <c r="K51" s="1515"/>
      <c r="L51" s="1516"/>
      <c r="M51" s="1516" t="s">
        <v>1397</v>
      </c>
      <c r="N51" s="1689" t="s">
        <v>116</v>
      </c>
      <c r="O51" s="1644"/>
      <c r="P51" s="245" t="b">
        <f t="shared" si="3"/>
        <v>0</v>
      </c>
      <c r="R51" s="245" t="b">
        <f t="shared" si="1"/>
        <v>0</v>
      </c>
      <c r="AO51" s="238" t="str">
        <f t="shared" si="2"/>
        <v>SJ68</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151</v>
      </c>
      <c r="C52" s="1511" t="s">
        <v>163</v>
      </c>
      <c r="D52" s="1511" t="s">
        <v>145</v>
      </c>
      <c r="E52" s="1512"/>
      <c r="F52" s="1513">
        <v>249</v>
      </c>
      <c r="G52" s="1514">
        <v>0</v>
      </c>
      <c r="H52" s="1515">
        <v>0</v>
      </c>
      <c r="I52" s="1513">
        <v>0</v>
      </c>
      <c r="J52" s="1514">
        <v>16</v>
      </c>
      <c r="K52" s="1515">
        <v>4</v>
      </c>
      <c r="L52" s="1516" t="s">
        <v>702</v>
      </c>
      <c r="M52" s="1516" t="s">
        <v>1397</v>
      </c>
      <c r="N52" s="1689" t="s">
        <v>116</v>
      </c>
      <c r="O52" s="1644"/>
      <c r="P52" s="245" t="b">
        <f t="shared" si="3"/>
        <v>0</v>
      </c>
      <c r="R52" s="245" t="b">
        <f t="shared" si="1"/>
        <v>0</v>
      </c>
      <c r="AO52" s="238" t="str">
        <f t="shared" si="2"/>
        <v>SJ68</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151</v>
      </c>
      <c r="C53" s="1511" t="s">
        <v>165</v>
      </c>
      <c r="D53" s="1511" t="s">
        <v>145</v>
      </c>
      <c r="E53" s="1512"/>
      <c r="F53" s="1513">
        <v>24</v>
      </c>
      <c r="G53" s="1514"/>
      <c r="H53" s="1515"/>
      <c r="I53" s="1513"/>
      <c r="J53" s="1514"/>
      <c r="K53" s="1515"/>
      <c r="L53" s="1516" t="s">
        <v>116</v>
      </c>
      <c r="M53" s="1516" t="s">
        <v>1397</v>
      </c>
      <c r="N53" s="1689" t="s">
        <v>116</v>
      </c>
      <c r="O53" s="1644"/>
      <c r="P53" s="245" t="b">
        <f t="shared" si="3"/>
        <v>0</v>
      </c>
      <c r="R53" s="245" t="b">
        <f t="shared" si="1"/>
        <v>0</v>
      </c>
      <c r="AO53" s="238" t="str">
        <f t="shared" si="2"/>
        <v>SJ68</v>
      </c>
      <c r="AP53" s="945" t="b">
        <v>0</v>
      </c>
      <c r="AQ53" s="1322"/>
      <c r="AR53" s="1323"/>
      <c r="AS53" s="1323"/>
      <c r="AT53" s="1323"/>
      <c r="AU53" s="1323"/>
      <c r="AV53" s="1323"/>
      <c r="AW53" s="1323"/>
      <c r="AX53" s="1323"/>
      <c r="AY53" s="1323"/>
      <c r="AZ53" s="1323"/>
      <c r="BA53" s="1532"/>
      <c r="BB53" s="1532"/>
      <c r="BC53" s="1533"/>
    </row>
    <row r="54" spans="1:55" ht="14.1" customHeight="1" x14ac:dyDescent="0.2">
      <c r="A54" s="1510" t="s">
        <v>1843</v>
      </c>
      <c r="B54" s="1511" t="s">
        <v>151</v>
      </c>
      <c r="C54" s="1511" t="s">
        <v>165</v>
      </c>
      <c r="D54" s="1511" t="s">
        <v>145</v>
      </c>
      <c r="E54" s="1512"/>
      <c r="F54" s="1513">
        <v>125</v>
      </c>
      <c r="G54" s="1514"/>
      <c r="H54" s="1515"/>
      <c r="I54" s="1513"/>
      <c r="J54" s="1514"/>
      <c r="K54" s="1515"/>
      <c r="L54" s="1516"/>
      <c r="M54" s="1516" t="s">
        <v>1397</v>
      </c>
      <c r="N54" s="1689" t="s">
        <v>116</v>
      </c>
      <c r="O54" s="1644"/>
      <c r="P54" s="245" t="b">
        <f t="shared" si="3"/>
        <v>0</v>
      </c>
      <c r="R54" s="245" t="b">
        <f t="shared" si="1"/>
        <v>0</v>
      </c>
      <c r="AO54" s="238" t="str">
        <f t="shared" si="2"/>
        <v>SJ69</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151</v>
      </c>
      <c r="C55" s="1520" t="s">
        <v>167</v>
      </c>
      <c r="D55" s="1520" t="s">
        <v>145</v>
      </c>
      <c r="E55" s="1521"/>
      <c r="F55" s="1522">
        <v>22.680000000000003</v>
      </c>
      <c r="G55" s="1523"/>
      <c r="H55" s="1524"/>
      <c r="I55" s="1522"/>
      <c r="J55" s="1523"/>
      <c r="K55" s="1524"/>
      <c r="L55" s="1525"/>
      <c r="M55" s="1525" t="s">
        <v>1397</v>
      </c>
      <c r="N55" s="1690"/>
      <c r="O55" s="1644"/>
      <c r="P55" s="245" t="b">
        <f t="shared" si="3"/>
        <v>0</v>
      </c>
      <c r="R55" s="245" t="b">
        <f t="shared" si="1"/>
        <v>0</v>
      </c>
      <c r="AO55" s="238" t="str">
        <f t="shared" si="2"/>
        <v>SJ69</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9" priority="4" stopIfTrue="1">
      <formula>AND($B14="NU",F14&lt;0)</formula>
    </cfRule>
  </conditionalFormatting>
  <conditionalFormatting sqref="B14:B55">
    <cfRule type="expression" dxfId="18" priority="5" stopIfTrue="1">
      <formula>OR(AND($B14="NU",F14&lt;0),AND($B14="NU",I14&lt;0))</formula>
    </cfRule>
  </conditionalFormatting>
  <conditionalFormatting sqref="G14:H55 J14:L55">
    <cfRule type="expression" dxfId="17" priority="6" stopIfTrue="1">
      <formula>$R14</formula>
    </cfRule>
  </conditionalFormatting>
  <conditionalFormatting sqref="I2:K4">
    <cfRule type="cellIs" dxfId="16" priority="7" stopIfTrue="1" operator="equal">
      <formula>""</formula>
    </cfRule>
  </conditionalFormatting>
  <conditionalFormatting sqref="I14:I55">
    <cfRule type="expression" dxfId="15" priority="8" stopIfTrue="1">
      <formula>OR($R14,$B14="CZ",AND($B14="NU",I14&lt;0))</formula>
    </cfRule>
  </conditionalFormatting>
  <conditionalFormatting sqref="A14:A55">
    <cfRule type="expression" dxfId="14" priority="3">
      <formula>NOT($P14)</formula>
    </cfRule>
  </conditionalFormatting>
  <conditionalFormatting sqref="B14:D55">
    <cfRule type="expression" dxfId="1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2" priority="9">
      <formula>AND(NOT($P14),$T$1)</formula>
    </cfRule>
    <cfRule type="expression" dxfId="11" priority="10">
      <formula>AND($AP14,$S$1="M")</formula>
    </cfRule>
  </conditionalFormatting>
  <conditionalFormatting sqref="L14:L55">
    <cfRule type="expression" dxfId="1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095E604E-EE10-4C39-B457-65BB15057A8F}">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2E67237F-7F82-4BCD-AB69-19619E3F71AA}">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6450BDC3-8CEC-463F-8226-223D6E891045}">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8DF74A62-FABB-424F-B1CB-619468ABBB75}">
      <formula1>IF($CA$14,$CA$16:$CA$21,$CB$16:$CB$19)</formula1>
    </dataValidation>
    <dataValidation type="list" allowBlank="1" showErrorMessage="1" errorTitle="Invalid Type" error="You MUST select a Type from the dropdown list provided._x000a__x000a_Also, make sure your Cap Lock is turned on." sqref="B14:B55" xr:uid="{865AF97E-9489-4A1F-A53E-81A444D17F5D}">
      <formula1>$BF$15:$BU$15</formula1>
    </dataValidation>
    <dataValidation allowBlank="1" showInputMessage="1" errorTitle="Invalid Load Case" error="You MUST use a Load Case from the list provided." sqref="M14:M55" xr:uid="{8DD42AB4-7AA3-4618-926C-8FC154E46208}"/>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FFAA7-8C68-4A6F-9387-C2C5A7034881}">
  <sheetPr codeName="Sheet42">
    <tabColor indexed="45"/>
  </sheetPr>
  <dimension ref="A1:CE65"/>
  <sheetViews>
    <sheetView showGridLines="0" tabSelected="1"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48" t="str">
        <f>IF(S1="","",VLOOKUP(S1,'Job Info.'!X:AA,4,FALSE))</f>
        <v>Master</v>
      </c>
      <c r="J1" s="1848"/>
      <c r="K1" s="1848"/>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53" t="str">
        <f>IF(S1="","",IF(VLOOKUP(S1,'Job Info.'!X:Z,2,FALSE),"Released for Fabrication",""))</f>
        <v/>
      </c>
      <c r="J2" s="1854"/>
      <c r="K2" s="1855"/>
      <c r="L2" s="375"/>
      <c r="M2" s="375" t="s">
        <v>96</v>
      </c>
      <c r="N2" s="463" t="str">
        <f ca="1">'Job Info.'!D13</f>
        <v>775-867-2140</v>
      </c>
      <c r="O2" s="1008"/>
      <c r="P2" s="1008"/>
      <c r="BE2" s="1040"/>
    </row>
    <row r="3" spans="1:83" ht="12.95" customHeight="1" x14ac:dyDescent="0.2">
      <c r="A3" s="374"/>
      <c r="B3" s="374"/>
      <c r="C3" s="374"/>
      <c r="D3" s="374"/>
      <c r="E3" s="374"/>
      <c r="F3" s="374"/>
      <c r="G3" s="374"/>
      <c r="H3" s="375"/>
      <c r="I3" s="1856"/>
      <c r="J3" s="1857"/>
      <c r="K3" s="1858"/>
      <c r="L3" s="375"/>
      <c r="M3" s="375" t="s">
        <v>98</v>
      </c>
      <c r="N3" s="463" t="str">
        <f ca="1">'Job Info.'!D14</f>
        <v>775-867-2169</v>
      </c>
      <c r="O3" s="1008"/>
      <c r="P3" s="1008"/>
    </row>
    <row r="4" spans="1:83" ht="12.95" customHeight="1" thickBot="1" x14ac:dyDescent="0.25">
      <c r="A4" s="374"/>
      <c r="B4" s="374"/>
      <c r="C4" s="374"/>
      <c r="D4" s="374"/>
      <c r="E4" s="374"/>
      <c r="F4" s="374"/>
      <c r="G4" s="374"/>
      <c r="H4" s="374"/>
      <c r="I4" s="1859" t="str">
        <f>IF(S1="","",IF(VLOOKUP(S1,'Job Info.'!X:Z,2,FALSE),VLOOKUP(S1,'Job Info.'!X:Z,3,FALSE),""))</f>
        <v/>
      </c>
      <c r="J4" s="1860"/>
      <c r="K4" s="1861"/>
      <c r="L4" s="375"/>
      <c r="M4" s="375" t="s">
        <v>97</v>
      </c>
      <c r="N4" s="463" t="str">
        <f ca="1">'Job Info.'!D15</f>
        <v>775-867-2060</v>
      </c>
      <c r="O4" s="1008"/>
      <c r="P4" s="1008"/>
    </row>
    <row r="5" spans="1:83" ht="12.95" customHeight="1" thickTop="1" x14ac:dyDescent="0.2">
      <c r="A5" s="1862" t="str">
        <f ca="1">'Job Info.'!D11</f>
        <v>8200 Woolery Way | Fallon, NV 89406 | www.newmill.com</v>
      </c>
      <c r="B5" s="1872"/>
      <c r="C5" s="1872"/>
      <c r="D5" s="1872"/>
      <c r="E5" s="1872"/>
      <c r="F5" s="1872"/>
      <c r="G5" s="1872"/>
      <c r="H5" s="1872"/>
      <c r="I5" s="1872"/>
      <c r="J5" s="1872"/>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24" t="str">
        <f>IF(ISBLANK('Job Info.'!D3),"",'Job Info.'!D3)</f>
        <v>MINDEN UPS BLDG 1</v>
      </c>
      <c r="C9" s="1824"/>
      <c r="D9" s="1824"/>
      <c r="E9" s="1824"/>
      <c r="F9" s="1824"/>
      <c r="G9" s="1824"/>
      <c r="H9" s="1825"/>
      <c r="I9" s="469"/>
      <c r="J9" s="458" t="s">
        <v>2</v>
      </c>
      <c r="K9" s="1824" t="str">
        <f>IF(ISBLANK('Job Info.'!D5),"",'Job Info.'!D5)</f>
        <v>NN22-0071</v>
      </c>
      <c r="L9" s="1874"/>
      <c r="M9" s="1874"/>
      <c r="N9" s="1875"/>
      <c r="O9" s="1056"/>
      <c r="P9" s="1056"/>
      <c r="V9" s="631"/>
    </row>
    <row r="10" spans="1:83" ht="12.6" customHeight="1" x14ac:dyDescent="0.2">
      <c r="A10" s="471" t="s">
        <v>3</v>
      </c>
      <c r="B10" s="1824" t="str">
        <f>IF(ISBLANK('Job Info.'!D4),"",'Job Info.'!D4)</f>
        <v>MINDEN, NV</v>
      </c>
      <c r="C10" s="1824"/>
      <c r="D10" s="1824"/>
      <c r="E10" s="1824"/>
      <c r="F10" s="1824"/>
      <c r="G10" s="1824"/>
      <c r="H10" s="1825"/>
      <c r="I10" s="1873" t="s">
        <v>22</v>
      </c>
      <c r="J10" s="1873"/>
      <c r="K10" s="1824" t="str">
        <f>IF(ISBLANK('Job Info.'!D6),"",'Job Info.'!D6)</f>
        <v>JMM</v>
      </c>
      <c r="L10" s="1825"/>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64" t="s">
        <v>77</v>
      </c>
      <c r="B12" s="1865"/>
      <c r="C12" s="1865"/>
      <c r="D12" s="1865"/>
      <c r="E12" s="1866"/>
      <c r="F12" s="1864" t="s">
        <v>49</v>
      </c>
      <c r="G12" s="1865"/>
      <c r="H12" s="1871"/>
      <c r="I12" s="1864" t="s">
        <v>50</v>
      </c>
      <c r="J12" s="1865"/>
      <c r="K12" s="1871"/>
      <c r="L12" s="1867" t="s">
        <v>51</v>
      </c>
      <c r="M12" s="1880" t="s">
        <v>741</v>
      </c>
      <c r="N12" s="1867" t="s">
        <v>52</v>
      </c>
      <c r="O12" s="1085"/>
      <c r="P12" s="1085"/>
      <c r="AO12" s="548" t="s">
        <v>973</v>
      </c>
      <c r="AP12" s="944" t="s">
        <v>170</v>
      </c>
      <c r="AQ12" s="1876" t="s">
        <v>1208</v>
      </c>
      <c r="AR12" s="1877"/>
      <c r="AS12" s="1877"/>
      <c r="AT12" s="1877"/>
      <c r="AU12" s="1877"/>
      <c r="AV12" s="1877"/>
      <c r="AW12" s="1877"/>
      <c r="AX12" s="1877"/>
      <c r="AY12" s="1877"/>
      <c r="AZ12" s="1878"/>
      <c r="BA12" s="1878"/>
      <c r="BB12" s="1878"/>
      <c r="BC12" s="1879"/>
      <c r="BE12" s="1530"/>
    </row>
    <row r="13" spans="1:83" s="478" customFormat="1" ht="14.1" customHeight="1" x14ac:dyDescent="0.2">
      <c r="A13" s="1049" t="s">
        <v>46</v>
      </c>
      <c r="B13" s="1050" t="s">
        <v>17</v>
      </c>
      <c r="C13" s="1050" t="s">
        <v>45</v>
      </c>
      <c r="D13" s="1050" t="s">
        <v>78</v>
      </c>
      <c r="E13" s="1326" t="s">
        <v>44</v>
      </c>
      <c r="F13" s="1049" t="s">
        <v>47</v>
      </c>
      <c r="G13" s="1869" t="s">
        <v>48</v>
      </c>
      <c r="H13" s="1870"/>
      <c r="I13" s="1049" t="s">
        <v>47</v>
      </c>
      <c r="J13" s="1869" t="s">
        <v>48</v>
      </c>
      <c r="K13" s="1870"/>
      <c r="L13" s="1868"/>
      <c r="M13" s="1881"/>
      <c r="N13" s="1882"/>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151</v>
      </c>
      <c r="C14" s="1504" t="s">
        <v>163</v>
      </c>
      <c r="D14" s="1504" t="s">
        <v>145</v>
      </c>
      <c r="E14" s="1687"/>
      <c r="F14" s="1505">
        <v>35</v>
      </c>
      <c r="G14" s="1506"/>
      <c r="H14" s="1507"/>
      <c r="I14" s="1505"/>
      <c r="J14" s="1506"/>
      <c r="K14" s="1507"/>
      <c r="L14" s="1508" t="s">
        <v>116</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151</v>
      </c>
      <c r="C15" s="1511" t="s">
        <v>163</v>
      </c>
      <c r="D15" s="1511" t="s">
        <v>145</v>
      </c>
      <c r="E15" s="1512"/>
      <c r="F15" s="1513">
        <v>514</v>
      </c>
      <c r="G15" s="1514">
        <v>0</v>
      </c>
      <c r="H15" s="1515">
        <v>0</v>
      </c>
      <c r="I15" s="1513">
        <v>0</v>
      </c>
      <c r="J15" s="1514">
        <v>30</v>
      </c>
      <c r="K15" s="1515">
        <v>9.75</v>
      </c>
      <c r="L15" s="1516" t="s">
        <v>702</v>
      </c>
      <c r="M15" s="1517" t="s">
        <v>1397</v>
      </c>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t="s">
        <v>1844</v>
      </c>
      <c r="B16" s="1511" t="s">
        <v>151</v>
      </c>
      <c r="C16" s="1511" t="s">
        <v>165</v>
      </c>
      <c r="D16" s="1511" t="s">
        <v>145</v>
      </c>
      <c r="E16" s="1512"/>
      <c r="F16" s="1513">
        <v>125</v>
      </c>
      <c r="G16" s="1514"/>
      <c r="H16" s="1515"/>
      <c r="I16" s="1513"/>
      <c r="J16" s="1514"/>
      <c r="K16" s="1515"/>
      <c r="L16" s="1516"/>
      <c r="M16" s="1517" t="s">
        <v>1397</v>
      </c>
      <c r="N16" s="1689"/>
      <c r="O16" s="1644"/>
      <c r="P16" s="245" t="b">
        <f t="shared" si="0"/>
        <v>0</v>
      </c>
      <c r="R16" s="245" t="b">
        <f t="shared" si="1"/>
        <v>0</v>
      </c>
      <c r="AO16" s="238" t="str">
        <f t="shared" si="2"/>
        <v>SJ70</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151</v>
      </c>
      <c r="C17" s="1511" t="s">
        <v>167</v>
      </c>
      <c r="D17" s="1511" t="s">
        <v>145</v>
      </c>
      <c r="E17" s="1512"/>
      <c r="F17" s="1513">
        <v>22.680000000000003</v>
      </c>
      <c r="G17" s="1514"/>
      <c r="H17" s="1515"/>
      <c r="I17" s="1513"/>
      <c r="J17" s="1514"/>
      <c r="K17" s="1515"/>
      <c r="L17" s="1516"/>
      <c r="M17" s="1517" t="s">
        <v>1397</v>
      </c>
      <c r="N17" s="1689"/>
      <c r="O17" s="1644"/>
      <c r="P17" s="245" t="b">
        <f>IF(ISERROR(VLOOKUP(AO17,BE:BE,1,FALSE)),FALSE,IF(AO17&lt;&gt;"",VLOOKUP(AO17,BE:BE,1,FALSE)=AO17))</f>
        <v>0</v>
      </c>
      <c r="R17" s="245" t="b">
        <f t="shared" si="1"/>
        <v>0</v>
      </c>
      <c r="AO17" s="238" t="str">
        <f t="shared" si="2"/>
        <v>SJ70</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151</v>
      </c>
      <c r="C18" s="1511" t="s">
        <v>165</v>
      </c>
      <c r="D18" s="1511" t="s">
        <v>145</v>
      </c>
      <c r="E18" s="1512"/>
      <c r="F18" s="1513">
        <v>24</v>
      </c>
      <c r="G18" s="1514"/>
      <c r="H18" s="1515"/>
      <c r="I18" s="1513"/>
      <c r="J18" s="1514"/>
      <c r="K18" s="1515"/>
      <c r="L18" s="1516" t="s">
        <v>116</v>
      </c>
      <c r="M18" s="1517" t="s">
        <v>1397</v>
      </c>
      <c r="N18" s="1689"/>
      <c r="O18" s="1644"/>
      <c r="P18" s="245" t="b">
        <f t="shared" ref="P18:P55" si="3">IF(ISERROR(VLOOKUP(AO18,BE:BE,1,FALSE)),FALSE,IF(AO18&lt;&gt;"",VLOOKUP(AO18,BE:BE,1,FALSE)=AO18))</f>
        <v>0</v>
      </c>
      <c r="R18" s="245" t="b">
        <f t="shared" si="1"/>
        <v>0</v>
      </c>
      <c r="AO18" s="238" t="str">
        <f t="shared" si="2"/>
        <v>SJ70</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146</v>
      </c>
      <c r="C19" s="1511" t="s">
        <v>165</v>
      </c>
      <c r="D19" s="1511" t="s">
        <v>145</v>
      </c>
      <c r="E19" s="1512"/>
      <c r="F19" s="1513">
        <v>150</v>
      </c>
      <c r="G19" s="1514">
        <v>18</v>
      </c>
      <c r="H19" s="1515">
        <v>0</v>
      </c>
      <c r="I19" s="1513"/>
      <c r="J19" s="1514"/>
      <c r="K19" s="1515"/>
      <c r="L19" s="1516" t="s">
        <v>700</v>
      </c>
      <c r="M19" s="1517" t="s">
        <v>1397</v>
      </c>
      <c r="N19" s="1689" t="s">
        <v>116</v>
      </c>
      <c r="O19" s="1644"/>
      <c r="P19" s="245" t="b">
        <f t="shared" si="3"/>
        <v>0</v>
      </c>
      <c r="R19" s="245" t="b">
        <f t="shared" si="1"/>
        <v>0</v>
      </c>
      <c r="AO19" s="238" t="str">
        <f t="shared" si="2"/>
        <v>SJ70</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t="s">
        <v>1845</v>
      </c>
      <c r="B20" s="1511" t="s">
        <v>151</v>
      </c>
      <c r="C20" s="1511" t="s">
        <v>165</v>
      </c>
      <c r="D20" s="1511" t="s">
        <v>145</v>
      </c>
      <c r="E20" s="1512"/>
      <c r="F20" s="1513">
        <v>125</v>
      </c>
      <c r="G20" s="1514"/>
      <c r="H20" s="1515"/>
      <c r="I20" s="1513"/>
      <c r="J20" s="1514"/>
      <c r="K20" s="1515"/>
      <c r="L20" s="1516"/>
      <c r="M20" s="1517" t="s">
        <v>1397</v>
      </c>
      <c r="N20" s="1518"/>
      <c r="O20" s="1645"/>
      <c r="P20" s="245" t="b">
        <f t="shared" si="3"/>
        <v>0</v>
      </c>
      <c r="R20" s="245" t="b">
        <f t="shared" si="1"/>
        <v>0</v>
      </c>
      <c r="AO20" s="238" t="str">
        <f t="shared" si="2"/>
        <v>SJ71</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151</v>
      </c>
      <c r="C21" s="1511" t="s">
        <v>167</v>
      </c>
      <c r="D21" s="1511" t="s">
        <v>145</v>
      </c>
      <c r="E21" s="1512"/>
      <c r="F21" s="1513">
        <v>22.680000000000003</v>
      </c>
      <c r="G21" s="1514"/>
      <c r="H21" s="1515"/>
      <c r="I21" s="1513"/>
      <c r="J21" s="1514"/>
      <c r="K21" s="1515"/>
      <c r="L21" s="1516"/>
      <c r="M21" s="1517" t="s">
        <v>1397</v>
      </c>
      <c r="N21" s="1518"/>
      <c r="O21" s="1645"/>
      <c r="P21" s="245" t="b">
        <f t="shared" si="3"/>
        <v>0</v>
      </c>
      <c r="R21" s="245" t="b">
        <f t="shared" si="1"/>
        <v>0</v>
      </c>
      <c r="AO21" s="238" t="str">
        <f t="shared" si="2"/>
        <v>SJ71</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151</v>
      </c>
      <c r="C22" s="1511" t="s">
        <v>165</v>
      </c>
      <c r="D22" s="1511" t="s">
        <v>145</v>
      </c>
      <c r="E22" s="1512"/>
      <c r="F22" s="1513">
        <v>24</v>
      </c>
      <c r="G22" s="1514"/>
      <c r="H22" s="1515"/>
      <c r="I22" s="1513"/>
      <c r="J22" s="1514"/>
      <c r="K22" s="1515"/>
      <c r="L22" s="1516" t="s">
        <v>116</v>
      </c>
      <c r="M22" s="1517" t="s">
        <v>1397</v>
      </c>
      <c r="N22" s="1518"/>
      <c r="O22" s="1645"/>
      <c r="P22" s="245" t="b">
        <f t="shared" si="3"/>
        <v>0</v>
      </c>
      <c r="R22" s="245" t="b">
        <f t="shared" si="1"/>
        <v>0</v>
      </c>
      <c r="AO22" s="238" t="str">
        <f t="shared" si="2"/>
        <v>SJ71</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146</v>
      </c>
      <c r="C23" s="1511" t="s">
        <v>165</v>
      </c>
      <c r="D23" s="1511" t="s">
        <v>145</v>
      </c>
      <c r="E23" s="1512"/>
      <c r="F23" s="1513">
        <v>150</v>
      </c>
      <c r="G23" s="1514">
        <v>18</v>
      </c>
      <c r="H23" s="1515">
        <v>0</v>
      </c>
      <c r="I23" s="1513"/>
      <c r="J23" s="1514"/>
      <c r="K23" s="1515"/>
      <c r="L23" s="1516" t="s">
        <v>700</v>
      </c>
      <c r="M23" s="1517" t="s">
        <v>1397</v>
      </c>
      <c r="N23" s="1518"/>
      <c r="O23" s="1645"/>
      <c r="P23" s="245" t="b">
        <f t="shared" si="3"/>
        <v>0</v>
      </c>
      <c r="R23" s="245" t="b">
        <f t="shared" si="1"/>
        <v>0</v>
      </c>
      <c r="AO23" s="238" t="str">
        <f t="shared" si="2"/>
        <v>SJ71</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t="s">
        <v>1846</v>
      </c>
      <c r="B24" s="1511" t="s">
        <v>151</v>
      </c>
      <c r="C24" s="1511" t="s">
        <v>165</v>
      </c>
      <c r="D24" s="1511" t="s">
        <v>145</v>
      </c>
      <c r="E24" s="1512"/>
      <c r="F24" s="1513">
        <v>125</v>
      </c>
      <c r="G24" s="1514"/>
      <c r="H24" s="1515"/>
      <c r="I24" s="1513"/>
      <c r="J24" s="1514"/>
      <c r="K24" s="1515"/>
      <c r="L24" s="1516"/>
      <c r="M24" s="1517" t="s">
        <v>1397</v>
      </c>
      <c r="N24" s="1518"/>
      <c r="O24" s="1645"/>
      <c r="P24" s="245" t="b">
        <f t="shared" si="3"/>
        <v>0</v>
      </c>
      <c r="R24" s="245" t="b">
        <f t="shared" si="1"/>
        <v>0</v>
      </c>
      <c r="AO24" s="238" t="str">
        <f t="shared" si="2"/>
        <v>SJ72</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151</v>
      </c>
      <c r="C25" s="1511" t="s">
        <v>167</v>
      </c>
      <c r="D25" s="1511" t="s">
        <v>145</v>
      </c>
      <c r="E25" s="1512"/>
      <c r="F25" s="1513">
        <v>22.680000000000003</v>
      </c>
      <c r="G25" s="1514"/>
      <c r="H25" s="1515"/>
      <c r="I25" s="1513"/>
      <c r="J25" s="1514"/>
      <c r="K25" s="1515"/>
      <c r="L25" s="1516"/>
      <c r="M25" s="1517" t="s">
        <v>1397</v>
      </c>
      <c r="N25" s="1518"/>
      <c r="O25" s="1645"/>
      <c r="P25" s="245" t="b">
        <f t="shared" si="3"/>
        <v>0</v>
      </c>
      <c r="R25" s="245" t="b">
        <f t="shared" si="1"/>
        <v>0</v>
      </c>
      <c r="AO25" s="238" t="str">
        <f t="shared" si="2"/>
        <v>SJ72</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163</v>
      </c>
      <c r="D26" s="1511" t="s">
        <v>145</v>
      </c>
      <c r="E26" s="1512"/>
      <c r="F26" s="1513">
        <v>424</v>
      </c>
      <c r="G26" s="1514">
        <v>0</v>
      </c>
      <c r="H26" s="1515">
        <v>0</v>
      </c>
      <c r="I26" s="1513">
        <v>0</v>
      </c>
      <c r="J26" s="1514">
        <v>20</v>
      </c>
      <c r="K26" s="1515">
        <v>9</v>
      </c>
      <c r="L26" s="1516" t="s">
        <v>702</v>
      </c>
      <c r="M26" s="1517" t="s">
        <v>1397</v>
      </c>
      <c r="N26" s="1518"/>
      <c r="O26" s="1645"/>
      <c r="P26" s="245" t="b">
        <f t="shared" si="3"/>
        <v>0</v>
      </c>
      <c r="R26" s="245" t="b">
        <f t="shared" si="1"/>
        <v>0</v>
      </c>
      <c r="AO26" s="238" t="str">
        <f t="shared" si="2"/>
        <v>SJ72</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154</v>
      </c>
      <c r="C27" s="1511" t="s">
        <v>165</v>
      </c>
      <c r="D27" s="1511" t="s">
        <v>145</v>
      </c>
      <c r="E27" s="1512"/>
      <c r="F27" s="1513">
        <v>540</v>
      </c>
      <c r="G27" s="1514"/>
      <c r="H27" s="1515"/>
      <c r="I27" s="1513"/>
      <c r="J27" s="1514"/>
      <c r="K27" s="1515"/>
      <c r="L27" s="1516" t="s">
        <v>116</v>
      </c>
      <c r="M27" s="1517" t="s">
        <v>1397</v>
      </c>
      <c r="N27" s="1518"/>
      <c r="O27" s="1645"/>
      <c r="P27" s="245" t="b">
        <f t="shared" si="3"/>
        <v>0</v>
      </c>
      <c r="R27" s="245" t="b">
        <f t="shared" si="1"/>
        <v>1</v>
      </c>
      <c r="AO27" s="238" t="str">
        <f t="shared" si="2"/>
        <v>SJ72</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t="s">
        <v>1847</v>
      </c>
      <c r="B28" s="1511" t="s">
        <v>151</v>
      </c>
      <c r="C28" s="1511" t="s">
        <v>165</v>
      </c>
      <c r="D28" s="1511" t="s">
        <v>145</v>
      </c>
      <c r="E28" s="1512"/>
      <c r="F28" s="1513">
        <v>125</v>
      </c>
      <c r="G28" s="1514"/>
      <c r="H28" s="1515"/>
      <c r="I28" s="1513"/>
      <c r="J28" s="1514"/>
      <c r="K28" s="1515"/>
      <c r="L28" s="1516"/>
      <c r="M28" s="1517" t="s">
        <v>1397</v>
      </c>
      <c r="N28" s="1689"/>
      <c r="O28" s="1644"/>
      <c r="P28" s="245" t="b">
        <f t="shared" si="3"/>
        <v>0</v>
      </c>
      <c r="R28" s="245" t="b">
        <f t="shared" si="1"/>
        <v>0</v>
      </c>
      <c r="AO28" s="238" t="str">
        <f t="shared" si="2"/>
        <v>SJ73</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151</v>
      </c>
      <c r="C29" s="1511" t="s">
        <v>167</v>
      </c>
      <c r="D29" s="1511" t="s">
        <v>145</v>
      </c>
      <c r="E29" s="1512"/>
      <c r="F29" s="1513">
        <v>22.680000000000003</v>
      </c>
      <c r="G29" s="1514"/>
      <c r="H29" s="1515"/>
      <c r="I29" s="1513"/>
      <c r="J29" s="1514"/>
      <c r="K29" s="1515"/>
      <c r="L29" s="1516"/>
      <c r="M29" s="1517" t="s">
        <v>1397</v>
      </c>
      <c r="N29" s="1689"/>
      <c r="O29" s="1644"/>
      <c r="P29" s="245" t="b">
        <f t="shared" si="3"/>
        <v>0</v>
      </c>
      <c r="R29" s="245" t="b">
        <f t="shared" si="1"/>
        <v>0</v>
      </c>
      <c r="AO29" s="238" t="str">
        <f t="shared" si="2"/>
        <v>SJ73</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151</v>
      </c>
      <c r="C30" s="1511" t="s">
        <v>163</v>
      </c>
      <c r="D30" s="1511" t="s">
        <v>145</v>
      </c>
      <c r="E30" s="1512"/>
      <c r="F30" s="1513">
        <v>35</v>
      </c>
      <c r="G30" s="1514"/>
      <c r="H30" s="1515"/>
      <c r="I30" s="1513"/>
      <c r="J30" s="1514"/>
      <c r="K30" s="1515"/>
      <c r="L30" s="1516" t="s">
        <v>116</v>
      </c>
      <c r="M30" s="1517" t="s">
        <v>1397</v>
      </c>
      <c r="N30" s="1689" t="s">
        <v>116</v>
      </c>
      <c r="O30" s="1644"/>
      <c r="P30" s="245" t="b">
        <f t="shared" si="3"/>
        <v>0</v>
      </c>
      <c r="R30" s="245" t="b">
        <f t="shared" si="1"/>
        <v>0</v>
      </c>
      <c r="AO30" s="238" t="str">
        <f t="shared" si="2"/>
        <v>SJ73</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151</v>
      </c>
      <c r="C31" s="1511" t="s">
        <v>163</v>
      </c>
      <c r="D31" s="1511" t="s">
        <v>145</v>
      </c>
      <c r="E31" s="1512"/>
      <c r="F31" s="1513">
        <v>514</v>
      </c>
      <c r="G31" s="1514">
        <v>0</v>
      </c>
      <c r="H31" s="1515">
        <v>0</v>
      </c>
      <c r="I31" s="1513">
        <v>0</v>
      </c>
      <c r="J31" s="1514">
        <v>30</v>
      </c>
      <c r="K31" s="1515">
        <v>9.75</v>
      </c>
      <c r="L31" s="1516" t="s">
        <v>702</v>
      </c>
      <c r="M31" s="1516" t="s">
        <v>1397</v>
      </c>
      <c r="N31" s="1689" t="s">
        <v>116</v>
      </c>
      <c r="O31" s="1644"/>
      <c r="P31" s="245" t="b">
        <f t="shared" si="3"/>
        <v>0</v>
      </c>
      <c r="R31" s="245" t="b">
        <f t="shared" si="1"/>
        <v>0</v>
      </c>
      <c r="AO31" s="238" t="str">
        <f t="shared" si="2"/>
        <v>SJ73</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c r="C32" s="1511"/>
      <c r="D32" s="1511"/>
      <c r="E32" s="1512"/>
      <c r="F32" s="1513"/>
      <c r="G32" s="1514"/>
      <c r="H32" s="1515"/>
      <c r="I32" s="1513"/>
      <c r="J32" s="1514"/>
      <c r="K32" s="1515"/>
      <c r="L32" s="1516"/>
      <c r="M32" s="1516"/>
      <c r="N32" s="1689" t="s">
        <v>116</v>
      </c>
      <c r="O32" s="1644"/>
      <c r="P32" s="245" t="b">
        <f t="shared" si="3"/>
        <v>0</v>
      </c>
      <c r="R32" s="245" t="b">
        <f t="shared" si="1"/>
        <v>0</v>
      </c>
      <c r="AO32" s="238" t="str">
        <f t="shared" si="2"/>
        <v>SJ73</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c r="C33" s="1511"/>
      <c r="D33" s="1511"/>
      <c r="E33" s="1512"/>
      <c r="F33" s="1513"/>
      <c r="G33" s="1514"/>
      <c r="H33" s="1515"/>
      <c r="I33" s="1513"/>
      <c r="J33" s="1514"/>
      <c r="K33" s="1515"/>
      <c r="L33" s="1516"/>
      <c r="M33" s="1516"/>
      <c r="N33" s="1689" t="s">
        <v>116</v>
      </c>
      <c r="O33" s="1644"/>
      <c r="P33" s="245" t="b">
        <f t="shared" si="3"/>
        <v>0</v>
      </c>
      <c r="R33" s="245" t="b">
        <f t="shared" si="1"/>
        <v>0</v>
      </c>
      <c r="AO33" s="238" t="str">
        <f t="shared" si="2"/>
        <v>SJ73</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c r="C34" s="1511"/>
      <c r="D34" s="1511"/>
      <c r="E34" s="1512"/>
      <c r="F34" s="1513"/>
      <c r="G34" s="1514"/>
      <c r="H34" s="1515"/>
      <c r="I34" s="1513"/>
      <c r="J34" s="1514"/>
      <c r="K34" s="1515"/>
      <c r="L34" s="1516"/>
      <c r="M34" s="1516"/>
      <c r="N34" s="1689" t="s">
        <v>116</v>
      </c>
      <c r="O34" s="1644"/>
      <c r="P34" s="245" t="b">
        <f t="shared" si="3"/>
        <v>0</v>
      </c>
      <c r="R34" s="245" t="b">
        <f t="shared" si="1"/>
        <v>0</v>
      </c>
      <c r="AO34" s="238" t="str">
        <f t="shared" si="2"/>
        <v>SJ73</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c r="C35" s="1511"/>
      <c r="D35" s="1511"/>
      <c r="E35" s="1512"/>
      <c r="F35" s="1513"/>
      <c r="G35" s="1514"/>
      <c r="H35" s="1515"/>
      <c r="I35" s="1513"/>
      <c r="J35" s="1514"/>
      <c r="K35" s="1515"/>
      <c r="L35" s="1516"/>
      <c r="M35" s="1516"/>
      <c r="N35" s="1689" t="s">
        <v>116</v>
      </c>
      <c r="O35" s="1644"/>
      <c r="P35" s="245" t="b">
        <f t="shared" si="3"/>
        <v>0</v>
      </c>
      <c r="R35" s="245" t="b">
        <f t="shared" si="1"/>
        <v>0</v>
      </c>
      <c r="AO35" s="238" t="str">
        <f t="shared" si="2"/>
        <v>SJ73</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c r="C36" s="1511"/>
      <c r="D36" s="1511"/>
      <c r="E36" s="1512"/>
      <c r="F36" s="1513"/>
      <c r="G36" s="1514"/>
      <c r="H36" s="1515"/>
      <c r="I36" s="1513"/>
      <c r="J36" s="1514"/>
      <c r="K36" s="1515"/>
      <c r="L36" s="1516"/>
      <c r="M36" s="1516"/>
      <c r="N36" s="1689" t="s">
        <v>116</v>
      </c>
      <c r="O36" s="1644"/>
      <c r="P36" s="245" t="b">
        <f t="shared" si="3"/>
        <v>0</v>
      </c>
      <c r="R36" s="245" t="b">
        <f t="shared" si="1"/>
        <v>0</v>
      </c>
      <c r="AO36" s="238" t="str">
        <f t="shared" si="2"/>
        <v>SJ73</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c r="C37" s="1511"/>
      <c r="D37" s="1511"/>
      <c r="E37" s="1512"/>
      <c r="F37" s="1513"/>
      <c r="G37" s="1514"/>
      <c r="H37" s="1515"/>
      <c r="I37" s="1513"/>
      <c r="J37" s="1514"/>
      <c r="K37" s="1515"/>
      <c r="L37" s="1516"/>
      <c r="M37" s="1516"/>
      <c r="N37" s="1689" t="s">
        <v>116</v>
      </c>
      <c r="O37" s="1644"/>
      <c r="P37" s="245" t="b">
        <f t="shared" si="3"/>
        <v>0</v>
      </c>
      <c r="R37" s="245" t="b">
        <f t="shared" si="1"/>
        <v>0</v>
      </c>
      <c r="AO37" s="238" t="str">
        <f t="shared" si="2"/>
        <v>SJ73</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c r="C38" s="1511"/>
      <c r="D38" s="1511"/>
      <c r="E38" s="1512"/>
      <c r="F38" s="1513"/>
      <c r="G38" s="1514"/>
      <c r="H38" s="1515"/>
      <c r="I38" s="1513"/>
      <c r="J38" s="1514"/>
      <c r="K38" s="1515"/>
      <c r="L38" s="1516"/>
      <c r="M38" s="1516"/>
      <c r="N38" s="1689" t="s">
        <v>116</v>
      </c>
      <c r="O38" s="1644"/>
      <c r="P38" s="245" t="b">
        <f t="shared" si="3"/>
        <v>0</v>
      </c>
      <c r="R38" s="245" t="b">
        <f t="shared" si="1"/>
        <v>0</v>
      </c>
      <c r="AO38" s="238" t="str">
        <f t="shared" si="2"/>
        <v>SJ73</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c r="C39" s="1511"/>
      <c r="D39" s="1511"/>
      <c r="E39" s="1512"/>
      <c r="F39" s="1513"/>
      <c r="G39" s="1514"/>
      <c r="H39" s="1515"/>
      <c r="I39" s="1513"/>
      <c r="J39" s="1514"/>
      <c r="K39" s="1515"/>
      <c r="L39" s="1516"/>
      <c r="M39" s="1516"/>
      <c r="N39" s="1689" t="s">
        <v>116</v>
      </c>
      <c r="O39" s="1644"/>
      <c r="P39" s="245" t="b">
        <f t="shared" si="3"/>
        <v>0</v>
      </c>
      <c r="R39" s="245" t="b">
        <f t="shared" si="1"/>
        <v>0</v>
      </c>
      <c r="AO39" s="238" t="str">
        <f t="shared" si="2"/>
        <v>SJ73</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c r="C40" s="1511"/>
      <c r="D40" s="1511"/>
      <c r="E40" s="1512"/>
      <c r="F40" s="1513"/>
      <c r="G40" s="1514"/>
      <c r="H40" s="1515"/>
      <c r="I40" s="1513"/>
      <c r="J40" s="1514"/>
      <c r="K40" s="1515"/>
      <c r="L40" s="1516"/>
      <c r="M40" s="1516"/>
      <c r="N40" s="1689" t="s">
        <v>116</v>
      </c>
      <c r="O40" s="1644"/>
      <c r="P40" s="245" t="b">
        <f t="shared" si="3"/>
        <v>0</v>
      </c>
      <c r="R40" s="245" t="b">
        <f t="shared" si="1"/>
        <v>0</v>
      </c>
      <c r="AO40" s="238" t="str">
        <f t="shared" si="2"/>
        <v>SJ73</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c r="C41" s="1511"/>
      <c r="D41" s="1511"/>
      <c r="E41" s="1512"/>
      <c r="F41" s="1513"/>
      <c r="G41" s="1514"/>
      <c r="H41" s="1515"/>
      <c r="I41" s="1513"/>
      <c r="J41" s="1514"/>
      <c r="K41" s="1515"/>
      <c r="L41" s="1516"/>
      <c r="M41" s="1516"/>
      <c r="N41" s="1689" t="s">
        <v>116</v>
      </c>
      <c r="O41" s="1644"/>
      <c r="P41" s="245" t="b">
        <f t="shared" si="3"/>
        <v>0</v>
      </c>
      <c r="R41" s="245" t="b">
        <f t="shared" si="1"/>
        <v>0</v>
      </c>
      <c r="AO41" s="238" t="str">
        <f t="shared" si="2"/>
        <v>SJ73</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c r="C42" s="1511"/>
      <c r="D42" s="1511"/>
      <c r="E42" s="1512"/>
      <c r="F42" s="1513"/>
      <c r="G42" s="1514"/>
      <c r="H42" s="1515"/>
      <c r="I42" s="1513"/>
      <c r="J42" s="1514"/>
      <c r="K42" s="1515"/>
      <c r="L42" s="1516"/>
      <c r="M42" s="1516"/>
      <c r="N42" s="1689" t="s">
        <v>116</v>
      </c>
      <c r="O42" s="1644"/>
      <c r="P42" s="245" t="b">
        <f t="shared" si="3"/>
        <v>0</v>
      </c>
      <c r="R42" s="245" t="b">
        <f t="shared" si="1"/>
        <v>0</v>
      </c>
      <c r="AO42" s="238" t="str">
        <f t="shared" si="2"/>
        <v>SJ73</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c r="C43" s="1511"/>
      <c r="D43" s="1511"/>
      <c r="E43" s="1512"/>
      <c r="F43" s="1513"/>
      <c r="G43" s="1514"/>
      <c r="H43" s="1515"/>
      <c r="I43" s="1513"/>
      <c r="J43" s="1514"/>
      <c r="K43" s="1515"/>
      <c r="L43" s="1516"/>
      <c r="M43" s="1516"/>
      <c r="N43" s="1689" t="s">
        <v>116</v>
      </c>
      <c r="O43" s="1644"/>
      <c r="P43" s="245" t="b">
        <f t="shared" si="3"/>
        <v>0</v>
      </c>
      <c r="R43" s="245" t="b">
        <f t="shared" si="1"/>
        <v>0</v>
      </c>
      <c r="AO43" s="238" t="str">
        <f t="shared" si="2"/>
        <v>SJ73</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c r="C44" s="1511"/>
      <c r="D44" s="1511"/>
      <c r="E44" s="1512"/>
      <c r="F44" s="1513"/>
      <c r="G44" s="1514"/>
      <c r="H44" s="1515"/>
      <c r="I44" s="1513"/>
      <c r="J44" s="1514"/>
      <c r="K44" s="1515"/>
      <c r="L44" s="1516"/>
      <c r="M44" s="1516"/>
      <c r="N44" s="1689" t="s">
        <v>116</v>
      </c>
      <c r="O44" s="1644"/>
      <c r="P44" s="245" t="b">
        <f t="shared" si="3"/>
        <v>0</v>
      </c>
      <c r="R44" s="245" t="b">
        <f t="shared" si="1"/>
        <v>0</v>
      </c>
      <c r="AO44" s="238" t="str">
        <f t="shared" si="2"/>
        <v>SJ73</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c r="C45" s="1511"/>
      <c r="D45" s="1511"/>
      <c r="E45" s="1512"/>
      <c r="F45" s="1513"/>
      <c r="G45" s="1514"/>
      <c r="H45" s="1515"/>
      <c r="I45" s="1513"/>
      <c r="J45" s="1514"/>
      <c r="K45" s="1515"/>
      <c r="L45" s="1516"/>
      <c r="M45" s="1516"/>
      <c r="N45" s="1689" t="s">
        <v>116</v>
      </c>
      <c r="O45" s="1644"/>
      <c r="P45" s="245" t="b">
        <f t="shared" si="3"/>
        <v>0</v>
      </c>
      <c r="R45" s="245" t="b">
        <f t="shared" si="1"/>
        <v>0</v>
      </c>
      <c r="AO45" s="238" t="str">
        <f t="shared" si="2"/>
        <v>SJ73</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c r="C46" s="1511"/>
      <c r="D46" s="1511"/>
      <c r="E46" s="1512"/>
      <c r="F46" s="1513"/>
      <c r="G46" s="1514"/>
      <c r="H46" s="1515"/>
      <c r="I46" s="1513"/>
      <c r="J46" s="1514"/>
      <c r="K46" s="1515"/>
      <c r="L46" s="1516"/>
      <c r="M46" s="1516"/>
      <c r="N46" s="1689" t="s">
        <v>116</v>
      </c>
      <c r="O46" s="1644"/>
      <c r="P46" s="245" t="b">
        <f t="shared" si="3"/>
        <v>0</v>
      </c>
      <c r="R46" s="245" t="b">
        <f t="shared" si="1"/>
        <v>0</v>
      </c>
      <c r="AO46" s="238" t="str">
        <f t="shared" si="2"/>
        <v>SJ73</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c r="C47" s="1511"/>
      <c r="D47" s="1511"/>
      <c r="E47" s="1512"/>
      <c r="F47" s="1513"/>
      <c r="G47" s="1514"/>
      <c r="H47" s="1515"/>
      <c r="I47" s="1513"/>
      <c r="J47" s="1514"/>
      <c r="K47" s="1515"/>
      <c r="L47" s="1516"/>
      <c r="M47" s="1516"/>
      <c r="N47" s="1689" t="s">
        <v>116</v>
      </c>
      <c r="O47" s="1644"/>
      <c r="P47" s="245" t="b">
        <f t="shared" si="3"/>
        <v>0</v>
      </c>
      <c r="R47" s="245" t="b">
        <f t="shared" si="1"/>
        <v>0</v>
      </c>
      <c r="AO47" s="238" t="str">
        <f t="shared" si="2"/>
        <v>SJ73</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c r="C48" s="1511"/>
      <c r="D48" s="1511"/>
      <c r="E48" s="1512"/>
      <c r="F48" s="1513"/>
      <c r="G48" s="1514"/>
      <c r="H48" s="1515"/>
      <c r="I48" s="1513"/>
      <c r="J48" s="1514"/>
      <c r="K48" s="1515"/>
      <c r="L48" s="1516"/>
      <c r="M48" s="1516"/>
      <c r="N48" s="1689" t="s">
        <v>116</v>
      </c>
      <c r="O48" s="1644"/>
      <c r="P48" s="245" t="b">
        <f t="shared" si="3"/>
        <v>0</v>
      </c>
      <c r="R48" s="245" t="b">
        <f t="shared" si="1"/>
        <v>0</v>
      </c>
      <c r="AO48" s="238" t="str">
        <f t="shared" si="2"/>
        <v>SJ73</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c r="C49" s="1511"/>
      <c r="D49" s="1511"/>
      <c r="E49" s="1512"/>
      <c r="F49" s="1513"/>
      <c r="G49" s="1514"/>
      <c r="H49" s="1515"/>
      <c r="I49" s="1513"/>
      <c r="J49" s="1514"/>
      <c r="K49" s="1515"/>
      <c r="L49" s="1516"/>
      <c r="M49" s="1516"/>
      <c r="N49" s="1689" t="s">
        <v>116</v>
      </c>
      <c r="O49" s="1644"/>
      <c r="P49" s="245" t="b">
        <f t="shared" si="3"/>
        <v>0</v>
      </c>
      <c r="R49" s="245" t="b">
        <f t="shared" si="1"/>
        <v>0</v>
      </c>
      <c r="AO49" s="238" t="str">
        <f t="shared" si="2"/>
        <v>SJ73</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c r="C50" s="1511"/>
      <c r="D50" s="1511"/>
      <c r="E50" s="1512"/>
      <c r="F50" s="1513"/>
      <c r="G50" s="1514"/>
      <c r="H50" s="1515"/>
      <c r="I50" s="1513"/>
      <c r="J50" s="1514"/>
      <c r="K50" s="1515"/>
      <c r="L50" s="1516"/>
      <c r="M50" s="1516"/>
      <c r="N50" s="1689" t="s">
        <v>116</v>
      </c>
      <c r="O50" s="1644"/>
      <c r="P50" s="245" t="b">
        <f t="shared" si="3"/>
        <v>0</v>
      </c>
      <c r="R50" s="245" t="b">
        <f t="shared" si="1"/>
        <v>0</v>
      </c>
      <c r="AO50" s="238" t="str">
        <f t="shared" si="2"/>
        <v>SJ73</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c r="C51" s="1511"/>
      <c r="D51" s="1511"/>
      <c r="E51" s="1512"/>
      <c r="F51" s="1513"/>
      <c r="G51" s="1514"/>
      <c r="H51" s="1515"/>
      <c r="I51" s="1513"/>
      <c r="J51" s="1514"/>
      <c r="K51" s="1515"/>
      <c r="L51" s="1516"/>
      <c r="M51" s="1516"/>
      <c r="N51" s="1689" t="s">
        <v>116</v>
      </c>
      <c r="O51" s="1644"/>
      <c r="P51" s="245" t="b">
        <f t="shared" si="3"/>
        <v>0</v>
      </c>
      <c r="R51" s="245" t="b">
        <f t="shared" si="1"/>
        <v>0</v>
      </c>
      <c r="AO51" s="238" t="str">
        <f t="shared" si="2"/>
        <v>SJ73</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c r="C52" s="1511"/>
      <c r="D52" s="1511"/>
      <c r="E52" s="1512"/>
      <c r="F52" s="1513"/>
      <c r="G52" s="1514"/>
      <c r="H52" s="1515"/>
      <c r="I52" s="1513"/>
      <c r="J52" s="1514"/>
      <c r="K52" s="1515"/>
      <c r="L52" s="1516"/>
      <c r="M52" s="1516"/>
      <c r="N52" s="1689" t="s">
        <v>116</v>
      </c>
      <c r="O52" s="1644"/>
      <c r="P52" s="245" t="b">
        <f t="shared" si="3"/>
        <v>0</v>
      </c>
      <c r="R52" s="245" t="b">
        <f t="shared" si="1"/>
        <v>0</v>
      </c>
      <c r="AO52" s="238" t="str">
        <f t="shared" si="2"/>
        <v>SJ73</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c r="C53" s="1511"/>
      <c r="D53" s="1511"/>
      <c r="E53" s="1512"/>
      <c r="F53" s="1513"/>
      <c r="G53" s="1514"/>
      <c r="H53" s="1515"/>
      <c r="I53" s="1513"/>
      <c r="J53" s="1514"/>
      <c r="K53" s="1515"/>
      <c r="L53" s="1516"/>
      <c r="M53" s="1516"/>
      <c r="N53" s="1689" t="s">
        <v>116</v>
      </c>
      <c r="O53" s="1644"/>
      <c r="P53" s="245" t="b">
        <f t="shared" si="3"/>
        <v>0</v>
      </c>
      <c r="R53" s="245" t="b">
        <f t="shared" si="1"/>
        <v>0</v>
      </c>
      <c r="AO53" s="238" t="str">
        <f t="shared" si="2"/>
        <v>SJ73</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c r="C54" s="1511"/>
      <c r="D54" s="1511"/>
      <c r="E54" s="1512"/>
      <c r="F54" s="1513"/>
      <c r="G54" s="1514"/>
      <c r="H54" s="1515"/>
      <c r="I54" s="1513"/>
      <c r="J54" s="1514"/>
      <c r="K54" s="1515"/>
      <c r="L54" s="1516"/>
      <c r="M54" s="1516"/>
      <c r="N54" s="1689" t="s">
        <v>116</v>
      </c>
      <c r="O54" s="1644"/>
      <c r="P54" s="245" t="b">
        <f t="shared" si="3"/>
        <v>0</v>
      </c>
      <c r="R54" s="245" t="b">
        <f t="shared" si="1"/>
        <v>0</v>
      </c>
      <c r="AO54" s="238" t="str">
        <f t="shared" si="2"/>
        <v>SJ73</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c r="C55" s="1520"/>
      <c r="D55" s="1520"/>
      <c r="E55" s="1521"/>
      <c r="F55" s="1522"/>
      <c r="G55" s="1523"/>
      <c r="H55" s="1524"/>
      <c r="I55" s="1522"/>
      <c r="J55" s="1523"/>
      <c r="K55" s="1524"/>
      <c r="L55" s="1525"/>
      <c r="M55" s="1525"/>
      <c r="N55" s="1690"/>
      <c r="O55" s="1644"/>
      <c r="P55" s="245" t="b">
        <f t="shared" si="3"/>
        <v>0</v>
      </c>
      <c r="R55" s="245" t="b">
        <f t="shared" si="1"/>
        <v>0</v>
      </c>
      <c r="AO55" s="238" t="str">
        <f t="shared" si="2"/>
        <v>SJ73</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9" priority="4" stopIfTrue="1">
      <formula>AND($B14="NU",F14&lt;0)</formula>
    </cfRule>
  </conditionalFormatting>
  <conditionalFormatting sqref="B14:B55">
    <cfRule type="expression" dxfId="8" priority="5" stopIfTrue="1">
      <formula>OR(AND($B14="NU",F14&lt;0),AND($B14="NU",I14&lt;0))</formula>
    </cfRule>
  </conditionalFormatting>
  <conditionalFormatting sqref="G14:H55 J14:L55">
    <cfRule type="expression" dxfId="7" priority="6" stopIfTrue="1">
      <formula>$R14</formula>
    </cfRule>
  </conditionalFormatting>
  <conditionalFormatting sqref="I2:K4">
    <cfRule type="cellIs" dxfId="6" priority="7" stopIfTrue="1" operator="equal">
      <formula>""</formula>
    </cfRule>
  </conditionalFormatting>
  <conditionalFormatting sqref="I14:I55">
    <cfRule type="expression" dxfId="5" priority="8" stopIfTrue="1">
      <formula>OR($R14,$B14="CZ",AND($B14="NU",I14&lt;0))</formula>
    </cfRule>
  </conditionalFormatting>
  <conditionalFormatting sqref="A14:A55">
    <cfRule type="expression" dxfId="4" priority="3">
      <formula>NOT($P14)</formula>
    </cfRule>
  </conditionalFormatting>
  <conditionalFormatting sqref="B14:D55">
    <cfRule type="expression" dxfId="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2" priority="9">
      <formula>AND(NOT($P14),$T$1)</formula>
    </cfRule>
    <cfRule type="expression" dxfId="1" priority="10">
      <formula>AND($AP14,$S$1="M")</formula>
    </cfRule>
  </conditionalFormatting>
  <conditionalFormatting sqref="L14:L55">
    <cfRule type="expression" dxfId="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0947E6FD-31F2-40FE-A5DF-1583D3958CFA}">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10A0BDDB-5166-4F8F-8677-FA3EC6E771BF}">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2F5D06DD-0E8A-41B9-BCC0-54D5471E56A0}">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30E5D90C-FE1C-4E98-8CC0-620BE9FDB895}">
      <formula1>IF($CA$14,$CA$16:$CA$21,$CB$16:$CB$19)</formula1>
    </dataValidation>
    <dataValidation type="list" allowBlank="1" showErrorMessage="1" errorTitle="Invalid Type" error="You MUST select a Type from the dropdown list provided._x000a__x000a_Also, make sure your Cap Lock is turned on." sqref="B14:B55" xr:uid="{32F6882A-CCB9-4F43-BECB-955B71EAC66A}">
      <formula1>$BF$15:$BU$15</formula1>
    </dataValidation>
    <dataValidation allowBlank="1" showInputMessage="1" errorTitle="Invalid Load Case" error="You MUST use a Load Case from the list provided." sqref="M14:M55" xr:uid="{453BD805-23A6-4944-8B6C-4AE57E27BAEF}"/>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1111A-9F8D-404D-80D0-69E46254B3C1}">
  <sheetPr codeName="Sheet20">
    <tabColor indexed="51"/>
  </sheetPr>
  <dimension ref="A1:AM67"/>
  <sheetViews>
    <sheetView showGridLines="0" zoomScaleNormal="100" zoomScaleSheetLayoutView="100" workbookViewId="0">
      <selection activeCell="L7" sqref="L7"/>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1848" t="str">
        <f>IF(P1="","",VLOOKUP(P1,'Job Info.'!$X:$AA,4,FALSE))</f>
        <v>Master</v>
      </c>
      <c r="I1" s="1848"/>
      <c r="J1" s="1848"/>
      <c r="K1" s="1849" t="s">
        <v>95</v>
      </c>
      <c r="L1" s="1850"/>
      <c r="M1" s="1851" t="str">
        <f ca="1">'Job Info.'!D12</f>
        <v>775-428-0600</v>
      </c>
      <c r="N1" s="1852"/>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1853" t="str">
        <f>IF(P1="","",IF(VLOOKUP(P1,'Job Info.'!$X:$Z,2,FALSE),"Released for Fabrication",""))</f>
        <v/>
      </c>
      <c r="I2" s="1854"/>
      <c r="J2" s="1855"/>
      <c r="K2" s="1849" t="s">
        <v>96</v>
      </c>
      <c r="L2" s="1849"/>
      <c r="M2" s="1851" t="str">
        <f ca="1">'Job Info.'!D13</f>
        <v>775-867-2140</v>
      </c>
      <c r="N2" s="1852"/>
      <c r="R2" s="245" t="s">
        <v>122</v>
      </c>
      <c r="S2" s="245" t="s">
        <v>134</v>
      </c>
      <c r="T2" s="378"/>
    </row>
    <row r="3" spans="1:39" ht="12.95" customHeight="1" x14ac:dyDescent="0.2">
      <c r="A3" s="374"/>
      <c r="B3" s="462"/>
      <c r="C3" s="374"/>
      <c r="D3" s="474"/>
      <c r="E3" s="393"/>
      <c r="F3" s="393"/>
      <c r="G3" s="393"/>
      <c r="H3" s="1856"/>
      <c r="I3" s="1857"/>
      <c r="J3" s="1858"/>
      <c r="K3" s="1849" t="s">
        <v>98</v>
      </c>
      <c r="L3" s="1849"/>
      <c r="M3" s="1851" t="str">
        <f ca="1">'Job Info.'!D14</f>
        <v>775-867-2169</v>
      </c>
      <c r="N3" s="1852"/>
      <c r="R3" s="245" t="s">
        <v>123</v>
      </c>
      <c r="S3" s="245" t="s">
        <v>135</v>
      </c>
    </row>
    <row r="4" spans="1:39" ht="12.95" customHeight="1" thickBot="1" x14ac:dyDescent="0.25">
      <c r="A4" s="374"/>
      <c r="B4" s="462"/>
      <c r="C4" s="374"/>
      <c r="D4" s="474"/>
      <c r="E4" s="393"/>
      <c r="F4" s="393"/>
      <c r="G4" s="393"/>
      <c r="H4" s="1859" t="str">
        <f>IF(P1="","",IF(VLOOKUP(P1,'Job Info.'!$X:$Z,2,FALSE),VLOOKUP(P1,'Job Info.'!$X:$Z,3,FALSE),""))</f>
        <v/>
      </c>
      <c r="I4" s="1860"/>
      <c r="J4" s="1861"/>
      <c r="K4" s="1849" t="s">
        <v>97</v>
      </c>
      <c r="L4" s="1849"/>
      <c r="M4" s="1851" t="str">
        <f ca="1">'Job Info.'!D15</f>
        <v>775-867-2060</v>
      </c>
      <c r="N4" s="1852"/>
      <c r="R4" s="245" t="s">
        <v>124</v>
      </c>
      <c r="S4" s="245" t="s">
        <v>136</v>
      </c>
    </row>
    <row r="5" spans="1:39" ht="12.95" customHeight="1" thickTop="1" x14ac:dyDescent="0.2">
      <c r="A5" s="1862" t="str">
        <f ca="1">'Job Info.'!D11</f>
        <v>8200 Woolery Way | Fallon, NV 89406 | www.newmill.com</v>
      </c>
      <c r="B5" s="1898"/>
      <c r="C5" s="1898"/>
      <c r="D5" s="1898"/>
      <c r="E5" s="1898"/>
      <c r="F5" s="1898"/>
      <c r="G5" s="1898"/>
      <c r="H5" s="1898"/>
      <c r="I5" s="1898"/>
      <c r="J5" s="1898"/>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1832">
        <f>IF(ISBLANK('Job Info.'!D8),"",'Job Info.'!D8)</f>
        <v>45048</v>
      </c>
      <c r="M6" s="1832"/>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6" t="str">
        <f>CONCATENATE(P7, " of ",IF(ISBLANK('Job Info.'!D9),"",'Job Info.'!D9))</f>
        <v>6 of 19</v>
      </c>
      <c r="M7" s="658"/>
      <c r="N7" s="374"/>
      <c r="P7" s="1083">
        <v>6</v>
      </c>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1824" t="str">
        <f>IF(ISBLANK('Job Info.'!D3),"",'Job Info.'!D3)</f>
        <v>MINDEN UPS BLDG 1</v>
      </c>
      <c r="C9" s="1902"/>
      <c r="D9" s="1902"/>
      <c r="E9" s="1902"/>
      <c r="F9" s="1902"/>
      <c r="G9" s="1902"/>
      <c r="H9" s="1902"/>
      <c r="I9" s="1902"/>
      <c r="J9" s="1903"/>
      <c r="K9" s="480" t="s">
        <v>2</v>
      </c>
      <c r="L9" s="659" t="str">
        <f>IF(ISBLANK('Job Info.'!D5),"",'Job Info.'!D5)</f>
        <v>NN22-0071</v>
      </c>
      <c r="M9" s="402"/>
      <c r="N9" s="477"/>
      <c r="R9" s="245" t="s">
        <v>129</v>
      </c>
      <c r="S9" s="245" t="s">
        <v>141</v>
      </c>
    </row>
    <row r="10" spans="1:39" ht="12.6" customHeight="1" x14ac:dyDescent="0.2">
      <c r="A10" s="480" t="s">
        <v>3</v>
      </c>
      <c r="B10" s="1824" t="str">
        <f>IF(ISBLANK('Job Info.'!D4),"",'Job Info.'!D4)</f>
        <v>MINDEN, NV</v>
      </c>
      <c r="C10" s="1902"/>
      <c r="D10" s="1902"/>
      <c r="E10" s="1902"/>
      <c r="F10" s="1902"/>
      <c r="G10" s="1902"/>
      <c r="H10" s="1902"/>
      <c r="I10" s="1902"/>
      <c r="J10" s="1903"/>
      <c r="K10" s="480" t="s">
        <v>22</v>
      </c>
      <c r="L10" s="660" t="str">
        <f>IF(ISBLANK('Job Info.'!D6),"",'Job Info.'!D6)</f>
        <v>JMM</v>
      </c>
      <c r="M10" s="480" t="s">
        <v>23</v>
      </c>
      <c r="N10" s="661" t="str">
        <f>IF(ISBLANK('Job Info.'!D7),"",'Job Info.'!D7)</f>
        <v>NR</v>
      </c>
      <c r="AJ10" s="1883" t="s">
        <v>1114</v>
      </c>
      <c r="AK10" s="1884"/>
      <c r="AL10" s="1884"/>
    </row>
    <row r="11" spans="1:39" ht="3.95" customHeight="1" x14ac:dyDescent="0.2">
      <c r="A11" s="1086"/>
      <c r="B11" s="462"/>
      <c r="C11" s="374"/>
      <c r="D11" s="474"/>
      <c r="E11" s="374"/>
      <c r="F11" s="374"/>
      <c r="G11" s="374"/>
      <c r="H11" s="374"/>
      <c r="I11" s="374"/>
      <c r="J11" s="374"/>
      <c r="K11" s="374"/>
      <c r="L11" s="374"/>
      <c r="M11" s="374"/>
      <c r="N11" s="374"/>
      <c r="AJ11" s="1884"/>
      <c r="AK11" s="1884"/>
      <c r="AL11" s="1884"/>
    </row>
    <row r="12" spans="1:39" s="478" customFormat="1" ht="16.350000000000001" customHeight="1" x14ac:dyDescent="0.2">
      <c r="A12" s="1054" t="s">
        <v>54</v>
      </c>
      <c r="B12" s="1901" t="s">
        <v>120</v>
      </c>
      <c r="C12" s="1843"/>
      <c r="D12" s="1844"/>
      <c r="E12" s="1842" t="s">
        <v>1183</v>
      </c>
      <c r="F12" s="1843"/>
      <c r="G12" s="1843"/>
      <c r="H12" s="1843"/>
      <c r="I12" s="1843"/>
      <c r="J12" s="1843"/>
      <c r="K12" s="1899"/>
      <c r="L12" s="1899"/>
      <c r="M12" s="1899"/>
      <c r="N12" s="1900"/>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1885"/>
      <c r="AK12" s="1885"/>
      <c r="AL12" s="1885"/>
    </row>
    <row r="13" spans="1:39" ht="16.350000000000001" customHeight="1" x14ac:dyDescent="0.2">
      <c r="A13" s="1078" t="s">
        <v>1392</v>
      </c>
      <c r="B13" s="1079"/>
      <c r="C13" s="1057"/>
      <c r="D13" s="1080"/>
      <c r="E13" s="1895" t="s">
        <v>1393</v>
      </c>
      <c r="F13" s="1896"/>
      <c r="G13" s="1896"/>
      <c r="H13" s="1896"/>
      <c r="I13" s="1896"/>
      <c r="J13" s="1896"/>
      <c r="K13" s="1896"/>
      <c r="L13" s="1896"/>
      <c r="M13" s="1896"/>
      <c r="N13" s="1897"/>
      <c r="P13" s="464" t="str">
        <f t="shared" ref="P13:P48" si="0">CONCATENATE(IF(ISBLANK(B13),"",VLOOKUP(B13,$R$1:$S$9,2,FALSE)),IF(ISBLANK(C13),"",CONCATENATE("/",VLOOKUP(C13,$R$1:$S$9,2,FALSE))),IF(ISBLANK(D13),"",CONCATENATE("/",VLOOKUP(D13,$R$1:$S$9,2,FALSE))))</f>
        <v/>
      </c>
      <c r="R13" s="238" t="str">
        <f t="shared" ref="R13:R48" ca="1" si="1">OFFSET($R$1,R$12+(COUNTIF($R$1:$R$1,B13)),0)</f>
        <v>WHT</v>
      </c>
      <c r="S13" s="238" t="str">
        <f t="shared" ref="S13:S48" ca="1" si="2">OFFSET($R$1,S$12+(COUNTIF($R$1:$R$2,B13)),0)</f>
        <v>BRN</v>
      </c>
      <c r="T13" s="238" t="str">
        <f t="shared" ref="T13:T48" ca="1" si="3">OFFSET($R$1,T$12+(COUNTIF($R$1:$R$3,B13)),0)</f>
        <v>ORG</v>
      </c>
      <c r="U13" s="238" t="str">
        <f t="shared" ref="U13:U48" ca="1" si="4">OFFSET($R$1,U$12+(COUNTIF($R$1:$R$4,B13)),0)</f>
        <v>BLU</v>
      </c>
      <c r="V13" s="238" t="str">
        <f t="shared" ref="V13:V48" ca="1" si="5">OFFSET($R$1,V$12+(COUNTIF($R$1:$R$5,B13)),0)</f>
        <v>GRN</v>
      </c>
      <c r="W13" s="238" t="str">
        <f t="shared" ref="W13:W48" ca="1" si="6">OFFSET($R$1,W$12+(COUNTIF($R$1:$R$6,B13)),0)</f>
        <v>YLW</v>
      </c>
      <c r="X13" s="238" t="str">
        <f t="shared" ref="X13:X48" ca="1" si="7">OFFSET($R$1,X$12+(COUNTIF($R$1:$R$7,B13)),0)</f>
        <v>PRP</v>
      </c>
      <c r="Y13" s="238" t="str">
        <f t="shared" ref="Y13:Y48" ca="1" si="8">OFFSET($R$1,Y$12+(COUNTIF($R$1:$R$8,B13)),0)</f>
        <v>RED</v>
      </c>
      <c r="Z13" s="238" t="str">
        <f ca="1">OFFSET($R13,0,R$12+(COUNTIF($R13:R13,$C13)))</f>
        <v>WHT</v>
      </c>
      <c r="AA13" s="238" t="str">
        <f ca="1">OFFSET($R13,0,S$12+(COUNTIF($R13:S13,$C13)))</f>
        <v>BRN</v>
      </c>
      <c r="AB13" s="238" t="str">
        <f ca="1">OFFSET($R13,0,T$12+(COUNTIF($R13:T13,$C13)))</f>
        <v>ORG</v>
      </c>
      <c r="AC13" s="238" t="str">
        <f ca="1">OFFSET($R13,0,U$12+(COUNTIF($R13:U13,$C13)))</f>
        <v>BLU</v>
      </c>
      <c r="AD13" s="238" t="str">
        <f ca="1">OFFSET($R13,0,V$12+(COUNTIF($R13:V13,$C13)))</f>
        <v>GRN</v>
      </c>
      <c r="AE13" s="238" t="str">
        <f ca="1">OFFSET($R13,0,W$12+(COUNTIF($R13:W13,$C13)))</f>
        <v>YLW</v>
      </c>
      <c r="AF13" s="238" t="str">
        <f ca="1">OFFSET($R13,0,X$12+(COUNTIF($R13:X13,$C13)))</f>
        <v>PRP</v>
      </c>
      <c r="AG13" s="245" t="b">
        <f t="shared" ref="AG13:AH28" si="9">ISBLANK(B13)</f>
        <v>1</v>
      </c>
      <c r="AH13" s="245" t="b">
        <f t="shared" si="9"/>
        <v>1</v>
      </c>
      <c r="AJ13" s="996" t="s">
        <v>121</v>
      </c>
      <c r="AK13" s="996"/>
      <c r="AL13" s="996"/>
    </row>
    <row r="14" spans="1:39" ht="16.350000000000001" customHeight="1" x14ac:dyDescent="0.2">
      <c r="A14" s="1072" t="s">
        <v>1394</v>
      </c>
      <c r="B14" s="1074"/>
      <c r="C14" s="652"/>
      <c r="D14" s="1075"/>
      <c r="E14" s="1886" t="s">
        <v>1395</v>
      </c>
      <c r="F14" s="1887"/>
      <c r="G14" s="1887"/>
      <c r="H14" s="1887"/>
      <c r="I14" s="1887"/>
      <c r="J14" s="1887"/>
      <c r="K14" s="1887"/>
      <c r="L14" s="1887"/>
      <c r="M14" s="1887"/>
      <c r="N14" s="1888"/>
      <c r="P14" s="464" t="str">
        <f t="shared" si="0"/>
        <v/>
      </c>
      <c r="R14" s="238" t="str">
        <f t="shared" ca="1" si="1"/>
        <v>WHT</v>
      </c>
      <c r="S14" s="238" t="str">
        <f t="shared" ca="1" si="2"/>
        <v>BRN</v>
      </c>
      <c r="T14" s="238" t="str">
        <f t="shared" ca="1" si="3"/>
        <v>ORG</v>
      </c>
      <c r="U14" s="238" t="str">
        <f t="shared" ca="1" si="4"/>
        <v>BLU</v>
      </c>
      <c r="V14" s="238" t="str">
        <f t="shared" ca="1" si="5"/>
        <v>GRN</v>
      </c>
      <c r="W14" s="238" t="str">
        <f t="shared" ca="1" si="6"/>
        <v>YLW</v>
      </c>
      <c r="X14" s="238" t="str">
        <f t="shared" ca="1" si="7"/>
        <v>PRP</v>
      </c>
      <c r="Y14" s="238" t="str">
        <f t="shared" ca="1" si="8"/>
        <v>RED</v>
      </c>
      <c r="Z14" s="238" t="str">
        <f ca="1">OFFSET($R14,0,R$12+(COUNTIF($R14:R14,$C14)))</f>
        <v>WHT</v>
      </c>
      <c r="AA14" s="238" t="str">
        <f ca="1">OFFSET($R14,0,S$12+(COUNTIF($R14:S14,$C14)))</f>
        <v>BRN</v>
      </c>
      <c r="AB14" s="238" t="str">
        <f ca="1">OFFSET($R14,0,T$12+(COUNTIF($R14:T14,$C14)))</f>
        <v>ORG</v>
      </c>
      <c r="AC14" s="238" t="str">
        <f ca="1">OFFSET($R14,0,U$12+(COUNTIF($R14:U14,$C14)))</f>
        <v>BLU</v>
      </c>
      <c r="AD14" s="238" t="str">
        <f ca="1">OFFSET($R14,0,V$12+(COUNTIF($R14:V14,$C14)))</f>
        <v>GRN</v>
      </c>
      <c r="AE14" s="238" t="str">
        <f ca="1">OFFSET($R14,0,W$12+(COUNTIF($R14:W14,$C14)))</f>
        <v>YLW</v>
      </c>
      <c r="AF14" s="238" t="str">
        <f ca="1">OFFSET($R14,0,X$12+(COUNTIF($R14:X14,$C14)))</f>
        <v>PRP</v>
      </c>
      <c r="AG14" s="245" t="b">
        <f t="shared" si="9"/>
        <v>1</v>
      </c>
      <c r="AH14" s="245" t="b">
        <f t="shared" si="9"/>
        <v>1</v>
      </c>
      <c r="AJ14" s="996" t="s">
        <v>122</v>
      </c>
      <c r="AK14" s="996"/>
      <c r="AL14" s="996"/>
    </row>
    <row r="15" spans="1:39" ht="16.350000000000001" customHeight="1" x14ac:dyDescent="0.2">
      <c r="A15" s="1072" t="s">
        <v>808</v>
      </c>
      <c r="B15" s="1074"/>
      <c r="C15" s="652"/>
      <c r="D15" s="1075"/>
      <c r="E15" s="1886" t="s">
        <v>1396</v>
      </c>
      <c r="F15" s="1887"/>
      <c r="G15" s="1887"/>
      <c r="H15" s="1887"/>
      <c r="I15" s="1887"/>
      <c r="J15" s="1887"/>
      <c r="K15" s="1887"/>
      <c r="L15" s="1887"/>
      <c r="M15" s="1887"/>
      <c r="N15" s="1888"/>
      <c r="P15" s="464" t="str">
        <f t="shared" si="0"/>
        <v/>
      </c>
      <c r="R15" s="238" t="str">
        <f t="shared" ca="1" si="1"/>
        <v>WHT</v>
      </c>
      <c r="S15" s="238" t="str">
        <f t="shared" ca="1" si="2"/>
        <v>BRN</v>
      </c>
      <c r="T15" s="238" t="str">
        <f t="shared" ca="1" si="3"/>
        <v>ORG</v>
      </c>
      <c r="U15" s="238" t="str">
        <f t="shared" ca="1" si="4"/>
        <v>BLU</v>
      </c>
      <c r="V15" s="238" t="str">
        <f t="shared" ca="1" si="5"/>
        <v>GRN</v>
      </c>
      <c r="W15" s="238" t="str">
        <f t="shared" ca="1" si="6"/>
        <v>YLW</v>
      </c>
      <c r="X15" s="238" t="str">
        <f t="shared" ca="1" si="7"/>
        <v>PRP</v>
      </c>
      <c r="Y15" s="238" t="str">
        <f t="shared" ca="1" si="8"/>
        <v>RED</v>
      </c>
      <c r="Z15" s="238" t="str">
        <f ca="1">OFFSET($R15,0,R$12+(COUNTIF($R15:R15,$C15)))</f>
        <v>WHT</v>
      </c>
      <c r="AA15" s="238" t="str">
        <f ca="1">OFFSET($R15,0,S$12+(COUNTIF($R15:S15,$C15)))</f>
        <v>BRN</v>
      </c>
      <c r="AB15" s="238" t="str">
        <f ca="1">OFFSET($R15,0,T$12+(COUNTIF($R15:T15,$C15)))</f>
        <v>ORG</v>
      </c>
      <c r="AC15" s="238" t="str">
        <f ca="1">OFFSET($R15,0,U$12+(COUNTIF($R15:U15,$C15)))</f>
        <v>BLU</v>
      </c>
      <c r="AD15" s="238" t="str">
        <f ca="1">OFFSET($R15,0,V$12+(COUNTIF($R15:V15,$C15)))</f>
        <v>GRN</v>
      </c>
      <c r="AE15" s="238" t="str">
        <f ca="1">OFFSET($R15,0,W$12+(COUNTIF($R15:W15,$C15)))</f>
        <v>YLW</v>
      </c>
      <c r="AF15" s="238" t="str">
        <f ca="1">OFFSET($R15,0,X$12+(COUNTIF($R15:X15,$C15)))</f>
        <v>PRP</v>
      </c>
      <c r="AG15" s="245" t="b">
        <f t="shared" si="9"/>
        <v>1</v>
      </c>
      <c r="AH15" s="245" t="b">
        <f t="shared" si="9"/>
        <v>1</v>
      </c>
      <c r="AJ15" s="996" t="s">
        <v>123</v>
      </c>
      <c r="AK15" s="996"/>
      <c r="AL15" s="996"/>
    </row>
    <row r="16" spans="1:39" ht="16.350000000000001" customHeight="1" x14ac:dyDescent="0.2">
      <c r="A16" s="1072" t="s">
        <v>1397</v>
      </c>
      <c r="B16" s="1074"/>
      <c r="C16" s="652"/>
      <c r="D16" s="1075"/>
      <c r="E16" s="1886" t="s">
        <v>1398</v>
      </c>
      <c r="F16" s="1887"/>
      <c r="G16" s="1887"/>
      <c r="H16" s="1887"/>
      <c r="I16" s="1887"/>
      <c r="J16" s="1887"/>
      <c r="K16" s="1887"/>
      <c r="L16" s="1887"/>
      <c r="M16" s="1887"/>
      <c r="N16" s="1888"/>
      <c r="P16" s="464" t="str">
        <f t="shared" si="0"/>
        <v/>
      </c>
      <c r="R16" s="238" t="str">
        <f t="shared" ca="1" si="1"/>
        <v>WHT</v>
      </c>
      <c r="S16" s="238" t="str">
        <f t="shared" ca="1" si="2"/>
        <v>BRN</v>
      </c>
      <c r="T16" s="238" t="str">
        <f t="shared" ca="1" si="3"/>
        <v>ORG</v>
      </c>
      <c r="U16" s="238" t="str">
        <f t="shared" ca="1" si="4"/>
        <v>BLU</v>
      </c>
      <c r="V16" s="238" t="str">
        <f t="shared" ca="1" si="5"/>
        <v>GRN</v>
      </c>
      <c r="W16" s="238" t="str">
        <f t="shared" ca="1" si="6"/>
        <v>YLW</v>
      </c>
      <c r="X16" s="238" t="str">
        <f t="shared" ca="1" si="7"/>
        <v>PRP</v>
      </c>
      <c r="Y16" s="238" t="str">
        <f t="shared" ca="1" si="8"/>
        <v>RED</v>
      </c>
      <c r="Z16" s="238" t="str">
        <f ca="1">OFFSET($R16,0,R$12+(COUNTIF($R16:R16,$C16)))</f>
        <v>WHT</v>
      </c>
      <c r="AA16" s="238" t="str">
        <f ca="1">OFFSET($R16,0,S$12+(COUNTIF($R16:S16,$C16)))</f>
        <v>BRN</v>
      </c>
      <c r="AB16" s="238" t="str">
        <f ca="1">OFFSET($R16,0,T$12+(COUNTIF($R16:T16,$C16)))</f>
        <v>ORG</v>
      </c>
      <c r="AC16" s="238" t="str">
        <f ca="1">OFFSET($R16,0,U$12+(COUNTIF($R16:U16,$C16)))</f>
        <v>BLU</v>
      </c>
      <c r="AD16" s="238" t="str">
        <f ca="1">OFFSET($R16,0,V$12+(COUNTIF($R16:V16,$C16)))</f>
        <v>GRN</v>
      </c>
      <c r="AE16" s="238" t="str">
        <f ca="1">OFFSET($R16,0,W$12+(COUNTIF($R16:W16,$C16)))</f>
        <v>YLW</v>
      </c>
      <c r="AF16" s="238" t="str">
        <f ca="1">OFFSET($R16,0,X$12+(COUNTIF($R16:X16,$C16)))</f>
        <v>PRP</v>
      </c>
      <c r="AG16" s="245" t="b">
        <f t="shared" si="9"/>
        <v>1</v>
      </c>
      <c r="AH16" s="245" t="b">
        <f t="shared" si="9"/>
        <v>1</v>
      </c>
      <c r="AJ16" s="996" t="s">
        <v>124</v>
      </c>
      <c r="AK16" s="996"/>
      <c r="AL16" s="996"/>
    </row>
    <row r="17" spans="1:38" ht="16.350000000000001" customHeight="1" x14ac:dyDescent="0.2">
      <c r="A17" s="1072"/>
      <c r="B17" s="1074"/>
      <c r="C17" s="652"/>
      <c r="D17" s="1075"/>
      <c r="E17" s="1886"/>
      <c r="F17" s="1887"/>
      <c r="G17" s="1887"/>
      <c r="H17" s="1887"/>
      <c r="I17" s="1887"/>
      <c r="J17" s="1887"/>
      <c r="K17" s="1887"/>
      <c r="L17" s="1887"/>
      <c r="M17" s="1887"/>
      <c r="N17" s="1888"/>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9"/>
        <v>1</v>
      </c>
      <c r="AJ17" s="996" t="s">
        <v>125</v>
      </c>
      <c r="AK17" s="996"/>
      <c r="AL17" s="996"/>
    </row>
    <row r="18" spans="1:38" ht="16.350000000000001" customHeight="1" x14ac:dyDescent="0.2">
      <c r="A18" s="1072"/>
      <c r="B18" s="1074"/>
      <c r="C18" s="652"/>
      <c r="D18" s="1075"/>
      <c r="E18" s="1886"/>
      <c r="F18" s="1887"/>
      <c r="G18" s="1887"/>
      <c r="H18" s="1887"/>
      <c r="I18" s="1887"/>
      <c r="J18" s="1887"/>
      <c r="K18" s="1887"/>
      <c r="L18" s="1887"/>
      <c r="M18" s="1887"/>
      <c r="N18" s="1888"/>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9"/>
        <v>1</v>
      </c>
      <c r="AJ18" s="996" t="s">
        <v>126</v>
      </c>
      <c r="AK18" s="996"/>
      <c r="AL18" s="996"/>
    </row>
    <row r="19" spans="1:38" ht="16.350000000000001" customHeight="1" x14ac:dyDescent="0.2">
      <c r="A19" s="1072"/>
      <c r="B19" s="1074"/>
      <c r="C19" s="652"/>
      <c r="D19" s="1075"/>
      <c r="E19" s="1886"/>
      <c r="F19" s="1887"/>
      <c r="G19" s="1887"/>
      <c r="H19" s="1887"/>
      <c r="I19" s="1887"/>
      <c r="J19" s="1887"/>
      <c r="K19" s="1887"/>
      <c r="L19" s="1887"/>
      <c r="M19" s="1887"/>
      <c r="N19" s="1888"/>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9"/>
        <v>1</v>
      </c>
      <c r="AJ19" s="996" t="s">
        <v>127</v>
      </c>
      <c r="AK19" s="996"/>
      <c r="AL19" s="996"/>
    </row>
    <row r="20" spans="1:38" ht="16.350000000000001" customHeight="1" x14ac:dyDescent="0.2">
      <c r="A20" s="1072"/>
      <c r="B20" s="1074"/>
      <c r="C20" s="652"/>
      <c r="D20" s="1075"/>
      <c r="E20" s="1886"/>
      <c r="F20" s="1887"/>
      <c r="G20" s="1887"/>
      <c r="H20" s="1887"/>
      <c r="I20" s="1887"/>
      <c r="J20" s="1887"/>
      <c r="K20" s="1887"/>
      <c r="L20" s="1887"/>
      <c r="M20" s="1887"/>
      <c r="N20" s="1888"/>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9"/>
        <v>1</v>
      </c>
      <c r="AJ20" s="996" t="s">
        <v>128</v>
      </c>
      <c r="AK20" s="996"/>
      <c r="AL20" s="996"/>
    </row>
    <row r="21" spans="1:38" ht="16.350000000000001" customHeight="1" x14ac:dyDescent="0.2">
      <c r="A21" s="1072"/>
      <c r="B21" s="1074"/>
      <c r="C21" s="652"/>
      <c r="D21" s="1075"/>
      <c r="E21" s="1886"/>
      <c r="F21" s="1887"/>
      <c r="G21" s="1887"/>
      <c r="H21" s="1887"/>
      <c r="I21" s="1887"/>
      <c r="J21" s="1887"/>
      <c r="K21" s="1887"/>
      <c r="L21" s="1887"/>
      <c r="M21" s="1887"/>
      <c r="N21" s="1888"/>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9"/>
        <v>1</v>
      </c>
      <c r="AJ21" s="996" t="s">
        <v>129</v>
      </c>
      <c r="AK21" s="996"/>
      <c r="AL21" s="996"/>
    </row>
    <row r="22" spans="1:38" ht="16.350000000000001" customHeight="1" x14ac:dyDescent="0.2">
      <c r="A22" s="1072"/>
      <c r="B22" s="1074"/>
      <c r="C22" s="652"/>
      <c r="D22" s="1075"/>
      <c r="E22" s="1886"/>
      <c r="F22" s="1887"/>
      <c r="G22" s="1887"/>
      <c r="H22" s="1887"/>
      <c r="I22" s="1887"/>
      <c r="J22" s="1887"/>
      <c r="K22" s="1887"/>
      <c r="L22" s="1887"/>
      <c r="M22" s="1887"/>
      <c r="N22" s="1888"/>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9"/>
        <v>1</v>
      </c>
      <c r="AJ22" s="996" t="s">
        <v>121</v>
      </c>
      <c r="AK22" s="996" t="s">
        <v>129</v>
      </c>
      <c r="AL22" s="996"/>
    </row>
    <row r="23" spans="1:38" ht="16.350000000000001" customHeight="1" x14ac:dyDescent="0.2">
      <c r="A23" s="1072"/>
      <c r="B23" s="1074"/>
      <c r="C23" s="652"/>
      <c r="D23" s="1075"/>
      <c r="E23" s="1886"/>
      <c r="F23" s="1887"/>
      <c r="G23" s="1887"/>
      <c r="H23" s="1887"/>
      <c r="I23" s="1887"/>
      <c r="J23" s="1887"/>
      <c r="K23" s="1887"/>
      <c r="L23" s="1887"/>
      <c r="M23" s="1887"/>
      <c r="N23" s="1888"/>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9"/>
        <v>1</v>
      </c>
      <c r="AJ23" s="996" t="s">
        <v>122</v>
      </c>
      <c r="AK23" s="996" t="s">
        <v>128</v>
      </c>
      <c r="AL23" s="996"/>
    </row>
    <row r="24" spans="1:38" ht="16.350000000000001" customHeight="1" x14ac:dyDescent="0.2">
      <c r="A24" s="1072"/>
      <c r="B24" s="1074"/>
      <c r="C24" s="652"/>
      <c r="D24" s="1075"/>
      <c r="E24" s="1886"/>
      <c r="F24" s="1887"/>
      <c r="G24" s="1887"/>
      <c r="H24" s="1887"/>
      <c r="I24" s="1887"/>
      <c r="J24" s="1887"/>
      <c r="K24" s="1887"/>
      <c r="L24" s="1887"/>
      <c r="M24" s="1887"/>
      <c r="N24" s="1888"/>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9"/>
        <v>1</v>
      </c>
      <c r="AJ24" s="996" t="s">
        <v>123</v>
      </c>
      <c r="AK24" s="996" t="s">
        <v>127</v>
      </c>
      <c r="AL24" s="996"/>
    </row>
    <row r="25" spans="1:38" ht="16.350000000000001" customHeight="1" x14ac:dyDescent="0.2">
      <c r="A25" s="1072"/>
      <c r="B25" s="1074"/>
      <c r="C25" s="652"/>
      <c r="D25" s="1075"/>
      <c r="E25" s="1886"/>
      <c r="F25" s="1887"/>
      <c r="G25" s="1887"/>
      <c r="H25" s="1887"/>
      <c r="I25" s="1887"/>
      <c r="J25" s="1887"/>
      <c r="K25" s="1887"/>
      <c r="L25" s="1887"/>
      <c r="M25" s="1887"/>
      <c r="N25" s="1888"/>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9"/>
        <v>1</v>
      </c>
      <c r="AJ25" s="996" t="s">
        <v>124</v>
      </c>
      <c r="AK25" s="996" t="s">
        <v>126</v>
      </c>
      <c r="AL25" s="996"/>
    </row>
    <row r="26" spans="1:38" ht="16.350000000000001" customHeight="1" x14ac:dyDescent="0.2">
      <c r="A26" s="1072"/>
      <c r="B26" s="1074"/>
      <c r="C26" s="652"/>
      <c r="D26" s="1075"/>
      <c r="E26" s="1886"/>
      <c r="F26" s="1887"/>
      <c r="G26" s="1887"/>
      <c r="H26" s="1887"/>
      <c r="I26" s="1887"/>
      <c r="J26" s="1887"/>
      <c r="K26" s="1887"/>
      <c r="L26" s="1887"/>
      <c r="M26" s="1887"/>
      <c r="N26" s="1888"/>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si="9"/>
        <v>1</v>
      </c>
      <c r="AH26" s="245" t="b">
        <f t="shared" si="9"/>
        <v>1</v>
      </c>
      <c r="AJ26" s="996" t="s">
        <v>125</v>
      </c>
      <c r="AK26" s="996" t="s">
        <v>1113</v>
      </c>
      <c r="AL26" s="996"/>
    </row>
    <row r="27" spans="1:38" ht="16.350000000000001" customHeight="1" x14ac:dyDescent="0.2">
      <c r="A27" s="1072"/>
      <c r="B27" s="1074"/>
      <c r="C27" s="652"/>
      <c r="D27" s="1075"/>
      <c r="E27" s="1886"/>
      <c r="F27" s="1887"/>
      <c r="G27" s="1887"/>
      <c r="H27" s="1887"/>
      <c r="I27" s="1887"/>
      <c r="J27" s="1887"/>
      <c r="K27" s="1887"/>
      <c r="L27" s="1887"/>
      <c r="M27" s="1887"/>
      <c r="N27" s="1888"/>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9"/>
        <v>1</v>
      </c>
      <c r="AH27" s="245" t="b">
        <f t="shared" si="9"/>
        <v>1</v>
      </c>
      <c r="AJ27" s="996" t="s">
        <v>122</v>
      </c>
      <c r="AK27" s="996" t="s">
        <v>129</v>
      </c>
      <c r="AL27" s="996"/>
    </row>
    <row r="28" spans="1:38" ht="16.350000000000001" customHeight="1" x14ac:dyDescent="0.2">
      <c r="A28" s="1072"/>
      <c r="B28" s="1074"/>
      <c r="C28" s="652"/>
      <c r="D28" s="1075"/>
      <c r="E28" s="1889"/>
      <c r="F28" s="1890"/>
      <c r="G28" s="1890"/>
      <c r="H28" s="1890"/>
      <c r="I28" s="1890"/>
      <c r="J28" s="1890"/>
      <c r="K28" s="1890"/>
      <c r="L28" s="1890"/>
      <c r="M28" s="1890"/>
      <c r="N28" s="1891"/>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9"/>
        <v>1</v>
      </c>
      <c r="AH28" s="245" t="b">
        <f t="shared" si="9"/>
        <v>1</v>
      </c>
      <c r="AJ28" s="996" t="s">
        <v>123</v>
      </c>
      <c r="AK28" s="996" t="s">
        <v>128</v>
      </c>
      <c r="AL28" s="996"/>
    </row>
    <row r="29" spans="1:38" ht="16.350000000000001" customHeight="1" x14ac:dyDescent="0.2">
      <c r="A29" s="1072"/>
      <c r="B29" s="1074"/>
      <c r="C29" s="652"/>
      <c r="D29" s="1075"/>
      <c r="E29" s="1889"/>
      <c r="F29" s="1890"/>
      <c r="G29" s="1890"/>
      <c r="H29" s="1890"/>
      <c r="I29" s="1890"/>
      <c r="J29" s="1890"/>
      <c r="K29" s="1890"/>
      <c r="L29" s="1890"/>
      <c r="M29" s="1890"/>
      <c r="N29" s="1891"/>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ref="AG29:AH48" si="10">ISBLANK(B29)</f>
        <v>1</v>
      </c>
      <c r="AH29" s="245" t="b">
        <f t="shared" si="10"/>
        <v>1</v>
      </c>
      <c r="AJ29" s="996" t="s">
        <v>124</v>
      </c>
      <c r="AK29" s="996" t="s">
        <v>127</v>
      </c>
      <c r="AL29" s="996"/>
    </row>
    <row r="30" spans="1:38" ht="16.350000000000001" customHeight="1" x14ac:dyDescent="0.2">
      <c r="A30" s="1072"/>
      <c r="B30" s="1074"/>
      <c r="C30" s="652"/>
      <c r="D30" s="1075"/>
      <c r="E30" s="1889"/>
      <c r="F30" s="1890"/>
      <c r="G30" s="1890"/>
      <c r="H30" s="1890"/>
      <c r="I30" s="1890"/>
      <c r="J30" s="1890"/>
      <c r="K30" s="1890"/>
      <c r="L30" s="1890"/>
      <c r="M30" s="1890"/>
      <c r="N30" s="1891"/>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0"/>
        <v>1</v>
      </c>
      <c r="AH30" s="245" t="b">
        <f t="shared" si="10"/>
        <v>1</v>
      </c>
      <c r="AJ30" s="996" t="s">
        <v>125</v>
      </c>
      <c r="AK30" s="996" t="s">
        <v>126</v>
      </c>
      <c r="AL30" s="996"/>
    </row>
    <row r="31" spans="1:38" ht="16.350000000000001" customHeight="1" x14ac:dyDescent="0.2">
      <c r="A31" s="1072"/>
      <c r="B31" s="1074"/>
      <c r="C31" s="652"/>
      <c r="D31" s="1075"/>
      <c r="E31" s="1889"/>
      <c r="F31" s="1890"/>
      <c r="G31" s="1890"/>
      <c r="H31" s="1890"/>
      <c r="I31" s="1890"/>
      <c r="J31" s="1890"/>
      <c r="K31" s="1890"/>
      <c r="L31" s="1890"/>
      <c r="M31" s="1890"/>
      <c r="N31" s="1891"/>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0"/>
        <v>1</v>
      </c>
      <c r="AH31" s="245" t="b">
        <f t="shared" si="10"/>
        <v>1</v>
      </c>
      <c r="AJ31" s="996" t="s">
        <v>121</v>
      </c>
      <c r="AK31" s="996" t="s">
        <v>122</v>
      </c>
      <c r="AL31" s="996"/>
    </row>
    <row r="32" spans="1:38" ht="16.350000000000001" customHeight="1" x14ac:dyDescent="0.2">
      <c r="A32" s="1072"/>
      <c r="B32" s="1074"/>
      <c r="C32" s="652"/>
      <c r="D32" s="1075"/>
      <c r="E32" s="1889"/>
      <c r="F32" s="1890"/>
      <c r="G32" s="1890"/>
      <c r="H32" s="1890"/>
      <c r="I32" s="1890"/>
      <c r="J32" s="1890"/>
      <c r="K32" s="1890"/>
      <c r="L32" s="1890"/>
      <c r="M32" s="1890"/>
      <c r="N32" s="1891"/>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0"/>
        <v>1</v>
      </c>
      <c r="AH32" s="245" t="b">
        <f t="shared" si="10"/>
        <v>1</v>
      </c>
      <c r="AJ32" s="996" t="s">
        <v>123</v>
      </c>
      <c r="AK32" s="996" t="s">
        <v>124</v>
      </c>
      <c r="AL32" s="996"/>
    </row>
    <row r="33" spans="1:38" ht="16.350000000000001" customHeight="1" x14ac:dyDescent="0.2">
      <c r="A33" s="1072"/>
      <c r="B33" s="1074"/>
      <c r="C33" s="652"/>
      <c r="D33" s="1075"/>
      <c r="E33" s="1889"/>
      <c r="F33" s="1890"/>
      <c r="G33" s="1890"/>
      <c r="H33" s="1890"/>
      <c r="I33" s="1890"/>
      <c r="J33" s="1890"/>
      <c r="K33" s="1890"/>
      <c r="L33" s="1890"/>
      <c r="M33" s="1890"/>
      <c r="N33" s="1891"/>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0"/>
        <v>1</v>
      </c>
      <c r="AH33" s="245" t="b">
        <f t="shared" si="10"/>
        <v>1</v>
      </c>
      <c r="AJ33" s="996" t="s">
        <v>126</v>
      </c>
      <c r="AK33" s="996" t="s">
        <v>127</v>
      </c>
      <c r="AL33" s="996"/>
    </row>
    <row r="34" spans="1:38" ht="16.350000000000001" customHeight="1" x14ac:dyDescent="0.2">
      <c r="A34" s="1072"/>
      <c r="B34" s="1074"/>
      <c r="C34" s="652"/>
      <c r="D34" s="1075"/>
      <c r="E34" s="1889"/>
      <c r="F34" s="1890"/>
      <c r="G34" s="1890"/>
      <c r="H34" s="1890"/>
      <c r="I34" s="1890"/>
      <c r="J34" s="1890"/>
      <c r="K34" s="1890"/>
      <c r="L34" s="1890"/>
      <c r="M34" s="1890"/>
      <c r="N34" s="1891"/>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0"/>
        <v>1</v>
      </c>
      <c r="AH34" s="245" t="b">
        <f t="shared" si="10"/>
        <v>1</v>
      </c>
      <c r="AJ34" s="996" t="s">
        <v>128</v>
      </c>
      <c r="AK34" s="996" t="s">
        <v>129</v>
      </c>
      <c r="AL34" s="996"/>
    </row>
    <row r="35" spans="1:38" ht="16.350000000000001" customHeight="1" x14ac:dyDescent="0.2">
      <c r="A35" s="1072"/>
      <c r="B35" s="1074"/>
      <c r="C35" s="652"/>
      <c r="D35" s="1075"/>
      <c r="E35" s="1886"/>
      <c r="F35" s="1887"/>
      <c r="G35" s="1887"/>
      <c r="H35" s="1887"/>
      <c r="I35" s="1887"/>
      <c r="J35" s="1887"/>
      <c r="K35" s="1887"/>
      <c r="L35" s="1887"/>
      <c r="M35" s="1887"/>
      <c r="N35" s="1888"/>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0"/>
        <v>1</v>
      </c>
      <c r="AH35" s="245" t="b">
        <f t="shared" si="10"/>
        <v>1</v>
      </c>
      <c r="AJ35" s="996" t="s">
        <v>122</v>
      </c>
      <c r="AK35" s="996" t="s">
        <v>125</v>
      </c>
      <c r="AL35" s="996"/>
    </row>
    <row r="36" spans="1:38" ht="16.350000000000001" customHeight="1" x14ac:dyDescent="0.2">
      <c r="A36" s="1072"/>
      <c r="B36" s="1074"/>
      <c r="C36" s="652"/>
      <c r="D36" s="1075"/>
      <c r="E36" s="1886"/>
      <c r="F36" s="1887"/>
      <c r="G36" s="1887"/>
      <c r="H36" s="1887"/>
      <c r="I36" s="1887"/>
      <c r="J36" s="1887"/>
      <c r="K36" s="1887"/>
      <c r="L36" s="1887"/>
      <c r="M36" s="1887"/>
      <c r="N36" s="1888"/>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0"/>
        <v>1</v>
      </c>
      <c r="AH36" s="245" t="b">
        <f t="shared" si="10"/>
        <v>1</v>
      </c>
      <c r="AJ36" s="996" t="s">
        <v>124</v>
      </c>
      <c r="AK36" s="996" t="s">
        <v>128</v>
      </c>
      <c r="AL36" s="996"/>
    </row>
    <row r="37" spans="1:38" ht="16.350000000000001" customHeight="1" x14ac:dyDescent="0.2">
      <c r="A37" s="1072"/>
      <c r="B37" s="1074"/>
      <c r="C37" s="652"/>
      <c r="D37" s="1075"/>
      <c r="E37" s="1886"/>
      <c r="F37" s="1887"/>
      <c r="G37" s="1887"/>
      <c r="H37" s="1887"/>
      <c r="I37" s="1887"/>
      <c r="J37" s="1887"/>
      <c r="K37" s="1887"/>
      <c r="L37" s="1887"/>
      <c r="M37" s="1887"/>
      <c r="N37" s="1888"/>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0"/>
        <v>1</v>
      </c>
      <c r="AH37" s="245" t="b">
        <f t="shared" si="10"/>
        <v>1</v>
      </c>
      <c r="AJ37" s="996" t="s">
        <v>125</v>
      </c>
      <c r="AK37" s="996" t="s">
        <v>127</v>
      </c>
      <c r="AL37" s="996"/>
    </row>
    <row r="38" spans="1:38" ht="16.350000000000001" customHeight="1" x14ac:dyDescent="0.2">
      <c r="A38" s="1072"/>
      <c r="B38" s="1074"/>
      <c r="C38" s="652"/>
      <c r="D38" s="1075"/>
      <c r="E38" s="1886"/>
      <c r="F38" s="1887"/>
      <c r="G38" s="1887"/>
      <c r="H38" s="1887"/>
      <c r="I38" s="1887"/>
      <c r="J38" s="1887"/>
      <c r="K38" s="1887"/>
      <c r="L38" s="1887"/>
      <c r="M38" s="1887"/>
      <c r="N38" s="1888"/>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0"/>
        <v>1</v>
      </c>
      <c r="AH38" s="245" t="b">
        <f t="shared" si="10"/>
        <v>1</v>
      </c>
      <c r="AJ38" s="996" t="s">
        <v>126</v>
      </c>
      <c r="AK38" s="996" t="s">
        <v>121</v>
      </c>
      <c r="AL38" s="996"/>
    </row>
    <row r="39" spans="1:38" ht="16.350000000000001" customHeight="1" x14ac:dyDescent="0.2">
      <c r="A39" s="1072"/>
      <c r="B39" s="1074"/>
      <c r="C39" s="652"/>
      <c r="D39" s="1075"/>
      <c r="E39" s="1886"/>
      <c r="F39" s="1887"/>
      <c r="G39" s="1887"/>
      <c r="H39" s="1887"/>
      <c r="I39" s="1887"/>
      <c r="J39" s="1887"/>
      <c r="K39" s="1887"/>
      <c r="L39" s="1887"/>
      <c r="M39" s="1887"/>
      <c r="N39" s="1888"/>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0"/>
        <v>1</v>
      </c>
      <c r="AH39" s="245" t="b">
        <f t="shared" si="10"/>
        <v>1</v>
      </c>
      <c r="AJ39" s="996" t="s">
        <v>127</v>
      </c>
      <c r="AK39" s="996" t="s">
        <v>122</v>
      </c>
      <c r="AL39" s="996"/>
    </row>
    <row r="40" spans="1:38" ht="16.350000000000001" customHeight="1" x14ac:dyDescent="0.2">
      <c r="A40" s="1072"/>
      <c r="B40" s="1074"/>
      <c r="C40" s="652"/>
      <c r="D40" s="1075"/>
      <c r="E40" s="1886"/>
      <c r="F40" s="1887"/>
      <c r="G40" s="1887"/>
      <c r="H40" s="1887"/>
      <c r="I40" s="1887"/>
      <c r="J40" s="1887"/>
      <c r="K40" s="1887"/>
      <c r="L40" s="1887"/>
      <c r="M40" s="1887"/>
      <c r="N40" s="1888"/>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0"/>
        <v>1</v>
      </c>
      <c r="AH40" s="245" t="b">
        <f t="shared" si="10"/>
        <v>1</v>
      </c>
      <c r="AJ40" s="996" t="s">
        <v>124</v>
      </c>
      <c r="AK40" s="996" t="s">
        <v>129</v>
      </c>
      <c r="AL40" s="996"/>
    </row>
    <row r="41" spans="1:38" ht="16.350000000000001" customHeight="1" x14ac:dyDescent="0.2">
      <c r="A41" s="1072"/>
      <c r="B41" s="1074"/>
      <c r="C41" s="652"/>
      <c r="D41" s="1075"/>
      <c r="E41" s="1886"/>
      <c r="F41" s="1887"/>
      <c r="G41" s="1887"/>
      <c r="H41" s="1887"/>
      <c r="I41" s="1887"/>
      <c r="J41" s="1887"/>
      <c r="K41" s="1887"/>
      <c r="L41" s="1887"/>
      <c r="M41" s="1887"/>
      <c r="N41" s="1888"/>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0"/>
        <v>1</v>
      </c>
      <c r="AH41" s="245" t="b">
        <f t="shared" si="10"/>
        <v>1</v>
      </c>
      <c r="AJ41" s="996" t="s">
        <v>126</v>
      </c>
      <c r="AK41" s="996" t="s">
        <v>122</v>
      </c>
      <c r="AL41" s="996"/>
    </row>
    <row r="42" spans="1:38" ht="16.350000000000001" customHeight="1" x14ac:dyDescent="0.2">
      <c r="A42" s="1072"/>
      <c r="B42" s="1074"/>
      <c r="C42" s="652"/>
      <c r="D42" s="1075"/>
      <c r="E42" s="1886"/>
      <c r="F42" s="1887"/>
      <c r="G42" s="1887"/>
      <c r="H42" s="1887"/>
      <c r="I42" s="1887"/>
      <c r="J42" s="1887"/>
      <c r="K42" s="1887"/>
      <c r="L42" s="1887"/>
      <c r="M42" s="1887"/>
      <c r="N42" s="1888"/>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0"/>
        <v>1</v>
      </c>
      <c r="AH42" s="245" t="b">
        <f t="shared" si="10"/>
        <v>1</v>
      </c>
      <c r="AJ42" s="996" t="s">
        <v>123</v>
      </c>
      <c r="AK42" s="996" t="s">
        <v>121</v>
      </c>
      <c r="AL42" s="996"/>
    </row>
    <row r="43" spans="1:38" ht="16.350000000000001" customHeight="1" x14ac:dyDescent="0.2">
      <c r="A43" s="1072"/>
      <c r="B43" s="1074"/>
      <c r="C43" s="652"/>
      <c r="D43" s="1075"/>
      <c r="E43" s="1886"/>
      <c r="F43" s="1887"/>
      <c r="G43" s="1887"/>
      <c r="H43" s="1887"/>
      <c r="I43" s="1887"/>
      <c r="J43" s="1887"/>
      <c r="K43" s="1887"/>
      <c r="L43" s="1887"/>
      <c r="M43" s="1887"/>
      <c r="N43" s="1888"/>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0"/>
        <v>1</v>
      </c>
      <c r="AH43" s="245" t="b">
        <f t="shared" si="10"/>
        <v>1</v>
      </c>
      <c r="AJ43" s="996" t="s">
        <v>125</v>
      </c>
      <c r="AK43" s="996" t="s">
        <v>129</v>
      </c>
      <c r="AL43" s="996"/>
    </row>
    <row r="44" spans="1:38" ht="16.350000000000001" customHeight="1" x14ac:dyDescent="0.2">
      <c r="A44" s="1072"/>
      <c r="B44" s="1074"/>
      <c r="C44" s="652"/>
      <c r="D44" s="1075"/>
      <c r="E44" s="1886"/>
      <c r="F44" s="1887"/>
      <c r="G44" s="1887"/>
      <c r="H44" s="1887"/>
      <c r="I44" s="1887"/>
      <c r="J44" s="1887"/>
      <c r="K44" s="1887"/>
      <c r="L44" s="1887"/>
      <c r="M44" s="1887"/>
      <c r="N44" s="1888"/>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0"/>
        <v>1</v>
      </c>
      <c r="AH44" s="245" t="b">
        <f t="shared" si="10"/>
        <v>1</v>
      </c>
      <c r="AJ44" s="996" t="s">
        <v>121</v>
      </c>
      <c r="AK44" s="996" t="s">
        <v>128</v>
      </c>
      <c r="AL44" s="996"/>
    </row>
    <row r="45" spans="1:38" ht="16.350000000000001" customHeight="1" x14ac:dyDescent="0.2">
      <c r="A45" s="1072"/>
      <c r="B45" s="1074"/>
      <c r="C45" s="652"/>
      <c r="D45" s="1075"/>
      <c r="E45" s="1886"/>
      <c r="F45" s="1887"/>
      <c r="G45" s="1887"/>
      <c r="H45" s="1887"/>
      <c r="I45" s="1887"/>
      <c r="J45" s="1887"/>
      <c r="K45" s="1887"/>
      <c r="L45" s="1887"/>
      <c r="M45" s="1887"/>
      <c r="N45" s="1888"/>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0"/>
        <v>1</v>
      </c>
      <c r="AH45" s="245" t="b">
        <f t="shared" si="10"/>
        <v>1</v>
      </c>
      <c r="AJ45" s="996" t="s">
        <v>124</v>
      </c>
      <c r="AK45" s="996" t="s">
        <v>122</v>
      </c>
      <c r="AL45" s="996"/>
    </row>
    <row r="46" spans="1:38" ht="16.350000000000001" customHeight="1" x14ac:dyDescent="0.2">
      <c r="A46" s="1072"/>
      <c r="B46" s="1074"/>
      <c r="C46" s="652"/>
      <c r="D46" s="1075"/>
      <c r="E46" s="1886"/>
      <c r="F46" s="1887"/>
      <c r="G46" s="1887"/>
      <c r="H46" s="1887"/>
      <c r="I46" s="1887"/>
      <c r="J46" s="1887"/>
      <c r="K46" s="1887"/>
      <c r="L46" s="1887"/>
      <c r="M46" s="1887"/>
      <c r="N46" s="1888"/>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0"/>
        <v>1</v>
      </c>
      <c r="AH46" s="245" t="b">
        <f t="shared" si="10"/>
        <v>1</v>
      </c>
      <c r="AJ46" s="996" t="s">
        <v>126</v>
      </c>
      <c r="AK46" s="996" t="s">
        <v>129</v>
      </c>
      <c r="AL46" s="996"/>
    </row>
    <row r="47" spans="1:38" ht="16.350000000000001" customHeight="1" x14ac:dyDescent="0.2">
      <c r="A47" s="1072"/>
      <c r="B47" s="1074"/>
      <c r="C47" s="652"/>
      <c r="D47" s="1075"/>
      <c r="E47" s="1886"/>
      <c r="F47" s="1887"/>
      <c r="G47" s="1887"/>
      <c r="H47" s="1887"/>
      <c r="I47" s="1887"/>
      <c r="J47" s="1887"/>
      <c r="K47" s="1887"/>
      <c r="L47" s="1887"/>
      <c r="M47" s="1887"/>
      <c r="N47" s="1888"/>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0"/>
        <v>1</v>
      </c>
      <c r="AH47" s="245" t="b">
        <f t="shared" si="10"/>
        <v>1</v>
      </c>
      <c r="AJ47" s="996" t="s">
        <v>125</v>
      </c>
      <c r="AK47" s="996" t="s">
        <v>123</v>
      </c>
      <c r="AL47" s="996"/>
    </row>
    <row r="48" spans="1:38" ht="16.350000000000001" customHeight="1" x14ac:dyDescent="0.2">
      <c r="A48" s="1072"/>
      <c r="B48" s="1074"/>
      <c r="C48" s="652"/>
      <c r="D48" s="1075"/>
      <c r="E48" s="1886"/>
      <c r="F48" s="1887"/>
      <c r="G48" s="1887"/>
      <c r="H48" s="1887"/>
      <c r="I48" s="1887"/>
      <c r="J48" s="1887"/>
      <c r="K48" s="1887"/>
      <c r="L48" s="1887"/>
      <c r="M48" s="1887"/>
      <c r="N48" s="1888"/>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0"/>
        <v>1</v>
      </c>
      <c r="AH48" s="245" t="b">
        <f t="shared" si="10"/>
        <v>1</v>
      </c>
      <c r="AJ48" s="996" t="s">
        <v>128</v>
      </c>
      <c r="AK48" s="996" t="s">
        <v>126</v>
      </c>
      <c r="AL48" s="996"/>
    </row>
    <row r="49" spans="1:38" ht="16.350000000000001" customHeight="1" x14ac:dyDescent="0.2">
      <c r="A49" s="1073"/>
      <c r="B49" s="1076"/>
      <c r="C49" s="1058"/>
      <c r="D49" s="1077"/>
      <c r="E49" s="1892"/>
      <c r="F49" s="1893"/>
      <c r="G49" s="1893"/>
      <c r="H49" s="1893"/>
      <c r="I49" s="1893"/>
      <c r="J49" s="1893"/>
      <c r="K49" s="1893"/>
      <c r="L49" s="1893"/>
      <c r="M49" s="1893"/>
      <c r="N49" s="1894"/>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algorithmName="SHA-512" hashValue="9gna21MYNHHxfwehM0l4lri/dM/FobIioZvmqxmdkLHOIvF8C23VBszl0HvhdQ1hbtPwIeQE2b3fveWvlZtzbg==" saltValue="d6JmazT7ROTtfhs9+cIpxg==" spinCount="100000" sheet="1" objects="1" scenarios="1" selectLockedCells="1"/>
  <dataConsolidate link="1"/>
  <mergeCells count="55">
    <mergeCell ref="B9:J9"/>
    <mergeCell ref="H1:J1"/>
    <mergeCell ref="K1:L1"/>
    <mergeCell ref="M1:N1"/>
    <mergeCell ref="H2:J3"/>
    <mergeCell ref="K2:L2"/>
    <mergeCell ref="M2:N2"/>
    <mergeCell ref="K3:L3"/>
    <mergeCell ref="M3:N3"/>
    <mergeCell ref="H4:J4"/>
    <mergeCell ref="K4:L4"/>
    <mergeCell ref="M4:N4"/>
    <mergeCell ref="A5:J5"/>
    <mergeCell ref="L6:M6"/>
    <mergeCell ref="E20:N20"/>
    <mergeCell ref="B10:J10"/>
    <mergeCell ref="AJ10:AL12"/>
    <mergeCell ref="B12:D12"/>
    <mergeCell ref="E12:N12"/>
    <mergeCell ref="E13:N13"/>
    <mergeCell ref="E14:N14"/>
    <mergeCell ref="E15:N15"/>
    <mergeCell ref="E16:N16"/>
    <mergeCell ref="E17:N17"/>
    <mergeCell ref="E18:N18"/>
    <mergeCell ref="E19:N19"/>
    <mergeCell ref="E32:N32"/>
    <mergeCell ref="E21:N21"/>
    <mergeCell ref="E22:N22"/>
    <mergeCell ref="E23:N23"/>
    <mergeCell ref="E24:N24"/>
    <mergeCell ref="E25:N25"/>
    <mergeCell ref="E26:N26"/>
    <mergeCell ref="E27:N27"/>
    <mergeCell ref="E28:N28"/>
    <mergeCell ref="E29:N29"/>
    <mergeCell ref="E30:N30"/>
    <mergeCell ref="E31:N31"/>
    <mergeCell ref="E44:N44"/>
    <mergeCell ref="E33:N33"/>
    <mergeCell ref="E34:N34"/>
    <mergeCell ref="E35:N35"/>
    <mergeCell ref="E36:N36"/>
    <mergeCell ref="E37:N37"/>
    <mergeCell ref="E38:N38"/>
    <mergeCell ref="E39:N39"/>
    <mergeCell ref="E40:N40"/>
    <mergeCell ref="E41:N41"/>
    <mergeCell ref="E42:N42"/>
    <mergeCell ref="E43:N43"/>
    <mergeCell ref="E45:N45"/>
    <mergeCell ref="E46:N46"/>
    <mergeCell ref="E47:N47"/>
    <mergeCell ref="E48:N48"/>
    <mergeCell ref="E49:N49"/>
  </mergeCells>
  <conditionalFormatting sqref="H2:J4">
    <cfRule type="cellIs" dxfId="447" priority="1" stopIfTrue="1" operator="equal">
      <formula>""</formula>
    </cfRule>
  </conditionalFormatting>
  <conditionalFormatting sqref="E13:N49">
    <cfRule type="expression" dxfId="446" priority="2" stopIfTrue="1">
      <formula>LEN(E13)&gt;20</formula>
    </cfRule>
  </conditionalFormatting>
  <dataValidations count="3">
    <dataValidation type="list" allowBlank="1" showInputMessage="1" showErrorMessage="1" sqref="D13:D49" xr:uid="{C796770E-E9C1-4A63-83D7-837A11B5D636}">
      <formula1>IF(AH13,$T$1:$T$1,$Z13:$AF13)</formula1>
    </dataValidation>
    <dataValidation type="list" allowBlank="1" showInputMessage="1" showErrorMessage="1" sqref="C13:C49" xr:uid="{FC235700-A8E9-4B73-A337-69819A64669D}">
      <formula1>IF(AG13,$T$1,$R13:$Y13)</formula1>
    </dataValidation>
    <dataValidation type="list" allowBlank="1" showErrorMessage="1" sqref="B13:B49" xr:uid="{4BD2DAA5-6686-4B60-8573-7A9DF0ED1A7A}">
      <formula1>$R$1:$R$9</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controls>
    <mc:AlternateContent xmlns:mc="http://schemas.openxmlformats.org/markup-compatibility/2006">
      <mc:Choice Requires="x14">
        <control shapeId="246681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2466817" r:id="rId4" name="btnColorTag"/>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EF5E1-6A01-4270-B245-9A8133F8D1AA}">
  <sheetPr codeName="Sheet21">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48" t="str">
        <f>IF(ISBLANK(R1),"",VLOOKUP(R1,'Job Info.'!X:AA,4,FALSE))</f>
        <v>Master</v>
      </c>
      <c r="I1" s="1848"/>
      <c r="J1" s="1848"/>
      <c r="K1" s="1911" t="s">
        <v>95</v>
      </c>
      <c r="L1" s="1911"/>
      <c r="M1" s="1911"/>
      <c r="N1" s="1904" t="str">
        <f ca="1">'Job Info.'!D12</f>
        <v>775-428-0600</v>
      </c>
      <c r="O1" s="1904"/>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905" t="str">
        <f>IF(ISBLANK(R1),"",IF(VLOOKUP(R1,'Job Info.'!X:Z,2,FALSE),"Released for Fabrication",""))</f>
        <v/>
      </c>
      <c r="I2" s="1906"/>
      <c r="J2" s="1907"/>
      <c r="K2" s="1911" t="s">
        <v>96</v>
      </c>
      <c r="L2" s="1911"/>
      <c r="M2" s="1911"/>
      <c r="N2" s="1904" t="str">
        <f ca="1">'Job Info.'!D13</f>
        <v>775-867-2140</v>
      </c>
      <c r="O2" s="1904"/>
      <c r="P2" s="474"/>
      <c r="AF2" s="378"/>
      <c r="AK2" s="1040" t="s">
        <v>1394</v>
      </c>
    </row>
    <row r="3" spans="1:38" s="245" customFormat="1" ht="12.95" customHeight="1" x14ac:dyDescent="0.2">
      <c r="A3" s="374"/>
      <c r="B3" s="374"/>
      <c r="C3" s="374"/>
      <c r="D3" s="374"/>
      <c r="E3" s="374"/>
      <c r="F3" s="374"/>
      <c r="G3" s="374"/>
      <c r="H3" s="1856"/>
      <c r="I3" s="1857"/>
      <c r="J3" s="1858"/>
      <c r="K3" s="1911" t="s">
        <v>98</v>
      </c>
      <c r="L3" s="1911"/>
      <c r="M3" s="1911"/>
      <c r="N3" s="1904" t="str">
        <f ca="1">'Job Info.'!D14</f>
        <v>775-867-2169</v>
      </c>
      <c r="O3" s="1904"/>
      <c r="P3" s="474"/>
      <c r="AF3" s="378"/>
      <c r="AK3" s="1040" t="s">
        <v>808</v>
      </c>
    </row>
    <row r="4" spans="1:38" s="245" customFormat="1" ht="12.95" customHeight="1" thickBot="1" x14ac:dyDescent="0.25">
      <c r="A4" s="374"/>
      <c r="B4" s="374"/>
      <c r="C4" s="374"/>
      <c r="D4" s="374"/>
      <c r="E4" s="374"/>
      <c r="F4" s="374"/>
      <c r="G4" s="374"/>
      <c r="H4" s="1908" t="str">
        <f>IF(ISBLANK(R1),"",IF(VLOOKUP(R1,'Job Info.'!X:Z,2,FALSE),VLOOKUP(R1,'Job Info.'!X:Z,3,FALSE),""))</f>
        <v/>
      </c>
      <c r="I4" s="1909"/>
      <c r="J4" s="1910"/>
      <c r="K4" s="1911" t="s">
        <v>97</v>
      </c>
      <c r="L4" s="1911"/>
      <c r="M4" s="1911"/>
      <c r="N4" s="1904" t="str">
        <f ca="1">'Job Info.'!D15</f>
        <v>775-867-2060</v>
      </c>
      <c r="O4" s="1904"/>
      <c r="P4" s="474"/>
      <c r="AF4" s="378"/>
      <c r="AK4" s="1040" t="s">
        <v>1397</v>
      </c>
    </row>
    <row r="5" spans="1:38" s="245" customFormat="1" ht="12.95" customHeight="1" thickTop="1" x14ac:dyDescent="0.2">
      <c r="A5" s="1862" t="str">
        <f ca="1">'Job Info.'!D11</f>
        <v>8200 Woolery Way | Fallon, NV 89406 | www.newmill.com</v>
      </c>
      <c r="B5" s="1862"/>
      <c r="C5" s="1862"/>
      <c r="D5" s="1862"/>
      <c r="E5" s="1862"/>
      <c r="F5" s="1862"/>
      <c r="G5" s="1862"/>
      <c r="H5" s="1862"/>
      <c r="I5" s="1862"/>
      <c r="J5" s="1862"/>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32">
        <f>IF(ISBLANK('Job Info.'!D8),"",'Job Info.'!D8)</f>
        <v>45048</v>
      </c>
      <c r="M6" s="1832"/>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7 of 19</v>
      </c>
      <c r="M7" s="658"/>
      <c r="N7" s="374"/>
      <c r="O7" s="374"/>
      <c r="P7" s="474"/>
      <c r="R7" s="1083">
        <v>7</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24" t="str">
        <f>IF(ISBLANK('Job Info.'!D3),"",'Job Info.'!D3)</f>
        <v>MINDEN UPS BLDG 1</v>
      </c>
      <c r="C9" s="1824"/>
      <c r="D9" s="1824"/>
      <c r="E9" s="1824"/>
      <c r="F9" s="1824"/>
      <c r="G9" s="1825"/>
      <c r="H9" s="1873" t="s">
        <v>2</v>
      </c>
      <c r="I9" s="1873"/>
      <c r="J9" s="1824" t="str">
        <f>IF(ISBLANK('Job Info.'!D5),"",'Job Info.'!D5)</f>
        <v>NN22-0071</v>
      </c>
      <c r="K9" s="1824"/>
      <c r="L9" s="1824"/>
      <c r="M9" s="1824"/>
      <c r="N9" s="1824"/>
      <c r="O9" s="1825"/>
      <c r="P9" s="22"/>
    </row>
    <row r="10" spans="1:38" ht="12.2" customHeight="1" x14ac:dyDescent="0.2">
      <c r="A10" s="471" t="s">
        <v>3</v>
      </c>
      <c r="B10" s="1824" t="str">
        <f>IF(ISBLANK('Job Info.'!D4),"",'Job Info.'!D4)</f>
        <v>MINDEN, NV</v>
      </c>
      <c r="C10" s="1824"/>
      <c r="D10" s="1824"/>
      <c r="E10" s="1824"/>
      <c r="F10" s="1824"/>
      <c r="G10" s="1825"/>
      <c r="H10" s="1873" t="s">
        <v>22</v>
      </c>
      <c r="I10" s="1873"/>
      <c r="J10" s="1824" t="str">
        <f>IF(ISBLANK('Job Info.'!D6),"",'Job Info.'!D6)</f>
        <v>JMM</v>
      </c>
      <c r="K10" s="1825"/>
      <c r="L10" s="1917" t="s">
        <v>23</v>
      </c>
      <c r="M10" s="1873"/>
      <c r="N10" s="1824" t="str">
        <f>IF(ISBLANK('Job Info.'!D7),"",'Job Info.'!D7)</f>
        <v>NR</v>
      </c>
      <c r="O10" s="1825"/>
      <c r="P10" s="22"/>
    </row>
    <row r="11" spans="1:38" ht="3.95" customHeight="1" x14ac:dyDescent="0.2">
      <c r="A11" s="1087"/>
      <c r="B11" s="19"/>
      <c r="C11" s="19"/>
      <c r="D11" s="19"/>
      <c r="E11" s="19"/>
      <c r="F11" s="19"/>
      <c r="G11" s="19"/>
      <c r="H11" s="19"/>
      <c r="I11" s="19"/>
      <c r="J11" s="19"/>
      <c r="K11" s="19"/>
      <c r="L11" s="19"/>
      <c r="M11" s="19"/>
      <c r="N11" s="19"/>
      <c r="O11" s="19"/>
      <c r="P11" s="22"/>
      <c r="R11" s="1918" t="s">
        <v>420</v>
      </c>
      <c r="S11" s="1919"/>
      <c r="T11" s="1919"/>
      <c r="U11" s="1919"/>
      <c r="V11" s="1919"/>
      <c r="W11" s="1919"/>
      <c r="X11" s="1919"/>
      <c r="Y11" s="1919"/>
      <c r="Z11" s="1919"/>
      <c r="AA11" s="1919"/>
      <c r="AB11" s="1919"/>
      <c r="AC11" s="1919"/>
      <c r="AD11" s="1919"/>
      <c r="AE11" s="1920"/>
      <c r="AF11" s="1912" t="s">
        <v>455</v>
      </c>
      <c r="AG11" s="1912" t="s">
        <v>456</v>
      </c>
      <c r="AH11" s="1912" t="s">
        <v>1101</v>
      </c>
    </row>
    <row r="12" spans="1:38" s="21" customFormat="1" ht="15.95" customHeight="1" x14ac:dyDescent="0.2">
      <c r="A12" s="1915" t="s">
        <v>40</v>
      </c>
      <c r="B12" s="1927" t="s">
        <v>56</v>
      </c>
      <c r="C12" s="1928"/>
      <c r="D12" s="1928"/>
      <c r="E12" s="1928"/>
      <c r="F12" s="1928"/>
      <c r="G12" s="1928"/>
      <c r="H12" s="1928"/>
      <c r="I12" s="1928"/>
      <c r="J12" s="1928"/>
      <c r="K12" s="1928"/>
      <c r="L12" s="1928"/>
      <c r="M12" s="1928"/>
      <c r="N12" s="1928"/>
      <c r="O12" s="1929"/>
      <c r="P12" s="22"/>
      <c r="R12" s="1921"/>
      <c r="S12" s="1922"/>
      <c r="T12" s="1922"/>
      <c r="U12" s="1922"/>
      <c r="V12" s="1922"/>
      <c r="W12" s="1922"/>
      <c r="X12" s="1922"/>
      <c r="Y12" s="1922"/>
      <c r="Z12" s="1922"/>
      <c r="AA12" s="1922"/>
      <c r="AB12" s="1922"/>
      <c r="AC12" s="1922"/>
      <c r="AD12" s="1922"/>
      <c r="AE12" s="1923"/>
      <c r="AF12" s="1913"/>
      <c r="AG12" s="1913"/>
      <c r="AH12" s="1913"/>
      <c r="AK12" s="1043"/>
    </row>
    <row r="13" spans="1:38" ht="15.95" customHeight="1" x14ac:dyDescent="0.2">
      <c r="A13" s="1916"/>
      <c r="B13" s="1500" t="s">
        <v>1392</v>
      </c>
      <c r="C13" s="1501" t="s">
        <v>1394</v>
      </c>
      <c r="D13" s="1501" t="s">
        <v>808</v>
      </c>
      <c r="E13" s="1501" t="s">
        <v>1397</v>
      </c>
      <c r="F13" s="1501"/>
      <c r="G13" s="1501"/>
      <c r="H13" s="1501"/>
      <c r="I13" s="1501"/>
      <c r="J13" s="1501"/>
      <c r="K13" s="1501"/>
      <c r="L13" s="1501"/>
      <c r="M13" s="1501"/>
      <c r="N13" s="1501"/>
      <c r="O13" s="1502"/>
      <c r="P13" s="656" t="s">
        <v>90</v>
      </c>
      <c r="R13" s="1924"/>
      <c r="S13" s="1925"/>
      <c r="T13" s="1925"/>
      <c r="U13" s="1925"/>
      <c r="V13" s="1925"/>
      <c r="W13" s="1925"/>
      <c r="X13" s="1925"/>
      <c r="Y13" s="1925"/>
      <c r="Z13" s="1925"/>
      <c r="AA13" s="1925"/>
      <c r="AB13" s="1925"/>
      <c r="AC13" s="1925"/>
      <c r="AD13" s="1925"/>
      <c r="AE13" s="1926"/>
      <c r="AF13" s="1914"/>
      <c r="AG13" s="1914"/>
      <c r="AH13" s="1914"/>
    </row>
    <row r="14" spans="1:38" ht="15.95" customHeight="1" x14ac:dyDescent="0.2">
      <c r="A14" s="1488" t="s">
        <v>1399</v>
      </c>
      <c r="B14" s="1489"/>
      <c r="C14" s="1490"/>
      <c r="D14" s="1490"/>
      <c r="E14" s="1490"/>
      <c r="F14" s="1490"/>
      <c r="G14" s="1490"/>
      <c r="H14" s="1490"/>
      <c r="I14" s="1490"/>
      <c r="J14" s="1490"/>
      <c r="K14" s="1490"/>
      <c r="L14" s="1490"/>
      <c r="M14" s="1490"/>
      <c r="N14" s="1490"/>
      <c r="O14" s="1491"/>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t="s">
        <v>1400</v>
      </c>
      <c r="B15" s="1493" t="s">
        <v>1401</v>
      </c>
      <c r="C15" s="1494">
        <v>1</v>
      </c>
      <c r="D15" s="1494" t="s">
        <v>1401</v>
      </c>
      <c r="E15" s="1494">
        <v>1</v>
      </c>
      <c r="F15" s="1494"/>
      <c r="G15" s="1494"/>
      <c r="H15" s="1494"/>
      <c r="I15" s="1494"/>
      <c r="J15" s="1494"/>
      <c r="K15" s="1494"/>
      <c r="L15" s="1494"/>
      <c r="M15" s="1494"/>
      <c r="N15" s="1494"/>
      <c r="O15" s="1495"/>
      <c r="P15" s="657">
        <f t="shared" si="0"/>
        <v>2</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2" t="s">
        <v>1402</v>
      </c>
      <c r="B16" s="1493" t="s">
        <v>1401</v>
      </c>
      <c r="C16" s="1494">
        <v>1</v>
      </c>
      <c r="D16" s="1494" t="s">
        <v>1401</v>
      </c>
      <c r="E16" s="1494">
        <v>1</v>
      </c>
      <c r="F16" s="1494"/>
      <c r="G16" s="1494"/>
      <c r="H16" s="1494"/>
      <c r="I16" s="1494"/>
      <c r="J16" s="1494"/>
      <c r="K16" s="1494"/>
      <c r="L16" s="1494"/>
      <c r="M16" s="1494"/>
      <c r="N16" s="1494"/>
      <c r="O16" s="1495"/>
      <c r="P16" s="657">
        <f t="shared" si="0"/>
        <v>2</v>
      </c>
      <c r="R16" s="37"/>
      <c r="S16" s="37"/>
      <c r="T16" s="37"/>
      <c r="U16" s="37"/>
      <c r="V16" s="37"/>
      <c r="W16" s="37"/>
      <c r="X16" s="37"/>
      <c r="Y16" s="37"/>
      <c r="Z16" s="37"/>
      <c r="AA16" s="37"/>
      <c r="AB16" s="37"/>
      <c r="AC16" s="37"/>
      <c r="AD16" s="37"/>
      <c r="AE16" s="37"/>
      <c r="AF16" s="90"/>
      <c r="AG16" s="89" t="b">
        <f t="shared" si="1"/>
        <v>1</v>
      </c>
      <c r="AH16" s="1044" t="b">
        <v>0</v>
      </c>
    </row>
    <row r="17" spans="1:34" ht="15.95" customHeight="1" x14ac:dyDescent="0.2">
      <c r="A17" s="1492" t="s">
        <v>1403</v>
      </c>
      <c r="B17" s="1493" t="s">
        <v>1401</v>
      </c>
      <c r="C17" s="1494">
        <v>1</v>
      </c>
      <c r="D17" s="1494" t="s">
        <v>1401</v>
      </c>
      <c r="E17" s="1494">
        <v>1</v>
      </c>
      <c r="F17" s="1494"/>
      <c r="G17" s="1494"/>
      <c r="H17" s="1494"/>
      <c r="I17" s="1494"/>
      <c r="J17" s="1494"/>
      <c r="K17" s="1494"/>
      <c r="L17" s="1494"/>
      <c r="M17" s="1494"/>
      <c r="N17" s="1494"/>
      <c r="O17" s="1495"/>
      <c r="P17" s="657">
        <f t="shared" si="0"/>
        <v>2</v>
      </c>
      <c r="R17" s="37"/>
      <c r="S17" s="37"/>
      <c r="T17" s="37"/>
      <c r="U17" s="37"/>
      <c r="V17" s="37"/>
      <c r="W17" s="37"/>
      <c r="X17" s="37"/>
      <c r="Y17" s="37"/>
      <c r="Z17" s="37"/>
      <c r="AA17" s="37"/>
      <c r="AB17" s="37"/>
      <c r="AC17" s="37"/>
      <c r="AD17" s="37"/>
      <c r="AE17" s="37"/>
      <c r="AF17" s="90"/>
      <c r="AG17" s="89" t="b">
        <f t="shared" si="1"/>
        <v>1</v>
      </c>
      <c r="AH17" s="1044" t="b">
        <v>0</v>
      </c>
    </row>
    <row r="18" spans="1:34" ht="15.95" customHeight="1" x14ac:dyDescent="0.2">
      <c r="A18" s="1492" t="s">
        <v>1404</v>
      </c>
      <c r="B18" s="1493" t="s">
        <v>1401</v>
      </c>
      <c r="C18" s="1494" t="s">
        <v>1401</v>
      </c>
      <c r="D18" s="1494" t="s">
        <v>1401</v>
      </c>
      <c r="E18" s="1494">
        <v>1</v>
      </c>
      <c r="F18" s="1494"/>
      <c r="G18" s="1494"/>
      <c r="H18" s="1494"/>
      <c r="I18" s="1494"/>
      <c r="J18" s="1494"/>
      <c r="K18" s="1494"/>
      <c r="L18" s="1494"/>
      <c r="M18" s="1494"/>
      <c r="N18" s="1494"/>
      <c r="O18" s="1495"/>
      <c r="P18" s="657">
        <f t="shared" si="0"/>
        <v>1</v>
      </c>
      <c r="R18" s="37"/>
      <c r="S18" s="37"/>
      <c r="T18" s="37"/>
      <c r="U18" s="37"/>
      <c r="V18" s="37"/>
      <c r="W18" s="37"/>
      <c r="X18" s="37"/>
      <c r="Y18" s="37"/>
      <c r="Z18" s="37"/>
      <c r="AA18" s="37"/>
      <c r="AB18" s="37"/>
      <c r="AC18" s="37"/>
      <c r="AD18" s="37"/>
      <c r="AE18" s="37"/>
      <c r="AF18" s="90"/>
      <c r="AG18" s="89" t="b">
        <f t="shared" si="1"/>
        <v>1</v>
      </c>
      <c r="AH18" s="1044" t="b">
        <v>0</v>
      </c>
    </row>
    <row r="19" spans="1:34" ht="15.95" customHeight="1" x14ac:dyDescent="0.2">
      <c r="A19" s="1492" t="s">
        <v>1405</v>
      </c>
      <c r="B19" s="1493" t="s">
        <v>1401</v>
      </c>
      <c r="C19" s="1494" t="s">
        <v>1401</v>
      </c>
      <c r="D19" s="1494">
        <v>1</v>
      </c>
      <c r="E19" s="1494" t="s">
        <v>1401</v>
      </c>
      <c r="F19" s="1494"/>
      <c r="G19" s="1494"/>
      <c r="H19" s="1494"/>
      <c r="I19" s="1494"/>
      <c r="J19" s="1494"/>
      <c r="K19" s="1494"/>
      <c r="L19" s="1494"/>
      <c r="M19" s="1494"/>
      <c r="N19" s="1494"/>
      <c r="O19" s="1495"/>
      <c r="P19" s="657">
        <f t="shared" si="0"/>
        <v>1</v>
      </c>
      <c r="R19" s="37"/>
      <c r="S19" s="37"/>
      <c r="T19" s="37"/>
      <c r="U19" s="37"/>
      <c r="V19" s="37"/>
      <c r="W19" s="37"/>
      <c r="X19" s="37"/>
      <c r="Y19" s="37"/>
      <c r="Z19" s="37"/>
      <c r="AA19" s="37"/>
      <c r="AB19" s="37"/>
      <c r="AC19" s="37"/>
      <c r="AD19" s="37"/>
      <c r="AE19" s="37"/>
      <c r="AF19" s="90"/>
      <c r="AG19" s="89" t="b">
        <f t="shared" si="1"/>
        <v>1</v>
      </c>
      <c r="AH19" s="1044" t="b">
        <v>0</v>
      </c>
    </row>
    <row r="20" spans="1:34" ht="15.95" customHeight="1" x14ac:dyDescent="0.2">
      <c r="A20" s="1492" t="s">
        <v>1406</v>
      </c>
      <c r="B20" s="1493" t="s">
        <v>1401</v>
      </c>
      <c r="C20" s="1494" t="s">
        <v>1401</v>
      </c>
      <c r="D20" s="1494">
        <v>1</v>
      </c>
      <c r="E20" s="1494" t="s">
        <v>1401</v>
      </c>
      <c r="F20" s="1494"/>
      <c r="G20" s="1494"/>
      <c r="H20" s="1494"/>
      <c r="I20" s="1494"/>
      <c r="J20" s="1494"/>
      <c r="K20" s="1494"/>
      <c r="L20" s="1494"/>
      <c r="M20" s="1494"/>
      <c r="N20" s="1494"/>
      <c r="O20" s="1495"/>
      <c r="P20" s="657">
        <f t="shared" si="0"/>
        <v>1</v>
      </c>
      <c r="R20" s="37"/>
      <c r="S20" s="37"/>
      <c r="T20" s="37"/>
      <c r="U20" s="37"/>
      <c r="V20" s="37"/>
      <c r="W20" s="37"/>
      <c r="X20" s="37"/>
      <c r="Y20" s="37"/>
      <c r="Z20" s="37"/>
      <c r="AA20" s="37"/>
      <c r="AB20" s="37"/>
      <c r="AC20" s="37"/>
      <c r="AD20" s="37"/>
      <c r="AE20" s="37"/>
      <c r="AF20" s="90"/>
      <c r="AG20" s="89" t="b">
        <f t="shared" si="1"/>
        <v>1</v>
      </c>
      <c r="AH20" s="1044" t="b">
        <v>0</v>
      </c>
    </row>
    <row r="21" spans="1:34" ht="15.95" customHeight="1" x14ac:dyDescent="0.2">
      <c r="A21" s="1492" t="s">
        <v>1407</v>
      </c>
      <c r="B21" s="1493" t="s">
        <v>1401</v>
      </c>
      <c r="C21" s="1494">
        <v>1</v>
      </c>
      <c r="D21" s="1494" t="s">
        <v>1401</v>
      </c>
      <c r="E21" s="1494">
        <v>1</v>
      </c>
      <c r="F21" s="1494"/>
      <c r="G21" s="1494"/>
      <c r="H21" s="1494"/>
      <c r="I21" s="1494"/>
      <c r="J21" s="1494"/>
      <c r="K21" s="1494"/>
      <c r="L21" s="1494"/>
      <c r="M21" s="1494"/>
      <c r="N21" s="1494"/>
      <c r="O21" s="1495"/>
      <c r="P21" s="657">
        <f t="shared" si="0"/>
        <v>2</v>
      </c>
      <c r="R21" s="37"/>
      <c r="S21" s="37"/>
      <c r="T21" s="37"/>
      <c r="U21" s="37"/>
      <c r="V21" s="37"/>
      <c r="W21" s="37"/>
      <c r="X21" s="37"/>
      <c r="Y21" s="37"/>
      <c r="Z21" s="37"/>
      <c r="AA21" s="37"/>
      <c r="AB21" s="37"/>
      <c r="AC21" s="37"/>
      <c r="AD21" s="37"/>
      <c r="AE21" s="37"/>
      <c r="AF21" s="90"/>
      <c r="AG21" s="89" t="b">
        <f t="shared" si="1"/>
        <v>1</v>
      </c>
      <c r="AH21" s="1044" t="b">
        <v>0</v>
      </c>
    </row>
    <row r="22" spans="1:34" ht="15.95" customHeight="1" x14ac:dyDescent="0.2">
      <c r="A22" s="1492" t="s">
        <v>1408</v>
      </c>
      <c r="B22" s="1493" t="s">
        <v>1401</v>
      </c>
      <c r="C22" s="1494">
        <v>2</v>
      </c>
      <c r="D22" s="1494">
        <v>1</v>
      </c>
      <c r="E22" s="1494">
        <v>2</v>
      </c>
      <c r="F22" s="1494"/>
      <c r="G22" s="1494"/>
      <c r="H22" s="1494"/>
      <c r="I22" s="1494"/>
      <c r="J22" s="1494"/>
      <c r="K22" s="1494"/>
      <c r="L22" s="1494"/>
      <c r="M22" s="1494"/>
      <c r="N22" s="1494"/>
      <c r="O22" s="1495"/>
      <c r="P22" s="657">
        <f t="shared" si="0"/>
        <v>5</v>
      </c>
      <c r="R22" s="37"/>
      <c r="S22" s="37"/>
      <c r="T22" s="37"/>
      <c r="U22" s="37"/>
      <c r="V22" s="37"/>
      <c r="W22" s="37"/>
      <c r="X22" s="37"/>
      <c r="Y22" s="37"/>
      <c r="Z22" s="37"/>
      <c r="AA22" s="37"/>
      <c r="AB22" s="37"/>
      <c r="AC22" s="37"/>
      <c r="AD22" s="37"/>
      <c r="AE22" s="37"/>
      <c r="AF22" s="90"/>
      <c r="AG22" s="89" t="b">
        <f t="shared" si="1"/>
        <v>1</v>
      </c>
      <c r="AH22" s="1044" t="b">
        <v>0</v>
      </c>
    </row>
    <row r="23" spans="1:34" ht="15.95" customHeight="1" x14ac:dyDescent="0.2">
      <c r="A23" s="1492" t="s">
        <v>1409</v>
      </c>
      <c r="B23" s="1493" t="s">
        <v>1401</v>
      </c>
      <c r="C23" s="1494" t="s">
        <v>1401</v>
      </c>
      <c r="D23" s="1494" t="s">
        <v>1401</v>
      </c>
      <c r="E23" s="1494">
        <v>1</v>
      </c>
      <c r="F23" s="1494"/>
      <c r="G23" s="1494"/>
      <c r="H23" s="1494"/>
      <c r="I23" s="1494"/>
      <c r="J23" s="1494"/>
      <c r="K23" s="1494"/>
      <c r="L23" s="1494"/>
      <c r="M23" s="1494"/>
      <c r="N23" s="1494"/>
      <c r="O23" s="1495"/>
      <c r="P23" s="657">
        <f t="shared" si="0"/>
        <v>1</v>
      </c>
      <c r="R23" s="37"/>
      <c r="S23" s="37"/>
      <c r="T23" s="37"/>
      <c r="U23" s="37"/>
      <c r="V23" s="37"/>
      <c r="W23" s="37"/>
      <c r="X23" s="37"/>
      <c r="Y23" s="37"/>
      <c r="Z23" s="37"/>
      <c r="AA23" s="37"/>
      <c r="AB23" s="37"/>
      <c r="AC23" s="37"/>
      <c r="AD23" s="37"/>
      <c r="AE23" s="37"/>
      <c r="AF23" s="90"/>
      <c r="AG23" s="89" t="b">
        <f t="shared" si="1"/>
        <v>1</v>
      </c>
      <c r="AH23" s="1044" t="b">
        <v>0</v>
      </c>
    </row>
    <row r="24" spans="1:34" ht="15.95" customHeight="1" x14ac:dyDescent="0.2">
      <c r="A24" s="1492" t="s">
        <v>1410</v>
      </c>
      <c r="B24" s="1493" t="s">
        <v>1401</v>
      </c>
      <c r="C24" s="1494" t="s">
        <v>1401</v>
      </c>
      <c r="D24" s="1494">
        <v>1</v>
      </c>
      <c r="E24" s="1494" t="s">
        <v>1401</v>
      </c>
      <c r="F24" s="1494"/>
      <c r="G24" s="1494"/>
      <c r="H24" s="1494"/>
      <c r="I24" s="1494"/>
      <c r="J24" s="1494"/>
      <c r="K24" s="1494"/>
      <c r="L24" s="1494"/>
      <c r="M24" s="1494"/>
      <c r="N24" s="1494"/>
      <c r="O24" s="1495"/>
      <c r="P24" s="657">
        <f t="shared" si="0"/>
        <v>1</v>
      </c>
      <c r="R24" s="37"/>
      <c r="S24" s="37"/>
      <c r="T24" s="37"/>
      <c r="U24" s="37"/>
      <c r="V24" s="37"/>
      <c r="W24" s="37"/>
      <c r="X24" s="37"/>
      <c r="Y24" s="37"/>
      <c r="Z24" s="37"/>
      <c r="AA24" s="37"/>
      <c r="AB24" s="37"/>
      <c r="AC24" s="37"/>
      <c r="AD24" s="37"/>
      <c r="AE24" s="37"/>
      <c r="AF24" s="90"/>
      <c r="AG24" s="89" t="b">
        <f t="shared" si="1"/>
        <v>1</v>
      </c>
      <c r="AH24" s="1044" t="b">
        <v>0</v>
      </c>
    </row>
    <row r="25" spans="1:34" ht="15.95" customHeight="1" x14ac:dyDescent="0.2">
      <c r="A25" s="1492" t="s">
        <v>1411</v>
      </c>
      <c r="B25" s="1493" t="s">
        <v>1401</v>
      </c>
      <c r="C25" s="1494" t="s">
        <v>1401</v>
      </c>
      <c r="D25" s="1494">
        <v>1</v>
      </c>
      <c r="E25" s="1494" t="s">
        <v>1401</v>
      </c>
      <c r="F25" s="1494"/>
      <c r="G25" s="1494"/>
      <c r="H25" s="1494"/>
      <c r="I25" s="1494"/>
      <c r="J25" s="1494"/>
      <c r="K25" s="1494"/>
      <c r="L25" s="1494"/>
      <c r="M25" s="1494"/>
      <c r="N25" s="1494"/>
      <c r="O25" s="1495"/>
      <c r="P25" s="657">
        <f t="shared" si="0"/>
        <v>1</v>
      </c>
      <c r="R25" s="37"/>
      <c r="S25" s="37"/>
      <c r="T25" s="37"/>
      <c r="U25" s="37"/>
      <c r="V25" s="37"/>
      <c r="W25" s="37"/>
      <c r="X25" s="37"/>
      <c r="Y25" s="37"/>
      <c r="Z25" s="37"/>
      <c r="AA25" s="37"/>
      <c r="AB25" s="37"/>
      <c r="AC25" s="37"/>
      <c r="AD25" s="37"/>
      <c r="AE25" s="37"/>
      <c r="AF25" s="90"/>
      <c r="AG25" s="89" t="b">
        <f t="shared" si="1"/>
        <v>1</v>
      </c>
      <c r="AH25" s="1044" t="b">
        <v>0</v>
      </c>
    </row>
    <row r="26" spans="1:34" ht="15.95" customHeight="1" x14ac:dyDescent="0.2">
      <c r="A26" s="1492" t="s">
        <v>1412</v>
      </c>
      <c r="B26" s="1493" t="s">
        <v>1401</v>
      </c>
      <c r="C26" s="1494">
        <v>1</v>
      </c>
      <c r="D26" s="1494" t="s">
        <v>1401</v>
      </c>
      <c r="E26" s="1494">
        <v>1</v>
      </c>
      <c r="F26" s="1494"/>
      <c r="G26" s="1494"/>
      <c r="H26" s="1494"/>
      <c r="I26" s="1494"/>
      <c r="J26" s="1494"/>
      <c r="K26" s="1494"/>
      <c r="L26" s="1494"/>
      <c r="M26" s="1494"/>
      <c r="N26" s="1494"/>
      <c r="O26" s="1495"/>
      <c r="P26" s="657">
        <f t="shared" si="0"/>
        <v>2</v>
      </c>
      <c r="R26" s="37"/>
      <c r="S26" s="37"/>
      <c r="T26" s="37"/>
      <c r="U26" s="37"/>
      <c r="V26" s="37"/>
      <c r="W26" s="37"/>
      <c r="X26" s="37"/>
      <c r="Y26" s="37"/>
      <c r="Z26" s="37"/>
      <c r="AA26" s="37"/>
      <c r="AB26" s="37"/>
      <c r="AC26" s="37"/>
      <c r="AD26" s="37"/>
      <c r="AE26" s="37"/>
      <c r="AF26" s="90"/>
      <c r="AG26" s="89" t="b">
        <f t="shared" si="1"/>
        <v>1</v>
      </c>
      <c r="AH26" s="1044" t="b">
        <v>0</v>
      </c>
    </row>
    <row r="27" spans="1:34" ht="15.95" customHeight="1" x14ac:dyDescent="0.2">
      <c r="A27" s="1492" t="s">
        <v>1413</v>
      </c>
      <c r="B27" s="1493" t="s">
        <v>1401</v>
      </c>
      <c r="C27" s="1494">
        <v>2</v>
      </c>
      <c r="D27" s="1494">
        <v>1</v>
      </c>
      <c r="E27" s="1494">
        <v>2</v>
      </c>
      <c r="F27" s="1494"/>
      <c r="G27" s="1494"/>
      <c r="H27" s="1494"/>
      <c r="I27" s="1494"/>
      <c r="J27" s="1494"/>
      <c r="K27" s="1494"/>
      <c r="L27" s="1494"/>
      <c r="M27" s="1494"/>
      <c r="N27" s="1494"/>
      <c r="O27" s="1495"/>
      <c r="P27" s="657">
        <f t="shared" si="0"/>
        <v>5</v>
      </c>
      <c r="R27" s="37"/>
      <c r="S27" s="37"/>
      <c r="T27" s="37"/>
      <c r="U27" s="37"/>
      <c r="V27" s="37"/>
      <c r="W27" s="37"/>
      <c r="X27" s="37"/>
      <c r="Y27" s="37"/>
      <c r="Z27" s="37"/>
      <c r="AA27" s="37"/>
      <c r="AB27" s="37"/>
      <c r="AC27" s="37"/>
      <c r="AD27" s="37"/>
      <c r="AE27" s="37"/>
      <c r="AF27" s="90"/>
      <c r="AG27" s="89" t="b">
        <f t="shared" si="1"/>
        <v>1</v>
      </c>
      <c r="AH27" s="1044" t="b">
        <v>0</v>
      </c>
    </row>
    <row r="28" spans="1:34" ht="15.95" customHeight="1" x14ac:dyDescent="0.2">
      <c r="A28" s="1492" t="s">
        <v>1414</v>
      </c>
      <c r="B28" s="1493" t="s">
        <v>1401</v>
      </c>
      <c r="C28" s="1494" t="s">
        <v>1401</v>
      </c>
      <c r="D28" s="1494">
        <v>1</v>
      </c>
      <c r="E28" s="1494">
        <v>1</v>
      </c>
      <c r="F28" s="1494"/>
      <c r="G28" s="1494"/>
      <c r="H28" s="1494"/>
      <c r="I28" s="1494"/>
      <c r="J28" s="1494"/>
      <c r="K28" s="1494"/>
      <c r="L28" s="1494"/>
      <c r="M28" s="1494"/>
      <c r="N28" s="1494"/>
      <c r="O28" s="1495"/>
      <c r="P28" s="657">
        <f t="shared" si="0"/>
        <v>2</v>
      </c>
      <c r="R28" s="37"/>
      <c r="S28" s="37"/>
      <c r="T28" s="37"/>
      <c r="U28" s="37"/>
      <c r="V28" s="37"/>
      <c r="W28" s="37"/>
      <c r="X28" s="37"/>
      <c r="Y28" s="37"/>
      <c r="Z28" s="37"/>
      <c r="AA28" s="37"/>
      <c r="AB28" s="37"/>
      <c r="AC28" s="37"/>
      <c r="AD28" s="37"/>
      <c r="AE28" s="37"/>
      <c r="AF28" s="90"/>
      <c r="AG28" s="89" t="b">
        <f t="shared" si="1"/>
        <v>1</v>
      </c>
      <c r="AH28" s="1044" t="b">
        <v>0</v>
      </c>
    </row>
    <row r="29" spans="1:34" ht="15.95" customHeight="1" x14ac:dyDescent="0.2">
      <c r="A29" s="1492" t="s">
        <v>1415</v>
      </c>
      <c r="B29" s="1493" t="s">
        <v>1401</v>
      </c>
      <c r="C29" s="1494" t="s">
        <v>1401</v>
      </c>
      <c r="D29" s="1494">
        <v>1</v>
      </c>
      <c r="E29" s="1494" t="s">
        <v>1401</v>
      </c>
      <c r="F29" s="1494"/>
      <c r="G29" s="1494"/>
      <c r="H29" s="1494"/>
      <c r="I29" s="1494"/>
      <c r="J29" s="1494"/>
      <c r="K29" s="1494"/>
      <c r="L29" s="1494"/>
      <c r="M29" s="1494"/>
      <c r="N29" s="1494"/>
      <c r="O29" s="1495"/>
      <c r="P29" s="657">
        <f t="shared" si="0"/>
        <v>1</v>
      </c>
      <c r="R29" s="37"/>
      <c r="S29" s="37"/>
      <c r="T29" s="37"/>
      <c r="U29" s="37"/>
      <c r="V29" s="37"/>
      <c r="W29" s="37"/>
      <c r="X29" s="37"/>
      <c r="Y29" s="37"/>
      <c r="Z29" s="37"/>
      <c r="AA29" s="37"/>
      <c r="AB29" s="37"/>
      <c r="AC29" s="37"/>
      <c r="AD29" s="37"/>
      <c r="AE29" s="37"/>
      <c r="AF29" s="90"/>
      <c r="AG29" s="89" t="b">
        <f t="shared" si="1"/>
        <v>1</v>
      </c>
      <c r="AH29" s="1044" t="b">
        <v>0</v>
      </c>
    </row>
    <row r="30" spans="1:34" ht="15.95" customHeight="1" x14ac:dyDescent="0.2">
      <c r="A30" s="1492" t="s">
        <v>1416</v>
      </c>
      <c r="B30" s="1493" t="s">
        <v>1401</v>
      </c>
      <c r="C30" s="1494" t="s">
        <v>1401</v>
      </c>
      <c r="D30" s="1494">
        <v>1</v>
      </c>
      <c r="E30" s="1494" t="s">
        <v>1401</v>
      </c>
      <c r="F30" s="1494"/>
      <c r="G30" s="1494"/>
      <c r="H30" s="1494"/>
      <c r="I30" s="1494"/>
      <c r="J30" s="1494"/>
      <c r="K30" s="1494"/>
      <c r="L30" s="1494"/>
      <c r="M30" s="1494"/>
      <c r="N30" s="1494"/>
      <c r="O30" s="1495"/>
      <c r="P30" s="657">
        <f t="shared" si="0"/>
        <v>1</v>
      </c>
      <c r="R30" s="37"/>
      <c r="S30" s="37"/>
      <c r="T30" s="37"/>
      <c r="U30" s="37"/>
      <c r="V30" s="37"/>
      <c r="W30" s="37"/>
      <c r="X30" s="37"/>
      <c r="Y30" s="37"/>
      <c r="Z30" s="37"/>
      <c r="AA30" s="37"/>
      <c r="AB30" s="37"/>
      <c r="AC30" s="37"/>
      <c r="AD30" s="37"/>
      <c r="AE30" s="37"/>
      <c r="AF30" s="90"/>
      <c r="AG30" s="89" t="b">
        <f t="shared" si="1"/>
        <v>1</v>
      </c>
      <c r="AH30" s="1044" t="b">
        <v>0</v>
      </c>
    </row>
    <row r="31" spans="1:34" ht="15.95" customHeight="1" x14ac:dyDescent="0.2">
      <c r="A31" s="1492" t="s">
        <v>1417</v>
      </c>
      <c r="B31" s="1493" t="s">
        <v>1401</v>
      </c>
      <c r="C31" s="1494">
        <v>1</v>
      </c>
      <c r="D31" s="1494" t="s">
        <v>1401</v>
      </c>
      <c r="E31" s="1494">
        <v>1</v>
      </c>
      <c r="F31" s="1494"/>
      <c r="G31" s="1494"/>
      <c r="H31" s="1494"/>
      <c r="I31" s="1494"/>
      <c r="J31" s="1494"/>
      <c r="K31" s="1494"/>
      <c r="L31" s="1494"/>
      <c r="M31" s="1494"/>
      <c r="N31" s="1494"/>
      <c r="O31" s="1495"/>
      <c r="P31" s="657">
        <f t="shared" si="0"/>
        <v>2</v>
      </c>
      <c r="R31" s="37"/>
      <c r="S31" s="37"/>
      <c r="T31" s="37"/>
      <c r="U31" s="37"/>
      <c r="V31" s="37"/>
      <c r="W31" s="37"/>
      <c r="X31" s="37"/>
      <c r="Y31" s="37"/>
      <c r="Z31" s="37"/>
      <c r="AA31" s="37"/>
      <c r="AB31" s="37"/>
      <c r="AC31" s="37"/>
      <c r="AD31" s="37"/>
      <c r="AE31" s="37"/>
      <c r="AF31" s="90"/>
      <c r="AG31" s="89" t="b">
        <f t="shared" si="1"/>
        <v>1</v>
      </c>
      <c r="AH31" s="1044" t="b">
        <v>0</v>
      </c>
    </row>
    <row r="32" spans="1:34" ht="15.95" customHeight="1" x14ac:dyDescent="0.2">
      <c r="A32" s="1492" t="s">
        <v>1418</v>
      </c>
      <c r="B32" s="1493" t="s">
        <v>1401</v>
      </c>
      <c r="C32" s="1494">
        <v>1</v>
      </c>
      <c r="D32" s="1494">
        <v>1</v>
      </c>
      <c r="E32" s="1494">
        <v>1</v>
      </c>
      <c r="F32" s="1494"/>
      <c r="G32" s="1494"/>
      <c r="H32" s="1494"/>
      <c r="I32" s="1494"/>
      <c r="J32" s="1494"/>
      <c r="K32" s="1494"/>
      <c r="L32" s="1494"/>
      <c r="M32" s="1494"/>
      <c r="N32" s="1494"/>
      <c r="O32" s="1495"/>
      <c r="P32" s="657">
        <f t="shared" si="0"/>
        <v>3</v>
      </c>
      <c r="R32" s="37"/>
      <c r="S32" s="37"/>
      <c r="T32" s="37"/>
      <c r="U32" s="37"/>
      <c r="V32" s="37"/>
      <c r="W32" s="37"/>
      <c r="X32" s="37"/>
      <c r="Y32" s="37"/>
      <c r="Z32" s="37"/>
      <c r="AA32" s="37"/>
      <c r="AB32" s="37"/>
      <c r="AC32" s="37"/>
      <c r="AD32" s="37"/>
      <c r="AE32" s="37"/>
      <c r="AF32" s="90"/>
      <c r="AG32" s="89" t="b">
        <f t="shared" si="1"/>
        <v>1</v>
      </c>
      <c r="AH32" s="1044" t="b">
        <v>0</v>
      </c>
    </row>
    <row r="33" spans="1:34" ht="15.95" customHeight="1" x14ac:dyDescent="0.2">
      <c r="A33" s="1492" t="s">
        <v>1419</v>
      </c>
      <c r="B33" s="1493" t="s">
        <v>1401</v>
      </c>
      <c r="C33" s="1494">
        <v>1</v>
      </c>
      <c r="D33" s="1494" t="s">
        <v>1401</v>
      </c>
      <c r="E33" s="1494">
        <v>1</v>
      </c>
      <c r="F33" s="1494"/>
      <c r="G33" s="1494"/>
      <c r="H33" s="1494"/>
      <c r="I33" s="1494"/>
      <c r="J33" s="1494"/>
      <c r="K33" s="1494"/>
      <c r="L33" s="1494"/>
      <c r="M33" s="1494"/>
      <c r="N33" s="1494"/>
      <c r="O33" s="1495"/>
      <c r="P33" s="657">
        <f t="shared" si="0"/>
        <v>2</v>
      </c>
      <c r="R33" s="37"/>
      <c r="S33" s="37"/>
      <c r="T33" s="37"/>
      <c r="U33" s="37"/>
      <c r="V33" s="37"/>
      <c r="W33" s="37"/>
      <c r="X33" s="37"/>
      <c r="Y33" s="37"/>
      <c r="Z33" s="37"/>
      <c r="AA33" s="37"/>
      <c r="AB33" s="37"/>
      <c r="AC33" s="37"/>
      <c r="AD33" s="37"/>
      <c r="AE33" s="37"/>
      <c r="AF33" s="90"/>
      <c r="AG33" s="89" t="b">
        <f t="shared" si="1"/>
        <v>1</v>
      </c>
      <c r="AH33" s="1044" t="b">
        <v>0</v>
      </c>
    </row>
    <row r="34" spans="1:34" ht="15.95" customHeight="1" x14ac:dyDescent="0.2">
      <c r="A34" s="1492" t="s">
        <v>1420</v>
      </c>
      <c r="B34" s="1493" t="s">
        <v>1401</v>
      </c>
      <c r="C34" s="1494" t="s">
        <v>1401</v>
      </c>
      <c r="D34" s="1494">
        <v>1</v>
      </c>
      <c r="E34" s="1494">
        <v>1</v>
      </c>
      <c r="F34" s="1494"/>
      <c r="G34" s="1494"/>
      <c r="H34" s="1494"/>
      <c r="I34" s="1494"/>
      <c r="J34" s="1494"/>
      <c r="K34" s="1494"/>
      <c r="L34" s="1494"/>
      <c r="M34" s="1494"/>
      <c r="N34" s="1494"/>
      <c r="O34" s="1495"/>
      <c r="P34" s="657">
        <f t="shared" si="0"/>
        <v>2</v>
      </c>
      <c r="R34" s="37"/>
      <c r="S34" s="37"/>
      <c r="T34" s="37"/>
      <c r="U34" s="37"/>
      <c r="V34" s="37"/>
      <c r="W34" s="37"/>
      <c r="X34" s="37"/>
      <c r="Y34" s="37"/>
      <c r="Z34" s="37"/>
      <c r="AA34" s="37"/>
      <c r="AB34" s="37"/>
      <c r="AC34" s="37"/>
      <c r="AD34" s="37"/>
      <c r="AE34" s="37"/>
      <c r="AF34" s="90"/>
      <c r="AG34" s="89" t="b">
        <f t="shared" si="1"/>
        <v>1</v>
      </c>
      <c r="AH34" s="1044" t="b">
        <v>0</v>
      </c>
    </row>
    <row r="35" spans="1:34" ht="15.95" customHeight="1" x14ac:dyDescent="0.2">
      <c r="A35" s="1492" t="s">
        <v>1421</v>
      </c>
      <c r="B35" s="1493" t="s">
        <v>1401</v>
      </c>
      <c r="C35" s="1494" t="s">
        <v>1401</v>
      </c>
      <c r="D35" s="1494">
        <v>1</v>
      </c>
      <c r="E35" s="1494" t="s">
        <v>1401</v>
      </c>
      <c r="F35" s="1494"/>
      <c r="G35" s="1494"/>
      <c r="H35" s="1494"/>
      <c r="I35" s="1494"/>
      <c r="J35" s="1494"/>
      <c r="K35" s="1494"/>
      <c r="L35" s="1494"/>
      <c r="M35" s="1494"/>
      <c r="N35" s="1494"/>
      <c r="O35" s="1495"/>
      <c r="P35" s="657">
        <f t="shared" si="0"/>
        <v>1</v>
      </c>
      <c r="R35" s="37"/>
      <c r="S35" s="37"/>
      <c r="T35" s="37"/>
      <c r="U35" s="37"/>
      <c r="V35" s="37"/>
      <c r="W35" s="37"/>
      <c r="X35" s="37"/>
      <c r="Y35" s="37"/>
      <c r="Z35" s="37"/>
      <c r="AA35" s="37"/>
      <c r="AB35" s="37"/>
      <c r="AC35" s="37"/>
      <c r="AD35" s="37"/>
      <c r="AE35" s="37"/>
      <c r="AF35" s="90"/>
      <c r="AG35" s="89" t="b">
        <f t="shared" si="1"/>
        <v>1</v>
      </c>
      <c r="AH35" s="1044" t="b">
        <v>0</v>
      </c>
    </row>
    <row r="36" spans="1:34" ht="15.95" customHeight="1" x14ac:dyDescent="0.2">
      <c r="A36" s="1492" t="s">
        <v>1422</v>
      </c>
      <c r="B36" s="1493" t="s">
        <v>1401</v>
      </c>
      <c r="C36" s="1494" t="s">
        <v>1401</v>
      </c>
      <c r="D36" s="1494">
        <v>1</v>
      </c>
      <c r="E36" s="1494" t="s">
        <v>1401</v>
      </c>
      <c r="F36" s="1494"/>
      <c r="G36" s="1494"/>
      <c r="H36" s="1494"/>
      <c r="I36" s="1494"/>
      <c r="J36" s="1494"/>
      <c r="K36" s="1494"/>
      <c r="L36" s="1494"/>
      <c r="M36" s="1494"/>
      <c r="N36" s="1494"/>
      <c r="O36" s="1495"/>
      <c r="P36" s="657">
        <f t="shared" si="0"/>
        <v>1</v>
      </c>
      <c r="R36" s="37"/>
      <c r="S36" s="37"/>
      <c r="T36" s="37"/>
      <c r="U36" s="37"/>
      <c r="V36" s="37"/>
      <c r="W36" s="37"/>
      <c r="X36" s="37"/>
      <c r="Y36" s="37"/>
      <c r="Z36" s="37"/>
      <c r="AA36" s="37"/>
      <c r="AB36" s="37"/>
      <c r="AC36" s="37"/>
      <c r="AD36" s="37"/>
      <c r="AE36" s="37"/>
      <c r="AF36" s="90"/>
      <c r="AG36" s="89" t="b">
        <f t="shared" si="1"/>
        <v>1</v>
      </c>
      <c r="AH36" s="1044" t="b">
        <v>0</v>
      </c>
    </row>
    <row r="37" spans="1:34" ht="15.95" customHeight="1" x14ac:dyDescent="0.2">
      <c r="A37" s="1492" t="s">
        <v>1423</v>
      </c>
      <c r="B37" s="1493" t="s">
        <v>1401</v>
      </c>
      <c r="C37" s="1494" t="s">
        <v>1401</v>
      </c>
      <c r="D37" s="1494">
        <v>1</v>
      </c>
      <c r="E37" s="1494" t="s">
        <v>1401</v>
      </c>
      <c r="F37" s="1494"/>
      <c r="G37" s="1494"/>
      <c r="H37" s="1494"/>
      <c r="I37" s="1494"/>
      <c r="J37" s="1494"/>
      <c r="K37" s="1494"/>
      <c r="L37" s="1494"/>
      <c r="M37" s="1494"/>
      <c r="N37" s="1494"/>
      <c r="O37" s="1495"/>
      <c r="P37" s="657">
        <f t="shared" si="0"/>
        <v>1</v>
      </c>
      <c r="R37" s="37"/>
      <c r="S37" s="37"/>
      <c r="T37" s="37"/>
      <c r="U37" s="37"/>
      <c r="V37" s="37"/>
      <c r="W37" s="37"/>
      <c r="X37" s="37"/>
      <c r="Y37" s="37"/>
      <c r="Z37" s="37"/>
      <c r="AA37" s="37"/>
      <c r="AB37" s="37"/>
      <c r="AC37" s="37"/>
      <c r="AD37" s="37"/>
      <c r="AE37" s="37"/>
      <c r="AF37" s="90"/>
      <c r="AG37" s="89" t="b">
        <f t="shared" si="1"/>
        <v>1</v>
      </c>
      <c r="AH37" s="1044" t="b">
        <v>0</v>
      </c>
    </row>
    <row r="38" spans="1:34" ht="15.95" customHeight="1" x14ac:dyDescent="0.2">
      <c r="A38" s="1492" t="s">
        <v>1424</v>
      </c>
      <c r="B38" s="1493" t="s">
        <v>1401</v>
      </c>
      <c r="C38" s="1494">
        <v>1</v>
      </c>
      <c r="D38" s="1494" t="s">
        <v>1401</v>
      </c>
      <c r="E38" s="1494" t="s">
        <v>1401</v>
      </c>
      <c r="F38" s="1494"/>
      <c r="G38" s="1494"/>
      <c r="H38" s="1494"/>
      <c r="I38" s="1494"/>
      <c r="J38" s="1494"/>
      <c r="K38" s="1494"/>
      <c r="L38" s="1494"/>
      <c r="M38" s="1494"/>
      <c r="N38" s="1494"/>
      <c r="O38" s="1495"/>
      <c r="P38" s="657">
        <f t="shared" si="0"/>
        <v>1</v>
      </c>
      <c r="R38" s="37"/>
      <c r="S38" s="37"/>
      <c r="T38" s="37"/>
      <c r="U38" s="37"/>
      <c r="V38" s="37"/>
      <c r="W38" s="37"/>
      <c r="X38" s="37"/>
      <c r="Y38" s="37"/>
      <c r="Z38" s="37"/>
      <c r="AA38" s="37"/>
      <c r="AB38" s="37"/>
      <c r="AC38" s="37"/>
      <c r="AD38" s="37"/>
      <c r="AE38" s="37"/>
      <c r="AF38" s="90"/>
      <c r="AG38" s="89" t="b">
        <f t="shared" si="1"/>
        <v>1</v>
      </c>
      <c r="AH38" s="1044" t="b">
        <v>0</v>
      </c>
    </row>
    <row r="39" spans="1:34" ht="15.95" customHeight="1" x14ac:dyDescent="0.2">
      <c r="A39" s="1492" t="s">
        <v>1425</v>
      </c>
      <c r="B39" s="1493" t="s">
        <v>1401</v>
      </c>
      <c r="C39" s="1494" t="s">
        <v>1401</v>
      </c>
      <c r="D39" s="1494">
        <v>1</v>
      </c>
      <c r="E39" s="1494" t="s">
        <v>1401</v>
      </c>
      <c r="F39" s="1494"/>
      <c r="G39" s="1494"/>
      <c r="H39" s="1494"/>
      <c r="I39" s="1494"/>
      <c r="J39" s="1494"/>
      <c r="K39" s="1494"/>
      <c r="L39" s="1494"/>
      <c r="M39" s="1494"/>
      <c r="N39" s="1494"/>
      <c r="O39" s="1495"/>
      <c r="P39" s="657">
        <f t="shared" si="0"/>
        <v>1</v>
      </c>
      <c r="R39" s="37"/>
      <c r="S39" s="37"/>
      <c r="T39" s="37"/>
      <c r="U39" s="37"/>
      <c r="V39" s="37"/>
      <c r="W39" s="37"/>
      <c r="X39" s="37"/>
      <c r="Y39" s="37"/>
      <c r="Z39" s="37"/>
      <c r="AA39" s="37"/>
      <c r="AB39" s="37"/>
      <c r="AC39" s="37"/>
      <c r="AD39" s="37"/>
      <c r="AE39" s="37"/>
      <c r="AF39" s="90"/>
      <c r="AG39" s="89" t="b">
        <f t="shared" si="1"/>
        <v>1</v>
      </c>
      <c r="AH39" s="1044" t="b">
        <v>0</v>
      </c>
    </row>
    <row r="40" spans="1:34" ht="15.95" customHeight="1" x14ac:dyDescent="0.2">
      <c r="A40" s="1492" t="s">
        <v>1426</v>
      </c>
      <c r="B40" s="1493" t="s">
        <v>1401</v>
      </c>
      <c r="C40" s="1494">
        <v>1</v>
      </c>
      <c r="D40" s="1494" t="s">
        <v>1401</v>
      </c>
      <c r="E40" s="1494" t="s">
        <v>1401</v>
      </c>
      <c r="F40" s="1494"/>
      <c r="G40" s="1494"/>
      <c r="H40" s="1494"/>
      <c r="I40" s="1494"/>
      <c r="J40" s="1494"/>
      <c r="K40" s="1494"/>
      <c r="L40" s="1494"/>
      <c r="M40" s="1494"/>
      <c r="N40" s="1494"/>
      <c r="O40" s="1495"/>
      <c r="P40" s="657">
        <f t="shared" si="0"/>
        <v>1</v>
      </c>
      <c r="R40" s="37"/>
      <c r="S40" s="37"/>
      <c r="T40" s="37"/>
      <c r="U40" s="37"/>
      <c r="V40" s="37"/>
      <c r="W40" s="37"/>
      <c r="X40" s="37"/>
      <c r="Y40" s="37"/>
      <c r="Z40" s="37"/>
      <c r="AA40" s="37"/>
      <c r="AB40" s="37"/>
      <c r="AC40" s="37"/>
      <c r="AD40" s="37"/>
      <c r="AE40" s="37"/>
      <c r="AF40" s="90"/>
      <c r="AG40" s="89" t="b">
        <f t="shared" si="1"/>
        <v>1</v>
      </c>
      <c r="AH40" s="1044" t="b">
        <v>0</v>
      </c>
    </row>
    <row r="41" spans="1:34" ht="15.95" customHeight="1" x14ac:dyDescent="0.2">
      <c r="A41" s="1492" t="s">
        <v>1427</v>
      </c>
      <c r="B41" s="1493" t="s">
        <v>1401</v>
      </c>
      <c r="C41" s="1494">
        <v>1</v>
      </c>
      <c r="D41" s="1494" t="s">
        <v>1401</v>
      </c>
      <c r="E41" s="1494" t="s">
        <v>1401</v>
      </c>
      <c r="F41" s="1494"/>
      <c r="G41" s="1494"/>
      <c r="H41" s="1494"/>
      <c r="I41" s="1494"/>
      <c r="J41" s="1494"/>
      <c r="K41" s="1494"/>
      <c r="L41" s="1494"/>
      <c r="M41" s="1494"/>
      <c r="N41" s="1494"/>
      <c r="O41" s="1495"/>
      <c r="P41" s="657">
        <f t="shared" si="0"/>
        <v>1</v>
      </c>
      <c r="R41" s="37"/>
      <c r="S41" s="37"/>
      <c r="T41" s="37"/>
      <c r="U41" s="37"/>
      <c r="V41" s="37"/>
      <c r="W41" s="37"/>
      <c r="X41" s="37"/>
      <c r="Y41" s="37"/>
      <c r="Z41" s="37"/>
      <c r="AA41" s="37"/>
      <c r="AB41" s="37"/>
      <c r="AC41" s="37"/>
      <c r="AD41" s="37"/>
      <c r="AE41" s="37"/>
      <c r="AF41" s="90"/>
      <c r="AG41" s="89" t="b">
        <f t="shared" si="1"/>
        <v>1</v>
      </c>
      <c r="AH41" s="1044" t="b">
        <v>0</v>
      </c>
    </row>
    <row r="42" spans="1:34" ht="15.95" customHeight="1" x14ac:dyDescent="0.2">
      <c r="A42" s="1492" t="s">
        <v>1428</v>
      </c>
      <c r="B42" s="1493" t="s">
        <v>1401</v>
      </c>
      <c r="C42" s="1494" t="s">
        <v>1401</v>
      </c>
      <c r="D42" s="1494">
        <v>1</v>
      </c>
      <c r="E42" s="1494" t="s">
        <v>1401</v>
      </c>
      <c r="F42" s="1494"/>
      <c r="G42" s="1494"/>
      <c r="H42" s="1494"/>
      <c r="I42" s="1494"/>
      <c r="J42" s="1494"/>
      <c r="K42" s="1494"/>
      <c r="L42" s="1494"/>
      <c r="M42" s="1494"/>
      <c r="N42" s="1494"/>
      <c r="O42" s="1495"/>
      <c r="P42" s="657">
        <f t="shared" si="0"/>
        <v>1</v>
      </c>
      <c r="R42" s="37"/>
      <c r="S42" s="37"/>
      <c r="T42" s="37"/>
      <c r="U42" s="37"/>
      <c r="V42" s="37"/>
      <c r="W42" s="37"/>
      <c r="X42" s="37"/>
      <c r="Y42" s="37"/>
      <c r="Z42" s="37"/>
      <c r="AA42" s="37"/>
      <c r="AB42" s="37"/>
      <c r="AC42" s="37"/>
      <c r="AD42" s="37"/>
      <c r="AE42" s="37"/>
      <c r="AF42" s="90"/>
      <c r="AG42" s="89" t="b">
        <f t="shared" si="1"/>
        <v>1</v>
      </c>
      <c r="AH42" s="1044" t="b">
        <v>0</v>
      </c>
    </row>
    <row r="43" spans="1:34" ht="15.95" customHeight="1" x14ac:dyDescent="0.2">
      <c r="A43" s="1492" t="s">
        <v>1429</v>
      </c>
      <c r="B43" s="1493" t="s">
        <v>1401</v>
      </c>
      <c r="C43" s="1494">
        <v>1</v>
      </c>
      <c r="D43" s="1494" t="s">
        <v>1401</v>
      </c>
      <c r="E43" s="1494" t="s">
        <v>1401</v>
      </c>
      <c r="F43" s="1494"/>
      <c r="G43" s="1494"/>
      <c r="H43" s="1494"/>
      <c r="I43" s="1494"/>
      <c r="J43" s="1494"/>
      <c r="K43" s="1494"/>
      <c r="L43" s="1494"/>
      <c r="M43" s="1494"/>
      <c r="N43" s="1494"/>
      <c r="O43" s="1495"/>
      <c r="P43" s="657">
        <f t="shared" si="0"/>
        <v>1</v>
      </c>
      <c r="R43" s="37"/>
      <c r="S43" s="37"/>
      <c r="T43" s="37"/>
      <c r="U43" s="37"/>
      <c r="V43" s="37"/>
      <c r="W43" s="37"/>
      <c r="X43" s="37"/>
      <c r="Y43" s="37"/>
      <c r="Z43" s="37"/>
      <c r="AA43" s="37"/>
      <c r="AB43" s="37"/>
      <c r="AC43" s="37"/>
      <c r="AD43" s="37"/>
      <c r="AE43" s="37"/>
      <c r="AF43" s="90"/>
      <c r="AG43" s="89" t="b">
        <f t="shared" si="1"/>
        <v>1</v>
      </c>
      <c r="AH43" s="1044" t="b">
        <v>0</v>
      </c>
    </row>
    <row r="44" spans="1:34" ht="15.95" customHeight="1" x14ac:dyDescent="0.2">
      <c r="A44" s="1492"/>
      <c r="B44" s="1493"/>
      <c r="C44" s="1494"/>
      <c r="D44" s="1494"/>
      <c r="E44" s="1494"/>
      <c r="F44" s="1494"/>
      <c r="G44" s="1494"/>
      <c r="H44" s="1494"/>
      <c r="I44" s="1494"/>
      <c r="J44" s="1494"/>
      <c r="K44" s="1494"/>
      <c r="L44" s="1494"/>
      <c r="M44" s="1494"/>
      <c r="N44" s="1494"/>
      <c r="O44" s="1495"/>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2"/>
      <c r="B45" s="1493"/>
      <c r="C45" s="1494"/>
      <c r="D45" s="1494"/>
      <c r="E45" s="1494"/>
      <c r="F45" s="1494"/>
      <c r="G45" s="1494"/>
      <c r="H45" s="1494"/>
      <c r="I45" s="1494"/>
      <c r="J45" s="1494"/>
      <c r="K45" s="1494"/>
      <c r="L45" s="1494"/>
      <c r="M45" s="1494"/>
      <c r="N45" s="1494"/>
      <c r="O45" s="1495"/>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2"/>
      <c r="B46" s="1493"/>
      <c r="C46" s="1494"/>
      <c r="D46" s="1494"/>
      <c r="E46" s="1494"/>
      <c r="F46" s="1494"/>
      <c r="G46" s="1494"/>
      <c r="H46" s="1494"/>
      <c r="I46" s="1494"/>
      <c r="J46" s="1494"/>
      <c r="K46" s="1494"/>
      <c r="L46" s="1494"/>
      <c r="M46" s="1494"/>
      <c r="N46" s="1494"/>
      <c r="O46" s="1495"/>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2"/>
      <c r="B47" s="1493"/>
      <c r="C47" s="1494"/>
      <c r="D47" s="1494"/>
      <c r="E47" s="1494"/>
      <c r="F47" s="1494"/>
      <c r="G47" s="1494"/>
      <c r="H47" s="1494"/>
      <c r="I47" s="1494"/>
      <c r="J47" s="1494"/>
      <c r="K47" s="1494"/>
      <c r="L47" s="1494"/>
      <c r="M47" s="1494"/>
      <c r="N47" s="1494"/>
      <c r="O47" s="1495"/>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2"/>
      <c r="B48" s="1493"/>
      <c r="C48" s="1494"/>
      <c r="D48" s="1494"/>
      <c r="E48" s="1494"/>
      <c r="F48" s="1494"/>
      <c r="G48" s="1494"/>
      <c r="H48" s="1494"/>
      <c r="I48" s="1494"/>
      <c r="J48" s="1494"/>
      <c r="K48" s="1494"/>
      <c r="L48" s="1494"/>
      <c r="M48" s="1494"/>
      <c r="N48" s="1494"/>
      <c r="O48" s="1495"/>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6"/>
      <c r="B49" s="1497"/>
      <c r="C49" s="1498"/>
      <c r="D49" s="1498"/>
      <c r="E49" s="1498"/>
      <c r="F49" s="1498"/>
      <c r="G49" s="1498"/>
      <c r="H49" s="1498"/>
      <c r="I49" s="1498"/>
      <c r="J49" s="1498"/>
      <c r="K49" s="1498"/>
      <c r="L49" s="1498"/>
      <c r="M49" s="1498"/>
      <c r="N49" s="1498"/>
      <c r="O49" s="1499"/>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f t="shared" ref="B50:O50" si="2">IF(ISBLANK(B13),"",SUM(B14:B49))</f>
        <v>0</v>
      </c>
      <c r="C50" s="654">
        <f t="shared" si="2"/>
        <v>16</v>
      </c>
      <c r="D50" s="654">
        <f t="shared" si="2"/>
        <v>16</v>
      </c>
      <c r="E50" s="654">
        <f t="shared" si="2"/>
        <v>16</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1616</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o0Ru7vSefyw84+M/HaaCpqIfg6Dycv0p5M1x9nmwO0GxSO0vWs/AblKec6E04thEWMl40qLmqWDxJQeIT591qQ==" saltValue="fcUDcbpbACZvWkUA6qaS7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445" priority="2">
      <formula>OR(A14="Girder",A14="Girders",A14="Joist",A14="Joists",A14="Bridging")</formula>
    </cfRule>
    <cfRule type="expression" dxfId="444" priority="3">
      <formula>AND(P14&gt;0,ISBLANK(AF14),OR($R$1="",$R$1="M"))</formula>
    </cfRule>
    <cfRule type="expression" dxfId="443" priority="9">
      <formula>$AH14</formula>
    </cfRule>
  </conditionalFormatting>
  <conditionalFormatting sqref="H2:J4">
    <cfRule type="cellIs" dxfId="442" priority="7" stopIfTrue="1" operator="equal">
      <formula>""</formula>
    </cfRule>
  </conditionalFormatting>
  <conditionalFormatting sqref="B14:O49">
    <cfRule type="expression" dxfId="441" priority="4">
      <formula>IF($R$1="M",AND(B14&gt;R14,R14&gt;0),B14&lt;R14)</formula>
    </cfRule>
    <cfRule type="expression" dxfId="440" priority="5">
      <formula>OR(AND($R$1="M",NOT($S$1),B14=R14),B14="-")</formula>
    </cfRule>
    <cfRule type="expression" dxfId="439" priority="6">
      <formula>IF(NOT(ISBLANK($R$1)),IF($R$1="M",IF(ISTEXT(B14),0,B14)&lt;R14,IF(ISTEXT(B14),0,B14)&gt;R14))</formula>
    </cfRule>
    <cfRule type="expression" dxfId="438" priority="8">
      <formula>OR($AH14,B$63)</formula>
    </cfRule>
  </conditionalFormatting>
  <conditionalFormatting sqref="B13:O13">
    <cfRule type="expression" dxfId="437" priority="1">
      <formula>AND(NOT(ISBLANK(B$13)),ISERROR(MATCH(B$13,$AK:$AK,0)))</formula>
    </cfRule>
    <cfRule type="expression" dxfId="43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49C869FD-4E19-4A44-9B5F-428E65A470BB}">
      <formula1>B13=TRIM(B13)</formula1>
    </dataValidation>
    <dataValidation type="custom" allowBlank="1" showInputMessage="1" showErrorMessage="1" errorTitle="Input Error" error="Value can only be a positive integer OR a dash." sqref="B14:O49" xr:uid="{5466BCAC-EC28-46D7-8D69-80193DC7BB31}">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F1F32-88C3-4830-8F43-13577F4B2E18}">
  <sheetPr codeName="Sheet22">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48" t="str">
        <f>IF(ISBLANK(R1),"",VLOOKUP(R1,'Job Info.'!X:AA,4,FALSE))</f>
        <v>Master</v>
      </c>
      <c r="I1" s="1848"/>
      <c r="J1" s="1848"/>
      <c r="K1" s="1911" t="s">
        <v>95</v>
      </c>
      <c r="L1" s="1911"/>
      <c r="M1" s="1911"/>
      <c r="N1" s="1904" t="str">
        <f ca="1">'Job Info.'!D12</f>
        <v>775-428-0600</v>
      </c>
      <c r="O1" s="1904"/>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905" t="str">
        <f>IF(ISBLANK(R1),"",IF(VLOOKUP(R1,'Job Info.'!X:Z,2,FALSE),"Released for Fabrication",""))</f>
        <v/>
      </c>
      <c r="I2" s="1906"/>
      <c r="J2" s="1907"/>
      <c r="K2" s="1911" t="s">
        <v>96</v>
      </c>
      <c r="L2" s="1911"/>
      <c r="M2" s="1911"/>
      <c r="N2" s="1904" t="str">
        <f ca="1">'Job Info.'!D13</f>
        <v>775-867-2140</v>
      </c>
      <c r="O2" s="1904"/>
      <c r="P2" s="474"/>
      <c r="AF2" s="378"/>
      <c r="AK2" s="1040" t="s">
        <v>1394</v>
      </c>
    </row>
    <row r="3" spans="1:38" s="245" customFormat="1" ht="12.95" customHeight="1" x14ac:dyDescent="0.2">
      <c r="A3" s="374"/>
      <c r="B3" s="374"/>
      <c r="C3" s="374"/>
      <c r="D3" s="374"/>
      <c r="E3" s="374"/>
      <c r="F3" s="374"/>
      <c r="G3" s="374"/>
      <c r="H3" s="1856"/>
      <c r="I3" s="1857"/>
      <c r="J3" s="1858"/>
      <c r="K3" s="1911" t="s">
        <v>98</v>
      </c>
      <c r="L3" s="1911"/>
      <c r="M3" s="1911"/>
      <c r="N3" s="1904" t="str">
        <f ca="1">'Job Info.'!D14</f>
        <v>775-867-2169</v>
      </c>
      <c r="O3" s="1904"/>
      <c r="P3" s="474"/>
      <c r="AF3" s="378"/>
      <c r="AK3" s="1040" t="s">
        <v>808</v>
      </c>
    </row>
    <row r="4" spans="1:38" s="245" customFormat="1" ht="12.95" customHeight="1" thickBot="1" x14ac:dyDescent="0.25">
      <c r="A4" s="374"/>
      <c r="B4" s="374"/>
      <c r="C4" s="374"/>
      <c r="D4" s="374"/>
      <c r="E4" s="374"/>
      <c r="F4" s="374"/>
      <c r="G4" s="374"/>
      <c r="H4" s="1908" t="str">
        <f>IF(ISBLANK(R1),"",IF(VLOOKUP(R1,'Job Info.'!X:Z,2,FALSE),VLOOKUP(R1,'Job Info.'!X:Z,3,FALSE),""))</f>
        <v/>
      </c>
      <c r="I4" s="1909"/>
      <c r="J4" s="1910"/>
      <c r="K4" s="1911" t="s">
        <v>97</v>
      </c>
      <c r="L4" s="1911"/>
      <c r="M4" s="1911"/>
      <c r="N4" s="1904" t="str">
        <f ca="1">'Job Info.'!D15</f>
        <v>775-867-2060</v>
      </c>
      <c r="O4" s="1904"/>
      <c r="P4" s="474"/>
      <c r="AF4" s="378"/>
      <c r="AK4" s="1040" t="s">
        <v>1397</v>
      </c>
    </row>
    <row r="5" spans="1:38" s="245" customFormat="1" ht="12.95" customHeight="1" thickTop="1" x14ac:dyDescent="0.2">
      <c r="A5" s="1862" t="str">
        <f ca="1">'Job Info.'!D11</f>
        <v>8200 Woolery Way | Fallon, NV 89406 | www.newmill.com</v>
      </c>
      <c r="B5" s="1862"/>
      <c r="C5" s="1862"/>
      <c r="D5" s="1862"/>
      <c r="E5" s="1862"/>
      <c r="F5" s="1862"/>
      <c r="G5" s="1862"/>
      <c r="H5" s="1862"/>
      <c r="I5" s="1862"/>
      <c r="J5" s="1862"/>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32">
        <f>IF(ISBLANK('Job Info.'!D8),"",'Job Info.'!D8)</f>
        <v>45048</v>
      </c>
      <c r="M6" s="1832"/>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8 of 19</v>
      </c>
      <c r="M7" s="658"/>
      <c r="N7" s="374"/>
      <c r="O7" s="374"/>
      <c r="P7" s="474"/>
      <c r="R7" s="1083">
        <v>8</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24" t="str">
        <f>IF(ISBLANK('Job Info.'!D3),"",'Job Info.'!D3)</f>
        <v>MINDEN UPS BLDG 1</v>
      </c>
      <c r="C9" s="1824"/>
      <c r="D9" s="1824"/>
      <c r="E9" s="1824"/>
      <c r="F9" s="1824"/>
      <c r="G9" s="1825"/>
      <c r="H9" s="1873" t="s">
        <v>2</v>
      </c>
      <c r="I9" s="1873"/>
      <c r="J9" s="1824" t="str">
        <f>IF(ISBLANK('Job Info.'!D5),"",'Job Info.'!D5)</f>
        <v>NN22-0071</v>
      </c>
      <c r="K9" s="1824"/>
      <c r="L9" s="1824"/>
      <c r="M9" s="1824"/>
      <c r="N9" s="1824"/>
      <c r="O9" s="1825"/>
      <c r="P9" s="22"/>
    </row>
    <row r="10" spans="1:38" ht="12.2" customHeight="1" x14ac:dyDescent="0.2">
      <c r="A10" s="471" t="s">
        <v>3</v>
      </c>
      <c r="B10" s="1824" t="str">
        <f>IF(ISBLANK('Job Info.'!D4),"",'Job Info.'!D4)</f>
        <v>MINDEN, NV</v>
      </c>
      <c r="C10" s="1824"/>
      <c r="D10" s="1824"/>
      <c r="E10" s="1824"/>
      <c r="F10" s="1824"/>
      <c r="G10" s="1825"/>
      <c r="H10" s="1873" t="s">
        <v>22</v>
      </c>
      <c r="I10" s="1873"/>
      <c r="J10" s="1824" t="str">
        <f>IF(ISBLANK('Job Info.'!D6),"",'Job Info.'!D6)</f>
        <v>JMM</v>
      </c>
      <c r="K10" s="1825"/>
      <c r="L10" s="1917" t="s">
        <v>23</v>
      </c>
      <c r="M10" s="1873"/>
      <c r="N10" s="1824" t="str">
        <f>IF(ISBLANK('Job Info.'!D7),"",'Job Info.'!D7)</f>
        <v>NR</v>
      </c>
      <c r="O10" s="1825"/>
      <c r="P10" s="22"/>
    </row>
    <row r="11" spans="1:38" ht="3.95" customHeight="1" x14ac:dyDescent="0.2">
      <c r="A11" s="1087"/>
      <c r="B11" s="19"/>
      <c r="C11" s="19"/>
      <c r="D11" s="19"/>
      <c r="E11" s="19"/>
      <c r="F11" s="19"/>
      <c r="G11" s="19"/>
      <c r="H11" s="19"/>
      <c r="I11" s="19"/>
      <c r="J11" s="19"/>
      <c r="K11" s="19"/>
      <c r="L11" s="19"/>
      <c r="M11" s="19"/>
      <c r="N11" s="19"/>
      <c r="O11" s="19"/>
      <c r="P11" s="22"/>
      <c r="R11" s="1918" t="s">
        <v>420</v>
      </c>
      <c r="S11" s="1919"/>
      <c r="T11" s="1919"/>
      <c r="U11" s="1919"/>
      <c r="V11" s="1919"/>
      <c r="W11" s="1919"/>
      <c r="X11" s="1919"/>
      <c r="Y11" s="1919"/>
      <c r="Z11" s="1919"/>
      <c r="AA11" s="1919"/>
      <c r="AB11" s="1919"/>
      <c r="AC11" s="1919"/>
      <c r="AD11" s="1919"/>
      <c r="AE11" s="1920"/>
      <c r="AF11" s="1912" t="s">
        <v>455</v>
      </c>
      <c r="AG11" s="1912" t="s">
        <v>456</v>
      </c>
      <c r="AH11" s="1912" t="s">
        <v>1101</v>
      </c>
    </row>
    <row r="12" spans="1:38" s="21" customFormat="1" ht="15.95" customHeight="1" x14ac:dyDescent="0.2">
      <c r="A12" s="1915" t="s">
        <v>40</v>
      </c>
      <c r="B12" s="1927" t="s">
        <v>56</v>
      </c>
      <c r="C12" s="1928"/>
      <c r="D12" s="1928"/>
      <c r="E12" s="1928"/>
      <c r="F12" s="1928"/>
      <c r="G12" s="1928"/>
      <c r="H12" s="1928"/>
      <c r="I12" s="1928"/>
      <c r="J12" s="1928"/>
      <c r="K12" s="1928"/>
      <c r="L12" s="1928"/>
      <c r="M12" s="1928"/>
      <c r="N12" s="1928"/>
      <c r="O12" s="1929"/>
      <c r="P12" s="22"/>
      <c r="R12" s="1921"/>
      <c r="S12" s="1922"/>
      <c r="T12" s="1922"/>
      <c r="U12" s="1922"/>
      <c r="V12" s="1922"/>
      <c r="W12" s="1922"/>
      <c r="X12" s="1922"/>
      <c r="Y12" s="1922"/>
      <c r="Z12" s="1922"/>
      <c r="AA12" s="1922"/>
      <c r="AB12" s="1922"/>
      <c r="AC12" s="1922"/>
      <c r="AD12" s="1922"/>
      <c r="AE12" s="1923"/>
      <c r="AF12" s="1913"/>
      <c r="AG12" s="1913"/>
      <c r="AH12" s="1913"/>
      <c r="AK12" s="1043"/>
    </row>
    <row r="13" spans="1:38" ht="15.95" customHeight="1" x14ac:dyDescent="0.2">
      <c r="A13" s="1916"/>
      <c r="B13" s="1500" t="s">
        <v>1392</v>
      </c>
      <c r="C13" s="1501" t="s">
        <v>1394</v>
      </c>
      <c r="D13" s="1501" t="s">
        <v>808</v>
      </c>
      <c r="E13" s="1501" t="s">
        <v>1397</v>
      </c>
      <c r="F13" s="1501"/>
      <c r="G13" s="1501"/>
      <c r="H13" s="1501"/>
      <c r="I13" s="1501"/>
      <c r="J13" s="1501"/>
      <c r="K13" s="1501"/>
      <c r="L13" s="1501"/>
      <c r="M13" s="1501"/>
      <c r="N13" s="1501"/>
      <c r="O13" s="1502"/>
      <c r="P13" s="656" t="s">
        <v>90</v>
      </c>
      <c r="R13" s="1924"/>
      <c r="S13" s="1925"/>
      <c r="T13" s="1925"/>
      <c r="U13" s="1925"/>
      <c r="V13" s="1925"/>
      <c r="W13" s="1925"/>
      <c r="X13" s="1925"/>
      <c r="Y13" s="1925"/>
      <c r="Z13" s="1925"/>
      <c r="AA13" s="1925"/>
      <c r="AB13" s="1925"/>
      <c r="AC13" s="1925"/>
      <c r="AD13" s="1925"/>
      <c r="AE13" s="1926"/>
      <c r="AF13" s="1914"/>
      <c r="AG13" s="1914"/>
      <c r="AH13" s="1914"/>
    </row>
    <row r="14" spans="1:38" ht="15.95" customHeight="1" x14ac:dyDescent="0.2">
      <c r="A14" s="1488" t="s">
        <v>1430</v>
      </c>
      <c r="B14" s="1489"/>
      <c r="C14" s="1490"/>
      <c r="D14" s="1490"/>
      <c r="E14" s="1490"/>
      <c r="F14" s="1490"/>
      <c r="G14" s="1490"/>
      <c r="H14" s="1490"/>
      <c r="I14" s="1490"/>
      <c r="J14" s="1490"/>
      <c r="K14" s="1490"/>
      <c r="L14" s="1490"/>
      <c r="M14" s="1490"/>
      <c r="N14" s="1490"/>
      <c r="O14" s="1491"/>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t="s">
        <v>1431</v>
      </c>
      <c r="B15" s="1493" t="s">
        <v>1401</v>
      </c>
      <c r="C15" s="1494">
        <v>1</v>
      </c>
      <c r="D15" s="1494" t="s">
        <v>1401</v>
      </c>
      <c r="E15" s="1494">
        <v>1</v>
      </c>
      <c r="F15" s="1494"/>
      <c r="G15" s="1494"/>
      <c r="H15" s="1494"/>
      <c r="I15" s="1494"/>
      <c r="J15" s="1494"/>
      <c r="K15" s="1494"/>
      <c r="L15" s="1494"/>
      <c r="M15" s="1494"/>
      <c r="N15" s="1494"/>
      <c r="O15" s="1495"/>
      <c r="P15" s="657">
        <f t="shared" si="0"/>
        <v>2</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2" t="s">
        <v>1432</v>
      </c>
      <c r="B16" s="1493" t="s">
        <v>1401</v>
      </c>
      <c r="C16" s="1494">
        <v>1</v>
      </c>
      <c r="D16" s="1494" t="s">
        <v>1401</v>
      </c>
      <c r="E16" s="1494">
        <v>1</v>
      </c>
      <c r="F16" s="1494"/>
      <c r="G16" s="1494"/>
      <c r="H16" s="1494"/>
      <c r="I16" s="1494"/>
      <c r="J16" s="1494"/>
      <c r="K16" s="1494"/>
      <c r="L16" s="1494"/>
      <c r="M16" s="1494"/>
      <c r="N16" s="1494"/>
      <c r="O16" s="1495"/>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1492" t="s">
        <v>1433</v>
      </c>
      <c r="B17" s="1493" t="s">
        <v>1401</v>
      </c>
      <c r="C17" s="1494">
        <v>1</v>
      </c>
      <c r="D17" s="1494" t="s">
        <v>1401</v>
      </c>
      <c r="E17" s="1494">
        <v>1</v>
      </c>
      <c r="F17" s="1494"/>
      <c r="G17" s="1494"/>
      <c r="H17" s="1494"/>
      <c r="I17" s="1494"/>
      <c r="J17" s="1494"/>
      <c r="K17" s="1494"/>
      <c r="L17" s="1494"/>
      <c r="M17" s="1494"/>
      <c r="N17" s="1494"/>
      <c r="O17" s="1495"/>
      <c r="P17" s="657">
        <f t="shared" si="0"/>
        <v>2</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1492" t="s">
        <v>1434</v>
      </c>
      <c r="B18" s="1493" t="s">
        <v>1401</v>
      </c>
      <c r="C18" s="1494">
        <v>1</v>
      </c>
      <c r="D18" s="1494" t="s">
        <v>1401</v>
      </c>
      <c r="E18" s="1494">
        <v>1</v>
      </c>
      <c r="F18" s="1494"/>
      <c r="G18" s="1494"/>
      <c r="H18" s="1494"/>
      <c r="I18" s="1494"/>
      <c r="J18" s="1494"/>
      <c r="K18" s="1494"/>
      <c r="L18" s="1494"/>
      <c r="M18" s="1494"/>
      <c r="N18" s="1494"/>
      <c r="O18" s="1495"/>
      <c r="P18" s="657">
        <f t="shared" si="0"/>
        <v>2</v>
      </c>
      <c r="R18" s="37"/>
      <c r="S18" s="37"/>
      <c r="T18" s="37"/>
      <c r="U18" s="37"/>
      <c r="V18" s="37"/>
      <c r="W18" s="37"/>
      <c r="X18" s="37"/>
      <c r="Y18" s="37"/>
      <c r="Z18" s="37"/>
      <c r="AA18" s="37"/>
      <c r="AB18" s="37"/>
      <c r="AC18" s="37"/>
      <c r="AD18" s="37"/>
      <c r="AE18" s="37"/>
      <c r="AF18" s="90" t="s">
        <v>74</v>
      </c>
      <c r="AG18" s="89" t="b">
        <f t="shared" si="1"/>
        <v>1</v>
      </c>
      <c r="AH18" s="1044" t="b">
        <v>0</v>
      </c>
    </row>
    <row r="19" spans="1:34" ht="15.95" customHeight="1" x14ac:dyDescent="0.2">
      <c r="A19" s="1492" t="s">
        <v>1435</v>
      </c>
      <c r="B19" s="1493" t="s">
        <v>1401</v>
      </c>
      <c r="C19" s="1494" t="s">
        <v>1401</v>
      </c>
      <c r="D19" s="1494" t="s">
        <v>1401</v>
      </c>
      <c r="E19" s="1494">
        <v>1</v>
      </c>
      <c r="F19" s="1494"/>
      <c r="G19" s="1494"/>
      <c r="H19" s="1494"/>
      <c r="I19" s="1494"/>
      <c r="J19" s="1494"/>
      <c r="K19" s="1494"/>
      <c r="L19" s="1494"/>
      <c r="M19" s="1494"/>
      <c r="N19" s="1494"/>
      <c r="O19" s="1495"/>
      <c r="P19" s="657">
        <f t="shared" si="0"/>
        <v>1</v>
      </c>
      <c r="R19" s="37"/>
      <c r="S19" s="37"/>
      <c r="T19" s="37"/>
      <c r="U19" s="37"/>
      <c r="V19" s="37"/>
      <c r="W19" s="37"/>
      <c r="X19" s="37"/>
      <c r="Y19" s="37"/>
      <c r="Z19" s="37"/>
      <c r="AA19" s="37"/>
      <c r="AB19" s="37"/>
      <c r="AC19" s="37"/>
      <c r="AD19" s="37"/>
      <c r="AE19" s="37"/>
      <c r="AF19" s="90" t="s">
        <v>74</v>
      </c>
      <c r="AG19" s="89" t="b">
        <f t="shared" si="1"/>
        <v>1</v>
      </c>
      <c r="AH19" s="1044" t="b">
        <v>0</v>
      </c>
    </row>
    <row r="20" spans="1:34" ht="15.95" customHeight="1" x14ac:dyDescent="0.2">
      <c r="A20" s="1492" t="s">
        <v>1436</v>
      </c>
      <c r="B20" s="1493" t="s">
        <v>1401</v>
      </c>
      <c r="C20" s="1494">
        <v>2</v>
      </c>
      <c r="D20" s="1494">
        <v>8</v>
      </c>
      <c r="E20" s="1494">
        <v>1</v>
      </c>
      <c r="F20" s="1494"/>
      <c r="G20" s="1494"/>
      <c r="H20" s="1494"/>
      <c r="I20" s="1494"/>
      <c r="J20" s="1494"/>
      <c r="K20" s="1494"/>
      <c r="L20" s="1494"/>
      <c r="M20" s="1494"/>
      <c r="N20" s="1494"/>
      <c r="O20" s="1495"/>
      <c r="P20" s="657">
        <f t="shared" si="0"/>
        <v>11</v>
      </c>
      <c r="R20" s="37"/>
      <c r="S20" s="37"/>
      <c r="T20" s="37"/>
      <c r="U20" s="37"/>
      <c r="V20" s="37"/>
      <c r="W20" s="37"/>
      <c r="X20" s="37"/>
      <c r="Y20" s="37"/>
      <c r="Z20" s="37"/>
      <c r="AA20" s="37"/>
      <c r="AB20" s="37"/>
      <c r="AC20" s="37"/>
      <c r="AD20" s="37"/>
      <c r="AE20" s="37"/>
      <c r="AF20" s="90" t="s">
        <v>74</v>
      </c>
      <c r="AG20" s="89" t="b">
        <f t="shared" si="1"/>
        <v>1</v>
      </c>
      <c r="AH20" s="1044" t="b">
        <v>0</v>
      </c>
    </row>
    <row r="21" spans="1:34" ht="15.95" customHeight="1" x14ac:dyDescent="0.2">
      <c r="A21" s="1492" t="s">
        <v>1437</v>
      </c>
      <c r="B21" s="1493" t="s">
        <v>1401</v>
      </c>
      <c r="C21" s="1494">
        <v>1</v>
      </c>
      <c r="D21" s="1494">
        <v>11</v>
      </c>
      <c r="E21" s="1494">
        <v>2</v>
      </c>
      <c r="F21" s="1494"/>
      <c r="G21" s="1494"/>
      <c r="H21" s="1494"/>
      <c r="I21" s="1494"/>
      <c r="J21" s="1494"/>
      <c r="K21" s="1494"/>
      <c r="L21" s="1494"/>
      <c r="M21" s="1494"/>
      <c r="N21" s="1494"/>
      <c r="O21" s="1495"/>
      <c r="P21" s="657">
        <f t="shared" si="0"/>
        <v>14</v>
      </c>
      <c r="R21" s="37"/>
      <c r="S21" s="37"/>
      <c r="T21" s="37"/>
      <c r="U21" s="37"/>
      <c r="V21" s="37"/>
      <c r="W21" s="37"/>
      <c r="X21" s="37"/>
      <c r="Y21" s="37"/>
      <c r="Z21" s="37"/>
      <c r="AA21" s="37"/>
      <c r="AB21" s="37"/>
      <c r="AC21" s="37"/>
      <c r="AD21" s="37"/>
      <c r="AE21" s="37"/>
      <c r="AF21" s="90" t="s">
        <v>74</v>
      </c>
      <c r="AG21" s="89" t="b">
        <f t="shared" si="1"/>
        <v>1</v>
      </c>
      <c r="AH21" s="1044" t="b">
        <v>0</v>
      </c>
    </row>
    <row r="22" spans="1:34" ht="15.95" customHeight="1" x14ac:dyDescent="0.2">
      <c r="A22" s="1492" t="s">
        <v>1438</v>
      </c>
      <c r="B22" s="1493" t="s">
        <v>1401</v>
      </c>
      <c r="C22" s="1494">
        <v>1</v>
      </c>
      <c r="D22" s="1494" t="s">
        <v>1401</v>
      </c>
      <c r="E22" s="1494">
        <v>1</v>
      </c>
      <c r="F22" s="1494"/>
      <c r="G22" s="1494"/>
      <c r="H22" s="1494"/>
      <c r="I22" s="1494"/>
      <c r="J22" s="1494"/>
      <c r="K22" s="1494"/>
      <c r="L22" s="1494"/>
      <c r="M22" s="1494"/>
      <c r="N22" s="1494"/>
      <c r="O22" s="1495"/>
      <c r="P22" s="657">
        <f t="shared" si="0"/>
        <v>2</v>
      </c>
      <c r="R22" s="37"/>
      <c r="S22" s="37"/>
      <c r="T22" s="37"/>
      <c r="U22" s="37"/>
      <c r="V22" s="37"/>
      <c r="W22" s="37"/>
      <c r="X22" s="37"/>
      <c r="Y22" s="37"/>
      <c r="Z22" s="37"/>
      <c r="AA22" s="37"/>
      <c r="AB22" s="37"/>
      <c r="AC22" s="37"/>
      <c r="AD22" s="37"/>
      <c r="AE22" s="37"/>
      <c r="AF22" s="90" t="s">
        <v>74</v>
      </c>
      <c r="AG22" s="89" t="b">
        <f t="shared" si="1"/>
        <v>1</v>
      </c>
      <c r="AH22" s="1044" t="b">
        <v>0</v>
      </c>
    </row>
    <row r="23" spans="1:34" ht="15.95" customHeight="1" x14ac:dyDescent="0.2">
      <c r="A23" s="1492" t="s">
        <v>1439</v>
      </c>
      <c r="B23" s="1493" t="s">
        <v>1401</v>
      </c>
      <c r="C23" s="1494">
        <v>19</v>
      </c>
      <c r="D23" s="1494" t="s">
        <v>1401</v>
      </c>
      <c r="E23" s="1494">
        <v>16</v>
      </c>
      <c r="F23" s="1494"/>
      <c r="G23" s="1494"/>
      <c r="H23" s="1494"/>
      <c r="I23" s="1494"/>
      <c r="J23" s="1494"/>
      <c r="K23" s="1494"/>
      <c r="L23" s="1494"/>
      <c r="M23" s="1494"/>
      <c r="N23" s="1494"/>
      <c r="O23" s="1495"/>
      <c r="P23" s="657">
        <f t="shared" si="0"/>
        <v>35</v>
      </c>
      <c r="R23" s="37"/>
      <c r="S23" s="37"/>
      <c r="T23" s="37"/>
      <c r="U23" s="37"/>
      <c r="V23" s="37"/>
      <c r="W23" s="37"/>
      <c r="X23" s="37"/>
      <c r="Y23" s="37"/>
      <c r="Z23" s="37"/>
      <c r="AA23" s="37"/>
      <c r="AB23" s="37"/>
      <c r="AC23" s="37"/>
      <c r="AD23" s="37"/>
      <c r="AE23" s="37"/>
      <c r="AF23" s="90" t="s">
        <v>74</v>
      </c>
      <c r="AG23" s="89" t="b">
        <f t="shared" si="1"/>
        <v>1</v>
      </c>
      <c r="AH23" s="1044" t="b">
        <v>0</v>
      </c>
    </row>
    <row r="24" spans="1:34" ht="15.95" customHeight="1" x14ac:dyDescent="0.2">
      <c r="A24" s="1492" t="s">
        <v>1440</v>
      </c>
      <c r="B24" s="1493" t="s">
        <v>1401</v>
      </c>
      <c r="C24" s="1494">
        <v>3</v>
      </c>
      <c r="D24" s="1494" t="s">
        <v>1401</v>
      </c>
      <c r="E24" s="1494">
        <v>4</v>
      </c>
      <c r="F24" s="1494"/>
      <c r="G24" s="1494"/>
      <c r="H24" s="1494"/>
      <c r="I24" s="1494"/>
      <c r="J24" s="1494"/>
      <c r="K24" s="1494"/>
      <c r="L24" s="1494"/>
      <c r="M24" s="1494"/>
      <c r="N24" s="1494"/>
      <c r="O24" s="1495"/>
      <c r="P24" s="657">
        <f t="shared" si="0"/>
        <v>7</v>
      </c>
      <c r="R24" s="37"/>
      <c r="S24" s="37"/>
      <c r="T24" s="37"/>
      <c r="U24" s="37"/>
      <c r="V24" s="37"/>
      <c r="W24" s="37"/>
      <c r="X24" s="37"/>
      <c r="Y24" s="37"/>
      <c r="Z24" s="37"/>
      <c r="AA24" s="37"/>
      <c r="AB24" s="37"/>
      <c r="AC24" s="37"/>
      <c r="AD24" s="37"/>
      <c r="AE24" s="37"/>
      <c r="AF24" s="90" t="s">
        <v>74</v>
      </c>
      <c r="AG24" s="89" t="b">
        <f t="shared" si="1"/>
        <v>1</v>
      </c>
      <c r="AH24" s="1044" t="b">
        <v>0</v>
      </c>
    </row>
    <row r="25" spans="1:34" ht="15.95" customHeight="1" x14ac:dyDescent="0.2">
      <c r="A25" s="1492" t="s">
        <v>1441</v>
      </c>
      <c r="B25" s="1493" t="s">
        <v>1401</v>
      </c>
      <c r="C25" s="1494">
        <v>2</v>
      </c>
      <c r="D25" s="1494" t="s">
        <v>1401</v>
      </c>
      <c r="E25" s="1494">
        <v>2</v>
      </c>
      <c r="F25" s="1494"/>
      <c r="G25" s="1494"/>
      <c r="H25" s="1494"/>
      <c r="I25" s="1494"/>
      <c r="J25" s="1494"/>
      <c r="K25" s="1494"/>
      <c r="L25" s="1494"/>
      <c r="M25" s="1494"/>
      <c r="N25" s="1494"/>
      <c r="O25" s="1495"/>
      <c r="P25" s="657">
        <f t="shared" si="0"/>
        <v>4</v>
      </c>
      <c r="R25" s="37"/>
      <c r="S25" s="37"/>
      <c r="T25" s="37"/>
      <c r="U25" s="37"/>
      <c r="V25" s="37"/>
      <c r="W25" s="37"/>
      <c r="X25" s="37"/>
      <c r="Y25" s="37"/>
      <c r="Z25" s="37"/>
      <c r="AA25" s="37"/>
      <c r="AB25" s="37"/>
      <c r="AC25" s="37"/>
      <c r="AD25" s="37"/>
      <c r="AE25" s="37"/>
      <c r="AF25" s="90" t="s">
        <v>74</v>
      </c>
      <c r="AG25" s="89" t="b">
        <f t="shared" si="1"/>
        <v>1</v>
      </c>
      <c r="AH25" s="1044" t="b">
        <v>0</v>
      </c>
    </row>
    <row r="26" spans="1:34" ht="15.95" customHeight="1" x14ac:dyDescent="0.2">
      <c r="A26" s="1492" t="s">
        <v>1442</v>
      </c>
      <c r="B26" s="1493" t="s">
        <v>1401</v>
      </c>
      <c r="C26" s="1494" t="s">
        <v>1401</v>
      </c>
      <c r="D26" s="1494" t="s">
        <v>1401</v>
      </c>
      <c r="E26" s="1494">
        <v>1</v>
      </c>
      <c r="F26" s="1494"/>
      <c r="G26" s="1494"/>
      <c r="H26" s="1494"/>
      <c r="I26" s="1494"/>
      <c r="J26" s="1494"/>
      <c r="K26" s="1494"/>
      <c r="L26" s="1494"/>
      <c r="M26" s="1494"/>
      <c r="N26" s="1494"/>
      <c r="O26" s="1495"/>
      <c r="P26" s="657">
        <f t="shared" si="0"/>
        <v>1</v>
      </c>
      <c r="R26" s="37"/>
      <c r="S26" s="37"/>
      <c r="T26" s="37"/>
      <c r="U26" s="37"/>
      <c r="V26" s="37"/>
      <c r="W26" s="37"/>
      <c r="X26" s="37"/>
      <c r="Y26" s="37"/>
      <c r="Z26" s="37"/>
      <c r="AA26" s="37"/>
      <c r="AB26" s="37"/>
      <c r="AC26" s="37"/>
      <c r="AD26" s="37"/>
      <c r="AE26" s="37"/>
      <c r="AF26" s="90" t="s">
        <v>74</v>
      </c>
      <c r="AG26" s="89" t="b">
        <f t="shared" si="1"/>
        <v>1</v>
      </c>
      <c r="AH26" s="1044" t="b">
        <v>0</v>
      </c>
    </row>
    <row r="27" spans="1:34" ht="15.95" customHeight="1" x14ac:dyDescent="0.2">
      <c r="A27" s="1492" t="s">
        <v>1443</v>
      </c>
      <c r="B27" s="1493" t="s">
        <v>1401</v>
      </c>
      <c r="C27" s="1494" t="s">
        <v>1401</v>
      </c>
      <c r="D27" s="1494" t="s">
        <v>1401</v>
      </c>
      <c r="E27" s="1494">
        <v>1</v>
      </c>
      <c r="F27" s="1494"/>
      <c r="G27" s="1494"/>
      <c r="H27" s="1494"/>
      <c r="I27" s="1494"/>
      <c r="J27" s="1494"/>
      <c r="K27" s="1494"/>
      <c r="L27" s="1494"/>
      <c r="M27" s="1494"/>
      <c r="N27" s="1494"/>
      <c r="O27" s="1495"/>
      <c r="P27" s="657">
        <f t="shared" si="0"/>
        <v>1</v>
      </c>
      <c r="R27" s="37"/>
      <c r="S27" s="37"/>
      <c r="T27" s="37"/>
      <c r="U27" s="37"/>
      <c r="V27" s="37"/>
      <c r="W27" s="37"/>
      <c r="X27" s="37"/>
      <c r="Y27" s="37"/>
      <c r="Z27" s="37"/>
      <c r="AA27" s="37"/>
      <c r="AB27" s="37"/>
      <c r="AC27" s="37"/>
      <c r="AD27" s="37"/>
      <c r="AE27" s="37"/>
      <c r="AF27" s="90" t="s">
        <v>74</v>
      </c>
      <c r="AG27" s="89" t="b">
        <f t="shared" si="1"/>
        <v>1</v>
      </c>
      <c r="AH27" s="1044" t="b">
        <v>0</v>
      </c>
    </row>
    <row r="28" spans="1:34" ht="15.95" customHeight="1" x14ac:dyDescent="0.2">
      <c r="A28" s="1492" t="s">
        <v>1444</v>
      </c>
      <c r="B28" s="1493" t="s">
        <v>1401</v>
      </c>
      <c r="C28" s="1494" t="s">
        <v>1401</v>
      </c>
      <c r="D28" s="1494" t="s">
        <v>1401</v>
      </c>
      <c r="E28" s="1494">
        <v>1</v>
      </c>
      <c r="F28" s="1494"/>
      <c r="G28" s="1494"/>
      <c r="H28" s="1494"/>
      <c r="I28" s="1494"/>
      <c r="J28" s="1494"/>
      <c r="K28" s="1494"/>
      <c r="L28" s="1494"/>
      <c r="M28" s="1494"/>
      <c r="N28" s="1494"/>
      <c r="O28" s="1495"/>
      <c r="P28" s="657">
        <f t="shared" si="0"/>
        <v>1</v>
      </c>
      <c r="R28" s="37"/>
      <c r="S28" s="37"/>
      <c r="T28" s="37"/>
      <c r="U28" s="37"/>
      <c r="V28" s="37"/>
      <c r="W28" s="37"/>
      <c r="X28" s="37"/>
      <c r="Y28" s="37"/>
      <c r="Z28" s="37"/>
      <c r="AA28" s="37"/>
      <c r="AB28" s="37"/>
      <c r="AC28" s="37"/>
      <c r="AD28" s="37"/>
      <c r="AE28" s="37"/>
      <c r="AF28" s="90" t="s">
        <v>74</v>
      </c>
      <c r="AG28" s="89" t="b">
        <f t="shared" si="1"/>
        <v>1</v>
      </c>
      <c r="AH28" s="1044" t="b">
        <v>0</v>
      </c>
    </row>
    <row r="29" spans="1:34" ht="15.95" customHeight="1" x14ac:dyDescent="0.2">
      <c r="A29" s="1492" t="s">
        <v>1445</v>
      </c>
      <c r="B29" s="1493" t="s">
        <v>1401</v>
      </c>
      <c r="C29" s="1494" t="s">
        <v>1401</v>
      </c>
      <c r="D29" s="1494" t="s">
        <v>1401</v>
      </c>
      <c r="E29" s="1494">
        <v>1</v>
      </c>
      <c r="F29" s="1494"/>
      <c r="G29" s="1494"/>
      <c r="H29" s="1494"/>
      <c r="I29" s="1494"/>
      <c r="J29" s="1494"/>
      <c r="K29" s="1494"/>
      <c r="L29" s="1494"/>
      <c r="M29" s="1494"/>
      <c r="N29" s="1494"/>
      <c r="O29" s="1495"/>
      <c r="P29" s="657">
        <f t="shared" si="0"/>
        <v>1</v>
      </c>
      <c r="R29" s="37"/>
      <c r="S29" s="37"/>
      <c r="T29" s="37"/>
      <c r="U29" s="37"/>
      <c r="V29" s="37"/>
      <c r="W29" s="37"/>
      <c r="X29" s="37"/>
      <c r="Y29" s="37"/>
      <c r="Z29" s="37"/>
      <c r="AA29" s="37"/>
      <c r="AB29" s="37"/>
      <c r="AC29" s="37"/>
      <c r="AD29" s="37"/>
      <c r="AE29" s="37"/>
      <c r="AF29" s="90" t="s">
        <v>74</v>
      </c>
      <c r="AG29" s="89" t="b">
        <f t="shared" si="1"/>
        <v>1</v>
      </c>
      <c r="AH29" s="1044" t="b">
        <v>0</v>
      </c>
    </row>
    <row r="30" spans="1:34" ht="15.95" customHeight="1" x14ac:dyDescent="0.2">
      <c r="A30" s="1492" t="s">
        <v>1446</v>
      </c>
      <c r="B30" s="1493" t="s">
        <v>1401</v>
      </c>
      <c r="C30" s="1494" t="s">
        <v>1401</v>
      </c>
      <c r="D30" s="1494">
        <v>2</v>
      </c>
      <c r="E30" s="1494" t="s">
        <v>1401</v>
      </c>
      <c r="F30" s="1494"/>
      <c r="G30" s="1494"/>
      <c r="H30" s="1494"/>
      <c r="I30" s="1494"/>
      <c r="J30" s="1494"/>
      <c r="K30" s="1494"/>
      <c r="L30" s="1494"/>
      <c r="M30" s="1494"/>
      <c r="N30" s="1494"/>
      <c r="O30" s="1495"/>
      <c r="P30" s="657">
        <f t="shared" si="0"/>
        <v>2</v>
      </c>
      <c r="R30" s="37"/>
      <c r="S30" s="37"/>
      <c r="T30" s="37"/>
      <c r="U30" s="37"/>
      <c r="V30" s="37"/>
      <c r="W30" s="37"/>
      <c r="X30" s="37"/>
      <c r="Y30" s="37"/>
      <c r="Z30" s="37"/>
      <c r="AA30" s="37"/>
      <c r="AB30" s="37"/>
      <c r="AC30" s="37"/>
      <c r="AD30" s="37"/>
      <c r="AE30" s="37"/>
      <c r="AF30" s="90" t="s">
        <v>74</v>
      </c>
      <c r="AG30" s="89" t="b">
        <f t="shared" si="1"/>
        <v>1</v>
      </c>
      <c r="AH30" s="1044" t="b">
        <v>0</v>
      </c>
    </row>
    <row r="31" spans="1:34" ht="15.95" customHeight="1" x14ac:dyDescent="0.2">
      <c r="A31" s="1492" t="s">
        <v>1447</v>
      </c>
      <c r="B31" s="1493" t="s">
        <v>1401</v>
      </c>
      <c r="C31" s="1494" t="s">
        <v>1401</v>
      </c>
      <c r="D31" s="1494">
        <v>1</v>
      </c>
      <c r="E31" s="1494" t="s">
        <v>1401</v>
      </c>
      <c r="F31" s="1494"/>
      <c r="G31" s="1494"/>
      <c r="H31" s="1494"/>
      <c r="I31" s="1494"/>
      <c r="J31" s="1494"/>
      <c r="K31" s="1494"/>
      <c r="L31" s="1494"/>
      <c r="M31" s="1494"/>
      <c r="N31" s="1494"/>
      <c r="O31" s="1495"/>
      <c r="P31" s="657">
        <f t="shared" si="0"/>
        <v>1</v>
      </c>
      <c r="R31" s="37"/>
      <c r="S31" s="37"/>
      <c r="T31" s="37"/>
      <c r="U31" s="37"/>
      <c r="V31" s="37"/>
      <c r="W31" s="37"/>
      <c r="X31" s="37"/>
      <c r="Y31" s="37"/>
      <c r="Z31" s="37"/>
      <c r="AA31" s="37"/>
      <c r="AB31" s="37"/>
      <c r="AC31" s="37"/>
      <c r="AD31" s="37"/>
      <c r="AE31" s="37"/>
      <c r="AF31" s="90" t="s">
        <v>74</v>
      </c>
      <c r="AG31" s="89" t="b">
        <f t="shared" si="1"/>
        <v>1</v>
      </c>
      <c r="AH31" s="1044" t="b">
        <v>0</v>
      </c>
    </row>
    <row r="32" spans="1:34" ht="15.95" customHeight="1" x14ac:dyDescent="0.2">
      <c r="A32" s="1492" t="s">
        <v>1448</v>
      </c>
      <c r="B32" s="1493" t="s">
        <v>1401</v>
      </c>
      <c r="C32" s="1494" t="s">
        <v>1401</v>
      </c>
      <c r="D32" s="1494">
        <v>1</v>
      </c>
      <c r="E32" s="1494" t="s">
        <v>1401</v>
      </c>
      <c r="F32" s="1494"/>
      <c r="G32" s="1494"/>
      <c r="H32" s="1494"/>
      <c r="I32" s="1494"/>
      <c r="J32" s="1494"/>
      <c r="K32" s="1494"/>
      <c r="L32" s="1494"/>
      <c r="M32" s="1494"/>
      <c r="N32" s="1494"/>
      <c r="O32" s="1495"/>
      <c r="P32" s="657">
        <f t="shared" si="0"/>
        <v>1</v>
      </c>
      <c r="R32" s="37"/>
      <c r="S32" s="37"/>
      <c r="T32" s="37"/>
      <c r="U32" s="37"/>
      <c r="V32" s="37"/>
      <c r="W32" s="37"/>
      <c r="X32" s="37"/>
      <c r="Y32" s="37"/>
      <c r="Z32" s="37"/>
      <c r="AA32" s="37"/>
      <c r="AB32" s="37"/>
      <c r="AC32" s="37"/>
      <c r="AD32" s="37"/>
      <c r="AE32" s="37"/>
      <c r="AF32" s="90" t="s">
        <v>74</v>
      </c>
      <c r="AG32" s="89" t="b">
        <f t="shared" si="1"/>
        <v>1</v>
      </c>
      <c r="AH32" s="1044" t="b">
        <v>0</v>
      </c>
    </row>
    <row r="33" spans="1:34" ht="15.95" customHeight="1" x14ac:dyDescent="0.2">
      <c r="A33" s="1492" t="s">
        <v>1449</v>
      </c>
      <c r="B33" s="1493" t="s">
        <v>1401</v>
      </c>
      <c r="C33" s="1494" t="s">
        <v>1401</v>
      </c>
      <c r="D33" s="1494">
        <v>1</v>
      </c>
      <c r="E33" s="1494" t="s">
        <v>1401</v>
      </c>
      <c r="F33" s="1494"/>
      <c r="G33" s="1494"/>
      <c r="H33" s="1494"/>
      <c r="I33" s="1494"/>
      <c r="J33" s="1494"/>
      <c r="K33" s="1494"/>
      <c r="L33" s="1494"/>
      <c r="M33" s="1494"/>
      <c r="N33" s="1494"/>
      <c r="O33" s="1495"/>
      <c r="P33" s="657">
        <f t="shared" si="0"/>
        <v>1</v>
      </c>
      <c r="R33" s="37"/>
      <c r="S33" s="37"/>
      <c r="T33" s="37"/>
      <c r="U33" s="37"/>
      <c r="V33" s="37"/>
      <c r="W33" s="37"/>
      <c r="X33" s="37"/>
      <c r="Y33" s="37"/>
      <c r="Z33" s="37"/>
      <c r="AA33" s="37"/>
      <c r="AB33" s="37"/>
      <c r="AC33" s="37"/>
      <c r="AD33" s="37"/>
      <c r="AE33" s="37"/>
      <c r="AF33" s="90" t="s">
        <v>74</v>
      </c>
      <c r="AG33" s="89" t="b">
        <f t="shared" si="1"/>
        <v>1</v>
      </c>
      <c r="AH33" s="1044" t="b">
        <v>0</v>
      </c>
    </row>
    <row r="34" spans="1:34" ht="15.95" customHeight="1" x14ac:dyDescent="0.2">
      <c r="A34" s="1492" t="s">
        <v>1450</v>
      </c>
      <c r="B34" s="1493" t="s">
        <v>1401</v>
      </c>
      <c r="C34" s="1494">
        <v>1</v>
      </c>
      <c r="D34" s="1494" t="s">
        <v>1401</v>
      </c>
      <c r="E34" s="1494">
        <v>1</v>
      </c>
      <c r="F34" s="1494"/>
      <c r="G34" s="1494"/>
      <c r="H34" s="1494"/>
      <c r="I34" s="1494"/>
      <c r="J34" s="1494"/>
      <c r="K34" s="1494"/>
      <c r="L34" s="1494"/>
      <c r="M34" s="1494"/>
      <c r="N34" s="1494"/>
      <c r="O34" s="1495"/>
      <c r="P34" s="657">
        <f t="shared" si="0"/>
        <v>2</v>
      </c>
      <c r="R34" s="37"/>
      <c r="S34" s="37"/>
      <c r="T34" s="37"/>
      <c r="U34" s="37"/>
      <c r="V34" s="37"/>
      <c r="W34" s="37"/>
      <c r="X34" s="37"/>
      <c r="Y34" s="37"/>
      <c r="Z34" s="37"/>
      <c r="AA34" s="37"/>
      <c r="AB34" s="37"/>
      <c r="AC34" s="37"/>
      <c r="AD34" s="37"/>
      <c r="AE34" s="37"/>
      <c r="AF34" s="90" t="s">
        <v>74</v>
      </c>
      <c r="AG34" s="89" t="b">
        <f t="shared" si="1"/>
        <v>1</v>
      </c>
      <c r="AH34" s="1044" t="b">
        <v>0</v>
      </c>
    </row>
    <row r="35" spans="1:34" ht="15.95" customHeight="1" x14ac:dyDescent="0.2">
      <c r="A35" s="1492" t="s">
        <v>1451</v>
      </c>
      <c r="B35" s="1493" t="s">
        <v>1401</v>
      </c>
      <c r="C35" s="1494">
        <v>1</v>
      </c>
      <c r="D35" s="1494" t="s">
        <v>1401</v>
      </c>
      <c r="E35" s="1494">
        <v>1</v>
      </c>
      <c r="F35" s="1494"/>
      <c r="G35" s="1494"/>
      <c r="H35" s="1494"/>
      <c r="I35" s="1494"/>
      <c r="J35" s="1494"/>
      <c r="K35" s="1494"/>
      <c r="L35" s="1494"/>
      <c r="M35" s="1494"/>
      <c r="N35" s="1494"/>
      <c r="O35" s="1495"/>
      <c r="P35" s="657">
        <f t="shared" si="0"/>
        <v>2</v>
      </c>
      <c r="R35" s="37"/>
      <c r="S35" s="37"/>
      <c r="T35" s="37"/>
      <c r="U35" s="37"/>
      <c r="V35" s="37"/>
      <c r="W35" s="37"/>
      <c r="X35" s="37"/>
      <c r="Y35" s="37"/>
      <c r="Z35" s="37"/>
      <c r="AA35" s="37"/>
      <c r="AB35" s="37"/>
      <c r="AC35" s="37"/>
      <c r="AD35" s="37"/>
      <c r="AE35" s="37"/>
      <c r="AF35" s="90" t="s">
        <v>74</v>
      </c>
      <c r="AG35" s="89" t="b">
        <f t="shared" si="1"/>
        <v>1</v>
      </c>
      <c r="AH35" s="1044" t="b">
        <v>0</v>
      </c>
    </row>
    <row r="36" spans="1:34" ht="15.95" customHeight="1" x14ac:dyDescent="0.2">
      <c r="A36" s="1492" t="s">
        <v>1452</v>
      </c>
      <c r="B36" s="1493" t="s">
        <v>1401</v>
      </c>
      <c r="C36" s="1494">
        <v>1</v>
      </c>
      <c r="D36" s="1494" t="s">
        <v>1401</v>
      </c>
      <c r="E36" s="1494">
        <v>1</v>
      </c>
      <c r="F36" s="1494"/>
      <c r="G36" s="1494"/>
      <c r="H36" s="1494"/>
      <c r="I36" s="1494"/>
      <c r="J36" s="1494"/>
      <c r="K36" s="1494"/>
      <c r="L36" s="1494"/>
      <c r="M36" s="1494"/>
      <c r="N36" s="1494"/>
      <c r="O36" s="1495"/>
      <c r="P36" s="657">
        <f t="shared" si="0"/>
        <v>2</v>
      </c>
      <c r="R36" s="37"/>
      <c r="S36" s="37"/>
      <c r="T36" s="37"/>
      <c r="U36" s="37"/>
      <c r="V36" s="37"/>
      <c r="W36" s="37"/>
      <c r="X36" s="37"/>
      <c r="Y36" s="37"/>
      <c r="Z36" s="37"/>
      <c r="AA36" s="37"/>
      <c r="AB36" s="37"/>
      <c r="AC36" s="37"/>
      <c r="AD36" s="37"/>
      <c r="AE36" s="37"/>
      <c r="AF36" s="90" t="s">
        <v>74</v>
      </c>
      <c r="AG36" s="89" t="b">
        <f t="shared" si="1"/>
        <v>1</v>
      </c>
      <c r="AH36" s="1044" t="b">
        <v>0</v>
      </c>
    </row>
    <row r="37" spans="1:34" ht="15.95" customHeight="1" x14ac:dyDescent="0.2">
      <c r="A37" s="1492" t="s">
        <v>1453</v>
      </c>
      <c r="B37" s="1493" t="s">
        <v>1401</v>
      </c>
      <c r="C37" s="1494">
        <v>1</v>
      </c>
      <c r="D37" s="1494" t="s">
        <v>1401</v>
      </c>
      <c r="E37" s="1494">
        <v>1</v>
      </c>
      <c r="F37" s="1494"/>
      <c r="G37" s="1494"/>
      <c r="H37" s="1494"/>
      <c r="I37" s="1494"/>
      <c r="J37" s="1494"/>
      <c r="K37" s="1494"/>
      <c r="L37" s="1494"/>
      <c r="M37" s="1494"/>
      <c r="N37" s="1494"/>
      <c r="O37" s="1495"/>
      <c r="P37" s="657">
        <f t="shared" si="0"/>
        <v>2</v>
      </c>
      <c r="R37" s="37"/>
      <c r="S37" s="37"/>
      <c r="T37" s="37"/>
      <c r="U37" s="37"/>
      <c r="V37" s="37"/>
      <c r="W37" s="37"/>
      <c r="X37" s="37"/>
      <c r="Y37" s="37"/>
      <c r="Z37" s="37"/>
      <c r="AA37" s="37"/>
      <c r="AB37" s="37"/>
      <c r="AC37" s="37"/>
      <c r="AD37" s="37"/>
      <c r="AE37" s="37"/>
      <c r="AF37" s="90" t="s">
        <v>74</v>
      </c>
      <c r="AG37" s="89" t="b">
        <f t="shared" si="1"/>
        <v>1</v>
      </c>
      <c r="AH37" s="1044" t="b">
        <v>0</v>
      </c>
    </row>
    <row r="38" spans="1:34" ht="15.95" customHeight="1" x14ac:dyDescent="0.2">
      <c r="A38" s="1492" t="s">
        <v>1454</v>
      </c>
      <c r="B38" s="1493" t="s">
        <v>1401</v>
      </c>
      <c r="C38" s="1494">
        <v>1</v>
      </c>
      <c r="D38" s="1494" t="s">
        <v>1401</v>
      </c>
      <c r="E38" s="1494">
        <v>1</v>
      </c>
      <c r="F38" s="1494"/>
      <c r="G38" s="1494"/>
      <c r="H38" s="1494"/>
      <c r="I38" s="1494"/>
      <c r="J38" s="1494"/>
      <c r="K38" s="1494"/>
      <c r="L38" s="1494"/>
      <c r="M38" s="1494"/>
      <c r="N38" s="1494"/>
      <c r="O38" s="1495"/>
      <c r="P38" s="657">
        <f t="shared" si="0"/>
        <v>2</v>
      </c>
      <c r="R38" s="37"/>
      <c r="S38" s="37"/>
      <c r="T38" s="37"/>
      <c r="U38" s="37"/>
      <c r="V38" s="37"/>
      <c r="W38" s="37"/>
      <c r="X38" s="37"/>
      <c r="Y38" s="37"/>
      <c r="Z38" s="37"/>
      <c r="AA38" s="37"/>
      <c r="AB38" s="37"/>
      <c r="AC38" s="37"/>
      <c r="AD38" s="37"/>
      <c r="AE38" s="37"/>
      <c r="AF38" s="90" t="s">
        <v>74</v>
      </c>
      <c r="AG38" s="89" t="b">
        <f t="shared" si="1"/>
        <v>1</v>
      </c>
      <c r="AH38" s="1044" t="b">
        <v>0</v>
      </c>
    </row>
    <row r="39" spans="1:34" ht="15.95" customHeight="1" x14ac:dyDescent="0.2">
      <c r="A39" s="1492" t="s">
        <v>1455</v>
      </c>
      <c r="B39" s="1493" t="s">
        <v>1401</v>
      </c>
      <c r="C39" s="1494">
        <v>46</v>
      </c>
      <c r="D39" s="1494">
        <v>46</v>
      </c>
      <c r="E39" s="1494">
        <v>44</v>
      </c>
      <c r="F39" s="1494"/>
      <c r="G39" s="1494"/>
      <c r="H39" s="1494"/>
      <c r="I39" s="1494"/>
      <c r="J39" s="1494"/>
      <c r="K39" s="1494"/>
      <c r="L39" s="1494"/>
      <c r="M39" s="1494"/>
      <c r="N39" s="1494"/>
      <c r="O39" s="1495"/>
      <c r="P39" s="657">
        <f t="shared" si="0"/>
        <v>136</v>
      </c>
      <c r="R39" s="37"/>
      <c r="S39" s="37"/>
      <c r="T39" s="37"/>
      <c r="U39" s="37"/>
      <c r="V39" s="37"/>
      <c r="W39" s="37"/>
      <c r="X39" s="37"/>
      <c r="Y39" s="37"/>
      <c r="Z39" s="37"/>
      <c r="AA39" s="37"/>
      <c r="AB39" s="37"/>
      <c r="AC39" s="37"/>
      <c r="AD39" s="37"/>
      <c r="AE39" s="37"/>
      <c r="AF39" s="90" t="s">
        <v>74</v>
      </c>
      <c r="AG39" s="89" t="b">
        <f t="shared" si="1"/>
        <v>1</v>
      </c>
      <c r="AH39" s="1044" t="b">
        <v>0</v>
      </c>
    </row>
    <row r="40" spans="1:34" ht="15.95" customHeight="1" x14ac:dyDescent="0.2">
      <c r="A40" s="1492" t="s">
        <v>1456</v>
      </c>
      <c r="B40" s="1493" t="s">
        <v>1401</v>
      </c>
      <c r="C40" s="1494">
        <v>5</v>
      </c>
      <c r="D40" s="1494">
        <v>5</v>
      </c>
      <c r="E40" s="1494">
        <v>6</v>
      </c>
      <c r="F40" s="1494"/>
      <c r="G40" s="1494"/>
      <c r="H40" s="1494"/>
      <c r="I40" s="1494"/>
      <c r="J40" s="1494"/>
      <c r="K40" s="1494"/>
      <c r="L40" s="1494"/>
      <c r="M40" s="1494"/>
      <c r="N40" s="1494"/>
      <c r="O40" s="1495"/>
      <c r="P40" s="657">
        <f t="shared" si="0"/>
        <v>16</v>
      </c>
      <c r="R40" s="37"/>
      <c r="S40" s="37"/>
      <c r="T40" s="37"/>
      <c r="U40" s="37"/>
      <c r="V40" s="37"/>
      <c r="W40" s="37"/>
      <c r="X40" s="37"/>
      <c r="Y40" s="37"/>
      <c r="Z40" s="37"/>
      <c r="AA40" s="37"/>
      <c r="AB40" s="37"/>
      <c r="AC40" s="37"/>
      <c r="AD40" s="37"/>
      <c r="AE40" s="37"/>
      <c r="AF40" s="90" t="s">
        <v>74</v>
      </c>
      <c r="AG40" s="89" t="b">
        <f t="shared" si="1"/>
        <v>1</v>
      </c>
      <c r="AH40" s="1044" t="b">
        <v>0</v>
      </c>
    </row>
    <row r="41" spans="1:34" ht="15.95" customHeight="1" x14ac:dyDescent="0.2">
      <c r="A41" s="1492" t="s">
        <v>1457</v>
      </c>
      <c r="B41" s="1493" t="s">
        <v>1401</v>
      </c>
      <c r="C41" s="1494">
        <v>1</v>
      </c>
      <c r="D41" s="1494">
        <v>1</v>
      </c>
      <c r="E41" s="1494">
        <v>1</v>
      </c>
      <c r="F41" s="1494"/>
      <c r="G41" s="1494"/>
      <c r="H41" s="1494"/>
      <c r="I41" s="1494"/>
      <c r="J41" s="1494"/>
      <c r="K41" s="1494"/>
      <c r="L41" s="1494"/>
      <c r="M41" s="1494"/>
      <c r="N41" s="1494"/>
      <c r="O41" s="1495"/>
      <c r="P41" s="657">
        <f t="shared" si="0"/>
        <v>3</v>
      </c>
      <c r="R41" s="37"/>
      <c r="S41" s="37"/>
      <c r="T41" s="37"/>
      <c r="U41" s="37"/>
      <c r="V41" s="37"/>
      <c r="W41" s="37"/>
      <c r="X41" s="37"/>
      <c r="Y41" s="37"/>
      <c r="Z41" s="37"/>
      <c r="AA41" s="37"/>
      <c r="AB41" s="37"/>
      <c r="AC41" s="37"/>
      <c r="AD41" s="37"/>
      <c r="AE41" s="37"/>
      <c r="AF41" s="90" t="s">
        <v>74</v>
      </c>
      <c r="AG41" s="89" t="b">
        <f t="shared" si="1"/>
        <v>1</v>
      </c>
      <c r="AH41" s="1044" t="b">
        <v>0</v>
      </c>
    </row>
    <row r="42" spans="1:34" ht="15.95" customHeight="1" x14ac:dyDescent="0.2">
      <c r="A42" s="1492" t="s">
        <v>1458</v>
      </c>
      <c r="B42" s="1493" t="s">
        <v>1401</v>
      </c>
      <c r="C42" s="1494" t="s">
        <v>1401</v>
      </c>
      <c r="D42" s="1494">
        <v>1</v>
      </c>
      <c r="E42" s="1494">
        <v>1</v>
      </c>
      <c r="F42" s="1494"/>
      <c r="G42" s="1494"/>
      <c r="H42" s="1494"/>
      <c r="I42" s="1494"/>
      <c r="J42" s="1494"/>
      <c r="K42" s="1494"/>
      <c r="L42" s="1494"/>
      <c r="M42" s="1494"/>
      <c r="N42" s="1494"/>
      <c r="O42" s="1495"/>
      <c r="P42" s="657">
        <f t="shared" si="0"/>
        <v>2</v>
      </c>
      <c r="R42" s="37"/>
      <c r="S42" s="37"/>
      <c r="T42" s="37"/>
      <c r="U42" s="37"/>
      <c r="V42" s="37"/>
      <c r="W42" s="37"/>
      <c r="X42" s="37"/>
      <c r="Y42" s="37"/>
      <c r="Z42" s="37"/>
      <c r="AA42" s="37"/>
      <c r="AB42" s="37"/>
      <c r="AC42" s="37"/>
      <c r="AD42" s="37"/>
      <c r="AE42" s="37"/>
      <c r="AF42" s="90" t="s">
        <v>74</v>
      </c>
      <c r="AG42" s="89" t="b">
        <f t="shared" si="1"/>
        <v>1</v>
      </c>
      <c r="AH42" s="1044" t="b">
        <v>0</v>
      </c>
    </row>
    <row r="43" spans="1:34" ht="15.95" customHeight="1" x14ac:dyDescent="0.2">
      <c r="A43" s="1492" t="s">
        <v>1459</v>
      </c>
      <c r="B43" s="1493" t="s">
        <v>1401</v>
      </c>
      <c r="C43" s="1494">
        <v>2</v>
      </c>
      <c r="D43" s="1494">
        <v>4</v>
      </c>
      <c r="E43" s="1494" t="s">
        <v>1401</v>
      </c>
      <c r="F43" s="1494"/>
      <c r="G43" s="1494"/>
      <c r="H43" s="1494"/>
      <c r="I43" s="1494"/>
      <c r="J43" s="1494"/>
      <c r="K43" s="1494"/>
      <c r="L43" s="1494"/>
      <c r="M43" s="1494"/>
      <c r="N43" s="1494"/>
      <c r="O43" s="1495"/>
      <c r="P43" s="657">
        <f t="shared" si="0"/>
        <v>6</v>
      </c>
      <c r="R43" s="37"/>
      <c r="S43" s="37"/>
      <c r="T43" s="37"/>
      <c r="U43" s="37"/>
      <c r="V43" s="37"/>
      <c r="W43" s="37"/>
      <c r="X43" s="37"/>
      <c r="Y43" s="37"/>
      <c r="Z43" s="37"/>
      <c r="AA43" s="37"/>
      <c r="AB43" s="37"/>
      <c r="AC43" s="37"/>
      <c r="AD43" s="37"/>
      <c r="AE43" s="37"/>
      <c r="AF43" s="90" t="s">
        <v>74</v>
      </c>
      <c r="AG43" s="89" t="b">
        <f t="shared" si="1"/>
        <v>1</v>
      </c>
      <c r="AH43" s="1044" t="b">
        <v>0</v>
      </c>
    </row>
    <row r="44" spans="1:34" ht="15.95" customHeight="1" x14ac:dyDescent="0.2">
      <c r="A44" s="1492" t="s">
        <v>1460</v>
      </c>
      <c r="B44" s="1493" t="s">
        <v>1401</v>
      </c>
      <c r="C44" s="1494">
        <v>5</v>
      </c>
      <c r="D44" s="1494">
        <v>10</v>
      </c>
      <c r="E44" s="1494">
        <v>7</v>
      </c>
      <c r="F44" s="1494"/>
      <c r="G44" s="1494"/>
      <c r="H44" s="1494"/>
      <c r="I44" s="1494"/>
      <c r="J44" s="1494"/>
      <c r="K44" s="1494"/>
      <c r="L44" s="1494"/>
      <c r="M44" s="1494"/>
      <c r="N44" s="1494"/>
      <c r="O44" s="1495"/>
      <c r="P44" s="657">
        <f t="shared" si="0"/>
        <v>22</v>
      </c>
      <c r="R44" s="37"/>
      <c r="S44" s="37"/>
      <c r="T44" s="37"/>
      <c r="U44" s="37"/>
      <c r="V44" s="37"/>
      <c r="W44" s="37"/>
      <c r="X44" s="37"/>
      <c r="Y44" s="37"/>
      <c r="Z44" s="37"/>
      <c r="AA44" s="37"/>
      <c r="AB44" s="37"/>
      <c r="AC44" s="37"/>
      <c r="AD44" s="37"/>
      <c r="AE44" s="37"/>
      <c r="AF44" s="90" t="s">
        <v>74</v>
      </c>
      <c r="AG44" s="89" t="b">
        <f t="shared" si="1"/>
        <v>1</v>
      </c>
      <c r="AH44" s="1044" t="b">
        <v>0</v>
      </c>
    </row>
    <row r="45" spans="1:34" ht="15.95" customHeight="1" x14ac:dyDescent="0.2">
      <c r="A45" s="1492" t="s">
        <v>1461</v>
      </c>
      <c r="B45" s="1493" t="s">
        <v>1401</v>
      </c>
      <c r="C45" s="1494">
        <v>1</v>
      </c>
      <c r="D45" s="1494">
        <v>1</v>
      </c>
      <c r="E45" s="1494" t="s">
        <v>1401</v>
      </c>
      <c r="F45" s="1494"/>
      <c r="G45" s="1494"/>
      <c r="H45" s="1494"/>
      <c r="I45" s="1494"/>
      <c r="J45" s="1494"/>
      <c r="K45" s="1494"/>
      <c r="L45" s="1494"/>
      <c r="M45" s="1494"/>
      <c r="N45" s="1494"/>
      <c r="O45" s="1495"/>
      <c r="P45" s="657">
        <f t="shared" si="0"/>
        <v>2</v>
      </c>
      <c r="R45" s="37"/>
      <c r="S45" s="37"/>
      <c r="T45" s="37"/>
      <c r="U45" s="37"/>
      <c r="V45" s="37"/>
      <c r="W45" s="37"/>
      <c r="X45" s="37"/>
      <c r="Y45" s="37"/>
      <c r="Z45" s="37"/>
      <c r="AA45" s="37"/>
      <c r="AB45" s="37"/>
      <c r="AC45" s="37"/>
      <c r="AD45" s="37"/>
      <c r="AE45" s="37"/>
      <c r="AF45" s="90" t="s">
        <v>74</v>
      </c>
      <c r="AG45" s="89" t="b">
        <f t="shared" si="1"/>
        <v>1</v>
      </c>
      <c r="AH45" s="1044" t="b">
        <v>0</v>
      </c>
    </row>
    <row r="46" spans="1:34" ht="15.95" customHeight="1" x14ac:dyDescent="0.2">
      <c r="A46" s="1492" t="s">
        <v>1462</v>
      </c>
      <c r="B46" s="1493" t="s">
        <v>1401</v>
      </c>
      <c r="C46" s="1494" t="s">
        <v>1401</v>
      </c>
      <c r="D46" s="1494">
        <v>2</v>
      </c>
      <c r="E46" s="1494" t="s">
        <v>1401</v>
      </c>
      <c r="F46" s="1494"/>
      <c r="G46" s="1494"/>
      <c r="H46" s="1494"/>
      <c r="I46" s="1494"/>
      <c r="J46" s="1494"/>
      <c r="K46" s="1494"/>
      <c r="L46" s="1494"/>
      <c r="M46" s="1494"/>
      <c r="N46" s="1494"/>
      <c r="O46" s="1495"/>
      <c r="P46" s="657">
        <f t="shared" si="0"/>
        <v>2</v>
      </c>
      <c r="R46" s="37"/>
      <c r="S46" s="37"/>
      <c r="T46" s="37"/>
      <c r="U46" s="37"/>
      <c r="V46" s="37"/>
      <c r="W46" s="37"/>
      <c r="X46" s="37"/>
      <c r="Y46" s="37"/>
      <c r="Z46" s="37"/>
      <c r="AA46" s="37"/>
      <c r="AB46" s="37"/>
      <c r="AC46" s="37"/>
      <c r="AD46" s="37"/>
      <c r="AE46" s="37"/>
      <c r="AF46" s="90" t="s">
        <v>74</v>
      </c>
      <c r="AG46" s="89" t="b">
        <f t="shared" si="1"/>
        <v>1</v>
      </c>
      <c r="AH46" s="1044" t="b">
        <v>0</v>
      </c>
    </row>
    <row r="47" spans="1:34" ht="15.95" customHeight="1" x14ac:dyDescent="0.2">
      <c r="A47" s="1492" t="s">
        <v>1463</v>
      </c>
      <c r="B47" s="1493" t="s">
        <v>1401</v>
      </c>
      <c r="C47" s="1494">
        <v>1</v>
      </c>
      <c r="D47" s="1494" t="s">
        <v>1401</v>
      </c>
      <c r="E47" s="1494">
        <v>1</v>
      </c>
      <c r="F47" s="1494"/>
      <c r="G47" s="1494"/>
      <c r="H47" s="1494"/>
      <c r="I47" s="1494"/>
      <c r="J47" s="1494"/>
      <c r="K47" s="1494"/>
      <c r="L47" s="1494"/>
      <c r="M47" s="1494"/>
      <c r="N47" s="1494"/>
      <c r="O47" s="1495"/>
      <c r="P47" s="657">
        <f t="shared" si="0"/>
        <v>2</v>
      </c>
      <c r="R47" s="37"/>
      <c r="S47" s="37"/>
      <c r="T47" s="37"/>
      <c r="U47" s="37"/>
      <c r="V47" s="37"/>
      <c r="W47" s="37"/>
      <c r="X47" s="37"/>
      <c r="Y47" s="37"/>
      <c r="Z47" s="37"/>
      <c r="AA47" s="37"/>
      <c r="AB47" s="37"/>
      <c r="AC47" s="37"/>
      <c r="AD47" s="37"/>
      <c r="AE47" s="37"/>
      <c r="AF47" s="90" t="s">
        <v>74</v>
      </c>
      <c r="AG47" s="89" t="b">
        <f t="shared" si="1"/>
        <v>1</v>
      </c>
      <c r="AH47" s="1044" t="b">
        <v>0</v>
      </c>
    </row>
    <row r="48" spans="1:34" ht="15.95" customHeight="1" x14ac:dyDescent="0.2">
      <c r="A48" s="1492" t="s">
        <v>1464</v>
      </c>
      <c r="B48" s="1493" t="s">
        <v>1401</v>
      </c>
      <c r="C48" s="1494">
        <v>1</v>
      </c>
      <c r="D48" s="1494" t="s">
        <v>1401</v>
      </c>
      <c r="E48" s="1494">
        <v>1</v>
      </c>
      <c r="F48" s="1494"/>
      <c r="G48" s="1494"/>
      <c r="H48" s="1494"/>
      <c r="I48" s="1494"/>
      <c r="J48" s="1494"/>
      <c r="K48" s="1494"/>
      <c r="L48" s="1494"/>
      <c r="M48" s="1494"/>
      <c r="N48" s="1494"/>
      <c r="O48" s="1495"/>
      <c r="P48" s="657">
        <f t="shared" si="0"/>
        <v>2</v>
      </c>
      <c r="R48" s="37"/>
      <c r="S48" s="37"/>
      <c r="T48" s="37"/>
      <c r="U48" s="37"/>
      <c r="V48" s="37"/>
      <c r="W48" s="37"/>
      <c r="X48" s="37"/>
      <c r="Y48" s="37"/>
      <c r="Z48" s="37"/>
      <c r="AA48" s="37"/>
      <c r="AB48" s="37"/>
      <c r="AC48" s="37"/>
      <c r="AD48" s="37"/>
      <c r="AE48" s="37"/>
      <c r="AF48" s="90" t="s">
        <v>74</v>
      </c>
      <c r="AG48" s="89" t="b">
        <f t="shared" si="1"/>
        <v>1</v>
      </c>
      <c r="AH48" s="1044" t="b">
        <v>0</v>
      </c>
    </row>
    <row r="49" spans="1:34" ht="15.95" customHeight="1" x14ac:dyDescent="0.2">
      <c r="A49" s="1496" t="s">
        <v>1465</v>
      </c>
      <c r="B49" s="1497" t="s">
        <v>1401</v>
      </c>
      <c r="C49" s="1498">
        <v>1</v>
      </c>
      <c r="D49" s="1498" t="s">
        <v>1401</v>
      </c>
      <c r="E49" s="1498">
        <v>1</v>
      </c>
      <c r="F49" s="1498"/>
      <c r="G49" s="1498"/>
      <c r="H49" s="1498"/>
      <c r="I49" s="1498"/>
      <c r="J49" s="1498"/>
      <c r="K49" s="1498"/>
      <c r="L49" s="1498"/>
      <c r="M49" s="1498"/>
      <c r="N49" s="1498"/>
      <c r="O49" s="1499"/>
      <c r="P49" s="657">
        <f t="shared" si="0"/>
        <v>2</v>
      </c>
      <c r="R49" s="37"/>
      <c r="S49" s="37"/>
      <c r="T49" s="37"/>
      <c r="U49" s="37"/>
      <c r="V49" s="37"/>
      <c r="W49" s="37"/>
      <c r="X49" s="37"/>
      <c r="Y49" s="37"/>
      <c r="Z49" s="37"/>
      <c r="AA49" s="37"/>
      <c r="AB49" s="37"/>
      <c r="AC49" s="37"/>
      <c r="AD49" s="37"/>
      <c r="AE49" s="37"/>
      <c r="AF49" s="90" t="s">
        <v>74</v>
      </c>
      <c r="AG49" s="89" t="b">
        <f t="shared" si="1"/>
        <v>1</v>
      </c>
      <c r="AH49" s="1044" t="b">
        <v>0</v>
      </c>
    </row>
    <row r="50" spans="1:34" ht="15" customHeight="1" x14ac:dyDescent="0.2">
      <c r="A50" s="653" t="s">
        <v>90</v>
      </c>
      <c r="B50" s="654">
        <f t="shared" ref="B50:O50" si="2">IF(ISBLANK(B13),"",SUM(B14:B49))</f>
        <v>0</v>
      </c>
      <c r="C50" s="654">
        <f t="shared" si="2"/>
        <v>100</v>
      </c>
      <c r="D50" s="654">
        <f t="shared" si="2"/>
        <v>94</v>
      </c>
      <c r="E50" s="654">
        <f t="shared" si="2"/>
        <v>102</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1617</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v0fHhdsk/ck3SgE4V8BRjqtQn9+9NZeuJMnlWTjVS92RgtUu7sIQB3/d2CE1xmz7FtMeMGsSQ60FL6pWVis3Zg==" saltValue="AKKltVTD0c8Jw/y7DHQAd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435" priority="2">
      <formula>OR(A14="Girder",A14="Girders",A14="Joist",A14="Joists",A14="Bridging")</formula>
    </cfRule>
    <cfRule type="expression" dxfId="434" priority="3">
      <formula>AND(P14&gt;0,ISBLANK(AF14),OR($R$1="",$R$1="M"))</formula>
    </cfRule>
    <cfRule type="expression" dxfId="433" priority="9">
      <formula>$AH14</formula>
    </cfRule>
  </conditionalFormatting>
  <conditionalFormatting sqref="H2:J4">
    <cfRule type="cellIs" dxfId="432" priority="7" stopIfTrue="1" operator="equal">
      <formula>""</formula>
    </cfRule>
  </conditionalFormatting>
  <conditionalFormatting sqref="B14:O49">
    <cfRule type="expression" dxfId="431" priority="4">
      <formula>IF($R$1="M",AND(B14&gt;R14,R14&gt;0),B14&lt;R14)</formula>
    </cfRule>
    <cfRule type="expression" dxfId="430" priority="5">
      <formula>OR(AND($R$1="M",NOT($S$1),B14=R14),B14="-")</formula>
    </cfRule>
    <cfRule type="expression" dxfId="429" priority="6">
      <formula>IF(NOT(ISBLANK($R$1)),IF($R$1="M",IF(ISTEXT(B14),0,B14)&lt;R14,IF(ISTEXT(B14),0,B14)&gt;R14))</formula>
    </cfRule>
    <cfRule type="expression" dxfId="428" priority="8">
      <formula>OR($AH14,B$63)</formula>
    </cfRule>
  </conditionalFormatting>
  <conditionalFormatting sqref="B13:O13">
    <cfRule type="expression" dxfId="427" priority="1">
      <formula>AND(NOT(ISBLANK(B$13)),ISERROR(MATCH(B$13,$AK:$AK,0)))</formula>
    </cfRule>
    <cfRule type="expression" dxfId="42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9330A600-4D0D-4BBD-BCAB-3B8CC61ED95A}">
      <formula1>B13=TRIM(B13)</formula1>
    </dataValidation>
    <dataValidation type="custom" allowBlank="1" showInputMessage="1" showErrorMessage="1" errorTitle="Input Error" error="Value can only be a positive integer OR a dash." sqref="B14:O49" xr:uid="{A63CBE88-9CCD-4CBE-957B-B9BFF5195164}">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1131B-ECB8-46AB-9AB8-C38A422FDE3A}">
  <sheetPr codeName="Sheet23">
    <tabColor indexed="31"/>
  </sheetPr>
  <dimension ref="A1:AL65"/>
  <sheetViews>
    <sheetView showGridLines="0" topLeftCell="A3"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48" t="str">
        <f>IF(ISBLANK(R1),"",VLOOKUP(R1,'Job Info.'!X:AA,4,FALSE))</f>
        <v>Master</v>
      </c>
      <c r="I1" s="1848"/>
      <c r="J1" s="1848"/>
      <c r="K1" s="1911" t="s">
        <v>95</v>
      </c>
      <c r="L1" s="1911"/>
      <c r="M1" s="1911"/>
      <c r="N1" s="1904" t="str">
        <f ca="1">'Job Info.'!D12</f>
        <v>775-428-0600</v>
      </c>
      <c r="O1" s="1904"/>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905" t="str">
        <f>IF(ISBLANK(R1),"",IF(VLOOKUP(R1,'Job Info.'!X:Z,2,FALSE),"Released for Fabrication",""))</f>
        <v/>
      </c>
      <c r="I2" s="1906"/>
      <c r="J2" s="1907"/>
      <c r="K2" s="1911" t="s">
        <v>96</v>
      </c>
      <c r="L2" s="1911"/>
      <c r="M2" s="1911"/>
      <c r="N2" s="1904" t="str">
        <f ca="1">'Job Info.'!D13</f>
        <v>775-867-2140</v>
      </c>
      <c r="O2" s="1904"/>
      <c r="P2" s="474"/>
      <c r="AF2" s="378"/>
      <c r="AK2" s="1040" t="s">
        <v>1394</v>
      </c>
    </row>
    <row r="3" spans="1:38" s="245" customFormat="1" ht="12.95" customHeight="1" x14ac:dyDescent="0.2">
      <c r="A3" s="374"/>
      <c r="B3" s="374"/>
      <c r="C3" s="374"/>
      <c r="D3" s="374"/>
      <c r="E3" s="374"/>
      <c r="F3" s="374"/>
      <c r="G3" s="374"/>
      <c r="H3" s="1856"/>
      <c r="I3" s="1857"/>
      <c r="J3" s="1858"/>
      <c r="K3" s="1911" t="s">
        <v>98</v>
      </c>
      <c r="L3" s="1911"/>
      <c r="M3" s="1911"/>
      <c r="N3" s="1904" t="str">
        <f ca="1">'Job Info.'!D14</f>
        <v>775-867-2169</v>
      </c>
      <c r="O3" s="1904"/>
      <c r="P3" s="474"/>
      <c r="AF3" s="378"/>
      <c r="AK3" s="1040" t="s">
        <v>808</v>
      </c>
    </row>
    <row r="4" spans="1:38" s="245" customFormat="1" ht="12.95" customHeight="1" thickBot="1" x14ac:dyDescent="0.25">
      <c r="A4" s="374"/>
      <c r="B4" s="374"/>
      <c r="C4" s="374"/>
      <c r="D4" s="374"/>
      <c r="E4" s="374"/>
      <c r="F4" s="374"/>
      <c r="G4" s="374"/>
      <c r="H4" s="1908" t="str">
        <f>IF(ISBLANK(R1),"",IF(VLOOKUP(R1,'Job Info.'!X:Z,2,FALSE),VLOOKUP(R1,'Job Info.'!X:Z,3,FALSE),""))</f>
        <v/>
      </c>
      <c r="I4" s="1909"/>
      <c r="J4" s="1910"/>
      <c r="K4" s="1911" t="s">
        <v>97</v>
      </c>
      <c r="L4" s="1911"/>
      <c r="M4" s="1911"/>
      <c r="N4" s="1904" t="str">
        <f ca="1">'Job Info.'!D15</f>
        <v>775-867-2060</v>
      </c>
      <c r="O4" s="1904"/>
      <c r="P4" s="474"/>
      <c r="AF4" s="378"/>
      <c r="AK4" s="1040" t="s">
        <v>1397</v>
      </c>
    </row>
    <row r="5" spans="1:38" s="245" customFormat="1" ht="12.95" customHeight="1" thickTop="1" x14ac:dyDescent="0.2">
      <c r="A5" s="1862" t="str">
        <f ca="1">'Job Info.'!D11</f>
        <v>8200 Woolery Way | Fallon, NV 89406 | www.newmill.com</v>
      </c>
      <c r="B5" s="1862"/>
      <c r="C5" s="1862"/>
      <c r="D5" s="1862"/>
      <c r="E5" s="1862"/>
      <c r="F5" s="1862"/>
      <c r="G5" s="1862"/>
      <c r="H5" s="1862"/>
      <c r="I5" s="1862"/>
      <c r="J5" s="1862"/>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32">
        <f>IF(ISBLANK('Job Info.'!D8),"",'Job Info.'!D8)</f>
        <v>45048</v>
      </c>
      <c r="M6" s="1832"/>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9 of 19</v>
      </c>
      <c r="M7" s="658"/>
      <c r="N7" s="374"/>
      <c r="O7" s="374"/>
      <c r="P7" s="474"/>
      <c r="R7" s="1083">
        <v>9</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24" t="str">
        <f>IF(ISBLANK('Job Info.'!D3),"",'Job Info.'!D3)</f>
        <v>MINDEN UPS BLDG 1</v>
      </c>
      <c r="C9" s="1824"/>
      <c r="D9" s="1824"/>
      <c r="E9" s="1824"/>
      <c r="F9" s="1824"/>
      <c r="G9" s="1825"/>
      <c r="H9" s="1873" t="s">
        <v>2</v>
      </c>
      <c r="I9" s="1873"/>
      <c r="J9" s="1824" t="str">
        <f>IF(ISBLANK('Job Info.'!D5),"",'Job Info.'!D5)</f>
        <v>NN22-0071</v>
      </c>
      <c r="K9" s="1824"/>
      <c r="L9" s="1824"/>
      <c r="M9" s="1824"/>
      <c r="N9" s="1824"/>
      <c r="O9" s="1825"/>
      <c r="P9" s="22"/>
    </row>
    <row r="10" spans="1:38" ht="12.2" customHeight="1" x14ac:dyDescent="0.2">
      <c r="A10" s="471" t="s">
        <v>3</v>
      </c>
      <c r="B10" s="1824" t="str">
        <f>IF(ISBLANK('Job Info.'!D4),"",'Job Info.'!D4)</f>
        <v>MINDEN, NV</v>
      </c>
      <c r="C10" s="1824"/>
      <c r="D10" s="1824"/>
      <c r="E10" s="1824"/>
      <c r="F10" s="1824"/>
      <c r="G10" s="1825"/>
      <c r="H10" s="1873" t="s">
        <v>22</v>
      </c>
      <c r="I10" s="1873"/>
      <c r="J10" s="1824" t="str">
        <f>IF(ISBLANK('Job Info.'!D6),"",'Job Info.'!D6)</f>
        <v>JMM</v>
      </c>
      <c r="K10" s="1825"/>
      <c r="L10" s="1917" t="s">
        <v>23</v>
      </c>
      <c r="M10" s="1873"/>
      <c r="N10" s="1824" t="str">
        <f>IF(ISBLANK('Job Info.'!D7),"",'Job Info.'!D7)</f>
        <v>NR</v>
      </c>
      <c r="O10" s="1825"/>
      <c r="P10" s="22"/>
    </row>
    <row r="11" spans="1:38" ht="3.95" customHeight="1" x14ac:dyDescent="0.2">
      <c r="A11" s="1087"/>
      <c r="B11" s="19"/>
      <c r="C11" s="19"/>
      <c r="D11" s="19"/>
      <c r="E11" s="19"/>
      <c r="F11" s="19"/>
      <c r="G11" s="19"/>
      <c r="H11" s="19"/>
      <c r="I11" s="19"/>
      <c r="J11" s="19"/>
      <c r="K11" s="19"/>
      <c r="L11" s="19"/>
      <c r="M11" s="19"/>
      <c r="N11" s="19"/>
      <c r="O11" s="19"/>
      <c r="P11" s="22"/>
      <c r="R11" s="1918" t="s">
        <v>420</v>
      </c>
      <c r="S11" s="1919"/>
      <c r="T11" s="1919"/>
      <c r="U11" s="1919"/>
      <c r="V11" s="1919"/>
      <c r="W11" s="1919"/>
      <c r="X11" s="1919"/>
      <c r="Y11" s="1919"/>
      <c r="Z11" s="1919"/>
      <c r="AA11" s="1919"/>
      <c r="AB11" s="1919"/>
      <c r="AC11" s="1919"/>
      <c r="AD11" s="1919"/>
      <c r="AE11" s="1920"/>
      <c r="AF11" s="1912" t="s">
        <v>455</v>
      </c>
      <c r="AG11" s="1912" t="s">
        <v>456</v>
      </c>
      <c r="AH11" s="1912" t="s">
        <v>1101</v>
      </c>
    </row>
    <row r="12" spans="1:38" s="21" customFormat="1" ht="15.95" customHeight="1" x14ac:dyDescent="0.2">
      <c r="A12" s="1915" t="s">
        <v>40</v>
      </c>
      <c r="B12" s="1927" t="s">
        <v>56</v>
      </c>
      <c r="C12" s="1928"/>
      <c r="D12" s="1928"/>
      <c r="E12" s="1928"/>
      <c r="F12" s="1928"/>
      <c r="G12" s="1928"/>
      <c r="H12" s="1928"/>
      <c r="I12" s="1928"/>
      <c r="J12" s="1928"/>
      <c r="K12" s="1928"/>
      <c r="L12" s="1928"/>
      <c r="M12" s="1928"/>
      <c r="N12" s="1928"/>
      <c r="O12" s="1929"/>
      <c r="P12" s="22"/>
      <c r="R12" s="1921"/>
      <c r="S12" s="1922"/>
      <c r="T12" s="1922"/>
      <c r="U12" s="1922"/>
      <c r="V12" s="1922"/>
      <c r="W12" s="1922"/>
      <c r="X12" s="1922"/>
      <c r="Y12" s="1922"/>
      <c r="Z12" s="1922"/>
      <c r="AA12" s="1922"/>
      <c r="AB12" s="1922"/>
      <c r="AC12" s="1922"/>
      <c r="AD12" s="1922"/>
      <c r="AE12" s="1923"/>
      <c r="AF12" s="1913"/>
      <c r="AG12" s="1913"/>
      <c r="AH12" s="1913"/>
      <c r="AK12" s="1043"/>
    </row>
    <row r="13" spans="1:38" ht="15.95" customHeight="1" x14ac:dyDescent="0.2">
      <c r="A13" s="1916"/>
      <c r="B13" s="1500" t="s">
        <v>1392</v>
      </c>
      <c r="C13" s="1501" t="s">
        <v>1394</v>
      </c>
      <c r="D13" s="1501" t="s">
        <v>808</v>
      </c>
      <c r="E13" s="1501" t="s">
        <v>1397</v>
      </c>
      <c r="F13" s="1501"/>
      <c r="G13" s="1501"/>
      <c r="H13" s="1501"/>
      <c r="I13" s="1501"/>
      <c r="J13" s="1501"/>
      <c r="K13" s="1501"/>
      <c r="L13" s="1501"/>
      <c r="M13" s="1501"/>
      <c r="N13" s="1501"/>
      <c r="O13" s="1502"/>
      <c r="P13" s="656" t="s">
        <v>90</v>
      </c>
      <c r="R13" s="1924"/>
      <c r="S13" s="1925"/>
      <c r="T13" s="1925"/>
      <c r="U13" s="1925"/>
      <c r="V13" s="1925"/>
      <c r="W13" s="1925"/>
      <c r="X13" s="1925"/>
      <c r="Y13" s="1925"/>
      <c r="Z13" s="1925"/>
      <c r="AA13" s="1925"/>
      <c r="AB13" s="1925"/>
      <c r="AC13" s="1925"/>
      <c r="AD13" s="1925"/>
      <c r="AE13" s="1926"/>
      <c r="AF13" s="1914"/>
      <c r="AG13" s="1914"/>
      <c r="AH13" s="1914"/>
    </row>
    <row r="14" spans="1:38" ht="15.95" customHeight="1" x14ac:dyDescent="0.2">
      <c r="A14" s="1488" t="s">
        <v>1430</v>
      </c>
      <c r="B14" s="1489"/>
      <c r="C14" s="1490"/>
      <c r="D14" s="1490"/>
      <c r="E14" s="1490"/>
      <c r="F14" s="1490"/>
      <c r="G14" s="1490"/>
      <c r="H14" s="1490"/>
      <c r="I14" s="1490"/>
      <c r="J14" s="1490"/>
      <c r="K14" s="1490"/>
      <c r="L14" s="1490"/>
      <c r="M14" s="1490"/>
      <c r="N14" s="1490"/>
      <c r="O14" s="1491"/>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t="s">
        <v>1466</v>
      </c>
      <c r="B15" s="1493" t="s">
        <v>1401</v>
      </c>
      <c r="C15" s="1494">
        <v>1</v>
      </c>
      <c r="D15" s="1494" t="s">
        <v>1401</v>
      </c>
      <c r="E15" s="1494">
        <v>1</v>
      </c>
      <c r="F15" s="1494"/>
      <c r="G15" s="1494"/>
      <c r="H15" s="1494"/>
      <c r="I15" s="1494"/>
      <c r="J15" s="1494"/>
      <c r="K15" s="1494"/>
      <c r="L15" s="1494"/>
      <c r="M15" s="1494"/>
      <c r="N15" s="1494"/>
      <c r="O15" s="1495"/>
      <c r="P15" s="657">
        <f t="shared" si="0"/>
        <v>2</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2" t="s">
        <v>1467</v>
      </c>
      <c r="B16" s="1493" t="s">
        <v>1401</v>
      </c>
      <c r="C16" s="1494" t="s">
        <v>1401</v>
      </c>
      <c r="D16" s="1494">
        <v>1</v>
      </c>
      <c r="E16" s="1494">
        <v>1</v>
      </c>
      <c r="F16" s="1494"/>
      <c r="G16" s="1494"/>
      <c r="H16" s="1494"/>
      <c r="I16" s="1494"/>
      <c r="J16" s="1494"/>
      <c r="K16" s="1494"/>
      <c r="L16" s="1494"/>
      <c r="M16" s="1494"/>
      <c r="N16" s="1494"/>
      <c r="O16" s="1495"/>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1492" t="s">
        <v>1468</v>
      </c>
      <c r="B17" s="1493" t="s">
        <v>1401</v>
      </c>
      <c r="C17" s="1494" t="s">
        <v>1401</v>
      </c>
      <c r="D17" s="1494">
        <v>1</v>
      </c>
      <c r="E17" s="1494">
        <v>1</v>
      </c>
      <c r="F17" s="1494"/>
      <c r="G17" s="1494"/>
      <c r="H17" s="1494"/>
      <c r="I17" s="1494"/>
      <c r="J17" s="1494"/>
      <c r="K17" s="1494"/>
      <c r="L17" s="1494"/>
      <c r="M17" s="1494"/>
      <c r="N17" s="1494"/>
      <c r="O17" s="1495"/>
      <c r="P17" s="657">
        <f t="shared" si="0"/>
        <v>2</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1492" t="s">
        <v>1469</v>
      </c>
      <c r="B18" s="1493" t="s">
        <v>1401</v>
      </c>
      <c r="C18" s="1494">
        <v>1</v>
      </c>
      <c r="D18" s="1494" t="s">
        <v>1401</v>
      </c>
      <c r="E18" s="1494">
        <v>1</v>
      </c>
      <c r="F18" s="1494"/>
      <c r="G18" s="1494"/>
      <c r="H18" s="1494"/>
      <c r="I18" s="1494"/>
      <c r="J18" s="1494"/>
      <c r="K18" s="1494"/>
      <c r="L18" s="1494"/>
      <c r="M18" s="1494"/>
      <c r="N18" s="1494"/>
      <c r="O18" s="1495"/>
      <c r="P18" s="657">
        <f t="shared" si="0"/>
        <v>2</v>
      </c>
      <c r="R18" s="37"/>
      <c r="S18" s="37"/>
      <c r="T18" s="37"/>
      <c r="U18" s="37"/>
      <c r="V18" s="37"/>
      <c r="W18" s="37"/>
      <c r="X18" s="37"/>
      <c r="Y18" s="37"/>
      <c r="Z18" s="37"/>
      <c r="AA18" s="37"/>
      <c r="AB18" s="37"/>
      <c r="AC18" s="37"/>
      <c r="AD18" s="37"/>
      <c r="AE18" s="37"/>
      <c r="AF18" s="90" t="s">
        <v>74</v>
      </c>
      <c r="AG18" s="89" t="b">
        <f t="shared" si="1"/>
        <v>1</v>
      </c>
      <c r="AH18" s="1044" t="b">
        <v>0</v>
      </c>
    </row>
    <row r="19" spans="1:34" ht="15.95" customHeight="1" x14ac:dyDescent="0.2">
      <c r="A19" s="1492" t="s">
        <v>1470</v>
      </c>
      <c r="B19" s="1493" t="s">
        <v>1401</v>
      </c>
      <c r="C19" s="1494">
        <v>1</v>
      </c>
      <c r="D19" s="1494" t="s">
        <v>1401</v>
      </c>
      <c r="E19" s="1494">
        <v>1</v>
      </c>
      <c r="F19" s="1494"/>
      <c r="G19" s="1494"/>
      <c r="H19" s="1494"/>
      <c r="I19" s="1494"/>
      <c r="J19" s="1494"/>
      <c r="K19" s="1494"/>
      <c r="L19" s="1494"/>
      <c r="M19" s="1494"/>
      <c r="N19" s="1494"/>
      <c r="O19" s="1495"/>
      <c r="P19" s="657">
        <f t="shared" si="0"/>
        <v>2</v>
      </c>
      <c r="R19" s="37"/>
      <c r="S19" s="37"/>
      <c r="T19" s="37"/>
      <c r="U19" s="37"/>
      <c r="V19" s="37"/>
      <c r="W19" s="37"/>
      <c r="X19" s="37"/>
      <c r="Y19" s="37"/>
      <c r="Z19" s="37"/>
      <c r="AA19" s="37"/>
      <c r="AB19" s="37"/>
      <c r="AC19" s="37"/>
      <c r="AD19" s="37"/>
      <c r="AE19" s="37"/>
      <c r="AF19" s="90" t="s">
        <v>74</v>
      </c>
      <c r="AG19" s="89" t="b">
        <f t="shared" si="1"/>
        <v>1</v>
      </c>
      <c r="AH19" s="1044" t="b">
        <v>0</v>
      </c>
    </row>
    <row r="20" spans="1:34" ht="15.95" customHeight="1" x14ac:dyDescent="0.2">
      <c r="A20" s="1492" t="s">
        <v>1471</v>
      </c>
      <c r="B20" s="1493" t="s">
        <v>1401</v>
      </c>
      <c r="C20" s="1494">
        <v>1</v>
      </c>
      <c r="D20" s="1494" t="s">
        <v>1401</v>
      </c>
      <c r="E20" s="1494">
        <v>1</v>
      </c>
      <c r="F20" s="1494"/>
      <c r="G20" s="1494"/>
      <c r="H20" s="1494"/>
      <c r="I20" s="1494"/>
      <c r="J20" s="1494"/>
      <c r="K20" s="1494"/>
      <c r="L20" s="1494"/>
      <c r="M20" s="1494"/>
      <c r="N20" s="1494"/>
      <c r="O20" s="1495"/>
      <c r="P20" s="657">
        <f t="shared" si="0"/>
        <v>2</v>
      </c>
      <c r="R20" s="37"/>
      <c r="S20" s="37"/>
      <c r="T20" s="37"/>
      <c r="U20" s="37"/>
      <c r="V20" s="37"/>
      <c r="W20" s="37"/>
      <c r="X20" s="37"/>
      <c r="Y20" s="37"/>
      <c r="Z20" s="37"/>
      <c r="AA20" s="37"/>
      <c r="AB20" s="37"/>
      <c r="AC20" s="37"/>
      <c r="AD20" s="37"/>
      <c r="AE20" s="37"/>
      <c r="AF20" s="90" t="s">
        <v>74</v>
      </c>
      <c r="AG20" s="89" t="b">
        <f t="shared" si="1"/>
        <v>1</v>
      </c>
      <c r="AH20" s="1044" t="b">
        <v>0</v>
      </c>
    </row>
    <row r="21" spans="1:34" ht="15.95" customHeight="1" x14ac:dyDescent="0.2">
      <c r="A21" s="1492" t="s">
        <v>1472</v>
      </c>
      <c r="B21" s="1493" t="s">
        <v>1401</v>
      </c>
      <c r="C21" s="1494">
        <v>1</v>
      </c>
      <c r="D21" s="1494" t="s">
        <v>1401</v>
      </c>
      <c r="E21" s="1494">
        <v>1</v>
      </c>
      <c r="F21" s="1494"/>
      <c r="G21" s="1494"/>
      <c r="H21" s="1494"/>
      <c r="I21" s="1494"/>
      <c r="J21" s="1494"/>
      <c r="K21" s="1494"/>
      <c r="L21" s="1494"/>
      <c r="M21" s="1494"/>
      <c r="N21" s="1494"/>
      <c r="O21" s="1495"/>
      <c r="P21" s="657">
        <f t="shared" si="0"/>
        <v>2</v>
      </c>
      <c r="R21" s="37"/>
      <c r="S21" s="37"/>
      <c r="T21" s="37"/>
      <c r="U21" s="37"/>
      <c r="V21" s="37"/>
      <c r="W21" s="37"/>
      <c r="X21" s="37"/>
      <c r="Y21" s="37"/>
      <c r="Z21" s="37"/>
      <c r="AA21" s="37"/>
      <c r="AB21" s="37"/>
      <c r="AC21" s="37"/>
      <c r="AD21" s="37"/>
      <c r="AE21" s="37"/>
      <c r="AF21" s="90" t="s">
        <v>74</v>
      </c>
      <c r="AG21" s="89" t="b">
        <f t="shared" si="1"/>
        <v>1</v>
      </c>
      <c r="AH21" s="1044" t="b">
        <v>0</v>
      </c>
    </row>
    <row r="22" spans="1:34" ht="15.95" customHeight="1" x14ac:dyDescent="0.2">
      <c r="A22" s="1492" t="s">
        <v>1473</v>
      </c>
      <c r="B22" s="1493" t="s">
        <v>1401</v>
      </c>
      <c r="C22" s="1494">
        <v>27</v>
      </c>
      <c r="D22" s="1494">
        <v>30</v>
      </c>
      <c r="E22" s="1494">
        <v>27</v>
      </c>
      <c r="F22" s="1494"/>
      <c r="G22" s="1494"/>
      <c r="H22" s="1494"/>
      <c r="I22" s="1494"/>
      <c r="J22" s="1494"/>
      <c r="K22" s="1494"/>
      <c r="L22" s="1494"/>
      <c r="M22" s="1494"/>
      <c r="N22" s="1494"/>
      <c r="O22" s="1495"/>
      <c r="P22" s="657">
        <f t="shared" si="0"/>
        <v>84</v>
      </c>
      <c r="R22" s="37"/>
      <c r="S22" s="37"/>
      <c r="T22" s="37"/>
      <c r="U22" s="37"/>
      <c r="V22" s="37"/>
      <c r="W22" s="37"/>
      <c r="X22" s="37"/>
      <c r="Y22" s="37"/>
      <c r="Z22" s="37"/>
      <c r="AA22" s="37"/>
      <c r="AB22" s="37"/>
      <c r="AC22" s="37"/>
      <c r="AD22" s="37"/>
      <c r="AE22" s="37"/>
      <c r="AF22" s="90" t="s">
        <v>74</v>
      </c>
      <c r="AG22" s="89" t="b">
        <f t="shared" si="1"/>
        <v>1</v>
      </c>
      <c r="AH22" s="1044" t="b">
        <v>0</v>
      </c>
    </row>
    <row r="23" spans="1:34" ht="15.95" customHeight="1" x14ac:dyDescent="0.2">
      <c r="A23" s="1492" t="s">
        <v>1474</v>
      </c>
      <c r="B23" s="1493" t="s">
        <v>1401</v>
      </c>
      <c r="C23" s="1494">
        <v>3</v>
      </c>
      <c r="D23" s="1494">
        <v>3</v>
      </c>
      <c r="E23" s="1494">
        <v>3</v>
      </c>
      <c r="F23" s="1494"/>
      <c r="G23" s="1494"/>
      <c r="H23" s="1494"/>
      <c r="I23" s="1494"/>
      <c r="J23" s="1494"/>
      <c r="K23" s="1494"/>
      <c r="L23" s="1494"/>
      <c r="M23" s="1494"/>
      <c r="N23" s="1494"/>
      <c r="O23" s="1495"/>
      <c r="P23" s="657">
        <f t="shared" si="0"/>
        <v>9</v>
      </c>
      <c r="R23" s="37"/>
      <c r="S23" s="37"/>
      <c r="T23" s="37"/>
      <c r="U23" s="37"/>
      <c r="V23" s="37"/>
      <c r="W23" s="37"/>
      <c r="X23" s="37"/>
      <c r="Y23" s="37"/>
      <c r="Z23" s="37"/>
      <c r="AA23" s="37"/>
      <c r="AB23" s="37"/>
      <c r="AC23" s="37"/>
      <c r="AD23" s="37"/>
      <c r="AE23" s="37"/>
      <c r="AF23" s="90" t="s">
        <v>74</v>
      </c>
      <c r="AG23" s="89" t="b">
        <f t="shared" si="1"/>
        <v>1</v>
      </c>
      <c r="AH23" s="1044" t="b">
        <v>0</v>
      </c>
    </row>
    <row r="24" spans="1:34" ht="15.95" customHeight="1" x14ac:dyDescent="0.2">
      <c r="A24" s="1492" t="s">
        <v>1475</v>
      </c>
      <c r="B24" s="1493" t="s">
        <v>1401</v>
      </c>
      <c r="C24" s="1494" t="s">
        <v>1401</v>
      </c>
      <c r="D24" s="1494">
        <v>1</v>
      </c>
      <c r="E24" s="1494">
        <v>1</v>
      </c>
      <c r="F24" s="1494"/>
      <c r="G24" s="1494"/>
      <c r="H24" s="1494"/>
      <c r="I24" s="1494"/>
      <c r="J24" s="1494"/>
      <c r="K24" s="1494"/>
      <c r="L24" s="1494"/>
      <c r="M24" s="1494"/>
      <c r="N24" s="1494"/>
      <c r="O24" s="1495"/>
      <c r="P24" s="657">
        <f t="shared" si="0"/>
        <v>2</v>
      </c>
      <c r="R24" s="37"/>
      <c r="S24" s="37"/>
      <c r="T24" s="37"/>
      <c r="U24" s="37"/>
      <c r="V24" s="37"/>
      <c r="W24" s="37"/>
      <c r="X24" s="37"/>
      <c r="Y24" s="37"/>
      <c r="Z24" s="37"/>
      <c r="AA24" s="37"/>
      <c r="AB24" s="37"/>
      <c r="AC24" s="37"/>
      <c r="AD24" s="37"/>
      <c r="AE24" s="37"/>
      <c r="AF24" s="90" t="s">
        <v>74</v>
      </c>
      <c r="AG24" s="89" t="b">
        <f t="shared" si="1"/>
        <v>1</v>
      </c>
      <c r="AH24" s="1044" t="b">
        <v>0</v>
      </c>
    </row>
    <row r="25" spans="1:34" ht="15.95" customHeight="1" x14ac:dyDescent="0.2">
      <c r="A25" s="1492" t="s">
        <v>1476</v>
      </c>
      <c r="B25" s="1493" t="s">
        <v>1401</v>
      </c>
      <c r="C25" s="1494">
        <v>2</v>
      </c>
      <c r="D25" s="1494">
        <v>2</v>
      </c>
      <c r="E25" s="1494" t="s">
        <v>1401</v>
      </c>
      <c r="F25" s="1494"/>
      <c r="G25" s="1494"/>
      <c r="H25" s="1494"/>
      <c r="I25" s="1494"/>
      <c r="J25" s="1494"/>
      <c r="K25" s="1494"/>
      <c r="L25" s="1494"/>
      <c r="M25" s="1494"/>
      <c r="N25" s="1494"/>
      <c r="O25" s="1495"/>
      <c r="P25" s="657">
        <f t="shared" si="0"/>
        <v>4</v>
      </c>
      <c r="R25" s="37"/>
      <c r="S25" s="37"/>
      <c r="T25" s="37"/>
      <c r="U25" s="37"/>
      <c r="V25" s="37"/>
      <c r="W25" s="37"/>
      <c r="X25" s="37"/>
      <c r="Y25" s="37"/>
      <c r="Z25" s="37"/>
      <c r="AA25" s="37"/>
      <c r="AB25" s="37"/>
      <c r="AC25" s="37"/>
      <c r="AD25" s="37"/>
      <c r="AE25" s="37"/>
      <c r="AF25" s="90" t="s">
        <v>74</v>
      </c>
      <c r="AG25" s="89" t="b">
        <f t="shared" si="1"/>
        <v>1</v>
      </c>
      <c r="AH25" s="1044" t="b">
        <v>0</v>
      </c>
    </row>
    <row r="26" spans="1:34" ht="15.95" customHeight="1" x14ac:dyDescent="0.2">
      <c r="A26" s="1492" t="s">
        <v>1477</v>
      </c>
      <c r="B26" s="1493" t="s">
        <v>1401</v>
      </c>
      <c r="C26" s="1494">
        <v>1</v>
      </c>
      <c r="D26" s="1494" t="s">
        <v>1401</v>
      </c>
      <c r="E26" s="1494">
        <v>1</v>
      </c>
      <c r="F26" s="1494"/>
      <c r="G26" s="1494"/>
      <c r="H26" s="1494"/>
      <c r="I26" s="1494"/>
      <c r="J26" s="1494"/>
      <c r="K26" s="1494"/>
      <c r="L26" s="1494"/>
      <c r="M26" s="1494"/>
      <c r="N26" s="1494"/>
      <c r="O26" s="1495"/>
      <c r="P26" s="657">
        <f t="shared" si="0"/>
        <v>2</v>
      </c>
      <c r="R26" s="37"/>
      <c r="S26" s="37"/>
      <c r="T26" s="37"/>
      <c r="U26" s="37"/>
      <c r="V26" s="37"/>
      <c r="W26" s="37"/>
      <c r="X26" s="37"/>
      <c r="Y26" s="37"/>
      <c r="Z26" s="37"/>
      <c r="AA26" s="37"/>
      <c r="AB26" s="37"/>
      <c r="AC26" s="37"/>
      <c r="AD26" s="37"/>
      <c r="AE26" s="37"/>
      <c r="AF26" s="90" t="s">
        <v>74</v>
      </c>
      <c r="AG26" s="89" t="b">
        <f t="shared" si="1"/>
        <v>1</v>
      </c>
      <c r="AH26" s="1044" t="b">
        <v>0</v>
      </c>
    </row>
    <row r="27" spans="1:34" ht="15.95" customHeight="1" x14ac:dyDescent="0.2">
      <c r="A27" s="1492" t="s">
        <v>1478</v>
      </c>
      <c r="B27" s="1493" t="s">
        <v>1401</v>
      </c>
      <c r="C27" s="1494">
        <v>1</v>
      </c>
      <c r="D27" s="1494" t="s">
        <v>1401</v>
      </c>
      <c r="E27" s="1494">
        <v>1</v>
      </c>
      <c r="F27" s="1494"/>
      <c r="G27" s="1494"/>
      <c r="H27" s="1494"/>
      <c r="I27" s="1494"/>
      <c r="J27" s="1494"/>
      <c r="K27" s="1494"/>
      <c r="L27" s="1494"/>
      <c r="M27" s="1494"/>
      <c r="N27" s="1494"/>
      <c r="O27" s="1495"/>
      <c r="P27" s="657">
        <f t="shared" si="0"/>
        <v>2</v>
      </c>
      <c r="R27" s="37"/>
      <c r="S27" s="37"/>
      <c r="T27" s="37"/>
      <c r="U27" s="37"/>
      <c r="V27" s="37"/>
      <c r="W27" s="37"/>
      <c r="X27" s="37"/>
      <c r="Y27" s="37"/>
      <c r="Z27" s="37"/>
      <c r="AA27" s="37"/>
      <c r="AB27" s="37"/>
      <c r="AC27" s="37"/>
      <c r="AD27" s="37"/>
      <c r="AE27" s="37"/>
      <c r="AF27" s="90" t="s">
        <v>74</v>
      </c>
      <c r="AG27" s="89" t="b">
        <f t="shared" si="1"/>
        <v>1</v>
      </c>
      <c r="AH27" s="1044" t="b">
        <v>0</v>
      </c>
    </row>
    <row r="28" spans="1:34" ht="15.95" customHeight="1" x14ac:dyDescent="0.2">
      <c r="A28" s="1492" t="s">
        <v>1479</v>
      </c>
      <c r="B28" s="1493" t="s">
        <v>1401</v>
      </c>
      <c r="C28" s="1494">
        <v>1</v>
      </c>
      <c r="D28" s="1494" t="s">
        <v>1401</v>
      </c>
      <c r="E28" s="1494">
        <v>1</v>
      </c>
      <c r="F28" s="1494"/>
      <c r="G28" s="1494"/>
      <c r="H28" s="1494"/>
      <c r="I28" s="1494"/>
      <c r="J28" s="1494"/>
      <c r="K28" s="1494"/>
      <c r="L28" s="1494"/>
      <c r="M28" s="1494"/>
      <c r="N28" s="1494"/>
      <c r="O28" s="1495"/>
      <c r="P28" s="657">
        <f t="shared" si="0"/>
        <v>2</v>
      </c>
      <c r="R28" s="37"/>
      <c r="S28" s="37"/>
      <c r="T28" s="37"/>
      <c r="U28" s="37"/>
      <c r="V28" s="37"/>
      <c r="W28" s="37"/>
      <c r="X28" s="37"/>
      <c r="Y28" s="37"/>
      <c r="Z28" s="37"/>
      <c r="AA28" s="37"/>
      <c r="AB28" s="37"/>
      <c r="AC28" s="37"/>
      <c r="AD28" s="37"/>
      <c r="AE28" s="37"/>
      <c r="AF28" s="90" t="s">
        <v>74</v>
      </c>
      <c r="AG28" s="89" t="b">
        <f t="shared" si="1"/>
        <v>1</v>
      </c>
      <c r="AH28" s="1044" t="b">
        <v>0</v>
      </c>
    </row>
    <row r="29" spans="1:34" ht="15.95" customHeight="1" x14ac:dyDescent="0.2">
      <c r="A29" s="1492" t="s">
        <v>1480</v>
      </c>
      <c r="B29" s="1493" t="s">
        <v>1401</v>
      </c>
      <c r="C29" s="1494">
        <v>1</v>
      </c>
      <c r="D29" s="1494" t="s">
        <v>1401</v>
      </c>
      <c r="E29" s="1494">
        <v>1</v>
      </c>
      <c r="F29" s="1494"/>
      <c r="G29" s="1494"/>
      <c r="H29" s="1494"/>
      <c r="I29" s="1494"/>
      <c r="J29" s="1494"/>
      <c r="K29" s="1494"/>
      <c r="L29" s="1494"/>
      <c r="M29" s="1494"/>
      <c r="N29" s="1494"/>
      <c r="O29" s="1495"/>
      <c r="P29" s="657">
        <f t="shared" si="0"/>
        <v>2</v>
      </c>
      <c r="R29" s="37"/>
      <c r="S29" s="37"/>
      <c r="T29" s="37"/>
      <c r="U29" s="37"/>
      <c r="V29" s="37"/>
      <c r="W29" s="37"/>
      <c r="X29" s="37"/>
      <c r="Y29" s="37"/>
      <c r="Z29" s="37"/>
      <c r="AA29" s="37"/>
      <c r="AB29" s="37"/>
      <c r="AC29" s="37"/>
      <c r="AD29" s="37"/>
      <c r="AE29" s="37"/>
      <c r="AF29" s="90" t="s">
        <v>74</v>
      </c>
      <c r="AG29" s="89" t="b">
        <f t="shared" si="1"/>
        <v>1</v>
      </c>
      <c r="AH29" s="1044" t="b">
        <v>0</v>
      </c>
    </row>
    <row r="30" spans="1:34" ht="15.95" customHeight="1" x14ac:dyDescent="0.2">
      <c r="A30" s="1492" t="s">
        <v>1481</v>
      </c>
      <c r="B30" s="1493" t="s">
        <v>1401</v>
      </c>
      <c r="C30" s="1494" t="s">
        <v>1401</v>
      </c>
      <c r="D30" s="1494" t="s">
        <v>1401</v>
      </c>
      <c r="E30" s="1494">
        <v>1</v>
      </c>
      <c r="F30" s="1494"/>
      <c r="G30" s="1494"/>
      <c r="H30" s="1494"/>
      <c r="I30" s="1494"/>
      <c r="J30" s="1494"/>
      <c r="K30" s="1494"/>
      <c r="L30" s="1494"/>
      <c r="M30" s="1494"/>
      <c r="N30" s="1494"/>
      <c r="O30" s="1495"/>
      <c r="P30" s="657">
        <f t="shared" si="0"/>
        <v>1</v>
      </c>
      <c r="R30" s="37"/>
      <c r="S30" s="37"/>
      <c r="T30" s="37"/>
      <c r="U30" s="37"/>
      <c r="V30" s="37"/>
      <c r="W30" s="37"/>
      <c r="X30" s="37"/>
      <c r="Y30" s="37"/>
      <c r="Z30" s="37"/>
      <c r="AA30" s="37"/>
      <c r="AB30" s="37"/>
      <c r="AC30" s="37"/>
      <c r="AD30" s="37"/>
      <c r="AE30" s="37"/>
      <c r="AF30" s="90" t="s">
        <v>74</v>
      </c>
      <c r="AG30" s="89" t="b">
        <f t="shared" si="1"/>
        <v>1</v>
      </c>
      <c r="AH30" s="1044" t="b">
        <v>0</v>
      </c>
    </row>
    <row r="31" spans="1:34" ht="15.95" customHeight="1" x14ac:dyDescent="0.2">
      <c r="A31" s="1492" t="s">
        <v>1482</v>
      </c>
      <c r="B31" s="1493" t="s">
        <v>1401</v>
      </c>
      <c r="C31" s="1494">
        <v>1</v>
      </c>
      <c r="D31" s="1494" t="s">
        <v>1401</v>
      </c>
      <c r="E31" s="1494">
        <v>1</v>
      </c>
      <c r="F31" s="1494"/>
      <c r="G31" s="1494"/>
      <c r="H31" s="1494"/>
      <c r="I31" s="1494"/>
      <c r="J31" s="1494"/>
      <c r="K31" s="1494"/>
      <c r="L31" s="1494"/>
      <c r="M31" s="1494"/>
      <c r="N31" s="1494"/>
      <c r="O31" s="1495"/>
      <c r="P31" s="657">
        <f t="shared" si="0"/>
        <v>2</v>
      </c>
      <c r="R31" s="37"/>
      <c r="S31" s="37"/>
      <c r="T31" s="37"/>
      <c r="U31" s="37"/>
      <c r="V31" s="37"/>
      <c r="W31" s="37"/>
      <c r="X31" s="37"/>
      <c r="Y31" s="37"/>
      <c r="Z31" s="37"/>
      <c r="AA31" s="37"/>
      <c r="AB31" s="37"/>
      <c r="AC31" s="37"/>
      <c r="AD31" s="37"/>
      <c r="AE31" s="37"/>
      <c r="AF31" s="90" t="s">
        <v>74</v>
      </c>
      <c r="AG31" s="89" t="b">
        <f t="shared" si="1"/>
        <v>1</v>
      </c>
      <c r="AH31" s="1044" t="b">
        <v>0</v>
      </c>
    </row>
    <row r="32" spans="1:34" ht="15.95" customHeight="1" x14ac:dyDescent="0.2">
      <c r="A32" s="1492" t="s">
        <v>1483</v>
      </c>
      <c r="B32" s="1493" t="s">
        <v>1401</v>
      </c>
      <c r="C32" s="1494">
        <v>21</v>
      </c>
      <c r="D32" s="1494">
        <v>10</v>
      </c>
      <c r="E32" s="1494">
        <v>19</v>
      </c>
      <c r="F32" s="1494"/>
      <c r="G32" s="1494"/>
      <c r="H32" s="1494"/>
      <c r="I32" s="1494"/>
      <c r="J32" s="1494"/>
      <c r="K32" s="1494"/>
      <c r="L32" s="1494"/>
      <c r="M32" s="1494"/>
      <c r="N32" s="1494"/>
      <c r="O32" s="1495"/>
      <c r="P32" s="657">
        <f t="shared" si="0"/>
        <v>50</v>
      </c>
      <c r="R32" s="37"/>
      <c r="S32" s="37"/>
      <c r="T32" s="37"/>
      <c r="U32" s="37"/>
      <c r="V32" s="37"/>
      <c r="W32" s="37"/>
      <c r="X32" s="37"/>
      <c r="Y32" s="37"/>
      <c r="Z32" s="37"/>
      <c r="AA32" s="37"/>
      <c r="AB32" s="37"/>
      <c r="AC32" s="37"/>
      <c r="AD32" s="37"/>
      <c r="AE32" s="37"/>
      <c r="AF32" s="90" t="s">
        <v>74</v>
      </c>
      <c r="AG32" s="89" t="b">
        <f t="shared" si="1"/>
        <v>1</v>
      </c>
      <c r="AH32" s="1044" t="b">
        <v>0</v>
      </c>
    </row>
    <row r="33" spans="1:34" ht="15.95" customHeight="1" x14ac:dyDescent="0.2">
      <c r="A33" s="1492" t="s">
        <v>1484</v>
      </c>
      <c r="B33" s="1493" t="s">
        <v>1401</v>
      </c>
      <c r="C33" s="1494">
        <v>3</v>
      </c>
      <c r="D33" s="1494" t="s">
        <v>1401</v>
      </c>
      <c r="E33" s="1494">
        <v>3</v>
      </c>
      <c r="F33" s="1494"/>
      <c r="G33" s="1494"/>
      <c r="H33" s="1494"/>
      <c r="I33" s="1494"/>
      <c r="J33" s="1494"/>
      <c r="K33" s="1494"/>
      <c r="L33" s="1494"/>
      <c r="M33" s="1494"/>
      <c r="N33" s="1494"/>
      <c r="O33" s="1495"/>
      <c r="P33" s="657">
        <f t="shared" si="0"/>
        <v>6</v>
      </c>
      <c r="R33" s="37"/>
      <c r="S33" s="37"/>
      <c r="T33" s="37"/>
      <c r="U33" s="37"/>
      <c r="V33" s="37"/>
      <c r="W33" s="37"/>
      <c r="X33" s="37"/>
      <c r="Y33" s="37"/>
      <c r="Z33" s="37"/>
      <c r="AA33" s="37"/>
      <c r="AB33" s="37"/>
      <c r="AC33" s="37"/>
      <c r="AD33" s="37"/>
      <c r="AE33" s="37"/>
      <c r="AF33" s="90" t="s">
        <v>74</v>
      </c>
      <c r="AG33" s="89" t="b">
        <f t="shared" si="1"/>
        <v>1</v>
      </c>
      <c r="AH33" s="1044" t="b">
        <v>0</v>
      </c>
    </row>
    <row r="34" spans="1:34" ht="15.95" customHeight="1" x14ac:dyDescent="0.2">
      <c r="A34" s="1492" t="s">
        <v>1485</v>
      </c>
      <c r="B34" s="1493" t="s">
        <v>1401</v>
      </c>
      <c r="C34" s="1494">
        <v>3</v>
      </c>
      <c r="D34" s="1494" t="s">
        <v>1401</v>
      </c>
      <c r="E34" s="1494">
        <v>4</v>
      </c>
      <c r="F34" s="1494"/>
      <c r="G34" s="1494"/>
      <c r="H34" s="1494"/>
      <c r="I34" s="1494"/>
      <c r="J34" s="1494"/>
      <c r="K34" s="1494"/>
      <c r="L34" s="1494"/>
      <c r="M34" s="1494"/>
      <c r="N34" s="1494"/>
      <c r="O34" s="1495"/>
      <c r="P34" s="657">
        <f t="shared" si="0"/>
        <v>7</v>
      </c>
      <c r="R34" s="37"/>
      <c r="S34" s="37"/>
      <c r="T34" s="37"/>
      <c r="U34" s="37"/>
      <c r="V34" s="37"/>
      <c r="W34" s="37"/>
      <c r="X34" s="37"/>
      <c r="Y34" s="37"/>
      <c r="Z34" s="37"/>
      <c r="AA34" s="37"/>
      <c r="AB34" s="37"/>
      <c r="AC34" s="37"/>
      <c r="AD34" s="37"/>
      <c r="AE34" s="37"/>
      <c r="AF34" s="90" t="s">
        <v>74</v>
      </c>
      <c r="AG34" s="89" t="b">
        <f t="shared" si="1"/>
        <v>1</v>
      </c>
      <c r="AH34" s="1044" t="b">
        <v>0</v>
      </c>
    </row>
    <row r="35" spans="1:34" ht="15.95" customHeight="1" x14ac:dyDescent="0.2">
      <c r="A35" s="1492" t="s">
        <v>1486</v>
      </c>
      <c r="B35" s="1493" t="s">
        <v>1401</v>
      </c>
      <c r="C35" s="1494">
        <v>1</v>
      </c>
      <c r="D35" s="1494">
        <v>4</v>
      </c>
      <c r="E35" s="1494">
        <v>2</v>
      </c>
      <c r="F35" s="1494"/>
      <c r="G35" s="1494"/>
      <c r="H35" s="1494"/>
      <c r="I35" s="1494"/>
      <c r="J35" s="1494"/>
      <c r="K35" s="1494"/>
      <c r="L35" s="1494"/>
      <c r="M35" s="1494"/>
      <c r="N35" s="1494"/>
      <c r="O35" s="1495"/>
      <c r="P35" s="657">
        <f t="shared" si="0"/>
        <v>7</v>
      </c>
      <c r="R35" s="37"/>
      <c r="S35" s="37"/>
      <c r="T35" s="37"/>
      <c r="U35" s="37"/>
      <c r="V35" s="37"/>
      <c r="W35" s="37"/>
      <c r="X35" s="37"/>
      <c r="Y35" s="37"/>
      <c r="Z35" s="37"/>
      <c r="AA35" s="37"/>
      <c r="AB35" s="37"/>
      <c r="AC35" s="37"/>
      <c r="AD35" s="37"/>
      <c r="AE35" s="37"/>
      <c r="AF35" s="90" t="s">
        <v>74</v>
      </c>
      <c r="AG35" s="89" t="b">
        <f t="shared" si="1"/>
        <v>1</v>
      </c>
      <c r="AH35" s="1044" t="b">
        <v>0</v>
      </c>
    </row>
    <row r="36" spans="1:34" ht="15.95" customHeight="1" x14ac:dyDescent="0.2">
      <c r="A36" s="1492" t="s">
        <v>1487</v>
      </c>
      <c r="B36" s="1493" t="s">
        <v>1401</v>
      </c>
      <c r="C36" s="1494" t="s">
        <v>1401</v>
      </c>
      <c r="D36" s="1494">
        <v>1</v>
      </c>
      <c r="E36" s="1494">
        <v>1</v>
      </c>
      <c r="F36" s="1494"/>
      <c r="G36" s="1494"/>
      <c r="H36" s="1494"/>
      <c r="I36" s="1494"/>
      <c r="J36" s="1494"/>
      <c r="K36" s="1494"/>
      <c r="L36" s="1494"/>
      <c r="M36" s="1494"/>
      <c r="N36" s="1494"/>
      <c r="O36" s="1495"/>
      <c r="P36" s="657">
        <f t="shared" si="0"/>
        <v>2</v>
      </c>
      <c r="R36" s="37"/>
      <c r="S36" s="37"/>
      <c r="T36" s="37"/>
      <c r="U36" s="37"/>
      <c r="V36" s="37"/>
      <c r="W36" s="37"/>
      <c r="X36" s="37"/>
      <c r="Y36" s="37"/>
      <c r="Z36" s="37"/>
      <c r="AA36" s="37"/>
      <c r="AB36" s="37"/>
      <c r="AC36" s="37"/>
      <c r="AD36" s="37"/>
      <c r="AE36" s="37"/>
      <c r="AF36" s="90" t="s">
        <v>74</v>
      </c>
      <c r="AG36" s="89" t="b">
        <f t="shared" si="1"/>
        <v>1</v>
      </c>
      <c r="AH36" s="1044" t="b">
        <v>0</v>
      </c>
    </row>
    <row r="37" spans="1:34" ht="15.95" customHeight="1" x14ac:dyDescent="0.2">
      <c r="A37" s="1492" t="s">
        <v>1488</v>
      </c>
      <c r="B37" s="1493" t="s">
        <v>1401</v>
      </c>
      <c r="C37" s="1494">
        <v>2</v>
      </c>
      <c r="D37" s="1494">
        <v>2</v>
      </c>
      <c r="E37" s="1494" t="s">
        <v>1401</v>
      </c>
      <c r="F37" s="1494"/>
      <c r="G37" s="1494"/>
      <c r="H37" s="1494"/>
      <c r="I37" s="1494"/>
      <c r="J37" s="1494"/>
      <c r="K37" s="1494"/>
      <c r="L37" s="1494"/>
      <c r="M37" s="1494"/>
      <c r="N37" s="1494"/>
      <c r="O37" s="1495"/>
      <c r="P37" s="657">
        <f t="shared" si="0"/>
        <v>4</v>
      </c>
      <c r="R37" s="37"/>
      <c r="S37" s="37"/>
      <c r="T37" s="37"/>
      <c r="U37" s="37"/>
      <c r="V37" s="37"/>
      <c r="W37" s="37"/>
      <c r="X37" s="37"/>
      <c r="Y37" s="37"/>
      <c r="Z37" s="37"/>
      <c r="AA37" s="37"/>
      <c r="AB37" s="37"/>
      <c r="AC37" s="37"/>
      <c r="AD37" s="37"/>
      <c r="AE37" s="37"/>
      <c r="AF37" s="90" t="s">
        <v>74</v>
      </c>
      <c r="AG37" s="89" t="b">
        <f t="shared" si="1"/>
        <v>1</v>
      </c>
      <c r="AH37" s="1044" t="b">
        <v>0</v>
      </c>
    </row>
    <row r="38" spans="1:34" ht="15.95" customHeight="1" x14ac:dyDescent="0.2">
      <c r="A38" s="1492" t="s">
        <v>1489</v>
      </c>
      <c r="B38" s="1493" t="s">
        <v>1401</v>
      </c>
      <c r="C38" s="1494" t="s">
        <v>1401</v>
      </c>
      <c r="D38" s="1494">
        <v>3</v>
      </c>
      <c r="E38" s="1494" t="s">
        <v>1401</v>
      </c>
      <c r="F38" s="1494"/>
      <c r="G38" s="1494"/>
      <c r="H38" s="1494"/>
      <c r="I38" s="1494"/>
      <c r="J38" s="1494"/>
      <c r="K38" s="1494"/>
      <c r="L38" s="1494"/>
      <c r="M38" s="1494"/>
      <c r="N38" s="1494"/>
      <c r="O38" s="1495"/>
      <c r="P38" s="657">
        <f t="shared" si="0"/>
        <v>3</v>
      </c>
      <c r="R38" s="37"/>
      <c r="S38" s="37"/>
      <c r="T38" s="37"/>
      <c r="U38" s="37"/>
      <c r="V38" s="37"/>
      <c r="W38" s="37"/>
      <c r="X38" s="37"/>
      <c r="Y38" s="37"/>
      <c r="Z38" s="37"/>
      <c r="AA38" s="37"/>
      <c r="AB38" s="37"/>
      <c r="AC38" s="37"/>
      <c r="AD38" s="37"/>
      <c r="AE38" s="37"/>
      <c r="AF38" s="90" t="s">
        <v>74</v>
      </c>
      <c r="AG38" s="89" t="b">
        <f t="shared" si="1"/>
        <v>1</v>
      </c>
      <c r="AH38" s="1044" t="b">
        <v>0</v>
      </c>
    </row>
    <row r="39" spans="1:34" ht="15.95" customHeight="1" x14ac:dyDescent="0.2">
      <c r="A39" s="1492" t="s">
        <v>1490</v>
      </c>
      <c r="B39" s="1493" t="s">
        <v>1401</v>
      </c>
      <c r="C39" s="1494" t="s">
        <v>1401</v>
      </c>
      <c r="D39" s="1494">
        <v>10</v>
      </c>
      <c r="E39" s="1494" t="s">
        <v>1401</v>
      </c>
      <c r="F39" s="1494"/>
      <c r="G39" s="1494"/>
      <c r="H39" s="1494"/>
      <c r="I39" s="1494"/>
      <c r="J39" s="1494"/>
      <c r="K39" s="1494"/>
      <c r="L39" s="1494"/>
      <c r="M39" s="1494"/>
      <c r="N39" s="1494"/>
      <c r="O39" s="1495"/>
      <c r="P39" s="657">
        <f t="shared" si="0"/>
        <v>10</v>
      </c>
      <c r="R39" s="37"/>
      <c r="S39" s="37"/>
      <c r="T39" s="37"/>
      <c r="U39" s="37"/>
      <c r="V39" s="37"/>
      <c r="W39" s="37"/>
      <c r="X39" s="37"/>
      <c r="Y39" s="37"/>
      <c r="Z39" s="37"/>
      <c r="AA39" s="37"/>
      <c r="AB39" s="37"/>
      <c r="AC39" s="37"/>
      <c r="AD39" s="37"/>
      <c r="AE39" s="37"/>
      <c r="AF39" s="90" t="s">
        <v>74</v>
      </c>
      <c r="AG39" s="89" t="b">
        <f t="shared" si="1"/>
        <v>1</v>
      </c>
      <c r="AH39" s="1044" t="b">
        <v>0</v>
      </c>
    </row>
    <row r="40" spans="1:34" ht="15.95" customHeight="1" x14ac:dyDescent="0.2">
      <c r="A40" s="1492" t="s">
        <v>1491</v>
      </c>
      <c r="B40" s="1493" t="s">
        <v>1401</v>
      </c>
      <c r="C40" s="1494" t="s">
        <v>1401</v>
      </c>
      <c r="D40" s="1494">
        <v>4</v>
      </c>
      <c r="E40" s="1494" t="s">
        <v>1401</v>
      </c>
      <c r="F40" s="1494"/>
      <c r="G40" s="1494"/>
      <c r="H40" s="1494"/>
      <c r="I40" s="1494"/>
      <c r="J40" s="1494"/>
      <c r="K40" s="1494"/>
      <c r="L40" s="1494"/>
      <c r="M40" s="1494"/>
      <c r="N40" s="1494"/>
      <c r="O40" s="1495"/>
      <c r="P40" s="657">
        <f t="shared" si="0"/>
        <v>4</v>
      </c>
      <c r="R40" s="37"/>
      <c r="S40" s="37"/>
      <c r="T40" s="37"/>
      <c r="U40" s="37"/>
      <c r="V40" s="37"/>
      <c r="W40" s="37"/>
      <c r="X40" s="37"/>
      <c r="Y40" s="37"/>
      <c r="Z40" s="37"/>
      <c r="AA40" s="37"/>
      <c r="AB40" s="37"/>
      <c r="AC40" s="37"/>
      <c r="AD40" s="37"/>
      <c r="AE40" s="37"/>
      <c r="AF40" s="90" t="s">
        <v>74</v>
      </c>
      <c r="AG40" s="89" t="b">
        <f t="shared" si="1"/>
        <v>1</v>
      </c>
      <c r="AH40" s="1044" t="b">
        <v>0</v>
      </c>
    </row>
    <row r="41" spans="1:34" ht="15.95" customHeight="1" x14ac:dyDescent="0.2">
      <c r="A41" s="1492" t="s">
        <v>1492</v>
      </c>
      <c r="B41" s="1493" t="s">
        <v>1401</v>
      </c>
      <c r="C41" s="1494" t="s">
        <v>1401</v>
      </c>
      <c r="D41" s="1494">
        <v>7</v>
      </c>
      <c r="E41" s="1494" t="s">
        <v>1401</v>
      </c>
      <c r="F41" s="1494"/>
      <c r="G41" s="1494"/>
      <c r="H41" s="1494"/>
      <c r="I41" s="1494"/>
      <c r="J41" s="1494"/>
      <c r="K41" s="1494"/>
      <c r="L41" s="1494"/>
      <c r="M41" s="1494"/>
      <c r="N41" s="1494"/>
      <c r="O41" s="1495"/>
      <c r="P41" s="657">
        <f t="shared" si="0"/>
        <v>7</v>
      </c>
      <c r="R41" s="37"/>
      <c r="S41" s="37"/>
      <c r="T41" s="37"/>
      <c r="U41" s="37"/>
      <c r="V41" s="37"/>
      <c r="W41" s="37"/>
      <c r="X41" s="37"/>
      <c r="Y41" s="37"/>
      <c r="Z41" s="37"/>
      <c r="AA41" s="37"/>
      <c r="AB41" s="37"/>
      <c r="AC41" s="37"/>
      <c r="AD41" s="37"/>
      <c r="AE41" s="37"/>
      <c r="AF41" s="90" t="s">
        <v>74</v>
      </c>
      <c r="AG41" s="89" t="b">
        <f t="shared" si="1"/>
        <v>1</v>
      </c>
      <c r="AH41" s="1044" t="b">
        <v>0</v>
      </c>
    </row>
    <row r="42" spans="1:34" ht="15.95" customHeight="1" x14ac:dyDescent="0.2">
      <c r="A42" s="1492" t="s">
        <v>1493</v>
      </c>
      <c r="B42" s="1493" t="s">
        <v>1401</v>
      </c>
      <c r="C42" s="1494" t="s">
        <v>1401</v>
      </c>
      <c r="D42" s="1494">
        <v>1</v>
      </c>
      <c r="E42" s="1494" t="s">
        <v>1401</v>
      </c>
      <c r="F42" s="1494"/>
      <c r="G42" s="1494"/>
      <c r="H42" s="1494"/>
      <c r="I42" s="1494"/>
      <c r="J42" s="1494"/>
      <c r="K42" s="1494"/>
      <c r="L42" s="1494"/>
      <c r="M42" s="1494"/>
      <c r="N42" s="1494"/>
      <c r="O42" s="1495"/>
      <c r="P42" s="657">
        <f t="shared" si="0"/>
        <v>1</v>
      </c>
      <c r="R42" s="37"/>
      <c r="S42" s="37"/>
      <c r="T42" s="37"/>
      <c r="U42" s="37"/>
      <c r="V42" s="37"/>
      <c r="W42" s="37"/>
      <c r="X42" s="37"/>
      <c r="Y42" s="37"/>
      <c r="Z42" s="37"/>
      <c r="AA42" s="37"/>
      <c r="AB42" s="37"/>
      <c r="AC42" s="37"/>
      <c r="AD42" s="37"/>
      <c r="AE42" s="37"/>
      <c r="AF42" s="90" t="s">
        <v>74</v>
      </c>
      <c r="AG42" s="89" t="b">
        <f t="shared" si="1"/>
        <v>1</v>
      </c>
      <c r="AH42" s="1044" t="b">
        <v>0</v>
      </c>
    </row>
    <row r="43" spans="1:34" ht="15.95" customHeight="1" x14ac:dyDescent="0.2">
      <c r="A43" s="1492" t="s">
        <v>1494</v>
      </c>
      <c r="B43" s="1493" t="s">
        <v>1401</v>
      </c>
      <c r="C43" s="1494" t="s">
        <v>1401</v>
      </c>
      <c r="D43" s="1494">
        <v>2</v>
      </c>
      <c r="E43" s="1494" t="s">
        <v>1401</v>
      </c>
      <c r="F43" s="1494"/>
      <c r="G43" s="1494"/>
      <c r="H43" s="1494"/>
      <c r="I43" s="1494"/>
      <c r="J43" s="1494"/>
      <c r="K43" s="1494"/>
      <c r="L43" s="1494"/>
      <c r="M43" s="1494"/>
      <c r="N43" s="1494"/>
      <c r="O43" s="1495"/>
      <c r="P43" s="657">
        <f t="shared" si="0"/>
        <v>2</v>
      </c>
      <c r="R43" s="37"/>
      <c r="S43" s="37"/>
      <c r="T43" s="37"/>
      <c r="U43" s="37"/>
      <c r="V43" s="37"/>
      <c r="W43" s="37"/>
      <c r="X43" s="37"/>
      <c r="Y43" s="37"/>
      <c r="Z43" s="37"/>
      <c r="AA43" s="37"/>
      <c r="AB43" s="37"/>
      <c r="AC43" s="37"/>
      <c r="AD43" s="37"/>
      <c r="AE43" s="37"/>
      <c r="AF43" s="90" t="s">
        <v>74</v>
      </c>
      <c r="AG43" s="89" t="b">
        <f t="shared" si="1"/>
        <v>1</v>
      </c>
      <c r="AH43" s="1044" t="b">
        <v>0</v>
      </c>
    </row>
    <row r="44" spans="1:34" ht="15.95" customHeight="1" x14ac:dyDescent="0.2">
      <c r="A44" s="1492" t="s">
        <v>1495</v>
      </c>
      <c r="B44" s="1493" t="s">
        <v>1401</v>
      </c>
      <c r="C44" s="1494" t="s">
        <v>1401</v>
      </c>
      <c r="D44" s="1494">
        <v>1</v>
      </c>
      <c r="E44" s="1494" t="s">
        <v>1401</v>
      </c>
      <c r="F44" s="1494"/>
      <c r="G44" s="1494"/>
      <c r="H44" s="1494"/>
      <c r="I44" s="1494"/>
      <c r="J44" s="1494"/>
      <c r="K44" s="1494"/>
      <c r="L44" s="1494"/>
      <c r="M44" s="1494"/>
      <c r="N44" s="1494"/>
      <c r="O44" s="1495"/>
      <c r="P44" s="657">
        <f t="shared" si="0"/>
        <v>1</v>
      </c>
      <c r="R44" s="37"/>
      <c r="S44" s="37"/>
      <c r="T44" s="37"/>
      <c r="U44" s="37"/>
      <c r="V44" s="37"/>
      <c r="W44" s="37"/>
      <c r="X44" s="37"/>
      <c r="Y44" s="37"/>
      <c r="Z44" s="37"/>
      <c r="AA44" s="37"/>
      <c r="AB44" s="37"/>
      <c r="AC44" s="37"/>
      <c r="AD44" s="37"/>
      <c r="AE44" s="37"/>
      <c r="AF44" s="90" t="s">
        <v>74</v>
      </c>
      <c r="AG44" s="89" t="b">
        <f t="shared" si="1"/>
        <v>1</v>
      </c>
      <c r="AH44" s="1044" t="b">
        <v>0</v>
      </c>
    </row>
    <row r="45" spans="1:34" ht="15.95" customHeight="1" x14ac:dyDescent="0.2">
      <c r="A45" s="1492" t="s">
        <v>1496</v>
      </c>
      <c r="B45" s="1493" t="s">
        <v>1401</v>
      </c>
      <c r="C45" s="1494" t="s">
        <v>1401</v>
      </c>
      <c r="D45" s="1494">
        <v>1</v>
      </c>
      <c r="E45" s="1494" t="s">
        <v>1401</v>
      </c>
      <c r="F45" s="1494"/>
      <c r="G45" s="1494"/>
      <c r="H45" s="1494"/>
      <c r="I45" s="1494"/>
      <c r="J45" s="1494"/>
      <c r="K45" s="1494"/>
      <c r="L45" s="1494"/>
      <c r="M45" s="1494"/>
      <c r="N45" s="1494"/>
      <c r="O45" s="1495"/>
      <c r="P45" s="657">
        <f t="shared" si="0"/>
        <v>1</v>
      </c>
      <c r="R45" s="37"/>
      <c r="S45" s="37"/>
      <c r="T45" s="37"/>
      <c r="U45" s="37"/>
      <c r="V45" s="37"/>
      <c r="W45" s="37"/>
      <c r="X45" s="37"/>
      <c r="Y45" s="37"/>
      <c r="Z45" s="37"/>
      <c r="AA45" s="37"/>
      <c r="AB45" s="37"/>
      <c r="AC45" s="37"/>
      <c r="AD45" s="37"/>
      <c r="AE45" s="37"/>
      <c r="AF45" s="90" t="s">
        <v>74</v>
      </c>
      <c r="AG45" s="89" t="b">
        <f t="shared" si="1"/>
        <v>1</v>
      </c>
      <c r="AH45" s="1044" t="b">
        <v>0</v>
      </c>
    </row>
    <row r="46" spans="1:34" ht="15.95" customHeight="1" x14ac:dyDescent="0.2">
      <c r="A46" s="1492" t="s">
        <v>1497</v>
      </c>
      <c r="B46" s="1493" t="s">
        <v>1401</v>
      </c>
      <c r="C46" s="1494">
        <v>2</v>
      </c>
      <c r="D46" s="1494" t="s">
        <v>1401</v>
      </c>
      <c r="E46" s="1494" t="s">
        <v>1401</v>
      </c>
      <c r="F46" s="1494"/>
      <c r="G46" s="1494"/>
      <c r="H46" s="1494"/>
      <c r="I46" s="1494"/>
      <c r="J46" s="1494"/>
      <c r="K46" s="1494"/>
      <c r="L46" s="1494"/>
      <c r="M46" s="1494"/>
      <c r="N46" s="1494"/>
      <c r="O46" s="1495"/>
      <c r="P46" s="657">
        <f t="shared" si="0"/>
        <v>2</v>
      </c>
      <c r="R46" s="37"/>
      <c r="S46" s="37"/>
      <c r="T46" s="37"/>
      <c r="U46" s="37"/>
      <c r="V46" s="37"/>
      <c r="W46" s="37"/>
      <c r="X46" s="37"/>
      <c r="Y46" s="37"/>
      <c r="Z46" s="37"/>
      <c r="AA46" s="37"/>
      <c r="AB46" s="37"/>
      <c r="AC46" s="37"/>
      <c r="AD46" s="37"/>
      <c r="AE46" s="37"/>
      <c r="AF46" s="90" t="s">
        <v>74</v>
      </c>
      <c r="AG46" s="89" t="b">
        <f t="shared" si="1"/>
        <v>1</v>
      </c>
      <c r="AH46" s="1044" t="b">
        <v>0</v>
      </c>
    </row>
    <row r="47" spans="1:34" ht="15.95" customHeight="1" x14ac:dyDescent="0.2">
      <c r="A47" s="1492" t="s">
        <v>1498</v>
      </c>
      <c r="B47" s="1493" t="s">
        <v>1401</v>
      </c>
      <c r="C47" s="1494">
        <v>1</v>
      </c>
      <c r="D47" s="1494" t="s">
        <v>1401</v>
      </c>
      <c r="E47" s="1494" t="s">
        <v>1401</v>
      </c>
      <c r="F47" s="1494"/>
      <c r="G47" s="1494"/>
      <c r="H47" s="1494"/>
      <c r="I47" s="1494"/>
      <c r="J47" s="1494"/>
      <c r="K47" s="1494"/>
      <c r="L47" s="1494"/>
      <c r="M47" s="1494"/>
      <c r="N47" s="1494"/>
      <c r="O47" s="1495"/>
      <c r="P47" s="657">
        <f t="shared" si="0"/>
        <v>1</v>
      </c>
      <c r="R47" s="37"/>
      <c r="S47" s="37"/>
      <c r="T47" s="37"/>
      <c r="U47" s="37"/>
      <c r="V47" s="37"/>
      <c r="W47" s="37"/>
      <c r="X47" s="37"/>
      <c r="Y47" s="37"/>
      <c r="Z47" s="37"/>
      <c r="AA47" s="37"/>
      <c r="AB47" s="37"/>
      <c r="AC47" s="37"/>
      <c r="AD47" s="37"/>
      <c r="AE47" s="37"/>
      <c r="AF47" s="90" t="s">
        <v>74</v>
      </c>
      <c r="AG47" s="89" t="b">
        <f t="shared" si="1"/>
        <v>1</v>
      </c>
      <c r="AH47" s="1044" t="b">
        <v>0</v>
      </c>
    </row>
    <row r="48" spans="1:34" ht="15.95" customHeight="1" x14ac:dyDescent="0.2">
      <c r="A48" s="1492" t="s">
        <v>1499</v>
      </c>
      <c r="B48" s="1493" t="s">
        <v>1401</v>
      </c>
      <c r="C48" s="1494">
        <v>1</v>
      </c>
      <c r="D48" s="1494" t="s">
        <v>1401</v>
      </c>
      <c r="E48" s="1494" t="s">
        <v>1401</v>
      </c>
      <c r="F48" s="1494"/>
      <c r="G48" s="1494"/>
      <c r="H48" s="1494"/>
      <c r="I48" s="1494"/>
      <c r="J48" s="1494"/>
      <c r="K48" s="1494"/>
      <c r="L48" s="1494"/>
      <c r="M48" s="1494"/>
      <c r="N48" s="1494"/>
      <c r="O48" s="1495"/>
      <c r="P48" s="657">
        <f t="shared" si="0"/>
        <v>1</v>
      </c>
      <c r="R48" s="37"/>
      <c r="S48" s="37"/>
      <c r="T48" s="37"/>
      <c r="U48" s="37"/>
      <c r="V48" s="37"/>
      <c r="W48" s="37"/>
      <c r="X48" s="37"/>
      <c r="Y48" s="37"/>
      <c r="Z48" s="37"/>
      <c r="AA48" s="37"/>
      <c r="AB48" s="37"/>
      <c r="AC48" s="37"/>
      <c r="AD48" s="37"/>
      <c r="AE48" s="37"/>
      <c r="AF48" s="90" t="s">
        <v>74</v>
      </c>
      <c r="AG48" s="89" t="b">
        <f t="shared" si="1"/>
        <v>1</v>
      </c>
      <c r="AH48" s="1044" t="b">
        <v>0</v>
      </c>
    </row>
    <row r="49" spans="1:34" ht="15.95" customHeight="1" x14ac:dyDescent="0.2">
      <c r="A49" s="1496" t="s">
        <v>1500</v>
      </c>
      <c r="B49" s="1497" t="s">
        <v>1401</v>
      </c>
      <c r="C49" s="1498">
        <v>2</v>
      </c>
      <c r="D49" s="1498" t="s">
        <v>1401</v>
      </c>
      <c r="E49" s="1498" t="s">
        <v>1401</v>
      </c>
      <c r="F49" s="1498"/>
      <c r="G49" s="1498"/>
      <c r="H49" s="1498"/>
      <c r="I49" s="1498"/>
      <c r="J49" s="1498"/>
      <c r="K49" s="1498"/>
      <c r="L49" s="1498"/>
      <c r="M49" s="1498"/>
      <c r="N49" s="1498"/>
      <c r="O49" s="1499"/>
      <c r="P49" s="657">
        <f t="shared" si="0"/>
        <v>2</v>
      </c>
      <c r="R49" s="37"/>
      <c r="S49" s="37"/>
      <c r="T49" s="37"/>
      <c r="U49" s="37"/>
      <c r="V49" s="37"/>
      <c r="W49" s="37"/>
      <c r="X49" s="37"/>
      <c r="Y49" s="37"/>
      <c r="Z49" s="37"/>
      <c r="AA49" s="37"/>
      <c r="AB49" s="37"/>
      <c r="AC49" s="37"/>
      <c r="AD49" s="37"/>
      <c r="AE49" s="37"/>
      <c r="AF49" s="90" t="s">
        <v>74</v>
      </c>
      <c r="AG49" s="89" t="b">
        <f t="shared" si="1"/>
        <v>1</v>
      </c>
      <c r="AH49" s="1044" t="b">
        <v>0</v>
      </c>
    </row>
    <row r="50" spans="1:34" ht="15" customHeight="1" x14ac:dyDescent="0.2">
      <c r="A50" s="653" t="s">
        <v>90</v>
      </c>
      <c r="B50" s="654">
        <f t="shared" ref="B50:O50" si="2">IF(ISBLANK(B13),"",SUM(B14:B49))</f>
        <v>0</v>
      </c>
      <c r="C50" s="654">
        <f t="shared" si="2"/>
        <v>78</v>
      </c>
      <c r="D50" s="654">
        <f t="shared" si="2"/>
        <v>84</v>
      </c>
      <c r="E50" s="654">
        <f t="shared" si="2"/>
        <v>73</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1618</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qbp0cUOWmpNQhfG+ZfOl9PlMXPCr3gPsGfwioQBttmdRbBNZiO22imX38bD/soCjQuvTNj/SfJ2S7s8tB2qFdQ==" saltValue="0cvuQFIFjOTqic+GkPgqag=="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425" priority="2">
      <formula>OR(A14="Girder",A14="Girders",A14="Joist",A14="Joists",A14="Bridging")</formula>
    </cfRule>
    <cfRule type="expression" dxfId="424" priority="3">
      <formula>AND(P14&gt;0,ISBLANK(AF14),OR($R$1="",$R$1="M"))</formula>
    </cfRule>
    <cfRule type="expression" dxfId="423" priority="9">
      <formula>$AH14</formula>
    </cfRule>
  </conditionalFormatting>
  <conditionalFormatting sqref="H2:J4">
    <cfRule type="cellIs" dxfId="422" priority="7" stopIfTrue="1" operator="equal">
      <formula>""</formula>
    </cfRule>
  </conditionalFormatting>
  <conditionalFormatting sqref="B14:O49">
    <cfRule type="expression" dxfId="421" priority="4">
      <formula>IF($R$1="M",AND(B14&gt;R14,R14&gt;0),B14&lt;R14)</formula>
    </cfRule>
    <cfRule type="expression" dxfId="420" priority="5">
      <formula>OR(AND($R$1="M",NOT($S$1),B14=R14),B14="-")</formula>
    </cfRule>
    <cfRule type="expression" dxfId="419" priority="6">
      <formula>IF(NOT(ISBLANK($R$1)),IF($R$1="M",IF(ISTEXT(B14),0,B14)&lt;R14,IF(ISTEXT(B14),0,B14)&gt;R14))</formula>
    </cfRule>
    <cfRule type="expression" dxfId="418" priority="8">
      <formula>OR($AH14,B$63)</formula>
    </cfRule>
  </conditionalFormatting>
  <conditionalFormatting sqref="B13:O13">
    <cfRule type="expression" dxfId="417" priority="1">
      <formula>AND(NOT(ISBLANK(B$13)),ISERROR(MATCH(B$13,$AK:$AK,0)))</formula>
    </cfRule>
    <cfRule type="expression" dxfId="41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FE99BCF5-BB26-4FC0-8929-9F4A2EF81C27}">
      <formula1>B13=TRIM(B13)</formula1>
    </dataValidation>
    <dataValidation type="custom" allowBlank="1" showInputMessage="1" showErrorMessage="1" errorTitle="Input Error" error="Value can only be a positive integer OR a dash." sqref="B14:O49" xr:uid="{F938AA6A-0B36-4B6B-947E-6F4FDF340A0D}">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05598-AA08-4AEF-9CAB-9DBFEA23223F}">
  <sheetPr codeName="Sheet24">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48" t="str">
        <f>IF(ISBLANK(R1),"",VLOOKUP(R1,'Job Info.'!X:AA,4,FALSE))</f>
        <v>Master</v>
      </c>
      <c r="I1" s="1848"/>
      <c r="J1" s="1848"/>
      <c r="K1" s="1911" t="s">
        <v>95</v>
      </c>
      <c r="L1" s="1911"/>
      <c r="M1" s="1911"/>
      <c r="N1" s="1904" t="str">
        <f ca="1">'Job Info.'!D12</f>
        <v>775-428-0600</v>
      </c>
      <c r="O1" s="1904"/>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905" t="str">
        <f>IF(ISBLANK(R1),"",IF(VLOOKUP(R1,'Job Info.'!X:Z,2,FALSE),"Released for Fabrication",""))</f>
        <v/>
      </c>
      <c r="I2" s="1906"/>
      <c r="J2" s="1907"/>
      <c r="K2" s="1911" t="s">
        <v>96</v>
      </c>
      <c r="L2" s="1911"/>
      <c r="M2" s="1911"/>
      <c r="N2" s="1904" t="str">
        <f ca="1">'Job Info.'!D13</f>
        <v>775-867-2140</v>
      </c>
      <c r="O2" s="1904"/>
      <c r="P2" s="474"/>
      <c r="AF2" s="378"/>
      <c r="AK2" s="1040" t="s">
        <v>1394</v>
      </c>
    </row>
    <row r="3" spans="1:38" s="245" customFormat="1" ht="12.95" customHeight="1" x14ac:dyDescent="0.2">
      <c r="A3" s="374"/>
      <c r="B3" s="374"/>
      <c r="C3" s="374"/>
      <c r="D3" s="374"/>
      <c r="E3" s="374"/>
      <c r="F3" s="374"/>
      <c r="G3" s="374"/>
      <c r="H3" s="1856"/>
      <c r="I3" s="1857"/>
      <c r="J3" s="1858"/>
      <c r="K3" s="1911" t="s">
        <v>98</v>
      </c>
      <c r="L3" s="1911"/>
      <c r="M3" s="1911"/>
      <c r="N3" s="1904" t="str">
        <f ca="1">'Job Info.'!D14</f>
        <v>775-867-2169</v>
      </c>
      <c r="O3" s="1904"/>
      <c r="P3" s="474"/>
      <c r="AF3" s="378"/>
      <c r="AK3" s="1040" t="s">
        <v>808</v>
      </c>
    </row>
    <row r="4" spans="1:38" s="245" customFormat="1" ht="12.95" customHeight="1" thickBot="1" x14ac:dyDescent="0.25">
      <c r="A4" s="374"/>
      <c r="B4" s="374"/>
      <c r="C4" s="374"/>
      <c r="D4" s="374"/>
      <c r="E4" s="374"/>
      <c r="F4" s="374"/>
      <c r="G4" s="374"/>
      <c r="H4" s="1908" t="str">
        <f>IF(ISBLANK(R1),"",IF(VLOOKUP(R1,'Job Info.'!X:Z,2,FALSE),VLOOKUP(R1,'Job Info.'!X:Z,3,FALSE),""))</f>
        <v/>
      </c>
      <c r="I4" s="1909"/>
      <c r="J4" s="1910"/>
      <c r="K4" s="1911" t="s">
        <v>97</v>
      </c>
      <c r="L4" s="1911"/>
      <c r="M4" s="1911"/>
      <c r="N4" s="1904" t="str">
        <f ca="1">'Job Info.'!D15</f>
        <v>775-867-2060</v>
      </c>
      <c r="O4" s="1904"/>
      <c r="P4" s="474"/>
      <c r="AF4" s="378"/>
      <c r="AK4" s="1040" t="s">
        <v>1397</v>
      </c>
    </row>
    <row r="5" spans="1:38" s="245" customFormat="1" ht="12.95" customHeight="1" thickTop="1" x14ac:dyDescent="0.2">
      <c r="A5" s="1862" t="str">
        <f ca="1">'Job Info.'!D11</f>
        <v>8200 Woolery Way | Fallon, NV 89406 | www.newmill.com</v>
      </c>
      <c r="B5" s="1862"/>
      <c r="C5" s="1862"/>
      <c r="D5" s="1862"/>
      <c r="E5" s="1862"/>
      <c r="F5" s="1862"/>
      <c r="G5" s="1862"/>
      <c r="H5" s="1862"/>
      <c r="I5" s="1862"/>
      <c r="J5" s="1862"/>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32">
        <f>IF(ISBLANK('Job Info.'!D8),"",'Job Info.'!D8)</f>
        <v>45048</v>
      </c>
      <c r="M6" s="1832"/>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10 of 19</v>
      </c>
      <c r="M7" s="658"/>
      <c r="N7" s="374"/>
      <c r="O7" s="374"/>
      <c r="P7" s="474"/>
      <c r="R7" s="1083">
        <v>10</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24" t="str">
        <f>IF(ISBLANK('Job Info.'!D3),"",'Job Info.'!D3)</f>
        <v>MINDEN UPS BLDG 1</v>
      </c>
      <c r="C9" s="1824"/>
      <c r="D9" s="1824"/>
      <c r="E9" s="1824"/>
      <c r="F9" s="1824"/>
      <c r="G9" s="1825"/>
      <c r="H9" s="1873" t="s">
        <v>2</v>
      </c>
      <c r="I9" s="1873"/>
      <c r="J9" s="1824" t="str">
        <f>IF(ISBLANK('Job Info.'!D5),"",'Job Info.'!D5)</f>
        <v>NN22-0071</v>
      </c>
      <c r="K9" s="1824"/>
      <c r="L9" s="1824"/>
      <c r="M9" s="1824"/>
      <c r="N9" s="1824"/>
      <c r="O9" s="1825"/>
      <c r="P9" s="22"/>
    </row>
    <row r="10" spans="1:38" ht="12.2" customHeight="1" x14ac:dyDescent="0.2">
      <c r="A10" s="471" t="s">
        <v>3</v>
      </c>
      <c r="B10" s="1824" t="str">
        <f>IF(ISBLANK('Job Info.'!D4),"",'Job Info.'!D4)</f>
        <v>MINDEN, NV</v>
      </c>
      <c r="C10" s="1824"/>
      <c r="D10" s="1824"/>
      <c r="E10" s="1824"/>
      <c r="F10" s="1824"/>
      <c r="G10" s="1825"/>
      <c r="H10" s="1873" t="s">
        <v>22</v>
      </c>
      <c r="I10" s="1873"/>
      <c r="J10" s="1824" t="str">
        <f>IF(ISBLANK('Job Info.'!D6),"",'Job Info.'!D6)</f>
        <v>JMM</v>
      </c>
      <c r="K10" s="1825"/>
      <c r="L10" s="1917" t="s">
        <v>23</v>
      </c>
      <c r="M10" s="1873"/>
      <c r="N10" s="1824" t="str">
        <f>IF(ISBLANK('Job Info.'!D7),"",'Job Info.'!D7)</f>
        <v>NR</v>
      </c>
      <c r="O10" s="1825"/>
      <c r="P10" s="22"/>
    </row>
    <row r="11" spans="1:38" ht="3.95" customHeight="1" x14ac:dyDescent="0.2">
      <c r="A11" s="1087"/>
      <c r="B11" s="19"/>
      <c r="C11" s="19"/>
      <c r="D11" s="19"/>
      <c r="E11" s="19"/>
      <c r="F11" s="19"/>
      <c r="G11" s="19"/>
      <c r="H11" s="19"/>
      <c r="I11" s="19"/>
      <c r="J11" s="19"/>
      <c r="K11" s="19"/>
      <c r="L11" s="19"/>
      <c r="M11" s="19"/>
      <c r="N11" s="19"/>
      <c r="O11" s="19"/>
      <c r="P11" s="22"/>
      <c r="R11" s="1918" t="s">
        <v>420</v>
      </c>
      <c r="S11" s="1919"/>
      <c r="T11" s="1919"/>
      <c r="U11" s="1919"/>
      <c r="V11" s="1919"/>
      <c r="W11" s="1919"/>
      <c r="X11" s="1919"/>
      <c r="Y11" s="1919"/>
      <c r="Z11" s="1919"/>
      <c r="AA11" s="1919"/>
      <c r="AB11" s="1919"/>
      <c r="AC11" s="1919"/>
      <c r="AD11" s="1919"/>
      <c r="AE11" s="1920"/>
      <c r="AF11" s="1912" t="s">
        <v>455</v>
      </c>
      <c r="AG11" s="1912" t="s">
        <v>456</v>
      </c>
      <c r="AH11" s="1912" t="s">
        <v>1101</v>
      </c>
    </row>
    <row r="12" spans="1:38" s="21" customFormat="1" ht="15.95" customHeight="1" x14ac:dyDescent="0.2">
      <c r="A12" s="1915" t="s">
        <v>40</v>
      </c>
      <c r="B12" s="1927" t="s">
        <v>56</v>
      </c>
      <c r="C12" s="1928"/>
      <c r="D12" s="1928"/>
      <c r="E12" s="1928"/>
      <c r="F12" s="1928"/>
      <c r="G12" s="1928"/>
      <c r="H12" s="1928"/>
      <c r="I12" s="1928"/>
      <c r="J12" s="1928"/>
      <c r="K12" s="1928"/>
      <c r="L12" s="1928"/>
      <c r="M12" s="1928"/>
      <c r="N12" s="1928"/>
      <c r="O12" s="1929"/>
      <c r="P12" s="22"/>
      <c r="R12" s="1921"/>
      <c r="S12" s="1922"/>
      <c r="T12" s="1922"/>
      <c r="U12" s="1922"/>
      <c r="V12" s="1922"/>
      <c r="W12" s="1922"/>
      <c r="X12" s="1922"/>
      <c r="Y12" s="1922"/>
      <c r="Z12" s="1922"/>
      <c r="AA12" s="1922"/>
      <c r="AB12" s="1922"/>
      <c r="AC12" s="1922"/>
      <c r="AD12" s="1922"/>
      <c r="AE12" s="1923"/>
      <c r="AF12" s="1913"/>
      <c r="AG12" s="1913"/>
      <c r="AH12" s="1913"/>
      <c r="AK12" s="1043"/>
    </row>
    <row r="13" spans="1:38" ht="15.95" customHeight="1" x14ac:dyDescent="0.2">
      <c r="A13" s="1916"/>
      <c r="B13" s="1500" t="s">
        <v>1392</v>
      </c>
      <c r="C13" s="1501" t="s">
        <v>1394</v>
      </c>
      <c r="D13" s="1501" t="s">
        <v>808</v>
      </c>
      <c r="E13" s="1501" t="s">
        <v>1397</v>
      </c>
      <c r="F13" s="1501"/>
      <c r="G13" s="1501"/>
      <c r="H13" s="1501"/>
      <c r="I13" s="1501"/>
      <c r="J13" s="1501"/>
      <c r="K13" s="1501"/>
      <c r="L13" s="1501"/>
      <c r="M13" s="1501"/>
      <c r="N13" s="1501"/>
      <c r="O13" s="1502"/>
      <c r="P13" s="656" t="s">
        <v>90</v>
      </c>
      <c r="R13" s="1924"/>
      <c r="S13" s="1925"/>
      <c r="T13" s="1925"/>
      <c r="U13" s="1925"/>
      <c r="V13" s="1925"/>
      <c r="W13" s="1925"/>
      <c r="X13" s="1925"/>
      <c r="Y13" s="1925"/>
      <c r="Z13" s="1925"/>
      <c r="AA13" s="1925"/>
      <c r="AB13" s="1925"/>
      <c r="AC13" s="1925"/>
      <c r="AD13" s="1925"/>
      <c r="AE13" s="1926"/>
      <c r="AF13" s="1914"/>
      <c r="AG13" s="1914"/>
      <c r="AH13" s="1914"/>
    </row>
    <row r="14" spans="1:38" ht="15.95" customHeight="1" x14ac:dyDescent="0.2">
      <c r="A14" s="1488" t="s">
        <v>1430</v>
      </c>
      <c r="B14" s="1489"/>
      <c r="C14" s="1490"/>
      <c r="D14" s="1490"/>
      <c r="E14" s="1490"/>
      <c r="F14" s="1490"/>
      <c r="G14" s="1490"/>
      <c r="H14" s="1490"/>
      <c r="I14" s="1490"/>
      <c r="J14" s="1490"/>
      <c r="K14" s="1490"/>
      <c r="L14" s="1490"/>
      <c r="M14" s="1490"/>
      <c r="N14" s="1490"/>
      <c r="O14" s="1491"/>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t="s">
        <v>1501</v>
      </c>
      <c r="B15" s="1493" t="s">
        <v>1401</v>
      </c>
      <c r="C15" s="1494">
        <v>1</v>
      </c>
      <c r="D15" s="1494" t="s">
        <v>1401</v>
      </c>
      <c r="E15" s="1494" t="s">
        <v>1401</v>
      </c>
      <c r="F15" s="1494"/>
      <c r="G15" s="1494"/>
      <c r="H15" s="1494"/>
      <c r="I15" s="1494"/>
      <c r="J15" s="1494"/>
      <c r="K15" s="1494"/>
      <c r="L15" s="1494"/>
      <c r="M15" s="1494"/>
      <c r="N15" s="1494"/>
      <c r="O15" s="1495"/>
      <c r="P15" s="657">
        <f t="shared" si="0"/>
        <v>1</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2" t="s">
        <v>1502</v>
      </c>
      <c r="B16" s="1493" t="s">
        <v>1401</v>
      </c>
      <c r="C16" s="1494" t="s">
        <v>1401</v>
      </c>
      <c r="D16" s="1494">
        <v>2</v>
      </c>
      <c r="E16" s="1494" t="s">
        <v>1401</v>
      </c>
      <c r="F16" s="1494"/>
      <c r="G16" s="1494"/>
      <c r="H16" s="1494"/>
      <c r="I16" s="1494"/>
      <c r="J16" s="1494"/>
      <c r="K16" s="1494"/>
      <c r="L16" s="1494"/>
      <c r="M16" s="1494"/>
      <c r="N16" s="1494"/>
      <c r="O16" s="1495"/>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1492" t="s">
        <v>1503</v>
      </c>
      <c r="B17" s="1493" t="s">
        <v>1401</v>
      </c>
      <c r="C17" s="1494">
        <v>1</v>
      </c>
      <c r="D17" s="1494" t="s">
        <v>1401</v>
      </c>
      <c r="E17" s="1494" t="s">
        <v>1401</v>
      </c>
      <c r="F17" s="1494"/>
      <c r="G17" s="1494"/>
      <c r="H17" s="1494"/>
      <c r="I17" s="1494"/>
      <c r="J17" s="1494"/>
      <c r="K17" s="1494"/>
      <c r="L17" s="1494"/>
      <c r="M17" s="1494"/>
      <c r="N17" s="1494"/>
      <c r="O17" s="1495"/>
      <c r="P17" s="657">
        <f t="shared" si="0"/>
        <v>1</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1492"/>
      <c r="B18" s="1493"/>
      <c r="C18" s="1494"/>
      <c r="D18" s="1494"/>
      <c r="E18" s="1494"/>
      <c r="F18" s="1494"/>
      <c r="G18" s="1494"/>
      <c r="H18" s="1494"/>
      <c r="I18" s="1494"/>
      <c r="J18" s="1494"/>
      <c r="K18" s="1494"/>
      <c r="L18" s="1494"/>
      <c r="M18" s="1494"/>
      <c r="N18" s="1494"/>
      <c r="O18" s="1495"/>
      <c r="P18" s="657" t="str">
        <f t="shared" si="0"/>
        <v/>
      </c>
      <c r="R18" s="37"/>
      <c r="S18" s="37"/>
      <c r="T18" s="37"/>
      <c r="U18" s="37"/>
      <c r="V18" s="37"/>
      <c r="W18" s="37"/>
      <c r="X18" s="37"/>
      <c r="Y18" s="37"/>
      <c r="Z18" s="37"/>
      <c r="AA18" s="37"/>
      <c r="AB18" s="37"/>
      <c r="AC18" s="37"/>
      <c r="AD18" s="37"/>
      <c r="AE18" s="37"/>
      <c r="AF18" s="90"/>
      <c r="AG18" s="89" t="b">
        <f t="shared" si="1"/>
        <v>0</v>
      </c>
      <c r="AH18" s="1044" t="b">
        <v>0</v>
      </c>
    </row>
    <row r="19" spans="1:34" ht="15.95" customHeight="1" x14ac:dyDescent="0.2">
      <c r="A19" s="1492" t="s">
        <v>1504</v>
      </c>
      <c r="B19" s="1493"/>
      <c r="C19" s="1494"/>
      <c r="D19" s="1494"/>
      <c r="E19" s="1494"/>
      <c r="F19" s="1494"/>
      <c r="G19" s="1494"/>
      <c r="H19" s="1494"/>
      <c r="I19" s="1494"/>
      <c r="J19" s="1494"/>
      <c r="K19" s="1494"/>
      <c r="L19" s="1494"/>
      <c r="M19" s="1494"/>
      <c r="N19" s="1494"/>
      <c r="O19" s="1495"/>
      <c r="P19" s="657">
        <f t="shared" si="0"/>
        <v>0</v>
      </c>
      <c r="R19" s="37"/>
      <c r="S19" s="37"/>
      <c r="T19" s="37"/>
      <c r="U19" s="37"/>
      <c r="V19" s="37"/>
      <c r="W19" s="37"/>
      <c r="X19" s="37"/>
      <c r="Y19" s="37"/>
      <c r="Z19" s="37"/>
      <c r="AA19" s="37"/>
      <c r="AB19" s="37"/>
      <c r="AC19" s="37"/>
      <c r="AD19" s="37"/>
      <c r="AE19" s="37"/>
      <c r="AF19" s="90"/>
      <c r="AG19" s="89" t="b">
        <f t="shared" si="1"/>
        <v>0</v>
      </c>
      <c r="AH19" s="1044" t="b">
        <v>0</v>
      </c>
    </row>
    <row r="20" spans="1:34" ht="15.95" customHeight="1" x14ac:dyDescent="0.2">
      <c r="A20" s="1492" t="s">
        <v>1505</v>
      </c>
      <c r="B20" s="1493">
        <v>12</v>
      </c>
      <c r="C20" s="1494">
        <v>295</v>
      </c>
      <c r="D20" s="1494">
        <v>308</v>
      </c>
      <c r="E20" s="1494">
        <v>306</v>
      </c>
      <c r="F20" s="1494"/>
      <c r="G20" s="1494"/>
      <c r="H20" s="1494"/>
      <c r="I20" s="1494"/>
      <c r="J20" s="1494"/>
      <c r="K20" s="1494"/>
      <c r="L20" s="1494"/>
      <c r="M20" s="1494"/>
      <c r="N20" s="1494"/>
      <c r="O20" s="1495"/>
      <c r="P20" s="657">
        <f t="shared" si="0"/>
        <v>921</v>
      </c>
      <c r="R20" s="37"/>
      <c r="S20" s="37"/>
      <c r="T20" s="37"/>
      <c r="U20" s="37"/>
      <c r="V20" s="37"/>
      <c r="W20" s="37"/>
      <c r="X20" s="37"/>
      <c r="Y20" s="37"/>
      <c r="Z20" s="37"/>
      <c r="AA20" s="37"/>
      <c r="AB20" s="37"/>
      <c r="AC20" s="37"/>
      <c r="AD20" s="37"/>
      <c r="AE20" s="37"/>
      <c r="AF20" s="90" t="s">
        <v>177</v>
      </c>
      <c r="AG20" s="89" t="b">
        <f t="shared" si="1"/>
        <v>1</v>
      </c>
      <c r="AH20" s="1044" t="b">
        <v>0</v>
      </c>
    </row>
    <row r="21" spans="1:34" ht="15.95" customHeight="1" x14ac:dyDescent="0.2">
      <c r="A21" s="1492"/>
      <c r="B21" s="1493"/>
      <c r="C21" s="1494"/>
      <c r="D21" s="1494"/>
      <c r="E21" s="1494"/>
      <c r="F21" s="1494"/>
      <c r="G21" s="1494"/>
      <c r="H21" s="1494"/>
      <c r="I21" s="1494"/>
      <c r="J21" s="1494"/>
      <c r="K21" s="1494"/>
      <c r="L21" s="1494"/>
      <c r="M21" s="1494"/>
      <c r="N21" s="1494"/>
      <c r="O21" s="1495"/>
      <c r="P21" s="657" t="str">
        <f t="shared" si="0"/>
        <v/>
      </c>
      <c r="R21" s="37"/>
      <c r="S21" s="37"/>
      <c r="T21" s="37"/>
      <c r="U21" s="37"/>
      <c r="V21" s="37"/>
      <c r="W21" s="37"/>
      <c r="X21" s="37"/>
      <c r="Y21" s="37"/>
      <c r="Z21" s="37"/>
      <c r="AA21" s="37"/>
      <c r="AB21" s="37"/>
      <c r="AC21" s="37"/>
      <c r="AD21" s="37"/>
      <c r="AE21" s="37"/>
      <c r="AF21" s="90"/>
      <c r="AG21" s="89" t="b">
        <f t="shared" si="1"/>
        <v>0</v>
      </c>
      <c r="AH21" s="1044" t="b">
        <v>0</v>
      </c>
    </row>
    <row r="22" spans="1:34" ht="15.95" customHeight="1" x14ac:dyDescent="0.2">
      <c r="A22" s="1492" t="s">
        <v>1506</v>
      </c>
      <c r="B22" s="1493" t="s">
        <v>1401</v>
      </c>
      <c r="C22" s="1494">
        <v>32</v>
      </c>
      <c r="D22" s="1494">
        <v>32</v>
      </c>
      <c r="E22" s="1494" t="s">
        <v>1401</v>
      </c>
      <c r="F22" s="1494"/>
      <c r="G22" s="1494"/>
      <c r="H22" s="1494"/>
      <c r="I22" s="1494"/>
      <c r="J22" s="1494"/>
      <c r="K22" s="1494"/>
      <c r="L22" s="1494"/>
      <c r="M22" s="1494"/>
      <c r="N22" s="1494"/>
      <c r="O22" s="1495"/>
      <c r="P22" s="657">
        <f t="shared" si="0"/>
        <v>64</v>
      </c>
      <c r="R22" s="37"/>
      <c r="S22" s="37"/>
      <c r="T22" s="37"/>
      <c r="U22" s="37"/>
      <c r="V22" s="37"/>
      <c r="W22" s="37"/>
      <c r="X22" s="37"/>
      <c r="Y22" s="37"/>
      <c r="Z22" s="37"/>
      <c r="AA22" s="37"/>
      <c r="AB22" s="37"/>
      <c r="AC22" s="37"/>
      <c r="AD22" s="37"/>
      <c r="AE22" s="37"/>
      <c r="AF22" s="90" t="s">
        <v>177</v>
      </c>
      <c r="AG22" s="89" t="b">
        <f t="shared" si="1"/>
        <v>1</v>
      </c>
      <c r="AH22" s="1044" t="b">
        <v>0</v>
      </c>
    </row>
    <row r="23" spans="1:34" ht="15.95" customHeight="1" x14ac:dyDescent="0.2">
      <c r="A23" s="1492" t="s">
        <v>1507</v>
      </c>
      <c r="B23" s="1493" t="s">
        <v>1401</v>
      </c>
      <c r="C23" s="1494">
        <v>4</v>
      </c>
      <c r="D23" s="1494">
        <v>4</v>
      </c>
      <c r="E23" s="1494" t="s">
        <v>1401</v>
      </c>
      <c r="F23" s="1494"/>
      <c r="G23" s="1494"/>
      <c r="H23" s="1494"/>
      <c r="I23" s="1494"/>
      <c r="J23" s="1494"/>
      <c r="K23" s="1494"/>
      <c r="L23" s="1494"/>
      <c r="M23" s="1494"/>
      <c r="N23" s="1494"/>
      <c r="O23" s="1495"/>
      <c r="P23" s="657">
        <f t="shared" si="0"/>
        <v>8</v>
      </c>
      <c r="R23" s="37"/>
      <c r="S23" s="37"/>
      <c r="T23" s="37"/>
      <c r="U23" s="37"/>
      <c r="V23" s="37"/>
      <c r="W23" s="37"/>
      <c r="X23" s="37"/>
      <c r="Y23" s="37"/>
      <c r="Z23" s="37"/>
      <c r="AA23" s="37"/>
      <c r="AB23" s="37"/>
      <c r="AC23" s="37"/>
      <c r="AD23" s="37"/>
      <c r="AE23" s="37"/>
      <c r="AF23" s="90" t="s">
        <v>177</v>
      </c>
      <c r="AG23" s="89" t="b">
        <f t="shared" si="1"/>
        <v>1</v>
      </c>
      <c r="AH23" s="1044" t="b">
        <v>0</v>
      </c>
    </row>
    <row r="24" spans="1:34" ht="15.95" customHeight="1" x14ac:dyDescent="0.2">
      <c r="A24" s="1492"/>
      <c r="B24" s="1493"/>
      <c r="C24" s="1494"/>
      <c r="D24" s="1494"/>
      <c r="E24" s="1494"/>
      <c r="F24" s="1494"/>
      <c r="G24" s="1494"/>
      <c r="H24" s="1494"/>
      <c r="I24" s="1494"/>
      <c r="J24" s="1494"/>
      <c r="K24" s="1494"/>
      <c r="L24" s="1494"/>
      <c r="M24" s="1494"/>
      <c r="N24" s="1494"/>
      <c r="O24" s="1495"/>
      <c r="P24" s="657" t="str">
        <f t="shared" si="0"/>
        <v/>
      </c>
      <c r="R24" s="37"/>
      <c r="S24" s="37"/>
      <c r="T24" s="37"/>
      <c r="U24" s="37"/>
      <c r="V24" s="37"/>
      <c r="W24" s="37"/>
      <c r="X24" s="37"/>
      <c r="Y24" s="37"/>
      <c r="Z24" s="37"/>
      <c r="AA24" s="37"/>
      <c r="AB24" s="37"/>
      <c r="AC24" s="37"/>
      <c r="AD24" s="37"/>
      <c r="AE24" s="37"/>
      <c r="AF24" s="90"/>
      <c r="AG24" s="89" t="b">
        <f t="shared" si="1"/>
        <v>0</v>
      </c>
      <c r="AH24" s="1044" t="b">
        <v>0</v>
      </c>
    </row>
    <row r="25" spans="1:34" ht="15.95" customHeight="1" x14ac:dyDescent="0.2">
      <c r="A25" s="1492" t="s">
        <v>1508</v>
      </c>
      <c r="B25" s="1493" t="s">
        <v>1401</v>
      </c>
      <c r="C25" s="1494">
        <v>4</v>
      </c>
      <c r="D25" s="1494" t="s">
        <v>1401</v>
      </c>
      <c r="E25" s="1494">
        <v>4</v>
      </c>
      <c r="F25" s="1494"/>
      <c r="G25" s="1494"/>
      <c r="H25" s="1494"/>
      <c r="I25" s="1494"/>
      <c r="J25" s="1494"/>
      <c r="K25" s="1494"/>
      <c r="L25" s="1494"/>
      <c r="M25" s="1494"/>
      <c r="N25" s="1494"/>
      <c r="O25" s="1495"/>
      <c r="P25" s="657">
        <f t="shared" si="0"/>
        <v>8</v>
      </c>
      <c r="R25" s="37"/>
      <c r="S25" s="37"/>
      <c r="T25" s="37"/>
      <c r="U25" s="37"/>
      <c r="V25" s="37"/>
      <c r="W25" s="37"/>
      <c r="X25" s="37"/>
      <c r="Y25" s="37"/>
      <c r="Z25" s="37"/>
      <c r="AA25" s="37"/>
      <c r="AB25" s="37"/>
      <c r="AC25" s="37"/>
      <c r="AD25" s="37"/>
      <c r="AE25" s="37"/>
      <c r="AF25" s="90" t="s">
        <v>177</v>
      </c>
      <c r="AG25" s="89" t="b">
        <f t="shared" si="1"/>
        <v>1</v>
      </c>
      <c r="AH25" s="1044" t="b">
        <v>0</v>
      </c>
    </row>
    <row r="26" spans="1:34" ht="15.95" customHeight="1" x14ac:dyDescent="0.2">
      <c r="A26" s="1492" t="s">
        <v>1509</v>
      </c>
      <c r="B26" s="1493" t="s">
        <v>1401</v>
      </c>
      <c r="C26" s="1494">
        <v>6</v>
      </c>
      <c r="D26" s="1494" t="s">
        <v>1401</v>
      </c>
      <c r="E26" s="1494">
        <v>6</v>
      </c>
      <c r="F26" s="1494"/>
      <c r="G26" s="1494"/>
      <c r="H26" s="1494"/>
      <c r="I26" s="1494"/>
      <c r="J26" s="1494"/>
      <c r="K26" s="1494"/>
      <c r="L26" s="1494"/>
      <c r="M26" s="1494"/>
      <c r="N26" s="1494"/>
      <c r="O26" s="1495"/>
      <c r="P26" s="657">
        <f t="shared" si="0"/>
        <v>12</v>
      </c>
      <c r="R26" s="37"/>
      <c r="S26" s="37"/>
      <c r="T26" s="37"/>
      <c r="U26" s="37"/>
      <c r="V26" s="37"/>
      <c r="W26" s="37"/>
      <c r="X26" s="37"/>
      <c r="Y26" s="37"/>
      <c r="Z26" s="37"/>
      <c r="AA26" s="37"/>
      <c r="AB26" s="37"/>
      <c r="AC26" s="37"/>
      <c r="AD26" s="37"/>
      <c r="AE26" s="37"/>
      <c r="AF26" s="90" t="s">
        <v>177</v>
      </c>
      <c r="AG26" s="89" t="b">
        <f t="shared" si="1"/>
        <v>1</v>
      </c>
      <c r="AH26" s="1044" t="b">
        <v>0</v>
      </c>
    </row>
    <row r="27" spans="1:34" ht="15.95" customHeight="1" x14ac:dyDescent="0.2">
      <c r="A27" s="1492"/>
      <c r="B27" s="1493"/>
      <c r="C27" s="1494"/>
      <c r="D27" s="1494"/>
      <c r="E27" s="1494"/>
      <c r="F27" s="1494"/>
      <c r="G27" s="1494"/>
      <c r="H27" s="1494"/>
      <c r="I27" s="1494"/>
      <c r="J27" s="1494"/>
      <c r="K27" s="1494"/>
      <c r="L27" s="1494"/>
      <c r="M27" s="1494"/>
      <c r="N27" s="1494"/>
      <c r="O27" s="1495"/>
      <c r="P27" s="657" t="str">
        <f t="shared" si="0"/>
        <v/>
      </c>
      <c r="R27" s="37"/>
      <c r="S27" s="37"/>
      <c r="T27" s="37"/>
      <c r="U27" s="37"/>
      <c r="V27" s="37"/>
      <c r="W27" s="37"/>
      <c r="X27" s="37"/>
      <c r="Y27" s="37"/>
      <c r="Z27" s="37"/>
      <c r="AA27" s="37"/>
      <c r="AB27" s="37"/>
      <c r="AC27" s="37"/>
      <c r="AD27" s="37"/>
      <c r="AE27" s="37"/>
      <c r="AF27" s="90"/>
      <c r="AG27" s="89" t="b">
        <f t="shared" si="1"/>
        <v>0</v>
      </c>
      <c r="AH27" s="1044" t="b">
        <v>0</v>
      </c>
    </row>
    <row r="28" spans="1:34" ht="15.95" customHeight="1" x14ac:dyDescent="0.2">
      <c r="A28" s="1492" t="s">
        <v>1510</v>
      </c>
      <c r="B28" s="1493" t="s">
        <v>1401</v>
      </c>
      <c r="C28" s="1494">
        <v>136</v>
      </c>
      <c r="D28" s="1494">
        <v>136</v>
      </c>
      <c r="E28" s="1494">
        <v>136</v>
      </c>
      <c r="F28" s="1494"/>
      <c r="G28" s="1494"/>
      <c r="H28" s="1494"/>
      <c r="I28" s="1494"/>
      <c r="J28" s="1494"/>
      <c r="K28" s="1494"/>
      <c r="L28" s="1494"/>
      <c r="M28" s="1494"/>
      <c r="N28" s="1494"/>
      <c r="O28" s="1495"/>
      <c r="P28" s="657">
        <f t="shared" si="0"/>
        <v>408</v>
      </c>
      <c r="R28" s="37"/>
      <c r="S28" s="37"/>
      <c r="T28" s="37"/>
      <c r="U28" s="37"/>
      <c r="V28" s="37"/>
      <c r="W28" s="37"/>
      <c r="X28" s="37"/>
      <c r="Y28" s="37"/>
      <c r="Z28" s="37"/>
      <c r="AA28" s="37"/>
      <c r="AB28" s="37"/>
      <c r="AC28" s="37"/>
      <c r="AD28" s="37"/>
      <c r="AE28" s="37"/>
      <c r="AF28" s="90" t="s">
        <v>177</v>
      </c>
      <c r="AG28" s="89" t="b">
        <f t="shared" si="1"/>
        <v>1</v>
      </c>
      <c r="AH28" s="1044" t="b">
        <v>0</v>
      </c>
    </row>
    <row r="29" spans="1:34" ht="15.95" customHeight="1" x14ac:dyDescent="0.2">
      <c r="A29" s="1492" t="s">
        <v>1511</v>
      </c>
      <c r="B29" s="1493" t="s">
        <v>1401</v>
      </c>
      <c r="C29" s="1494">
        <v>4</v>
      </c>
      <c r="D29" s="1494">
        <v>4</v>
      </c>
      <c r="E29" s="1494" t="s">
        <v>1401</v>
      </c>
      <c r="F29" s="1494"/>
      <c r="G29" s="1494"/>
      <c r="H29" s="1494"/>
      <c r="I29" s="1494"/>
      <c r="J29" s="1494"/>
      <c r="K29" s="1494"/>
      <c r="L29" s="1494"/>
      <c r="M29" s="1494"/>
      <c r="N29" s="1494"/>
      <c r="O29" s="1495"/>
      <c r="P29" s="657">
        <f t="shared" si="0"/>
        <v>8</v>
      </c>
      <c r="R29" s="37"/>
      <c r="S29" s="37"/>
      <c r="T29" s="37"/>
      <c r="U29" s="37"/>
      <c r="V29" s="37"/>
      <c r="W29" s="37"/>
      <c r="X29" s="37"/>
      <c r="Y29" s="37"/>
      <c r="Z29" s="37"/>
      <c r="AA29" s="37"/>
      <c r="AB29" s="37"/>
      <c r="AC29" s="37"/>
      <c r="AD29" s="37"/>
      <c r="AE29" s="37"/>
      <c r="AF29" s="90" t="s">
        <v>177</v>
      </c>
      <c r="AG29" s="89" t="b">
        <f t="shared" si="1"/>
        <v>1</v>
      </c>
      <c r="AH29" s="1044" t="b">
        <v>0</v>
      </c>
    </row>
    <row r="30" spans="1:34" ht="15.95" customHeight="1" x14ac:dyDescent="0.2">
      <c r="A30" s="1492" t="s">
        <v>1512</v>
      </c>
      <c r="B30" s="1493" t="s">
        <v>1401</v>
      </c>
      <c r="C30" s="1494">
        <v>204</v>
      </c>
      <c r="D30" s="1494">
        <v>204</v>
      </c>
      <c r="E30" s="1494">
        <v>204</v>
      </c>
      <c r="F30" s="1494"/>
      <c r="G30" s="1494"/>
      <c r="H30" s="1494"/>
      <c r="I30" s="1494"/>
      <c r="J30" s="1494"/>
      <c r="K30" s="1494"/>
      <c r="L30" s="1494"/>
      <c r="M30" s="1494"/>
      <c r="N30" s="1494"/>
      <c r="O30" s="1495"/>
      <c r="P30" s="657">
        <f t="shared" si="0"/>
        <v>612</v>
      </c>
      <c r="R30" s="37"/>
      <c r="S30" s="37"/>
      <c r="T30" s="37"/>
      <c r="U30" s="37"/>
      <c r="V30" s="37"/>
      <c r="W30" s="37"/>
      <c r="X30" s="37"/>
      <c r="Y30" s="37"/>
      <c r="Z30" s="37"/>
      <c r="AA30" s="37"/>
      <c r="AB30" s="37"/>
      <c r="AC30" s="37"/>
      <c r="AD30" s="37"/>
      <c r="AE30" s="37"/>
      <c r="AF30" s="90" t="s">
        <v>177</v>
      </c>
      <c r="AG30" s="89" t="b">
        <f t="shared" si="1"/>
        <v>1</v>
      </c>
      <c r="AH30" s="1044" t="b">
        <v>0</v>
      </c>
    </row>
    <row r="31" spans="1:34" ht="15.95" customHeight="1" x14ac:dyDescent="0.2">
      <c r="A31" s="1492" t="s">
        <v>1513</v>
      </c>
      <c r="B31" s="1493" t="s">
        <v>1401</v>
      </c>
      <c r="C31" s="1494" t="s">
        <v>1401</v>
      </c>
      <c r="D31" s="1494">
        <v>6</v>
      </c>
      <c r="E31" s="1494">
        <v>6</v>
      </c>
      <c r="F31" s="1494"/>
      <c r="G31" s="1494"/>
      <c r="H31" s="1494"/>
      <c r="I31" s="1494"/>
      <c r="J31" s="1494"/>
      <c r="K31" s="1494"/>
      <c r="L31" s="1494"/>
      <c r="M31" s="1494"/>
      <c r="N31" s="1494"/>
      <c r="O31" s="1495"/>
      <c r="P31" s="657">
        <f t="shared" si="0"/>
        <v>12</v>
      </c>
      <c r="R31" s="37"/>
      <c r="S31" s="37"/>
      <c r="T31" s="37"/>
      <c r="U31" s="37"/>
      <c r="V31" s="37"/>
      <c r="W31" s="37"/>
      <c r="X31" s="37"/>
      <c r="Y31" s="37"/>
      <c r="Z31" s="37"/>
      <c r="AA31" s="37"/>
      <c r="AB31" s="37"/>
      <c r="AC31" s="37"/>
      <c r="AD31" s="37"/>
      <c r="AE31" s="37"/>
      <c r="AF31" s="90" t="s">
        <v>177</v>
      </c>
      <c r="AG31" s="89" t="b">
        <f t="shared" si="1"/>
        <v>1</v>
      </c>
      <c r="AH31" s="1044" t="b">
        <v>0</v>
      </c>
    </row>
    <row r="32" spans="1:34" ht="15.95" customHeight="1" x14ac:dyDescent="0.2">
      <c r="A32" s="1492" t="s">
        <v>1514</v>
      </c>
      <c r="B32" s="1493" t="s">
        <v>1401</v>
      </c>
      <c r="C32" s="1494">
        <v>6</v>
      </c>
      <c r="D32" s="1494">
        <v>6</v>
      </c>
      <c r="E32" s="1494" t="s">
        <v>1401</v>
      </c>
      <c r="F32" s="1494"/>
      <c r="G32" s="1494"/>
      <c r="H32" s="1494"/>
      <c r="I32" s="1494"/>
      <c r="J32" s="1494"/>
      <c r="K32" s="1494"/>
      <c r="L32" s="1494"/>
      <c r="M32" s="1494"/>
      <c r="N32" s="1494"/>
      <c r="O32" s="1495"/>
      <c r="P32" s="657">
        <f t="shared" si="0"/>
        <v>12</v>
      </c>
      <c r="R32" s="37"/>
      <c r="S32" s="37"/>
      <c r="T32" s="37"/>
      <c r="U32" s="37"/>
      <c r="V32" s="37"/>
      <c r="W32" s="37"/>
      <c r="X32" s="37"/>
      <c r="Y32" s="37"/>
      <c r="Z32" s="37"/>
      <c r="AA32" s="37"/>
      <c r="AB32" s="37"/>
      <c r="AC32" s="37"/>
      <c r="AD32" s="37"/>
      <c r="AE32" s="37"/>
      <c r="AF32" s="90" t="s">
        <v>177</v>
      </c>
      <c r="AG32" s="89" t="b">
        <f t="shared" si="1"/>
        <v>1</v>
      </c>
      <c r="AH32" s="1044" t="b">
        <v>0</v>
      </c>
    </row>
    <row r="33" spans="1:34" ht="15.95" customHeight="1" x14ac:dyDescent="0.2">
      <c r="A33" s="1492"/>
      <c r="B33" s="1493"/>
      <c r="C33" s="1494"/>
      <c r="D33" s="1494"/>
      <c r="E33" s="1494"/>
      <c r="F33" s="1494"/>
      <c r="G33" s="1494"/>
      <c r="H33" s="1494"/>
      <c r="I33" s="1494"/>
      <c r="J33" s="1494"/>
      <c r="K33" s="1494"/>
      <c r="L33" s="1494"/>
      <c r="M33" s="1494"/>
      <c r="N33" s="1494"/>
      <c r="O33" s="1495"/>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1492"/>
      <c r="B34" s="1493"/>
      <c r="C34" s="1494"/>
      <c r="D34" s="1494"/>
      <c r="E34" s="1494"/>
      <c r="F34" s="1494"/>
      <c r="G34" s="1494"/>
      <c r="H34" s="1494"/>
      <c r="I34" s="1494"/>
      <c r="J34" s="1494"/>
      <c r="K34" s="1494"/>
      <c r="L34" s="1494"/>
      <c r="M34" s="1494"/>
      <c r="N34" s="1494"/>
      <c r="O34" s="1495"/>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1492"/>
      <c r="B35" s="1493"/>
      <c r="C35" s="1494"/>
      <c r="D35" s="1494"/>
      <c r="E35" s="1494"/>
      <c r="F35" s="1494"/>
      <c r="G35" s="1494"/>
      <c r="H35" s="1494"/>
      <c r="I35" s="1494"/>
      <c r="J35" s="1494"/>
      <c r="K35" s="1494"/>
      <c r="L35" s="1494"/>
      <c r="M35" s="1494"/>
      <c r="N35" s="1494"/>
      <c r="O35" s="1495"/>
      <c r="P35" s="657" t="str">
        <f t="shared" si="0"/>
        <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1492"/>
      <c r="B36" s="1493"/>
      <c r="C36" s="1494"/>
      <c r="D36" s="1494"/>
      <c r="E36" s="1494"/>
      <c r="F36" s="1494"/>
      <c r="G36" s="1494"/>
      <c r="H36" s="1494"/>
      <c r="I36" s="1494"/>
      <c r="J36" s="1494"/>
      <c r="K36" s="1494"/>
      <c r="L36" s="1494"/>
      <c r="M36" s="1494"/>
      <c r="N36" s="1494"/>
      <c r="O36" s="1495"/>
      <c r="P36" s="657" t="str">
        <f t="shared" si="0"/>
        <v/>
      </c>
      <c r="R36" s="37"/>
      <c r="S36" s="37"/>
      <c r="T36" s="37"/>
      <c r="U36" s="37"/>
      <c r="V36" s="37"/>
      <c r="W36" s="37"/>
      <c r="X36" s="37"/>
      <c r="Y36" s="37"/>
      <c r="Z36" s="37"/>
      <c r="AA36" s="37"/>
      <c r="AB36" s="37"/>
      <c r="AC36" s="37"/>
      <c r="AD36" s="37"/>
      <c r="AE36" s="37"/>
      <c r="AF36" s="90"/>
      <c r="AG36" s="89" t="b">
        <f t="shared" si="1"/>
        <v>0</v>
      </c>
      <c r="AH36" s="1044" t="b">
        <v>0</v>
      </c>
    </row>
    <row r="37" spans="1:34" ht="15.95" customHeight="1" x14ac:dyDescent="0.2">
      <c r="A37" s="1492"/>
      <c r="B37" s="1493"/>
      <c r="C37" s="1494"/>
      <c r="D37" s="1494"/>
      <c r="E37" s="1494"/>
      <c r="F37" s="1494"/>
      <c r="G37" s="1494"/>
      <c r="H37" s="1494"/>
      <c r="I37" s="1494"/>
      <c r="J37" s="1494"/>
      <c r="K37" s="1494"/>
      <c r="L37" s="1494"/>
      <c r="M37" s="1494"/>
      <c r="N37" s="1494"/>
      <c r="O37" s="1495"/>
      <c r="P37" s="657" t="str">
        <f t="shared" si="0"/>
        <v/>
      </c>
      <c r="R37" s="37"/>
      <c r="S37" s="37"/>
      <c r="T37" s="37"/>
      <c r="U37" s="37"/>
      <c r="V37" s="37"/>
      <c r="W37" s="37"/>
      <c r="X37" s="37"/>
      <c r="Y37" s="37"/>
      <c r="Z37" s="37"/>
      <c r="AA37" s="37"/>
      <c r="AB37" s="37"/>
      <c r="AC37" s="37"/>
      <c r="AD37" s="37"/>
      <c r="AE37" s="37"/>
      <c r="AF37" s="90"/>
      <c r="AG37" s="89" t="b">
        <f t="shared" si="1"/>
        <v>0</v>
      </c>
      <c r="AH37" s="1044" t="b">
        <v>0</v>
      </c>
    </row>
    <row r="38" spans="1:34" ht="15.95" customHeight="1" x14ac:dyDescent="0.2">
      <c r="A38" s="1492"/>
      <c r="B38" s="1493"/>
      <c r="C38" s="1494"/>
      <c r="D38" s="1494"/>
      <c r="E38" s="1494"/>
      <c r="F38" s="1494"/>
      <c r="G38" s="1494"/>
      <c r="H38" s="1494"/>
      <c r="I38" s="1494"/>
      <c r="J38" s="1494"/>
      <c r="K38" s="1494"/>
      <c r="L38" s="1494"/>
      <c r="M38" s="1494"/>
      <c r="N38" s="1494"/>
      <c r="O38" s="1495"/>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1492"/>
      <c r="B39" s="1493"/>
      <c r="C39" s="1494"/>
      <c r="D39" s="1494"/>
      <c r="E39" s="1494"/>
      <c r="F39" s="1494"/>
      <c r="G39" s="1494"/>
      <c r="H39" s="1494"/>
      <c r="I39" s="1494"/>
      <c r="J39" s="1494"/>
      <c r="K39" s="1494"/>
      <c r="L39" s="1494"/>
      <c r="M39" s="1494"/>
      <c r="N39" s="1494"/>
      <c r="O39" s="1495"/>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1492"/>
      <c r="B40" s="1493"/>
      <c r="C40" s="1494"/>
      <c r="D40" s="1494"/>
      <c r="E40" s="1494"/>
      <c r="F40" s="1494"/>
      <c r="G40" s="1494"/>
      <c r="H40" s="1494"/>
      <c r="I40" s="1494"/>
      <c r="J40" s="1494"/>
      <c r="K40" s="1494"/>
      <c r="L40" s="1494"/>
      <c r="M40" s="1494"/>
      <c r="N40" s="1494"/>
      <c r="O40" s="1495"/>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1492"/>
      <c r="B41" s="1493"/>
      <c r="C41" s="1494"/>
      <c r="D41" s="1494"/>
      <c r="E41" s="1494"/>
      <c r="F41" s="1494"/>
      <c r="G41" s="1494"/>
      <c r="H41" s="1494"/>
      <c r="I41" s="1494"/>
      <c r="J41" s="1494"/>
      <c r="K41" s="1494"/>
      <c r="L41" s="1494"/>
      <c r="M41" s="1494"/>
      <c r="N41" s="1494"/>
      <c r="O41" s="1495"/>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1492"/>
      <c r="B42" s="1493"/>
      <c r="C42" s="1494"/>
      <c r="D42" s="1494"/>
      <c r="E42" s="1494"/>
      <c r="F42" s="1494"/>
      <c r="G42" s="1494"/>
      <c r="H42" s="1494"/>
      <c r="I42" s="1494"/>
      <c r="J42" s="1494"/>
      <c r="K42" s="1494"/>
      <c r="L42" s="1494"/>
      <c r="M42" s="1494"/>
      <c r="N42" s="1494"/>
      <c r="O42" s="1495"/>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1492"/>
      <c r="B43" s="1493"/>
      <c r="C43" s="1494"/>
      <c r="D43" s="1494"/>
      <c r="E43" s="1494"/>
      <c r="F43" s="1494"/>
      <c r="G43" s="1494"/>
      <c r="H43" s="1494"/>
      <c r="I43" s="1494"/>
      <c r="J43" s="1494"/>
      <c r="K43" s="1494"/>
      <c r="L43" s="1494"/>
      <c r="M43" s="1494"/>
      <c r="N43" s="1494"/>
      <c r="O43" s="1495"/>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1492"/>
      <c r="B44" s="1493"/>
      <c r="C44" s="1494"/>
      <c r="D44" s="1494"/>
      <c r="E44" s="1494"/>
      <c r="F44" s="1494"/>
      <c r="G44" s="1494"/>
      <c r="H44" s="1494"/>
      <c r="I44" s="1494"/>
      <c r="J44" s="1494"/>
      <c r="K44" s="1494"/>
      <c r="L44" s="1494"/>
      <c r="M44" s="1494"/>
      <c r="N44" s="1494"/>
      <c r="O44" s="1495"/>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2"/>
      <c r="B45" s="1493"/>
      <c r="C45" s="1494"/>
      <c r="D45" s="1494"/>
      <c r="E45" s="1494"/>
      <c r="F45" s="1494"/>
      <c r="G45" s="1494"/>
      <c r="H45" s="1494"/>
      <c r="I45" s="1494"/>
      <c r="J45" s="1494"/>
      <c r="K45" s="1494"/>
      <c r="L45" s="1494"/>
      <c r="M45" s="1494"/>
      <c r="N45" s="1494"/>
      <c r="O45" s="1495"/>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2"/>
      <c r="B46" s="1493"/>
      <c r="C46" s="1494"/>
      <c r="D46" s="1494"/>
      <c r="E46" s="1494"/>
      <c r="F46" s="1494"/>
      <c r="G46" s="1494"/>
      <c r="H46" s="1494"/>
      <c r="I46" s="1494"/>
      <c r="J46" s="1494"/>
      <c r="K46" s="1494"/>
      <c r="L46" s="1494"/>
      <c r="M46" s="1494"/>
      <c r="N46" s="1494"/>
      <c r="O46" s="1495"/>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2"/>
      <c r="B47" s="1493"/>
      <c r="C47" s="1494"/>
      <c r="D47" s="1494"/>
      <c r="E47" s="1494"/>
      <c r="F47" s="1494"/>
      <c r="G47" s="1494"/>
      <c r="H47" s="1494"/>
      <c r="I47" s="1494"/>
      <c r="J47" s="1494"/>
      <c r="K47" s="1494"/>
      <c r="L47" s="1494"/>
      <c r="M47" s="1494"/>
      <c r="N47" s="1494"/>
      <c r="O47" s="1495"/>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2"/>
      <c r="B48" s="1493"/>
      <c r="C48" s="1494"/>
      <c r="D48" s="1494"/>
      <c r="E48" s="1494"/>
      <c r="F48" s="1494"/>
      <c r="G48" s="1494"/>
      <c r="H48" s="1494"/>
      <c r="I48" s="1494"/>
      <c r="J48" s="1494"/>
      <c r="K48" s="1494"/>
      <c r="L48" s="1494"/>
      <c r="M48" s="1494"/>
      <c r="N48" s="1494"/>
      <c r="O48" s="1495"/>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6"/>
      <c r="B49" s="1497"/>
      <c r="C49" s="1498"/>
      <c r="D49" s="1498"/>
      <c r="E49" s="1498"/>
      <c r="F49" s="1498"/>
      <c r="G49" s="1498"/>
      <c r="H49" s="1498"/>
      <c r="I49" s="1498"/>
      <c r="J49" s="1498"/>
      <c r="K49" s="1498"/>
      <c r="L49" s="1498"/>
      <c r="M49" s="1498"/>
      <c r="N49" s="1498"/>
      <c r="O49" s="1499"/>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f t="shared" ref="B50:O50" si="2">IF(ISBLANK(B13),"",SUM(B14:B49))</f>
        <v>12</v>
      </c>
      <c r="C50" s="654">
        <f t="shared" si="2"/>
        <v>693</v>
      </c>
      <c r="D50" s="654">
        <f t="shared" si="2"/>
        <v>702</v>
      </c>
      <c r="E50" s="654">
        <f t="shared" si="2"/>
        <v>662</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1619</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QMzWAbdDDbCHprohU6uLs4dc46fMThCK0HHE4Bpqxz2KwLrjip3tyPz15/ToltzrZnrM5oQxNouXEf6u624Siw==" saltValue="dnhqP+kPkDoRJVoC2+hzOg=="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415" priority="2">
      <formula>OR(A14="Girder",A14="Girders",A14="Joist",A14="Joists",A14="Bridging")</formula>
    </cfRule>
    <cfRule type="expression" dxfId="414" priority="3">
      <formula>AND(P14&gt;0,ISBLANK(AF14),OR($R$1="",$R$1="M"))</formula>
    </cfRule>
    <cfRule type="expression" dxfId="413" priority="9">
      <formula>$AH14</formula>
    </cfRule>
  </conditionalFormatting>
  <conditionalFormatting sqref="H2:J4">
    <cfRule type="cellIs" dxfId="412" priority="7" stopIfTrue="1" operator="equal">
      <formula>""</formula>
    </cfRule>
  </conditionalFormatting>
  <conditionalFormatting sqref="B14:O49">
    <cfRule type="expression" dxfId="411" priority="4">
      <formula>IF($R$1="M",AND(B14&gt;R14,R14&gt;0),B14&lt;R14)</formula>
    </cfRule>
    <cfRule type="expression" dxfId="410" priority="5">
      <formula>OR(AND($R$1="M",NOT($S$1),B14=R14),B14="-")</formula>
    </cfRule>
    <cfRule type="expression" dxfId="409" priority="6">
      <formula>IF(NOT(ISBLANK($R$1)),IF($R$1="M",IF(ISTEXT(B14),0,B14)&lt;R14,IF(ISTEXT(B14),0,B14)&gt;R14))</formula>
    </cfRule>
    <cfRule type="expression" dxfId="408" priority="8">
      <formula>OR($AH14,B$63)</formula>
    </cfRule>
  </conditionalFormatting>
  <conditionalFormatting sqref="B13:O13">
    <cfRule type="expression" dxfId="407" priority="1">
      <formula>AND(NOT(ISBLANK(B$13)),ISERROR(MATCH(B$13,$AK:$AK,0)))</formula>
    </cfRule>
    <cfRule type="expression" dxfId="40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F06E4119-E8DB-4414-99E7-82719B6E08FA}">
      <formula1>B13=TRIM(B13)</formula1>
    </dataValidation>
    <dataValidation type="custom" allowBlank="1" showInputMessage="1" showErrorMessage="1" errorTitle="Input Error" error="Value can only be a positive integer OR a dash." sqref="B14:O49" xr:uid="{2F258490-9864-476B-8522-587D0673EB63}">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9AC40-3356-4BAF-9E91-B58FA4E709CC}">
  <sheetPr codeName="Sheet32">
    <tabColor indexed="43"/>
  </sheetPr>
  <dimension ref="A1:IG76"/>
  <sheetViews>
    <sheetView showGridLines="0" zoomScaleNormal="100" zoomScaleSheetLayoutView="75" workbookViewId="0">
      <selection activeCell="D27" sqref="D27"/>
    </sheetView>
  </sheetViews>
  <sheetFormatPr defaultColWidth="5.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5.7109375" style="245" customWidth="1"/>
    <col min="29" max="29" width="5.7109375" style="245" hidden="1" customWidth="1"/>
    <col min="30" max="34" width="4.7109375" style="245" hidden="1" customWidth="1"/>
    <col min="35" max="35" width="7.85546875" style="378" hidden="1" customWidth="1"/>
    <col min="36" max="41" width="4.7109375" style="245" hidden="1" customWidth="1"/>
    <col min="42" max="43" width="8.7109375" style="245" hidden="1" customWidth="1"/>
    <col min="44" max="44" width="6.7109375" style="245" hidden="1" customWidth="1"/>
    <col min="45" max="45" width="4.7109375" style="245" hidden="1" customWidth="1"/>
    <col min="46" max="46" width="6.7109375" style="245" hidden="1" customWidth="1"/>
    <col min="47" max="49" width="4.7109375" style="245" hidden="1" customWidth="1"/>
    <col min="50" max="52" width="5.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27" width="6.7109375" style="245" hidden="1" customWidth="1"/>
    <col min="128" max="128" width="8.7109375" style="245" hidden="1" customWidth="1"/>
    <col min="12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5.7109375" style="245" customWidth="1"/>
    <col min="180" max="181" width="5.7109375" style="245" hidden="1" customWidth="1"/>
    <col min="182" max="182" width="5.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5.7109375" style="245" customWidth="1"/>
    <col min="197" max="206" width="8.7109375" style="245" hidden="1" customWidth="1"/>
    <col min="207" max="207" width="8.7109375" style="245" customWidth="1"/>
    <col min="208" max="208" width="8.7109375" style="245" hidden="1" customWidth="1"/>
    <col min="209" max="210" width="6.7109375" style="245" hidden="1" customWidth="1"/>
    <col min="211" max="211" width="12.7109375" style="245" hidden="1" customWidth="1"/>
    <col min="212" max="212" width="6.7109375" style="247" hidden="1" customWidth="1"/>
    <col min="213" max="213" width="6.7109375" style="381" hidden="1" customWidth="1"/>
    <col min="214" max="240" width="6.7109375" style="245" hidden="1" customWidth="1"/>
    <col min="241" max="243" width="8.7109375" style="245" customWidth="1"/>
    <col min="244" max="16384" width="5.7109375" style="245"/>
  </cols>
  <sheetData>
    <row r="1" spans="1:241" ht="14.45" customHeight="1" thickBot="1" x14ac:dyDescent="0.25">
      <c r="A1" s="373"/>
      <c r="B1" s="373"/>
      <c r="C1" s="373"/>
      <c r="D1" s="373"/>
      <c r="E1" s="373"/>
      <c r="F1" s="373"/>
      <c r="G1" s="373"/>
      <c r="H1" s="373"/>
      <c r="I1" s="374"/>
      <c r="J1" s="374"/>
      <c r="K1" s="374"/>
      <c r="L1" s="374"/>
      <c r="M1" s="374"/>
      <c r="N1" s="373"/>
      <c r="O1" s="374"/>
      <c r="P1" s="1848" t="str">
        <f>IF(AD1="","",VLOOKUP(AD1,'Job Info.'!X:AA,4,FALSE))</f>
        <v>Master</v>
      </c>
      <c r="Q1" s="1848"/>
      <c r="R1" s="1848"/>
      <c r="S1" s="1848"/>
      <c r="T1" s="374"/>
      <c r="U1" s="374"/>
      <c r="V1" s="375"/>
      <c r="W1" s="375"/>
      <c r="X1" s="1100" t="s">
        <v>95</v>
      </c>
      <c r="Y1" s="375"/>
      <c r="Z1" s="375"/>
      <c r="AA1" s="463" t="str">
        <f ca="1">'Job Info.'!D12</f>
        <v>775-428-0600</v>
      </c>
      <c r="AB1" s="487"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571</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53" t="str">
        <f>IF(AD1="","",IF(VLOOKUP(AD1,'Job Info.'!X:Z,2,FALSE),"Released for Fabrication",""))</f>
        <v/>
      </c>
      <c r="Q2" s="1854"/>
      <c r="R2" s="1854"/>
      <c r="S2" s="1855"/>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2">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56"/>
      <c r="Q3" s="1857"/>
      <c r="R3" s="1857"/>
      <c r="S3" s="1858"/>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c r="CW3" s="573"/>
      <c r="CX3" s="574"/>
      <c r="CY3" s="575"/>
      <c r="CZ3" s="574"/>
      <c r="DA3" s="574"/>
      <c r="DB3" s="574"/>
      <c r="DC3" s="576"/>
      <c r="DE3" s="246"/>
      <c r="DF3" s="505" t="s">
        <v>414</v>
      </c>
      <c r="DG3" s="1654">
        <f>'Job Info.'!$N8/2</f>
        <v>0.5</v>
      </c>
      <c r="DH3" s="1655">
        <f>'Job Info.'!$H8</f>
        <v>2.5</v>
      </c>
      <c r="DI3" s="1656">
        <f>'Job Info.'!$J8</f>
        <v>4</v>
      </c>
      <c r="DJ3" s="1656">
        <f>'Job Info.'!$I8</f>
        <v>2.5</v>
      </c>
      <c r="DK3" s="1656">
        <f>'Job Info.'!$K8</f>
        <v>3.5</v>
      </c>
      <c r="DL3" s="1657">
        <f>'Job Info.'!$M8</f>
        <v>0.5625</v>
      </c>
      <c r="DM3" s="1658">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59" t="str">
        <f>IF(AD1="","",IF(VLOOKUP(AD1,'Job Info.'!X:Z,2,FALSE),VLOOKUP(AD1,'Job Info.'!X:Z,3,FALSE),""))</f>
        <v/>
      </c>
      <c r="Q4" s="1860"/>
      <c r="R4" s="1860"/>
      <c r="S4" s="1861"/>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374"/>
      <c r="CJ4" s="374"/>
      <c r="CK4" s="374"/>
      <c r="CL4" s="374"/>
      <c r="CM4" s="374"/>
      <c r="CN4" s="374"/>
      <c r="CO4" s="374"/>
      <c r="CP4" s="244"/>
      <c r="CQ4" s="244"/>
      <c r="CR4" s="374"/>
      <c r="CS4" s="374"/>
      <c r="CU4" s="577"/>
      <c r="CV4" s="1660"/>
      <c r="CW4" s="1661"/>
      <c r="CX4" s="1662"/>
      <c r="CY4" s="1662"/>
      <c r="CZ4" s="1662"/>
      <c r="DA4" s="1663"/>
      <c r="DB4" s="1662"/>
      <c r="DC4" s="1664"/>
      <c r="DE4" s="246"/>
      <c r="DF4" s="505" t="s">
        <v>75</v>
      </c>
      <c r="DG4" s="1654">
        <f>'Job Info.'!$N9/2</f>
        <v>0.5</v>
      </c>
      <c r="DH4" s="1655">
        <f>'Job Info.'!$H9</f>
        <v>2.5</v>
      </c>
      <c r="DI4" s="1656">
        <f>'Job Info.'!$J9</f>
        <v>4</v>
      </c>
      <c r="DJ4" s="1656">
        <f>'Job Info.'!$I9</f>
        <v>2.5</v>
      </c>
      <c r="DK4" s="1656">
        <f>'Job Info.'!$K9</f>
        <v>3.5</v>
      </c>
      <c r="DL4" s="1657">
        <f>'Job Info.'!$M9</f>
        <v>0.5625</v>
      </c>
      <c r="DM4" s="1658">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00" t="str">
        <f ca="1">'Job Info.'!D11</f>
        <v>8200 Woolery Way | Fallon, NV 89406 | www.newmill.com</v>
      </c>
      <c r="B5" s="2423"/>
      <c r="C5" s="2423"/>
      <c r="D5" s="2423"/>
      <c r="E5" s="2423"/>
      <c r="F5" s="2423"/>
      <c r="G5" s="2423"/>
      <c r="H5" s="2423"/>
      <c r="I5" s="2423"/>
      <c r="J5" s="2423"/>
      <c r="K5" s="2423"/>
      <c r="L5" s="2423"/>
      <c r="M5" s="2423"/>
      <c r="N5" s="374"/>
      <c r="O5" s="374"/>
      <c r="P5" s="374"/>
      <c r="Q5" s="374"/>
      <c r="R5" s="374"/>
      <c r="S5" s="374"/>
      <c r="T5" s="374"/>
      <c r="U5" s="374"/>
      <c r="V5" s="374"/>
      <c r="W5" s="374"/>
      <c r="X5" s="374"/>
      <c r="Y5" s="374"/>
      <c r="Z5" s="374"/>
      <c r="AA5" s="374"/>
      <c r="AB5" s="76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c r="CV5" s="1665"/>
      <c r="CW5" s="1666"/>
      <c r="CX5" s="1666"/>
      <c r="CY5" s="1666"/>
      <c r="CZ5" s="1666"/>
      <c r="DA5" s="1667"/>
      <c r="DB5" s="1666"/>
      <c r="DC5" s="1668"/>
      <c r="DE5" s="246"/>
      <c r="DF5" s="505" t="s">
        <v>1111</v>
      </c>
      <c r="DG5" s="1654">
        <f>'Job Info.'!$N10/2</f>
        <v>1</v>
      </c>
      <c r="DH5" s="1656">
        <f>'Job Info.'!$H10</f>
        <v>5</v>
      </c>
      <c r="DI5" s="1656">
        <f>'Job Info.'!$J10</f>
        <v>6</v>
      </c>
      <c r="DJ5" s="1656">
        <f>'Job Info.'!$I10</f>
        <v>2.5</v>
      </c>
      <c r="DK5" s="1656">
        <f>'Job Info.'!$K10</f>
        <v>4</v>
      </c>
      <c r="DL5" s="1657">
        <f>'Job Info.'!$M10</f>
        <v>0.8125</v>
      </c>
      <c r="DM5" s="1658">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082" t="str">
        <f>IF(NOT(ISERROR(FIND("galv",LOWER($M$7)))),"**USE STEEL TAGS**  **NO A490 BOLTS**","")</f>
        <v/>
      </c>
      <c r="N6" s="1947"/>
      <c r="O6" s="1947"/>
      <c r="P6" s="1947"/>
      <c r="Q6" s="1947"/>
      <c r="R6" s="1947"/>
      <c r="S6" s="1947"/>
      <c r="T6" s="1947"/>
      <c r="U6" s="1092"/>
      <c r="V6" s="374"/>
      <c r="W6" s="374"/>
      <c r="X6" s="460" t="s">
        <v>20</v>
      </c>
      <c r="Y6" s="1832">
        <f>IF(ISBLANK('Job Info.'!D8),"",'Job Info.'!D8)</f>
        <v>45048</v>
      </c>
      <c r="Z6" s="1832"/>
      <c r="AA6" s="394"/>
      <c r="AB6" s="765"/>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244"/>
      <c r="CC6" s="203"/>
      <c r="CD6" s="390"/>
      <c r="CE6" s="244"/>
      <c r="CF6" s="244"/>
      <c r="CG6" s="244"/>
      <c r="CH6" s="244"/>
      <c r="CI6" s="244"/>
      <c r="CJ6" s="544"/>
      <c r="CK6" s="544"/>
      <c r="CL6" s="544"/>
      <c r="CM6" s="544"/>
      <c r="CN6" s="544"/>
      <c r="CO6" s="544"/>
      <c r="CP6" s="244"/>
      <c r="CQ6" s="244"/>
      <c r="CR6" s="374"/>
      <c r="CS6" s="244"/>
      <c r="CU6" s="579"/>
      <c r="CV6" s="1669"/>
      <c r="CW6" s="1670"/>
      <c r="CX6" s="1670"/>
      <c r="CY6" s="1670"/>
      <c r="CZ6" s="1670"/>
      <c r="DA6" s="1671"/>
      <c r="DB6" s="1670"/>
      <c r="DC6" s="1672"/>
      <c r="DD6" s="246"/>
      <c r="DE6" s="246"/>
      <c r="DF6" s="505" t="s">
        <v>74</v>
      </c>
      <c r="DG6" s="1654">
        <f>'Job Info.'!$N11/2</f>
        <v>1</v>
      </c>
      <c r="DH6" s="1656">
        <f>'Job Info.'!$H11</f>
        <v>5</v>
      </c>
      <c r="DI6" s="1656">
        <f>'Job Info.'!$J11</f>
        <v>6</v>
      </c>
      <c r="DJ6" s="1656">
        <f>'Job Info.'!$I11</f>
        <v>4</v>
      </c>
      <c r="DK6" s="1656">
        <f>'Job Info.'!$K11</f>
        <v>4</v>
      </c>
      <c r="DL6" s="1657">
        <f>'Job Info.'!$M11</f>
        <v>0.8125</v>
      </c>
      <c r="DM6" s="1658">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51"/>
      <c r="EY6" s="251"/>
      <c r="EZ6" s="251"/>
      <c r="FA6" s="251"/>
      <c r="FB6" s="246"/>
      <c r="FC6" s="246"/>
      <c r="FD6" s="246"/>
      <c r="FE6" s="246"/>
      <c r="FF6" s="246"/>
      <c r="FG6" s="246"/>
      <c r="FH6" s="246"/>
      <c r="FI6" s="246"/>
      <c r="GA6" s="374"/>
      <c r="GB6" s="374"/>
      <c r="GC6" s="374"/>
      <c r="GD6" s="374"/>
      <c r="GE6" s="374"/>
      <c r="GF6" s="374"/>
      <c r="GG6" s="374"/>
      <c r="GH6" s="374"/>
      <c r="GI6" s="374"/>
      <c r="GJ6" s="374"/>
      <c r="HD6" s="245"/>
      <c r="HE6" s="245"/>
    </row>
    <row r="7" spans="1:241" ht="12.95" customHeight="1" x14ac:dyDescent="0.25">
      <c r="A7" s="395" t="s">
        <v>0</v>
      </c>
      <c r="B7" s="374"/>
      <c r="C7" s="374"/>
      <c r="D7" s="374"/>
      <c r="E7" s="374"/>
      <c r="F7" s="374"/>
      <c r="G7" s="374"/>
      <c r="H7" s="374"/>
      <c r="I7" s="374"/>
      <c r="J7" s="374"/>
      <c r="K7" s="374"/>
      <c r="L7" s="460" t="s">
        <v>26</v>
      </c>
      <c r="M7" s="2437" t="s">
        <v>1389</v>
      </c>
      <c r="N7" s="1940"/>
      <c r="O7" s="1940"/>
      <c r="P7" s="1940"/>
      <c r="Q7" s="1940"/>
      <c r="R7" s="1940"/>
      <c r="S7" s="1940"/>
      <c r="T7"/>
      <c r="U7" s="1092"/>
      <c r="V7" s="374"/>
      <c r="W7" s="374"/>
      <c r="X7" s="460" t="s">
        <v>21</v>
      </c>
      <c r="Y7" s="1175" t="str">
        <f>CONCATENATE(AC7, " of ",IF(ISBLANK('Job Info.'!D9),"",'Job Info.'!D9))</f>
        <v>15 of 19</v>
      </c>
      <c r="Z7" s="658"/>
      <c r="AA7" s="374"/>
      <c r="AB7" s="256"/>
      <c r="AC7" s="1083">
        <v>15</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03"/>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415</v>
      </c>
      <c r="DG7" s="1654">
        <f>'Job Info.'!$N12/2</f>
        <v>1</v>
      </c>
      <c r="DH7" s="1656">
        <f>'Job Info.'!$H12</f>
        <v>5</v>
      </c>
      <c r="DI7" s="1656">
        <f>'Job Info.'!$J12</f>
        <v>6</v>
      </c>
      <c r="DJ7" s="1656">
        <f>'Job Info.'!$I12</f>
        <v>4</v>
      </c>
      <c r="DK7" s="1656">
        <f>'Job Info.'!$K12</f>
        <v>4</v>
      </c>
      <c r="DL7" s="1657">
        <f>'Job Info.'!$M12</f>
        <v>0.8125</v>
      </c>
      <c r="DM7" s="1658">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7.3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AB8" s="256"/>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416</v>
      </c>
      <c r="DG8" s="1654">
        <f>'Job Info.'!$N13/2</f>
        <v>1</v>
      </c>
      <c r="DH8" s="1656">
        <f>'Job Info.'!$H13</f>
        <v>5</v>
      </c>
      <c r="DI8" s="1656">
        <f>'Job Info.'!$J13</f>
        <v>6</v>
      </c>
      <c r="DJ8" s="1656">
        <f>'Job Info.'!$I13</f>
        <v>4</v>
      </c>
      <c r="DK8" s="1656">
        <f>'Job Info.'!$K13</f>
        <v>4</v>
      </c>
      <c r="DL8" s="1657">
        <f>'Job Info.'!$M13</f>
        <v>0.8125</v>
      </c>
      <c r="DM8" s="1658">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24" t="str">
        <f>IF(ISBLANK('Job Info.'!D3),"",'Job Info.'!D3)</f>
        <v>MINDEN UPS BLDG 1</v>
      </c>
      <c r="D9" s="1824"/>
      <c r="E9" s="1824"/>
      <c r="F9" s="1824"/>
      <c r="G9" s="1824"/>
      <c r="H9" s="1824"/>
      <c r="I9" s="1824"/>
      <c r="J9" s="1824"/>
      <c r="K9" s="1824"/>
      <c r="L9" s="1824"/>
      <c r="M9" s="1824"/>
      <c r="N9" s="1824"/>
      <c r="O9" s="1825"/>
      <c r="P9" s="397"/>
      <c r="Q9" s="398"/>
      <c r="R9" s="458" t="s">
        <v>2</v>
      </c>
      <c r="S9" s="1825" t="str">
        <f>IF(ISBLANK('Job Info.'!D5),"",'Job Info.'!D5)</f>
        <v>NN22-0071</v>
      </c>
      <c r="T9" s="2101"/>
      <c r="U9" s="2101"/>
      <c r="V9" s="2101"/>
      <c r="W9" s="2101"/>
      <c r="X9" s="2101"/>
      <c r="Y9" s="2101"/>
      <c r="Z9" s="2101"/>
      <c r="AA9" s="2101"/>
      <c r="AB9" s="1415"/>
      <c r="BA9" s="246"/>
      <c r="BB9" s="400"/>
      <c r="BC9" s="244"/>
      <c r="BD9" s="244"/>
      <c r="BE9" s="244"/>
      <c r="BF9" s="244"/>
      <c r="BG9" s="244"/>
      <c r="BH9" s="244"/>
      <c r="BI9" s="244"/>
      <c r="BJ9" s="244"/>
      <c r="BK9" s="244"/>
      <c r="BL9" s="244"/>
      <c r="BM9" s="244"/>
      <c r="BN9" s="244"/>
      <c r="BO9" s="244"/>
      <c r="BP9" s="244"/>
      <c r="BQ9" s="244"/>
      <c r="BR9" s="244"/>
      <c r="BS9" s="244"/>
      <c r="BT9" s="244"/>
      <c r="BU9" s="244"/>
      <c r="BV9" s="244"/>
      <c r="BW9" s="244"/>
      <c r="BX9" s="244"/>
      <c r="BY9" s="244"/>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114</v>
      </c>
      <c r="DG9" s="1673">
        <f>'Job Info.'!$N14/2</f>
        <v>1</v>
      </c>
      <c r="DH9" s="1674">
        <f>'Job Info.'!$H14</f>
        <v>5</v>
      </c>
      <c r="DI9" s="1674">
        <f>'Job Info.'!$J14</f>
        <v>6</v>
      </c>
      <c r="DJ9" s="1674">
        <f>'Job Info.'!$I14</f>
        <v>4</v>
      </c>
      <c r="DK9" s="1674">
        <f>'Job Info.'!$K14</f>
        <v>4</v>
      </c>
      <c r="DL9" s="1675">
        <f>'Job Info.'!$M14</f>
        <v>0.8125</v>
      </c>
      <c r="DM9" s="1676">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x14ac:dyDescent="0.2">
      <c r="A10" s="401"/>
      <c r="B10" s="459" t="s">
        <v>3</v>
      </c>
      <c r="C10" s="1824" t="str">
        <f>IF(ISBLANK('Job Info.'!D4),"",'Job Info.'!D4)</f>
        <v>MINDEN, NV</v>
      </c>
      <c r="D10" s="1824"/>
      <c r="E10" s="1824"/>
      <c r="F10" s="1824"/>
      <c r="G10" s="1824"/>
      <c r="H10" s="1824"/>
      <c r="I10" s="1824"/>
      <c r="J10" s="1824"/>
      <c r="K10" s="1824"/>
      <c r="L10" s="1824"/>
      <c r="M10" s="1824"/>
      <c r="N10" s="1824"/>
      <c r="O10" s="1825"/>
      <c r="P10" s="402"/>
      <c r="Q10" s="403"/>
      <c r="R10" s="459" t="s">
        <v>22</v>
      </c>
      <c r="S10" s="1824" t="str">
        <f>IF(ISBLANK('Job Info.'!D6),"",'Job Info.'!D6)</f>
        <v>JMM</v>
      </c>
      <c r="T10" s="1824"/>
      <c r="U10" s="1824"/>
      <c r="V10" s="1824"/>
      <c r="W10" s="1825"/>
      <c r="X10" s="403"/>
      <c r="Y10" s="459" t="s">
        <v>23</v>
      </c>
      <c r="Z10" s="1825" t="str">
        <f>IF(ISBLANK('Job Info.'!D7),"",'Job Info.'!D7)</f>
        <v>NR</v>
      </c>
      <c r="AA10" s="2101"/>
      <c r="AB10" s="1415"/>
      <c r="BA10" s="246"/>
      <c r="BB10" s="244"/>
      <c r="BC10" s="244"/>
      <c r="BD10" s="244"/>
      <c r="BE10" s="244"/>
      <c r="BF10" s="244"/>
      <c r="BG10" s="244"/>
      <c r="BH10" s="244"/>
      <c r="BI10" s="244"/>
      <c r="BJ10" s="244"/>
      <c r="BK10" s="244"/>
      <c r="BL10" s="244"/>
      <c r="BM10" s="244"/>
      <c r="BN10" s="244"/>
      <c r="BO10" s="244"/>
      <c r="BP10" s="244"/>
      <c r="BQ10" s="244"/>
      <c r="BR10" s="244"/>
      <c r="BS10" s="244"/>
      <c r="BT10" s="244"/>
      <c r="BU10" s="244"/>
      <c r="BV10" s="244"/>
      <c r="BW10" s="244"/>
      <c r="BX10" s="244"/>
      <c r="BY10" s="244"/>
      <c r="BZ10" s="244"/>
      <c r="CA10" s="244"/>
      <c r="CB10" s="244"/>
      <c r="CC10" s="244"/>
      <c r="CD10" s="244"/>
      <c r="CE10" s="244"/>
      <c r="CF10" s="244"/>
      <c r="CG10" s="244"/>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7.35" customHeight="1" x14ac:dyDescent="0.2">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row>
    <row r="12" spans="1:241" ht="12.6" customHeight="1" x14ac:dyDescent="0.2">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IF(ISBLANK(CC16),"",CC16)</f>
        <v/>
      </c>
      <c r="AB12" s="763" t="str">
        <f>AA12</f>
        <v/>
      </c>
      <c r="AP12" s="1028"/>
      <c r="BA12" s="246"/>
      <c r="BB12" s="406"/>
      <c r="BC12" s="244"/>
      <c r="BD12" s="244"/>
      <c r="BE12" s="244"/>
      <c r="BF12" s="244"/>
      <c r="BG12" s="244"/>
      <c r="BH12" s="244"/>
      <c r="BI12" s="244"/>
      <c r="BJ12" s="244"/>
      <c r="BK12" s="244"/>
      <c r="BL12" s="244"/>
      <c r="BM12" s="244"/>
      <c r="BN12" s="203"/>
      <c r="BO12" s="407"/>
      <c r="BP12" s="407"/>
      <c r="BQ12" s="407"/>
      <c r="BR12" s="407"/>
      <c r="BS12" s="407"/>
      <c r="BT12" s="407"/>
      <c r="BU12" s="407"/>
      <c r="BV12" s="407"/>
      <c r="BW12" s="407"/>
      <c r="BX12" s="407"/>
      <c r="BY12" s="407"/>
      <c r="BZ12" s="407"/>
      <c r="CA12" s="407"/>
      <c r="CB12" s="407"/>
      <c r="CC12" s="407"/>
      <c r="CD12" s="407"/>
      <c r="CE12" s="407"/>
      <c r="CF12" s="244"/>
      <c r="CG12" s="244"/>
      <c r="CH12" s="244"/>
      <c r="CI12" s="244"/>
      <c r="CJ12" s="244"/>
      <c r="CK12" s="244"/>
      <c r="CL12" s="244"/>
      <c r="CM12" s="244"/>
      <c r="CN12" s="244"/>
      <c r="CO12" s="244"/>
      <c r="CP12" s="244"/>
      <c r="CQ12" s="244"/>
      <c r="CR12" s="244"/>
      <c r="CS12" s="244"/>
      <c r="CT12" s="246"/>
      <c r="CU12" s="246"/>
      <c r="CV12" s="246"/>
      <c r="CW12" s="246"/>
      <c r="CX12" s="246"/>
      <c r="CY12" s="246"/>
      <c r="CZ12" s="246"/>
      <c r="DA12" s="408"/>
      <c r="DB12" s="251"/>
      <c r="DC12" s="251"/>
      <c r="DD12" s="251"/>
      <c r="DE12" s="251"/>
      <c r="DR12" s="246"/>
      <c r="DS12" s="246"/>
      <c r="DT12" s="246"/>
      <c r="DU12" s="246"/>
      <c r="DV12" s="246"/>
      <c r="DW12" s="246"/>
      <c r="DX12" s="246"/>
      <c r="DY12" s="246"/>
      <c r="DZ12" s="246"/>
      <c r="EA12" s="246"/>
      <c r="EB12" s="246"/>
      <c r="EC12" s="246"/>
      <c r="ED12" s="246"/>
      <c r="EE12" s="404"/>
      <c r="EF12" s="404"/>
      <c r="EG12" s="404"/>
      <c r="EH12" s="404"/>
      <c r="EI12" s="404"/>
      <c r="EJ12" s="404"/>
      <c r="EK12" s="404"/>
      <c r="EL12" s="404"/>
      <c r="EM12" s="404"/>
      <c r="EN12" s="404"/>
      <c r="EO12" s="404"/>
      <c r="EP12" s="404"/>
      <c r="EQ12" s="246"/>
      <c r="ER12" s="246"/>
      <c r="ES12" s="246"/>
      <c r="ET12" s="246"/>
      <c r="EU12" s="246"/>
      <c r="EV12" s="246"/>
      <c r="EW12" s="246"/>
      <c r="EX12" s="251"/>
      <c r="EY12" s="251"/>
      <c r="EZ12" s="251"/>
      <c r="FA12" s="251"/>
      <c r="FB12" s="246"/>
      <c r="FC12" s="246"/>
      <c r="FD12" s="246"/>
      <c r="FE12" s="246"/>
      <c r="FF12" s="246"/>
      <c r="FG12" s="246"/>
      <c r="FH12" s="246"/>
      <c r="FI12" s="246"/>
      <c r="GA12" s="374"/>
      <c r="GB12" s="374"/>
      <c r="GC12" s="374"/>
      <c r="GD12" s="374"/>
      <c r="GE12" s="374"/>
      <c r="GF12" s="374"/>
      <c r="GG12" s="374"/>
      <c r="GH12" s="374"/>
      <c r="GI12" s="374"/>
      <c r="GJ12" s="374"/>
    </row>
    <row r="13" spans="1:241" ht="11.1" customHeight="1" x14ac:dyDescent="0.2">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BA13" s="246"/>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6"/>
      <c r="CU13" s="246"/>
      <c r="CV13" s="246"/>
      <c r="CW13" s="246"/>
      <c r="CX13" s="246"/>
      <c r="CY13" s="246"/>
      <c r="CZ13" s="246"/>
      <c r="EE13" s="404"/>
      <c r="EF13" s="404"/>
      <c r="EG13" s="404"/>
      <c r="EH13" s="404"/>
      <c r="EI13" s="404"/>
      <c r="EJ13" s="411"/>
      <c r="EK13" s="411"/>
      <c r="EL13" s="411"/>
      <c r="EM13" s="411"/>
      <c r="EN13" s="411"/>
      <c r="EO13" s="411"/>
      <c r="EP13" s="411"/>
      <c r="EQ13" s="2345"/>
      <c r="ES13" s="246"/>
      <c r="ET13" s="246"/>
      <c r="EU13" s="2345"/>
      <c r="EV13" s="2345"/>
      <c r="EW13" s="2345"/>
      <c r="EZ13" s="251"/>
      <c r="FA13" s="251"/>
      <c r="FB13" s="246"/>
      <c r="FC13" s="246"/>
      <c r="FD13" s="246"/>
      <c r="FE13" s="246"/>
      <c r="FF13" s="246"/>
      <c r="FG13" s="246"/>
      <c r="FH13" s="246"/>
      <c r="FI13" s="246"/>
      <c r="GA13" s="374"/>
      <c r="GB13" s="374"/>
      <c r="GC13" s="374"/>
      <c r="GD13" s="374"/>
      <c r="GE13" s="374"/>
      <c r="GF13" s="374"/>
      <c r="GG13" s="374"/>
      <c r="GH13" s="374"/>
      <c r="GI13" s="374"/>
      <c r="GJ13" s="374"/>
    </row>
    <row r="14" spans="1:241" ht="76.349999999999994" customHeight="1" x14ac:dyDescent="0.2">
      <c r="A14" s="374"/>
      <c r="B14" s="374"/>
      <c r="C14" s="374"/>
      <c r="D14" s="374"/>
      <c r="E14" s="374"/>
      <c r="F14" s="374"/>
      <c r="G14" s="374"/>
      <c r="H14" s="374"/>
      <c r="I14" s="374"/>
      <c r="J14" s="374"/>
      <c r="K14" s="374"/>
      <c r="L14" s="374"/>
      <c r="M14" s="374"/>
      <c r="N14" s="374"/>
      <c r="O14" s="374"/>
      <c r="P14" s="374"/>
      <c r="Q14" s="374"/>
      <c r="R14" s="374"/>
      <c r="S14" s="374"/>
      <c r="T14" s="374"/>
      <c r="U14" s="374"/>
      <c r="V14" s="374"/>
      <c r="W14" s="374"/>
      <c r="X14" s="374"/>
      <c r="Y14" s="374"/>
      <c r="Z14" s="374"/>
      <c r="AA14" s="412" t="s">
        <v>28</v>
      </c>
      <c r="AB14" s="413"/>
      <c r="BA14" s="246"/>
      <c r="BB14" s="244"/>
      <c r="BC14" s="244"/>
      <c r="BD14" s="244"/>
      <c r="BE14" s="244"/>
      <c r="BF14" s="244"/>
      <c r="BG14" s="244"/>
      <c r="BH14" s="244"/>
      <c r="BI14" s="244"/>
      <c r="BJ14" s="244"/>
      <c r="BK14" s="244"/>
      <c r="BL14" s="244"/>
      <c r="BM14" s="244"/>
      <c r="BN14" s="244"/>
      <c r="BO14" s="244"/>
      <c r="BP14" s="244"/>
      <c r="BQ14" s="244"/>
      <c r="BR14" s="244"/>
      <c r="BS14" s="244"/>
      <c r="BT14" s="244"/>
      <c r="BU14" s="244"/>
      <c r="BV14" s="244"/>
      <c r="BW14" s="244"/>
      <c r="BX14" s="244"/>
      <c r="BY14" s="244"/>
      <c r="BZ14" s="244"/>
      <c r="CA14" s="244"/>
      <c r="CB14" s="244"/>
      <c r="CC14" s="244"/>
      <c r="CD14" s="244"/>
      <c r="CE14" s="244"/>
      <c r="CF14" s="244"/>
      <c r="CG14" s="374"/>
      <c r="CH14" s="374"/>
      <c r="CI14" s="374"/>
      <c r="CJ14" s="374"/>
      <c r="CK14" s="374"/>
      <c r="CL14" s="374"/>
      <c r="CM14" s="374"/>
      <c r="CN14" s="374"/>
      <c r="CO14" s="374"/>
      <c r="CP14" s="244"/>
      <c r="CQ14" s="244"/>
      <c r="CR14" s="244"/>
      <c r="CS14" s="244"/>
      <c r="CT14" s="246"/>
      <c r="CU14" s="246"/>
      <c r="CV14" s="246"/>
      <c r="CW14" s="246"/>
      <c r="CX14" s="246"/>
      <c r="CY14" s="246"/>
      <c r="CZ14" s="246"/>
      <c r="EE14" s="404"/>
      <c r="EF14" s="404"/>
      <c r="EG14" s="404"/>
      <c r="EH14" s="404"/>
      <c r="EI14" s="404"/>
      <c r="EJ14" s="404"/>
      <c r="EK14" s="404"/>
      <c r="EL14" s="404"/>
      <c r="EM14" s="404"/>
      <c r="EN14" s="404"/>
      <c r="EO14" s="404"/>
      <c r="EP14" s="404"/>
      <c r="EQ14" s="2346"/>
      <c r="ES14" s="246"/>
      <c r="ET14" s="246"/>
      <c r="EU14" s="2346"/>
      <c r="EV14" s="2346"/>
      <c r="EW14" s="2346"/>
      <c r="EZ14" s="251"/>
      <c r="FA14" s="251"/>
      <c r="FB14" s="246"/>
      <c r="FC14" s="246"/>
      <c r="FD14" s="246"/>
      <c r="FE14" s="246"/>
      <c r="FF14" s="246"/>
      <c r="FG14" s="246"/>
      <c r="FH14" s="246"/>
      <c r="FI14" s="246"/>
      <c r="GA14" s="374"/>
      <c r="GB14" s="374"/>
      <c r="GC14" s="374"/>
      <c r="GD14" s="374"/>
      <c r="GE14" s="374"/>
      <c r="GF14" s="374"/>
      <c r="GG14" s="374"/>
      <c r="GH14" s="374"/>
      <c r="GI14" s="374"/>
      <c r="GJ14" s="374"/>
    </row>
    <row r="15" spans="1:241" ht="12.6" customHeight="1" x14ac:dyDescent="0.2">
      <c r="A15" s="374"/>
      <c r="B15" s="374"/>
      <c r="C15" s="374"/>
      <c r="D15" s="374"/>
      <c r="E15" s="374"/>
      <c r="F15" s="374"/>
      <c r="G15" s="374"/>
      <c r="H15" s="374"/>
      <c r="I15" s="374"/>
      <c r="J15" s="374"/>
      <c r="K15" s="374"/>
      <c r="L15" s="374"/>
      <c r="M15" s="374"/>
      <c r="N15" s="374"/>
      <c r="O15" s="374"/>
      <c r="P15" s="374"/>
      <c r="Q15" s="374"/>
      <c r="R15" s="374"/>
      <c r="S15" s="374"/>
      <c r="T15" s="374"/>
      <c r="U15" s="374"/>
      <c r="V15" s="374"/>
      <c r="W15" s="374"/>
      <c r="X15" s="374"/>
      <c r="Y15" s="374"/>
      <c r="Z15" s="462" t="s">
        <v>5</v>
      </c>
      <c r="AA15" s="663">
        <f>AD15+AD41</f>
        <v>0</v>
      </c>
      <c r="AB15" s="414"/>
      <c r="AD15" s="415">
        <v>0</v>
      </c>
      <c r="AE15" s="245" t="s">
        <v>73</v>
      </c>
      <c r="BA15" s="246"/>
      <c r="BB15" s="244"/>
      <c r="BC15" s="244"/>
      <c r="BD15" s="244"/>
      <c r="BE15" s="244"/>
      <c r="BF15" s="244"/>
      <c r="BG15" s="244"/>
      <c r="BH15" s="244"/>
      <c r="BI15" s="244"/>
      <c r="BJ15" s="244"/>
      <c r="BK15" s="244"/>
      <c r="BL15" s="244"/>
      <c r="BM15" s="244"/>
      <c r="BN15" s="244"/>
      <c r="BO15" s="244"/>
      <c r="BP15" s="244"/>
      <c r="BQ15" s="244"/>
      <c r="BR15" s="244"/>
      <c r="BS15" s="244"/>
      <c r="BT15" s="244"/>
      <c r="BU15" s="244"/>
      <c r="BV15" s="244"/>
      <c r="BW15" s="244"/>
      <c r="BX15" s="244"/>
      <c r="BY15" s="244"/>
      <c r="BZ15" s="244"/>
      <c r="CA15" s="244"/>
      <c r="CB15" s="393" t="s">
        <v>678</v>
      </c>
      <c r="CC15" s="2422"/>
      <c r="CD15" s="1940"/>
      <c r="CE15" s="1940"/>
      <c r="CF15" s="1940"/>
      <c r="CG15" s="374"/>
      <c r="CH15" s="374"/>
      <c r="CI15" s="374"/>
      <c r="CJ15" s="374"/>
      <c r="CK15" s="374"/>
      <c r="CL15" s="374"/>
      <c r="CM15" s="374"/>
      <c r="CN15" s="374"/>
      <c r="CO15" s="244"/>
      <c r="CP15" s="244"/>
      <c r="CQ15" s="244"/>
      <c r="CR15" s="244"/>
      <c r="CS15" s="952"/>
      <c r="CT15" s="416"/>
      <c r="CU15" s="246"/>
      <c r="CV15" s="246"/>
      <c r="CW15" s="246"/>
      <c r="CX15" s="246"/>
      <c r="CY15" s="246"/>
      <c r="CZ15" s="246"/>
      <c r="DA15" s="246"/>
      <c r="DB15" s="246"/>
      <c r="DC15" s="246"/>
      <c r="DD15" s="246"/>
      <c r="DE15" s="246"/>
      <c r="DF15" s="246"/>
      <c r="DG15" s="246"/>
      <c r="DH15" s="246"/>
      <c r="DI15" s="404"/>
      <c r="DJ15" s="404"/>
      <c r="DK15" s="251"/>
      <c r="DL15" s="417"/>
      <c r="DM15" s="417"/>
      <c r="DN15" s="417"/>
      <c r="DO15" s="246"/>
      <c r="DP15" s="246"/>
      <c r="DQ15" s="246"/>
      <c r="DR15" s="246"/>
      <c r="DS15" s="246"/>
      <c r="DT15" s="404"/>
      <c r="DU15" s="404"/>
      <c r="DV15" s="404"/>
      <c r="DW15" s="404"/>
      <c r="DX15" s="246"/>
      <c r="DY15" s="251"/>
      <c r="DZ15" s="246"/>
      <c r="EA15" s="246"/>
      <c r="EB15" s="246"/>
      <c r="EC15" s="404"/>
      <c r="ED15" s="404"/>
      <c r="EE15" s="404"/>
      <c r="EF15" s="404"/>
      <c r="EG15" s="404"/>
      <c r="EH15" s="404"/>
      <c r="EI15" s="1295"/>
      <c r="EJ15" s="404"/>
      <c r="EK15" s="404"/>
      <c r="EL15" s="404"/>
      <c r="EM15" s="404"/>
      <c r="EN15" s="404"/>
      <c r="EO15" s="404"/>
      <c r="EP15" s="404"/>
      <c r="EQ15" s="246"/>
      <c r="ES15" s="246"/>
      <c r="ET15" s="246"/>
      <c r="EU15" s="246"/>
      <c r="EV15" s="246"/>
      <c r="EW15" s="246"/>
      <c r="EZ15" s="251"/>
      <c r="FA15" s="251"/>
      <c r="FB15" s="246"/>
      <c r="FC15" s="246"/>
      <c r="FD15" s="246"/>
      <c r="FE15" s="246"/>
      <c r="FF15" s="246"/>
      <c r="FG15" s="246"/>
      <c r="FH15" s="246"/>
      <c r="FI15" s="246"/>
      <c r="FR15" s="511"/>
      <c r="GA15" s="374"/>
      <c r="GB15" s="374"/>
      <c r="GC15" s="374"/>
      <c r="GD15" s="374"/>
      <c r="GE15" s="374"/>
      <c r="GF15" s="374"/>
      <c r="GG15" s="374"/>
      <c r="GH15" s="374"/>
      <c r="GI15" s="374"/>
      <c r="GJ15" s="374"/>
    </row>
    <row r="16" spans="1:241" ht="12.6" customHeight="1" x14ac:dyDescent="0.2">
      <c r="A16" s="374"/>
      <c r="B16" s="374"/>
      <c r="C16" s="374"/>
      <c r="D16" s="374"/>
      <c r="E16" s="374"/>
      <c r="F16" s="374"/>
      <c r="G16" s="374"/>
      <c r="H16" s="374"/>
      <c r="I16" s="374"/>
      <c r="J16" s="374"/>
      <c r="K16" s="374"/>
      <c r="L16" s="374"/>
      <c r="M16" s="374"/>
      <c r="N16" s="374"/>
      <c r="O16" s="374"/>
      <c r="P16" s="374"/>
      <c r="Q16" s="374"/>
      <c r="R16" s="374"/>
      <c r="S16" s="374"/>
      <c r="T16" s="374"/>
      <c r="U16" s="374"/>
      <c r="V16" s="374"/>
      <c r="W16" s="374"/>
      <c r="X16" s="374"/>
      <c r="Y16" s="374"/>
      <c r="Z16" s="462" t="s">
        <v>6</v>
      </c>
      <c r="AA16" s="663">
        <f>AD16+AE41</f>
        <v>535</v>
      </c>
      <c r="AB16" s="414"/>
      <c r="AD16" s="415">
        <v>447</v>
      </c>
      <c r="AE16" s="245" t="s">
        <v>74</v>
      </c>
      <c r="BA16" s="246"/>
      <c r="BB16" s="244"/>
      <c r="BC16" s="244"/>
      <c r="BD16" s="244"/>
      <c r="BE16" s="949">
        <v>4.5</v>
      </c>
      <c r="BF16" s="949">
        <v>5.5</v>
      </c>
      <c r="BG16" s="950">
        <v>5</v>
      </c>
      <c r="BH16" s="950">
        <v>5</v>
      </c>
      <c r="BI16" s="950">
        <v>5</v>
      </c>
      <c r="BJ16" s="950">
        <v>3</v>
      </c>
      <c r="BK16" s="950">
        <v>5</v>
      </c>
      <c r="BL16" s="950">
        <v>5</v>
      </c>
      <c r="BM16" s="950">
        <v>5</v>
      </c>
      <c r="BN16" s="950">
        <v>6</v>
      </c>
      <c r="BO16" s="950">
        <v>5</v>
      </c>
      <c r="BP16" s="950">
        <v>5</v>
      </c>
      <c r="BQ16" s="950">
        <v>5</v>
      </c>
      <c r="BR16" s="950">
        <v>3</v>
      </c>
      <c r="BS16" s="950">
        <v>5</v>
      </c>
      <c r="BT16" s="950">
        <v>5</v>
      </c>
      <c r="BU16" s="950">
        <v>5</v>
      </c>
      <c r="BV16" s="950">
        <v>6</v>
      </c>
      <c r="BW16" s="951"/>
      <c r="BX16" s="949">
        <v>24</v>
      </c>
      <c r="BY16" s="949">
        <v>24</v>
      </c>
      <c r="BZ16" s="244"/>
      <c r="CA16" s="244"/>
      <c r="CB16" s="393" t="s">
        <v>657</v>
      </c>
      <c r="CC16" s="1082"/>
      <c r="CD16" s="244"/>
      <c r="CE16" s="244"/>
      <c r="CF16" s="244"/>
      <c r="CG16" s="374"/>
      <c r="CH16" s="374"/>
      <c r="CI16" s="374"/>
      <c r="CJ16" s="374"/>
      <c r="CK16" s="374"/>
      <c r="CL16" s="374"/>
      <c r="CM16" s="374"/>
      <c r="CN16" s="374"/>
      <c r="CO16" s="244"/>
      <c r="CP16" s="244"/>
      <c r="CQ16" s="244"/>
      <c r="CR16" s="953"/>
      <c r="CS16" s="244"/>
      <c r="CT16" s="416"/>
      <c r="CU16" s="246"/>
      <c r="CV16" s="246"/>
      <c r="CW16" s="246"/>
      <c r="CX16" s="246"/>
      <c r="CY16" s="246"/>
      <c r="CZ16" s="246"/>
      <c r="DA16" s="246"/>
      <c r="DB16" s="246"/>
      <c r="DC16" s="246"/>
      <c r="DD16" s="246"/>
      <c r="DE16" s="246"/>
      <c r="DF16" s="246"/>
      <c r="DG16" s="246"/>
      <c r="DH16" s="246"/>
      <c r="DI16" s="246"/>
      <c r="DJ16" s="246"/>
      <c r="DK16" s="251"/>
      <c r="DL16" s="418"/>
      <c r="DM16" s="418"/>
      <c r="DN16" s="418"/>
      <c r="DO16" s="246"/>
      <c r="DP16" s="419"/>
      <c r="DQ16" s="419"/>
      <c r="DR16" s="419"/>
      <c r="DS16" s="419"/>
      <c r="DT16" s="246"/>
      <c r="DU16" s="246"/>
      <c r="DV16" s="246"/>
      <c r="DW16" s="246"/>
      <c r="DX16" s="246"/>
      <c r="DY16" s="246"/>
      <c r="DZ16" s="246"/>
      <c r="EA16" s="416"/>
      <c r="EB16" s="246"/>
      <c r="EC16" s="404"/>
      <c r="ED16" s="404"/>
      <c r="EE16" s="404"/>
      <c r="EF16" s="404"/>
      <c r="EG16" s="404"/>
      <c r="EH16" s="404"/>
      <c r="EI16" s="404"/>
      <c r="EJ16" s="404"/>
      <c r="EK16" s="404"/>
      <c r="EL16" s="404"/>
      <c r="EM16" s="404"/>
      <c r="EN16" s="404"/>
      <c r="EO16" s="404"/>
      <c r="EP16" s="404"/>
      <c r="EQ16" s="246"/>
      <c r="ES16" s="246"/>
      <c r="ET16" s="246"/>
      <c r="EU16" s="246"/>
      <c r="EV16" s="246"/>
      <c r="EW16" s="246"/>
      <c r="EZ16" s="251"/>
      <c r="FA16" s="251"/>
      <c r="FB16" s="246"/>
      <c r="FC16" s="246"/>
      <c r="FD16" s="246"/>
      <c r="FE16" s="246"/>
      <c r="FF16" s="246"/>
      <c r="FG16" s="246"/>
      <c r="FH16" s="246"/>
      <c r="FI16" s="246"/>
      <c r="FR16" s="510"/>
      <c r="GA16" s="374"/>
      <c r="GB16" s="374"/>
      <c r="GC16" s="374"/>
      <c r="GD16" s="374"/>
      <c r="GE16" s="374"/>
      <c r="GF16" s="374"/>
      <c r="GG16" s="374"/>
      <c r="GH16" s="374"/>
      <c r="GI16" s="374"/>
      <c r="GJ16" s="374"/>
    </row>
    <row r="17" spans="1:240" ht="12.6" customHeight="1" thickBot="1" x14ac:dyDescent="0.25">
      <c r="A17" s="374"/>
      <c r="B17" s="374"/>
      <c r="C17" s="374"/>
      <c r="D17" s="374"/>
      <c r="E17" s="374"/>
      <c r="F17" s="374"/>
      <c r="G17" s="374"/>
      <c r="H17" s="374"/>
      <c r="I17" s="374"/>
      <c r="J17" s="374"/>
      <c r="K17" s="374"/>
      <c r="L17" s="374"/>
      <c r="M17" s="374"/>
      <c r="N17" s="374"/>
      <c r="O17" s="374"/>
      <c r="P17" s="374"/>
      <c r="Q17" s="374"/>
      <c r="R17" s="374"/>
      <c r="S17" s="374"/>
      <c r="T17" s="374"/>
      <c r="U17" s="374"/>
      <c r="V17" s="374"/>
      <c r="W17" s="374"/>
      <c r="X17" s="374"/>
      <c r="Y17" s="374"/>
      <c r="Z17" s="462" t="s">
        <v>7</v>
      </c>
      <c r="AA17" s="663">
        <f>AD17+AF41</f>
        <v>0</v>
      </c>
      <c r="AB17" s="414"/>
      <c r="AD17" s="415">
        <v>0</v>
      </c>
      <c r="AE17" s="245" t="s">
        <v>75</v>
      </c>
      <c r="AP17" s="1028"/>
      <c r="BA17" s="246"/>
      <c r="BB17" s="1622">
        <v>6</v>
      </c>
      <c r="BC17" s="1622">
        <v>4</v>
      </c>
      <c r="BD17" s="1622">
        <v>13</v>
      </c>
      <c r="BE17" s="1622">
        <v>4</v>
      </c>
      <c r="BF17" s="1622">
        <v>5</v>
      </c>
      <c r="BG17" s="1623">
        <v>3</v>
      </c>
      <c r="BH17" s="1623">
        <v>4.57</v>
      </c>
      <c r="BI17" s="1623">
        <v>4.57</v>
      </c>
      <c r="BJ17" s="1623">
        <v>2.71</v>
      </c>
      <c r="BK17" s="1623">
        <v>4.57</v>
      </c>
      <c r="BL17" s="1623">
        <v>4.57</v>
      </c>
      <c r="BM17" s="1623">
        <v>4</v>
      </c>
      <c r="BN17" s="1623">
        <v>5</v>
      </c>
      <c r="BO17" s="1623">
        <v>2.71</v>
      </c>
      <c r="BP17" s="1623">
        <v>5.29</v>
      </c>
      <c r="BQ17" s="1623">
        <v>5.29</v>
      </c>
      <c r="BR17" s="1623">
        <v>4</v>
      </c>
      <c r="BS17" s="1623">
        <v>3</v>
      </c>
      <c r="BT17" s="1623">
        <v>4.57</v>
      </c>
      <c r="BU17" s="1623">
        <v>4.57</v>
      </c>
      <c r="BV17" s="1623">
        <v>2.71</v>
      </c>
      <c r="BW17" s="1622">
        <v>4.57</v>
      </c>
      <c r="BX17" s="1622">
        <v>4.57</v>
      </c>
      <c r="BY17" s="1622">
        <v>4</v>
      </c>
      <c r="BZ17" s="1622">
        <v>5</v>
      </c>
      <c r="CA17" s="1622">
        <v>2.71</v>
      </c>
      <c r="CB17" s="1623">
        <v>5.29</v>
      </c>
      <c r="CC17" s="1622">
        <v>5.29</v>
      </c>
      <c r="CD17" s="1622">
        <v>4</v>
      </c>
      <c r="CE17" s="1622">
        <v>5</v>
      </c>
      <c r="CF17" s="1622">
        <v>17.14</v>
      </c>
      <c r="CG17" s="1623">
        <v>17.14</v>
      </c>
      <c r="CH17" s="374"/>
      <c r="CI17" s="374"/>
      <c r="CJ17" s="374"/>
      <c r="CK17" s="374"/>
      <c r="CL17" s="374"/>
      <c r="CM17" s="374"/>
      <c r="CN17" s="374"/>
      <c r="CO17" s="244"/>
      <c r="CP17" s="244"/>
      <c r="CQ17" s="244"/>
      <c r="CR17" s="244"/>
      <c r="CS17" s="244"/>
      <c r="CT17" s="246"/>
      <c r="CU17" s="246"/>
      <c r="CV17" s="246"/>
      <c r="CW17" s="246"/>
      <c r="CX17" s="246"/>
      <c r="CY17" s="246"/>
      <c r="CZ17" s="246"/>
      <c r="DA17" s="246"/>
      <c r="DB17" s="246"/>
      <c r="DC17" s="246"/>
      <c r="DD17" s="246"/>
      <c r="DE17" s="246"/>
      <c r="DF17" s="246"/>
      <c r="DG17" s="246"/>
      <c r="DH17" s="246"/>
      <c r="DI17" s="246"/>
      <c r="DJ17" s="246"/>
      <c r="DK17" s="251"/>
      <c r="DN17" s="418"/>
      <c r="DO17" s="246"/>
      <c r="DP17" s="246"/>
      <c r="DQ17" s="246"/>
      <c r="DR17" s="246"/>
      <c r="DS17" s="246"/>
      <c r="DT17" s="404"/>
      <c r="DU17" s="404"/>
      <c r="DV17" s="404"/>
      <c r="DW17" s="404"/>
      <c r="DX17" s="246"/>
      <c r="DY17" s="251"/>
      <c r="DZ17" s="246"/>
      <c r="EA17" s="246"/>
      <c r="EB17" s="246"/>
      <c r="EC17" s="404"/>
      <c r="ED17" s="404"/>
      <c r="EE17" s="404"/>
      <c r="EF17" s="404"/>
      <c r="EG17" s="404"/>
      <c r="EH17" s="404"/>
      <c r="EI17" s="404"/>
      <c r="EJ17" s="404"/>
      <c r="EK17" s="404"/>
      <c r="EL17" s="404"/>
      <c r="EM17" s="404"/>
      <c r="EN17" s="404"/>
      <c r="EO17" s="404"/>
      <c r="EP17" s="404"/>
      <c r="EQ17" s="246"/>
      <c r="ER17" s="246"/>
      <c r="ES17" s="246"/>
      <c r="ET17" s="246"/>
      <c r="EU17" s="246"/>
      <c r="EV17" s="246"/>
      <c r="EW17" s="246"/>
      <c r="EX17" s="251"/>
      <c r="EY17" s="251"/>
      <c r="EZ17" s="251"/>
      <c r="FA17" s="251"/>
      <c r="FB17" s="246"/>
      <c r="FC17" s="246"/>
      <c r="FD17" s="246"/>
      <c r="FE17" s="246"/>
      <c r="FF17" s="246"/>
      <c r="FG17" s="246"/>
      <c r="FH17" s="246"/>
      <c r="FI17" s="246"/>
      <c r="GA17" s="374"/>
      <c r="GB17" s="374"/>
      <c r="GC17" s="374"/>
      <c r="GD17" s="374"/>
      <c r="GE17" s="374"/>
      <c r="GF17" s="374"/>
      <c r="GG17" s="374"/>
      <c r="GH17" s="374"/>
      <c r="GI17" s="374"/>
      <c r="GJ17" s="374"/>
      <c r="GZ17" s="2326"/>
    </row>
    <row r="18" spans="1:240" ht="12.6" customHeight="1" thickTop="1" thickBot="1" x14ac:dyDescent="0.25">
      <c r="A18" s="374"/>
      <c r="B18" s="374"/>
      <c r="C18" s="374"/>
      <c r="D18" s="374"/>
      <c r="E18" s="374"/>
      <c r="F18" s="374"/>
      <c r="G18" s="374"/>
      <c r="H18" s="374"/>
      <c r="I18" s="374"/>
      <c r="J18" s="374"/>
      <c r="K18" s="374"/>
      <c r="L18" s="374"/>
      <c r="M18" s="374"/>
      <c r="N18" s="374"/>
      <c r="O18" s="374"/>
      <c r="P18" s="374"/>
      <c r="Q18" s="374"/>
      <c r="R18" s="374"/>
      <c r="S18" s="374"/>
      <c r="T18" s="374"/>
      <c r="U18" s="374"/>
      <c r="V18" s="374"/>
      <c r="W18" s="374"/>
      <c r="X18" s="374"/>
      <c r="Y18" s="374"/>
      <c r="Z18" s="462" t="s">
        <v>8</v>
      </c>
      <c r="AA18" s="663">
        <f>AD18+AG41</f>
        <v>0</v>
      </c>
      <c r="AD18" s="415">
        <v>0</v>
      </c>
      <c r="AE18" s="245" t="s">
        <v>76</v>
      </c>
      <c r="BA18" s="547" t="s">
        <v>116</v>
      </c>
      <c r="BB18" s="2375" t="s">
        <v>592</v>
      </c>
      <c r="BC18" s="2376"/>
      <c r="BD18" s="2376"/>
      <c r="BE18" s="2376"/>
      <c r="BF18" s="2376"/>
      <c r="BG18" s="2376"/>
      <c r="BH18" s="2376"/>
      <c r="BI18" s="2376"/>
      <c r="BJ18" s="2376"/>
      <c r="BK18" s="2376"/>
      <c r="BL18" s="2376"/>
      <c r="BM18" s="2376"/>
      <c r="BN18" s="2376"/>
      <c r="BO18" s="2376"/>
      <c r="BP18" s="2376"/>
      <c r="BQ18" s="2376"/>
      <c r="BR18" s="2376"/>
      <c r="BS18" s="2376"/>
      <c r="BT18" s="2376"/>
      <c r="BU18" s="2376"/>
      <c r="BV18" s="2376"/>
      <c r="BW18" s="2376"/>
      <c r="BX18" s="2376"/>
      <c r="BY18" s="2376"/>
      <c r="BZ18" s="2376"/>
      <c r="CA18" s="2376"/>
      <c r="CB18" s="2376"/>
      <c r="CC18" s="1557"/>
      <c r="CD18" s="2379"/>
      <c r="CE18" s="2379"/>
      <c r="CF18" s="2379"/>
      <c r="CG18" s="2380"/>
      <c r="CH18" s="244"/>
      <c r="CI18" s="244"/>
      <c r="CJ18" s="244"/>
      <c r="CK18" s="244"/>
      <c r="CL18" s="244"/>
      <c r="CM18" s="908"/>
      <c r="CN18" s="244"/>
      <c r="CO18" s="244"/>
      <c r="CP18" s="244"/>
      <c r="CQ18" s="244"/>
      <c r="CR18" s="244"/>
      <c r="CS18" s="244"/>
      <c r="CT18" s="246"/>
      <c r="CU18" s="246"/>
      <c r="CV18" s="246"/>
      <c r="CW18" s="246"/>
      <c r="CX18" s="246"/>
      <c r="CY18" s="246"/>
      <c r="CZ18" s="246"/>
      <c r="DA18" s="246"/>
      <c r="DB18" s="246"/>
      <c r="DC18" s="246"/>
      <c r="DD18" s="246"/>
      <c r="DE18" s="246"/>
      <c r="DF18" s="246"/>
      <c r="DG18" s="246"/>
      <c r="DH18" s="246"/>
      <c r="DI18" s="246"/>
      <c r="DJ18" s="246"/>
      <c r="DK18" s="251"/>
      <c r="DL18" s="246"/>
      <c r="DM18" s="246"/>
      <c r="DN18" s="246"/>
      <c r="DO18" s="246"/>
      <c r="DP18" s="419"/>
      <c r="DQ18" s="419"/>
      <c r="DR18" s="419"/>
      <c r="DS18" s="419"/>
      <c r="DT18" s="516"/>
      <c r="DU18" s="246"/>
      <c r="DV18" s="246"/>
      <c r="DW18" s="246"/>
      <c r="DX18" s="246"/>
      <c r="DY18" s="246"/>
      <c r="DZ18" s="246"/>
      <c r="EA18" s="416"/>
      <c r="EB18" s="420"/>
      <c r="EC18" s="420"/>
      <c r="ED18" s="420"/>
      <c r="EE18" s="420"/>
      <c r="EF18" s="404"/>
      <c r="EG18" s="246"/>
      <c r="EH18" s="246" t="s">
        <v>1218</v>
      </c>
      <c r="EI18" s="246"/>
      <c r="EJ18" s="246"/>
      <c r="EK18" s="246"/>
      <c r="EL18" s="246"/>
      <c r="EM18" s="246"/>
      <c r="EN18" s="246"/>
      <c r="EO18" s="246" t="s">
        <v>1219</v>
      </c>
      <c r="EP18" s="246"/>
      <c r="EQ18" s="246"/>
      <c r="ER18" s="246"/>
      <c r="ES18" s="246"/>
      <c r="ET18" s="246"/>
      <c r="EU18" s="251"/>
      <c r="EV18" s="251"/>
      <c r="EW18" s="251"/>
      <c r="EX18" s="251"/>
      <c r="EY18" s="246"/>
      <c r="EZ18" s="246"/>
      <c r="FA18" s="246"/>
      <c r="FB18" s="246"/>
      <c r="FC18" s="246"/>
      <c r="FD18" s="246"/>
      <c r="FE18" s="246"/>
      <c r="FF18" s="246"/>
      <c r="FG18" s="246"/>
      <c r="FQ18" s="633" t="s">
        <v>1217</v>
      </c>
      <c r="FR18" s="420"/>
      <c r="FS18" s="420"/>
      <c r="FW18" s="420"/>
      <c r="FX18" s="420"/>
      <c r="GA18" s="374"/>
      <c r="GB18" s="374"/>
      <c r="GC18" s="374"/>
      <c r="GD18" s="374"/>
      <c r="GE18" s="374"/>
      <c r="GF18" s="374"/>
      <c r="GG18" s="374"/>
      <c r="GH18" s="374"/>
      <c r="GI18" s="374"/>
      <c r="GJ18" s="374"/>
      <c r="GZ18" s="2327"/>
      <c r="HA18" s="255">
        <v>1</v>
      </c>
      <c r="HB18" s="255">
        <f>HA18+1</f>
        <v>2</v>
      </c>
      <c r="HC18" s="255">
        <f t="shared" ref="HC18:IB18" si="0">HB18+1</f>
        <v>3</v>
      </c>
      <c r="HD18" s="255">
        <f t="shared" si="0"/>
        <v>4</v>
      </c>
      <c r="HE18" s="255">
        <f t="shared" si="0"/>
        <v>5</v>
      </c>
      <c r="HF18" s="255">
        <f t="shared" si="0"/>
        <v>6</v>
      </c>
      <c r="HG18" s="255">
        <f t="shared" si="0"/>
        <v>7</v>
      </c>
      <c r="HH18" s="255">
        <f t="shared" si="0"/>
        <v>8</v>
      </c>
      <c r="HI18" s="255">
        <f t="shared" si="0"/>
        <v>9</v>
      </c>
      <c r="HJ18" s="255">
        <f t="shared" si="0"/>
        <v>10</v>
      </c>
      <c r="HK18" s="255">
        <f t="shared" si="0"/>
        <v>11</v>
      </c>
      <c r="HL18" s="255">
        <f t="shared" si="0"/>
        <v>12</v>
      </c>
      <c r="HM18" s="255">
        <f t="shared" si="0"/>
        <v>13</v>
      </c>
      <c r="HN18" s="255">
        <f t="shared" si="0"/>
        <v>14</v>
      </c>
      <c r="HO18" s="255">
        <f t="shared" si="0"/>
        <v>15</v>
      </c>
      <c r="HP18" s="255">
        <f t="shared" si="0"/>
        <v>16</v>
      </c>
      <c r="HQ18" s="255">
        <f t="shared" si="0"/>
        <v>17</v>
      </c>
      <c r="HR18" s="255">
        <f t="shared" si="0"/>
        <v>18</v>
      </c>
      <c r="HS18" s="255">
        <f t="shared" si="0"/>
        <v>19</v>
      </c>
      <c r="HT18" s="255">
        <f t="shared" si="0"/>
        <v>20</v>
      </c>
      <c r="HU18" s="255">
        <f t="shared" si="0"/>
        <v>21</v>
      </c>
      <c r="HV18" s="255">
        <f t="shared" si="0"/>
        <v>22</v>
      </c>
      <c r="HW18" s="255">
        <f t="shared" si="0"/>
        <v>23</v>
      </c>
      <c r="HX18" s="255">
        <f t="shared" si="0"/>
        <v>24</v>
      </c>
      <c r="HY18" s="255">
        <f t="shared" si="0"/>
        <v>25</v>
      </c>
      <c r="HZ18" s="255">
        <f t="shared" si="0"/>
        <v>26</v>
      </c>
      <c r="IA18" s="255">
        <f t="shared" si="0"/>
        <v>27</v>
      </c>
      <c r="IB18" s="255">
        <f t="shared" si="0"/>
        <v>28</v>
      </c>
      <c r="IC18" s="255">
        <f>IB18+1</f>
        <v>29</v>
      </c>
      <c r="ID18" s="255">
        <f>IC18+1</f>
        <v>30</v>
      </c>
      <c r="IE18" s="255">
        <f>ID18+1</f>
        <v>31</v>
      </c>
      <c r="IF18" s="255">
        <f>IE18+1</f>
        <v>32</v>
      </c>
    </row>
    <row r="19" spans="1:240" ht="12.6" customHeight="1" thickBot="1" x14ac:dyDescent="0.25">
      <c r="A19" s="374"/>
      <c r="B19" s="374"/>
      <c r="C19" s="374"/>
      <c r="D19" s="374"/>
      <c r="E19" s="374"/>
      <c r="F19" s="374"/>
      <c r="G19" s="374"/>
      <c r="H19" s="374"/>
      <c r="I19" s="374"/>
      <c r="J19" s="374"/>
      <c r="K19" s="374"/>
      <c r="L19" s="374"/>
      <c r="M19" s="374"/>
      <c r="N19" s="374"/>
      <c r="O19" s="374"/>
      <c r="P19" s="374"/>
      <c r="Q19" s="374"/>
      <c r="R19" s="374"/>
      <c r="S19" s="374"/>
      <c r="T19" s="374"/>
      <c r="U19" s="374"/>
      <c r="V19" s="374"/>
      <c r="W19" s="374"/>
      <c r="X19" s="374"/>
      <c r="Y19" s="374"/>
      <c r="Z19" s="462" t="s">
        <v>115</v>
      </c>
      <c r="AA19" s="663">
        <f>AD19+AH41</f>
        <v>0</v>
      </c>
      <c r="AD19" s="415">
        <v>0</v>
      </c>
      <c r="AE19" s="245" t="s">
        <v>114</v>
      </c>
      <c r="BA19" s="548"/>
      <c r="BB19" s="2377"/>
      <c r="BC19" s="2378"/>
      <c r="BD19" s="2378"/>
      <c r="BE19" s="2378"/>
      <c r="BF19" s="2378"/>
      <c r="BG19" s="2378"/>
      <c r="BH19" s="2378"/>
      <c r="BI19" s="2378"/>
      <c r="BJ19" s="2378"/>
      <c r="BK19" s="2378"/>
      <c r="BL19" s="2378"/>
      <c r="BM19" s="2378"/>
      <c r="BN19" s="2378"/>
      <c r="BO19" s="2378"/>
      <c r="BP19" s="2378"/>
      <c r="BQ19" s="2378"/>
      <c r="BR19" s="2378"/>
      <c r="BS19" s="2378"/>
      <c r="BT19" s="2378"/>
      <c r="BU19" s="2378"/>
      <c r="BV19" s="2378"/>
      <c r="BW19" s="2378"/>
      <c r="BX19" s="2378"/>
      <c r="BY19" s="2378"/>
      <c r="BZ19" s="2378"/>
      <c r="CA19" s="2378"/>
      <c r="CB19" s="2378"/>
      <c r="CC19" s="1556"/>
      <c r="CD19" s="2381"/>
      <c r="CE19" s="2382"/>
      <c r="CF19" s="2382"/>
      <c r="CG19" s="2383"/>
      <c r="CH19" s="374"/>
      <c r="CI19" s="374"/>
      <c r="CJ19" s="374"/>
      <c r="CK19" s="374"/>
      <c r="CL19" s="374"/>
      <c r="CM19" s="936"/>
      <c r="CN19" s="2448" t="s">
        <v>679</v>
      </c>
      <c r="CO19" s="2449"/>
      <c r="CP19" s="2120" t="s">
        <v>615</v>
      </c>
      <c r="CQ19" s="2443"/>
      <c r="CR19" s="2410" t="s">
        <v>482</v>
      </c>
      <c r="CS19" s="2402" t="s">
        <v>483</v>
      </c>
      <c r="CU19" s="246"/>
      <c r="CV19" s="246"/>
      <c r="CW19" s="246"/>
      <c r="CX19" s="246"/>
      <c r="CY19" s="246"/>
      <c r="CZ19" s="246"/>
      <c r="DA19" s="246"/>
      <c r="DB19" s="246"/>
      <c r="DC19" s="246"/>
      <c r="DD19" s="246"/>
      <c r="DE19" s="246"/>
      <c r="DF19" s="246"/>
      <c r="DG19" s="246"/>
      <c r="DH19" s="246"/>
      <c r="DI19" s="246"/>
      <c r="DJ19" s="246"/>
      <c r="DK19" s="246"/>
      <c r="DL19" s="246"/>
      <c r="DM19" s="246"/>
      <c r="DN19" s="246"/>
      <c r="DO19" s="251"/>
      <c r="DQ19" s="418"/>
      <c r="DR19" s="246"/>
      <c r="DS19" s="246"/>
      <c r="DT19" s="246"/>
      <c r="DU19" s="246"/>
      <c r="DV19" s="246"/>
      <c r="DW19" s="404"/>
      <c r="DX19" s="404"/>
      <c r="DY19" s="404"/>
      <c r="DZ19" s="404"/>
      <c r="EA19" s="246"/>
      <c r="EB19" s="251"/>
      <c r="EC19" s="246"/>
      <c r="ED19" s="246"/>
      <c r="EE19" s="246"/>
      <c r="EF19" s="246"/>
      <c r="EG19" s="246"/>
      <c r="EH19" s="246"/>
      <c r="EI19" s="246"/>
      <c r="EJ19" s="246"/>
      <c r="EK19" s="246"/>
      <c r="EL19" s="246"/>
      <c r="EM19" s="246"/>
      <c r="EN19" s="246"/>
      <c r="EO19" s="246"/>
      <c r="EP19" s="246"/>
      <c r="EQ19" s="246"/>
      <c r="ER19" s="246"/>
      <c r="ES19" s="246"/>
      <c r="ET19" s="246"/>
      <c r="EU19" s="246"/>
      <c r="EV19" s="2364" t="s">
        <v>581</v>
      </c>
      <c r="EW19" s="2371" t="s">
        <v>472</v>
      </c>
      <c r="EX19" s="2362" t="s">
        <v>525</v>
      </c>
      <c r="EY19" s="2362" t="s">
        <v>526</v>
      </c>
      <c r="EZ19" s="2362" t="s">
        <v>527</v>
      </c>
      <c r="FA19" s="2362" t="s">
        <v>528</v>
      </c>
      <c r="FB19" s="2362" t="s">
        <v>529</v>
      </c>
      <c r="FC19" s="2362" t="s">
        <v>530</v>
      </c>
      <c r="FD19" s="2362" t="s">
        <v>531</v>
      </c>
      <c r="FE19" s="2362" t="s">
        <v>473</v>
      </c>
      <c r="FF19" s="2362" t="s">
        <v>532</v>
      </c>
      <c r="FG19" s="2362" t="s">
        <v>583</v>
      </c>
      <c r="FH19" s="2362" t="s">
        <v>474</v>
      </c>
      <c r="FI19" s="2362" t="s">
        <v>533</v>
      </c>
      <c r="FJ19" s="2362" t="s">
        <v>475</v>
      </c>
      <c r="FK19" s="2362" t="s">
        <v>534</v>
      </c>
      <c r="FL19" s="2362" t="s">
        <v>584</v>
      </c>
      <c r="FM19" s="2362" t="s">
        <v>476</v>
      </c>
      <c r="FN19" s="2362" t="s">
        <v>477</v>
      </c>
      <c r="FQ19" s="2335" t="s">
        <v>656</v>
      </c>
      <c r="FR19" s="2336"/>
      <c r="GA19" s="374"/>
      <c r="GB19" s="374"/>
      <c r="GC19" s="374"/>
      <c r="GD19" s="374"/>
      <c r="GE19" s="374"/>
      <c r="GF19" s="374"/>
      <c r="GG19" s="374"/>
      <c r="GH19" s="374"/>
      <c r="GI19" s="374"/>
      <c r="GJ19" s="374"/>
      <c r="HA19" s="2470" t="s">
        <v>621</v>
      </c>
      <c r="HB19" s="2471"/>
      <c r="HC19" s="2471"/>
      <c r="HD19" s="2471"/>
      <c r="HE19" s="2471"/>
      <c r="HF19" s="2471"/>
      <c r="HG19" s="2471"/>
      <c r="HH19" s="2471"/>
      <c r="HI19" s="2471"/>
      <c r="HJ19" s="2471"/>
      <c r="HK19" s="2471"/>
      <c r="HL19" s="2471"/>
      <c r="HM19" s="2471"/>
      <c r="HN19" s="2471"/>
      <c r="HO19" s="2471"/>
      <c r="HP19" s="2471"/>
      <c r="HQ19" s="2471"/>
      <c r="HR19" s="2471"/>
      <c r="HS19" s="2471"/>
      <c r="HT19" s="2471"/>
      <c r="HU19" s="2471"/>
      <c r="HV19" s="2472"/>
      <c r="HW19" s="2472"/>
      <c r="HX19" s="2472"/>
      <c r="HY19" s="2473"/>
      <c r="HZ19" s="2473"/>
      <c r="IA19" s="2473"/>
      <c r="IB19" s="2473"/>
      <c r="IC19" s="2473"/>
      <c r="ID19" s="2473"/>
      <c r="IE19" s="2473"/>
      <c r="IF19" s="2474"/>
    </row>
    <row r="20" spans="1:240" ht="12.6" customHeight="1" thickTop="1" thickBot="1" x14ac:dyDescent="0.25">
      <c r="A20" s="421"/>
      <c r="B20" s="421"/>
      <c r="C20" s="421"/>
      <c r="D20" s="422"/>
      <c r="E20" s="422"/>
      <c r="F20" s="422"/>
      <c r="G20" s="422"/>
      <c r="H20" s="422"/>
      <c r="I20" s="422"/>
      <c r="J20" s="422"/>
      <c r="K20" s="422"/>
      <c r="L20" s="422"/>
      <c r="M20" s="422"/>
      <c r="N20" s="422"/>
      <c r="O20" s="422"/>
      <c r="P20" s="422"/>
      <c r="Q20" s="422"/>
      <c r="R20" s="422"/>
      <c r="S20" s="422"/>
      <c r="T20" s="422"/>
      <c r="U20" s="422"/>
      <c r="V20" s="422"/>
      <c r="W20" s="374"/>
      <c r="X20" s="374"/>
      <c r="Y20" s="374"/>
      <c r="Z20" s="374"/>
      <c r="AA20" s="374"/>
      <c r="AU20" s="1912" t="s">
        <v>450</v>
      </c>
      <c r="AV20" s="2335" t="s">
        <v>451</v>
      </c>
      <c r="AW20" s="2336"/>
      <c r="AX20" s="465"/>
      <c r="BA20" s="423"/>
      <c r="BB20" s="2395"/>
      <c r="BC20" s="2396"/>
      <c r="BD20" s="2396"/>
      <c r="BE20" s="2396"/>
      <c r="BF20" s="2397"/>
      <c r="BG20" s="2430" t="s">
        <v>469</v>
      </c>
      <c r="BH20" s="2431"/>
      <c r="BI20" s="2431"/>
      <c r="BJ20" s="2431"/>
      <c r="BK20" s="2431"/>
      <c r="BL20" s="2432"/>
      <c r="BM20" s="2433"/>
      <c r="BN20" s="2433"/>
      <c r="BO20" s="2434"/>
      <c r="BP20" s="2434"/>
      <c r="BQ20" s="2434"/>
      <c r="BR20" s="2435"/>
      <c r="BS20" s="2430" t="s">
        <v>470</v>
      </c>
      <c r="BT20" s="2432"/>
      <c r="BU20" s="2432"/>
      <c r="BV20" s="2432"/>
      <c r="BW20" s="2432"/>
      <c r="BX20" s="2432"/>
      <c r="BY20" s="2433"/>
      <c r="BZ20" s="2433"/>
      <c r="CA20" s="2434"/>
      <c r="CB20" s="2434"/>
      <c r="CC20" s="2434"/>
      <c r="CD20" s="2435"/>
      <c r="CE20" s="2460" t="s">
        <v>804</v>
      </c>
      <c r="CF20" s="2463"/>
      <c r="CG20" s="2464"/>
      <c r="CH20" s="374"/>
      <c r="CI20" s="374"/>
      <c r="CJ20" s="374"/>
      <c r="CK20" s="374"/>
      <c r="CL20" s="937"/>
      <c r="CM20" s="938"/>
      <c r="CN20" s="2450"/>
      <c r="CO20" s="2451"/>
      <c r="CP20" s="2444"/>
      <c r="CQ20" s="2445"/>
      <c r="CR20" s="2411"/>
      <c r="CS20" s="2403"/>
      <c r="CU20" s="2413" t="s">
        <v>471</v>
      </c>
      <c r="CV20" s="2414"/>
      <c r="CW20" s="2414"/>
      <c r="CX20" s="2414"/>
      <c r="CY20" s="2414"/>
      <c r="CZ20" s="2414"/>
      <c r="DA20" s="2414"/>
      <c r="DB20" s="2414"/>
      <c r="DC20" s="2414"/>
      <c r="DD20" s="2415"/>
      <c r="DE20" s="2413" t="s">
        <v>470</v>
      </c>
      <c r="DF20" s="2414"/>
      <c r="DG20" s="2414"/>
      <c r="DH20" s="2414"/>
      <c r="DI20" s="2414"/>
      <c r="DJ20" s="2414"/>
      <c r="DK20" s="2414"/>
      <c r="DL20" s="2414"/>
      <c r="DM20" s="2414"/>
      <c r="DN20" s="2415"/>
      <c r="DQ20" s="424"/>
      <c r="DR20" s="246"/>
      <c r="DS20" s="419"/>
      <c r="DT20" s="419"/>
      <c r="DU20" s="419"/>
      <c r="DV20" s="419"/>
      <c r="DW20" s="246"/>
      <c r="DX20" s="246"/>
      <c r="DY20" s="246"/>
      <c r="DZ20" s="246"/>
      <c r="EA20" s="246"/>
      <c r="EB20" s="246"/>
      <c r="EC20" s="246"/>
      <c r="ED20" s="416"/>
      <c r="EE20" s="424"/>
      <c r="EF20" s="424"/>
      <c r="EG20" s="424"/>
      <c r="EH20" s="424"/>
      <c r="EI20" s="424"/>
      <c r="EJ20" s="424"/>
      <c r="EK20" s="424"/>
      <c r="EL20" s="424"/>
      <c r="EM20" s="424"/>
      <c r="EN20" s="424"/>
      <c r="EO20" s="424"/>
      <c r="EP20" s="424"/>
      <c r="EQ20" s="424"/>
      <c r="ER20" s="424"/>
      <c r="ES20" s="424"/>
      <c r="ET20" s="424"/>
      <c r="EU20" s="425"/>
      <c r="EV20" s="2365"/>
      <c r="EW20" s="2372"/>
      <c r="EX20" s="2363"/>
      <c r="EY20" s="2363"/>
      <c r="EZ20" s="2438"/>
      <c r="FA20" s="2363"/>
      <c r="FB20" s="2363"/>
      <c r="FC20" s="2363"/>
      <c r="FD20" s="2439"/>
      <c r="FE20" s="2439"/>
      <c r="FF20" s="2439"/>
      <c r="FG20" s="2439"/>
      <c r="FH20" s="2439"/>
      <c r="FI20" s="2439"/>
      <c r="FJ20" s="2439"/>
      <c r="FK20" s="2439"/>
      <c r="FL20" s="2439"/>
      <c r="FM20" s="2439"/>
      <c r="FN20" s="2439"/>
      <c r="FQ20" s="2337"/>
      <c r="FR20" s="2338"/>
      <c r="GA20" s="2334" t="s">
        <v>1140</v>
      </c>
      <c r="GB20" s="2334"/>
      <c r="GC20" s="2334"/>
      <c r="GD20" s="2334"/>
      <c r="GE20" s="2334"/>
      <c r="GF20" s="2334"/>
      <c r="GG20" s="1951"/>
      <c r="GH20" s="1951"/>
      <c r="GI20" s="1951"/>
      <c r="GJ20" s="1951"/>
      <c r="GZ20" s="2326"/>
      <c r="HA20" s="2475"/>
      <c r="HB20" s="2476"/>
      <c r="HC20" s="2476"/>
      <c r="HD20" s="2476"/>
      <c r="HE20" s="2476"/>
      <c r="HF20" s="2476"/>
      <c r="HG20" s="2476"/>
      <c r="HH20" s="2476"/>
      <c r="HI20" s="2476"/>
      <c r="HJ20" s="2476"/>
      <c r="HK20" s="2476"/>
      <c r="HL20" s="2476"/>
      <c r="HM20" s="2476"/>
      <c r="HN20" s="2476"/>
      <c r="HO20" s="2476"/>
      <c r="HP20" s="2476"/>
      <c r="HQ20" s="2476"/>
      <c r="HR20" s="2476"/>
      <c r="HS20" s="2476"/>
      <c r="HT20" s="2476"/>
      <c r="HU20" s="2476"/>
      <c r="HV20" s="2477"/>
      <c r="HW20" s="2477"/>
      <c r="HX20" s="2477"/>
      <c r="HY20" s="2478"/>
      <c r="HZ20" s="2478"/>
      <c r="IA20" s="2478"/>
      <c r="IB20" s="2478"/>
      <c r="IC20" s="2478"/>
      <c r="ID20" s="2478"/>
      <c r="IE20" s="2478"/>
      <c r="IF20" s="2479"/>
    </row>
    <row r="21" spans="1:240" s="426" customFormat="1" ht="12.6" customHeight="1" thickTop="1" thickBot="1" x14ac:dyDescent="0.25">
      <c r="A21" s="2426" t="s">
        <v>40</v>
      </c>
      <c r="B21" s="2400" t="s">
        <v>28</v>
      </c>
      <c r="C21" s="2400" t="s">
        <v>24</v>
      </c>
      <c r="D21" s="2400" t="s">
        <v>25</v>
      </c>
      <c r="E21" s="2424"/>
      <c r="F21" s="1985" t="s">
        <v>9</v>
      </c>
      <c r="G21" s="2093"/>
      <c r="H21" s="2093"/>
      <c r="I21" s="2093" t="s">
        <v>10</v>
      </c>
      <c r="J21" s="2093"/>
      <c r="K21" s="1983"/>
      <c r="L21" s="2092" t="s">
        <v>11</v>
      </c>
      <c r="M21" s="2094"/>
      <c r="N21" s="1985" t="s">
        <v>12</v>
      </c>
      <c r="O21" s="2093"/>
      <c r="P21" s="2093"/>
      <c r="Q21" s="2093" t="s">
        <v>13</v>
      </c>
      <c r="R21" s="2093"/>
      <c r="S21" s="2094"/>
      <c r="T21" s="1985" t="s">
        <v>14</v>
      </c>
      <c r="U21" s="2093"/>
      <c r="V21" s="2093"/>
      <c r="W21" s="2093"/>
      <c r="X21" s="1983"/>
      <c r="Y21" s="2087" t="s">
        <v>111</v>
      </c>
      <c r="Z21" s="2088"/>
      <c r="AA21" s="1059" t="s">
        <v>15</v>
      </c>
      <c r="AB21" s="1414"/>
      <c r="AU21" s="1913"/>
      <c r="AV21" s="2337"/>
      <c r="AW21" s="2338"/>
      <c r="AX21" s="502"/>
      <c r="AZ21" s="2428" t="s">
        <v>1059</v>
      </c>
      <c r="BA21" s="251"/>
      <c r="BB21" s="2436" t="s">
        <v>539</v>
      </c>
      <c r="BC21" s="2416" t="s">
        <v>130</v>
      </c>
      <c r="BD21" s="2417" t="s">
        <v>540</v>
      </c>
      <c r="BE21" s="2418" t="s">
        <v>1290</v>
      </c>
      <c r="BF21" s="2419"/>
      <c r="BG21" s="2242" t="s">
        <v>1282</v>
      </c>
      <c r="BH21" s="2386" t="s">
        <v>803</v>
      </c>
      <c r="BI21" s="2387"/>
      <c r="BJ21" s="2384" t="s">
        <v>541</v>
      </c>
      <c r="BK21" s="2386" t="s">
        <v>1072</v>
      </c>
      <c r="BL21" s="2387"/>
      <c r="BM21" s="2384" t="s">
        <v>488</v>
      </c>
      <c r="BN21" s="2391" t="s">
        <v>793</v>
      </c>
      <c r="BO21" s="2393" t="s">
        <v>1275</v>
      </c>
      <c r="BP21" s="1953" t="s">
        <v>1276</v>
      </c>
      <c r="BQ21" s="1954"/>
      <c r="BR21" s="1955"/>
      <c r="BS21" s="2242" t="s">
        <v>1282</v>
      </c>
      <c r="BT21" s="2386" t="s">
        <v>803</v>
      </c>
      <c r="BU21" s="2387"/>
      <c r="BV21" s="2384" t="s">
        <v>541</v>
      </c>
      <c r="BW21" s="2386" t="s">
        <v>1072</v>
      </c>
      <c r="BX21" s="2387"/>
      <c r="BY21" s="2384" t="s">
        <v>488</v>
      </c>
      <c r="BZ21" s="2398" t="s">
        <v>793</v>
      </c>
      <c r="CA21" s="2393" t="s">
        <v>1275</v>
      </c>
      <c r="CB21" s="1953" t="s">
        <v>1276</v>
      </c>
      <c r="CC21" s="1954"/>
      <c r="CD21" s="1955"/>
      <c r="CE21" s="2461"/>
      <c r="CF21" s="2465"/>
      <c r="CG21" s="2464"/>
      <c r="CH21" s="2405" t="s">
        <v>588</v>
      </c>
      <c r="CI21" s="2406"/>
      <c r="CJ21" s="2406"/>
      <c r="CK21" s="2405" t="s">
        <v>589</v>
      </c>
      <c r="CL21" s="2452" t="s">
        <v>786</v>
      </c>
      <c r="CM21" s="2452"/>
      <c r="CN21" s="2450"/>
      <c r="CO21" s="2451"/>
      <c r="CP21" s="2446"/>
      <c r="CQ21" s="2447"/>
      <c r="CR21" s="2411"/>
      <c r="CS21" s="2403"/>
      <c r="CU21" s="2358" t="s">
        <v>498</v>
      </c>
      <c r="CV21" s="2318" t="s">
        <v>499</v>
      </c>
      <c r="CW21" s="2318" t="s">
        <v>500</v>
      </c>
      <c r="CX21" s="2318" t="s">
        <v>501</v>
      </c>
      <c r="CY21" s="2318" t="s">
        <v>560</v>
      </c>
      <c r="CZ21" s="2318" t="s">
        <v>578</v>
      </c>
      <c r="DA21" s="2318" t="s">
        <v>502</v>
      </c>
      <c r="DB21" s="2318" t="s">
        <v>579</v>
      </c>
      <c r="DC21" s="2318" t="s">
        <v>503</v>
      </c>
      <c r="DD21" s="2318" t="s">
        <v>504</v>
      </c>
      <c r="DE21" s="2358" t="s">
        <v>498</v>
      </c>
      <c r="DF21" s="2318" t="s">
        <v>499</v>
      </c>
      <c r="DG21" s="2318" t="s">
        <v>505</v>
      </c>
      <c r="DH21" s="2318" t="s">
        <v>501</v>
      </c>
      <c r="DI21" s="2318" t="s">
        <v>560</v>
      </c>
      <c r="DJ21" s="2318" t="s">
        <v>578</v>
      </c>
      <c r="DK21" s="2318" t="s">
        <v>502</v>
      </c>
      <c r="DL21" s="2318" t="s">
        <v>579</v>
      </c>
      <c r="DM21" s="2318" t="s">
        <v>503</v>
      </c>
      <c r="DN21" s="2360" t="s">
        <v>504</v>
      </c>
      <c r="DO21" s="2355" t="s">
        <v>491</v>
      </c>
      <c r="DP21" s="2453" t="s">
        <v>506</v>
      </c>
      <c r="DQ21" s="2349" t="s">
        <v>507</v>
      </c>
      <c r="DR21" s="2320" t="s">
        <v>508</v>
      </c>
      <c r="DS21" s="2322" t="s">
        <v>543</v>
      </c>
      <c r="DT21" s="2347" t="s">
        <v>509</v>
      </c>
      <c r="DU21" s="2348"/>
      <c r="DV21" s="2324" t="s">
        <v>1103</v>
      </c>
      <c r="DW21" s="2351" t="s">
        <v>1104</v>
      </c>
      <c r="DX21" s="2353" t="s">
        <v>514</v>
      </c>
      <c r="DY21" s="2322" t="s">
        <v>544</v>
      </c>
      <c r="DZ21" s="2347" t="s">
        <v>511</v>
      </c>
      <c r="EA21" s="2348"/>
      <c r="EB21" s="2351" t="s">
        <v>1105</v>
      </c>
      <c r="EC21" s="2351" t="s">
        <v>1106</v>
      </c>
      <c r="ED21" s="2353" t="s">
        <v>516</v>
      </c>
      <c r="EE21" s="2349" t="s">
        <v>545</v>
      </c>
      <c r="EF21" s="2367" t="s">
        <v>546</v>
      </c>
      <c r="EG21" s="2368"/>
      <c r="EH21" s="2367" t="s">
        <v>547</v>
      </c>
      <c r="EI21" s="2369"/>
      <c r="EJ21" s="2320" t="s">
        <v>548</v>
      </c>
      <c r="EK21" s="2357"/>
      <c r="EL21" s="2349" t="s">
        <v>568</v>
      </c>
      <c r="EM21" s="2367" t="s">
        <v>549</v>
      </c>
      <c r="EN21" s="2368"/>
      <c r="EO21" s="2367" t="s">
        <v>550</v>
      </c>
      <c r="EP21" s="2369"/>
      <c r="EQ21" s="2320" t="s">
        <v>551</v>
      </c>
      <c r="ER21" s="2357"/>
      <c r="ES21" s="2349" t="s">
        <v>12</v>
      </c>
      <c r="ET21" s="2349" t="s">
        <v>13</v>
      </c>
      <c r="EU21" s="2320" t="s">
        <v>582</v>
      </c>
      <c r="EV21" s="2365"/>
      <c r="EW21" s="2372"/>
      <c r="EX21" s="2363"/>
      <c r="EY21" s="2363"/>
      <c r="EZ21" s="2438"/>
      <c r="FA21" s="2363"/>
      <c r="FB21" s="2363"/>
      <c r="FC21" s="2363"/>
      <c r="FD21" s="2439"/>
      <c r="FE21" s="2439"/>
      <c r="FF21" s="2439"/>
      <c r="FG21" s="2439"/>
      <c r="FH21" s="2439"/>
      <c r="FI21" s="2439"/>
      <c r="FJ21" s="2439"/>
      <c r="FK21" s="2439"/>
      <c r="FL21" s="2439"/>
      <c r="FM21" s="2439"/>
      <c r="FN21" s="2439"/>
      <c r="FO21" s="2349" t="s">
        <v>590</v>
      </c>
      <c r="FP21" s="2349" t="s">
        <v>591</v>
      </c>
      <c r="FQ21" s="2455" t="s">
        <v>654</v>
      </c>
      <c r="FR21" s="2458" t="s">
        <v>655</v>
      </c>
      <c r="FS21" s="2453" t="s">
        <v>682</v>
      </c>
      <c r="FT21" s="2466" t="s">
        <v>683</v>
      </c>
      <c r="FU21" s="2175" t="s">
        <v>787</v>
      </c>
      <c r="FV21" s="2176"/>
      <c r="GA21" s="2134" t="s">
        <v>708</v>
      </c>
      <c r="GB21" s="2135"/>
      <c r="GC21" s="2134" t="s">
        <v>558</v>
      </c>
      <c r="GD21" s="2135"/>
      <c r="GE21" s="2136" t="s">
        <v>711</v>
      </c>
      <c r="GF21" s="2138" t="s">
        <v>40</v>
      </c>
      <c r="GG21" s="2332" t="s">
        <v>1142</v>
      </c>
      <c r="GH21" s="2333"/>
      <c r="GI21" s="2332" t="s">
        <v>1141</v>
      </c>
      <c r="GJ21" s="2333"/>
      <c r="GK21" s="2441" t="s">
        <v>712</v>
      </c>
      <c r="GL21" s="2139" t="s">
        <v>713</v>
      </c>
      <c r="GM21" s="2139" t="s">
        <v>714</v>
      </c>
      <c r="GZ21" s="2327"/>
      <c r="HA21" s="2456" t="s">
        <v>539</v>
      </c>
      <c r="HB21" s="2330" t="s">
        <v>130</v>
      </c>
      <c r="HC21" s="2330" t="s">
        <v>540</v>
      </c>
      <c r="HD21" s="2440" t="str">
        <f>IF($HA$1,"Joist ""BayLength""","Overall Length")</f>
        <v>Overall Length</v>
      </c>
      <c r="HE21" s="2330"/>
      <c r="HF21" s="2328" t="str">
        <f>IF($HA$1,"Left Sect. #","TCXL Feet")</f>
        <v>TCXL Feet</v>
      </c>
      <c r="HG21" s="2328" t="str">
        <f>IF($HA$1,"L Min Sup Width","TCXL Inch")</f>
        <v>TCXL Inch</v>
      </c>
      <c r="HH21" s="2328" t="str">
        <f>IF($HA$1,"L Max Sup Width","TCXL Type")</f>
        <v>TCXL Type</v>
      </c>
      <c r="HI21" s="2328" t="str">
        <f>IF($HA$1,"Left Bolt ""X""","TCXR Feet")</f>
        <v>TCXR Feet</v>
      </c>
      <c r="HJ21" s="2328" t="str">
        <f>IF($HA$1,"L Min Flg Ga","TCXR Inch")</f>
        <v>TCXR Inch</v>
      </c>
      <c r="HK21" s="2328" t="str">
        <f>IF($HA$1,"L Max Flg Ga","TCXR Type")</f>
        <v>TCXR Type</v>
      </c>
      <c r="HL21" s="2328" t="str">
        <f>IF($HA$1,"Left Skew","BDL")</f>
        <v>BDL</v>
      </c>
      <c r="HM21" s="2328" t="str">
        <f>IF($HA$1,"Left Brg Slp","BDR")</f>
        <v>BDR</v>
      </c>
      <c r="HN21" s="2328" t="str">
        <f>IF($HA$1,"Right Sect. #","BCXL Feet")</f>
        <v>BCXL Feet</v>
      </c>
      <c r="HO21" s="2328" t="str">
        <f>IF($HA$1,"R Min Sup Width","BCXL Inch")</f>
        <v>BCXL Inch</v>
      </c>
      <c r="HP21" s="2328" t="str">
        <f>IF($HA$1,"R Max Sup Width","BCXL Type")</f>
        <v>BCXL Type</v>
      </c>
      <c r="HQ21" s="2328" t="str">
        <f>IF($HA$1,"Right Bolt ""X""","BCXR Feet")</f>
        <v>BCXR Feet</v>
      </c>
      <c r="HR21" s="2328" t="str">
        <f>IF($HA$1,"R Min Flg Ga","BCXR Inch")</f>
        <v>BCXR Inch</v>
      </c>
      <c r="HS21" s="2328" t="str">
        <f>IF($HA$1,"R Max Flg Ga","BCXR Type")</f>
        <v>BCXR Type</v>
      </c>
      <c r="HT21" s="2328" t="str">
        <f>IF($HA$1,"Right Skew","HL Feet")</f>
        <v>HL Feet</v>
      </c>
      <c r="HU21" s="2328" t="str">
        <f>IF($HA$1,"Right Brg Slp","HL Inch")</f>
        <v>HL Inch</v>
      </c>
      <c r="HV21" s="2328" t="str">
        <f>IF($HA$1,"TC Slope","HR Feet")</f>
        <v>HR Feet</v>
      </c>
      <c r="HW21" s="2328" t="str">
        <f>IF($HA$1,"Load Notes","HR Inch")</f>
        <v>HR Inch</v>
      </c>
      <c r="HX21" s="2328" t="str">
        <f>IF($HA$1,"Spcl Notes","Slot Ga")</f>
        <v>Slot Ga</v>
      </c>
      <c r="HY21" s="2328" t="str">
        <f>IF($HA$1,"TC L Override","L Seat Slp")</f>
        <v>L Seat Slp</v>
      </c>
      <c r="HZ21" s="2328" t="str">
        <f>IF($HA$1,"TCR Override","R Seat Slp")</f>
        <v>R Seat Slp</v>
      </c>
      <c r="IA21" s="2328" t="str">
        <f>IF($HA$1,"L-BL Override","Sp Notes")</f>
        <v>Sp Notes</v>
      </c>
      <c r="IB21" s="2328" t="str">
        <f>IF($HA$1,"R-BL Override","Ld Notes")</f>
        <v>Ld Notes</v>
      </c>
      <c r="IC21" s="2328" t="str">
        <f>IF($HA$1,"BCXL ""X""","-")</f>
        <v>-</v>
      </c>
      <c r="ID21" s="2328" t="str">
        <f>IF($HA$1,"BCXR ""X""","-")</f>
        <v>-</v>
      </c>
      <c r="IE21" s="2328" t="str">
        <f>IF($HA$1,"BDL Override","-")</f>
        <v>-</v>
      </c>
      <c r="IF21" s="2468" t="str">
        <f>IF($HA$1,"BDR Override","-")</f>
        <v>-</v>
      </c>
    </row>
    <row r="22" spans="1:240" s="426" customFormat="1" ht="12.6" customHeight="1" thickTop="1" thickBot="1" x14ac:dyDescent="0.25">
      <c r="A22" s="2427"/>
      <c r="B22" s="2401"/>
      <c r="C22" s="2401"/>
      <c r="D22" s="2401"/>
      <c r="E22" s="2425"/>
      <c r="F22" s="1993" t="s">
        <v>16</v>
      </c>
      <c r="G22" s="2086"/>
      <c r="H22" s="1102" t="s">
        <v>732</v>
      </c>
      <c r="I22" s="2086" t="s">
        <v>16</v>
      </c>
      <c r="J22" s="2086"/>
      <c r="K22" s="1065" t="s">
        <v>732</v>
      </c>
      <c r="L22" s="1106" t="s">
        <v>18</v>
      </c>
      <c r="M22" s="461" t="s">
        <v>19</v>
      </c>
      <c r="N22" s="1993" t="s">
        <v>16</v>
      </c>
      <c r="O22" s="2086"/>
      <c r="P22" s="1102" t="s">
        <v>732</v>
      </c>
      <c r="Q22" s="2086" t="s">
        <v>16</v>
      </c>
      <c r="R22" s="2086"/>
      <c r="S22" s="461" t="s">
        <v>732</v>
      </c>
      <c r="T22" s="1993" t="s">
        <v>80</v>
      </c>
      <c r="U22" s="2086"/>
      <c r="V22" s="2086" t="s">
        <v>81</v>
      </c>
      <c r="W22" s="2086"/>
      <c r="X22" s="1065" t="s">
        <v>27</v>
      </c>
      <c r="Y22" s="1106" t="s">
        <v>112</v>
      </c>
      <c r="Z22" s="461" t="s">
        <v>113</v>
      </c>
      <c r="AA22" s="1060" t="s">
        <v>57</v>
      </c>
      <c r="AB22" s="1413"/>
      <c r="AC22" s="963" t="s">
        <v>1101</v>
      </c>
      <c r="AD22" s="427" t="s">
        <v>73</v>
      </c>
      <c r="AE22" s="428" t="s">
        <v>74</v>
      </c>
      <c r="AF22" s="428" t="s">
        <v>75</v>
      </c>
      <c r="AG22" s="428" t="s">
        <v>76</v>
      </c>
      <c r="AH22" s="429" t="s">
        <v>114</v>
      </c>
      <c r="AI22" s="430" t="s">
        <v>170</v>
      </c>
      <c r="AJ22" s="372" t="s">
        <v>171</v>
      </c>
      <c r="AK22" s="372" t="s">
        <v>172</v>
      </c>
      <c r="AL22" s="372" t="s">
        <v>173</v>
      </c>
      <c r="AM22" s="372" t="s">
        <v>147</v>
      </c>
      <c r="AN22" s="372" t="s">
        <v>748</v>
      </c>
      <c r="AO22" s="372" t="s">
        <v>749</v>
      </c>
      <c r="AP22" s="372" t="s">
        <v>179</v>
      </c>
      <c r="AQ22" s="372" t="s">
        <v>176</v>
      </c>
      <c r="AR22" s="372" t="s">
        <v>174</v>
      </c>
      <c r="AS22" s="372" t="s">
        <v>177</v>
      </c>
      <c r="AT22" s="372" t="s">
        <v>178</v>
      </c>
      <c r="AU22" s="1914"/>
      <c r="AV22" s="2408"/>
      <c r="AW22" s="2409"/>
      <c r="AX22" s="503" t="s">
        <v>632</v>
      </c>
      <c r="AY22" s="503" t="s">
        <v>133</v>
      </c>
      <c r="AZ22" s="2429"/>
      <c r="BA22" s="251"/>
      <c r="BB22" s="2144"/>
      <c r="BC22" s="2073"/>
      <c r="BD22" s="2146"/>
      <c r="BE22" s="2420"/>
      <c r="BF22" s="2421"/>
      <c r="BG22" s="2243"/>
      <c r="BH22" s="2388"/>
      <c r="BI22" s="2389"/>
      <c r="BJ22" s="2385"/>
      <c r="BK22" s="2388"/>
      <c r="BL22" s="2389"/>
      <c r="BM22" s="2390"/>
      <c r="BN22" s="2392"/>
      <c r="BO22" s="2394"/>
      <c r="BP22" s="1546" t="s">
        <v>1277</v>
      </c>
      <c r="BQ22" s="1547" t="s">
        <v>1278</v>
      </c>
      <c r="BR22" s="1548" t="s">
        <v>501</v>
      </c>
      <c r="BS22" s="2243"/>
      <c r="BT22" s="2388"/>
      <c r="BU22" s="2389"/>
      <c r="BV22" s="2385"/>
      <c r="BW22" s="2388"/>
      <c r="BX22" s="2389"/>
      <c r="BY22" s="2390"/>
      <c r="BZ22" s="2399"/>
      <c r="CA22" s="2394"/>
      <c r="CB22" s="1546" t="s">
        <v>1277</v>
      </c>
      <c r="CC22" s="1547" t="s">
        <v>1278</v>
      </c>
      <c r="CD22" s="1548" t="s">
        <v>501</v>
      </c>
      <c r="CE22" s="2462"/>
      <c r="CF22" s="1554" t="s">
        <v>418</v>
      </c>
      <c r="CG22" s="1549" t="s">
        <v>553</v>
      </c>
      <c r="CH22" s="498" t="s">
        <v>585</v>
      </c>
      <c r="CI22" s="433" t="s">
        <v>586</v>
      </c>
      <c r="CJ22" s="434" t="s">
        <v>587</v>
      </c>
      <c r="CK22" s="2407"/>
      <c r="CL22" s="499" t="s">
        <v>606</v>
      </c>
      <c r="CM22" s="500" t="s">
        <v>607</v>
      </c>
      <c r="CN22" s="495" t="s">
        <v>606</v>
      </c>
      <c r="CO22" s="435" t="s">
        <v>607</v>
      </c>
      <c r="CP22" s="436" t="s">
        <v>520</v>
      </c>
      <c r="CQ22" s="437" t="s">
        <v>169</v>
      </c>
      <c r="CR22" s="2412"/>
      <c r="CS22" s="2404"/>
      <c r="CU22" s="2359"/>
      <c r="CV22" s="2341"/>
      <c r="CW22" s="2341"/>
      <c r="CX22" s="2319"/>
      <c r="CY22" s="2319"/>
      <c r="CZ22" s="2319"/>
      <c r="DA22" s="2319"/>
      <c r="DB22" s="2319"/>
      <c r="DC22" s="2319"/>
      <c r="DD22" s="2319"/>
      <c r="DE22" s="2359"/>
      <c r="DF22" s="2341"/>
      <c r="DG22" s="2341"/>
      <c r="DH22" s="2319"/>
      <c r="DI22" s="2319"/>
      <c r="DJ22" s="2319"/>
      <c r="DK22" s="2319"/>
      <c r="DL22" s="2319"/>
      <c r="DM22" s="2319"/>
      <c r="DN22" s="2361"/>
      <c r="DO22" s="2356"/>
      <c r="DP22" s="2467"/>
      <c r="DQ22" s="2350"/>
      <c r="DR22" s="2321"/>
      <c r="DS22" s="2323"/>
      <c r="DT22" s="438" t="s">
        <v>554</v>
      </c>
      <c r="DU22" s="438" t="s">
        <v>555</v>
      </c>
      <c r="DV22" s="2325"/>
      <c r="DW22" s="2352"/>
      <c r="DX22" s="2354"/>
      <c r="DY22" s="2323"/>
      <c r="DZ22" s="438" t="s">
        <v>554</v>
      </c>
      <c r="EA22" s="438" t="s">
        <v>555</v>
      </c>
      <c r="EB22" s="2352"/>
      <c r="EC22" s="2352"/>
      <c r="ED22" s="2354"/>
      <c r="EE22" s="2370"/>
      <c r="EF22" s="439" t="s">
        <v>521</v>
      </c>
      <c r="EG22" s="440" t="s">
        <v>522</v>
      </c>
      <c r="EH22" s="439" t="s">
        <v>521</v>
      </c>
      <c r="EI22" s="440" t="s">
        <v>522</v>
      </c>
      <c r="EJ22" s="439" t="s">
        <v>521</v>
      </c>
      <c r="EK22" s="440" t="s">
        <v>522</v>
      </c>
      <c r="EL22" s="2370"/>
      <c r="EM22" s="439" t="s">
        <v>521</v>
      </c>
      <c r="EN22" s="440" t="s">
        <v>522</v>
      </c>
      <c r="EO22" s="439" t="s">
        <v>521</v>
      </c>
      <c r="EP22" s="440" t="s">
        <v>522</v>
      </c>
      <c r="EQ22" s="439" t="s">
        <v>521</v>
      </c>
      <c r="ER22" s="440" t="s">
        <v>522</v>
      </c>
      <c r="ES22" s="2373"/>
      <c r="ET22" s="2373"/>
      <c r="EU22" s="2374"/>
      <c r="EV22" s="2366"/>
      <c r="EW22" s="2372"/>
      <c r="EX22" s="2363"/>
      <c r="EY22" s="2363"/>
      <c r="EZ22" s="2438"/>
      <c r="FA22" s="2363"/>
      <c r="FB22" s="2363"/>
      <c r="FC22" s="2363"/>
      <c r="FD22" s="2439"/>
      <c r="FE22" s="2439"/>
      <c r="FF22" s="2439"/>
      <c r="FG22" s="2439"/>
      <c r="FH22" s="2439"/>
      <c r="FI22" s="2439"/>
      <c r="FJ22" s="2439"/>
      <c r="FK22" s="2439"/>
      <c r="FL22" s="2439"/>
      <c r="FM22" s="2439"/>
      <c r="FN22" s="2439"/>
      <c r="FO22" s="2373"/>
      <c r="FP22" s="2373"/>
      <c r="FQ22" s="2373"/>
      <c r="FR22" s="2459"/>
      <c r="FS22" s="2454"/>
      <c r="FT22" s="2459"/>
      <c r="FU22" s="508" t="s">
        <v>606</v>
      </c>
      <c r="FV22" s="509" t="s">
        <v>607</v>
      </c>
      <c r="GA22" s="1029" t="s">
        <v>1112</v>
      </c>
      <c r="GB22" s="1030" t="s">
        <v>710</v>
      </c>
      <c r="GC22" s="1031" t="s">
        <v>606</v>
      </c>
      <c r="GD22" s="1032" t="s">
        <v>607</v>
      </c>
      <c r="GE22" s="2137"/>
      <c r="GF22" s="2137"/>
      <c r="GG22" s="1033" t="s">
        <v>1112</v>
      </c>
      <c r="GH22" s="1034" t="s">
        <v>710</v>
      </c>
      <c r="GI22" s="1033" t="s">
        <v>1112</v>
      </c>
      <c r="GJ22" s="1034" t="s">
        <v>710</v>
      </c>
      <c r="GK22" s="2442"/>
      <c r="GL22" s="2140"/>
      <c r="GM22" s="2140"/>
      <c r="GZ22" s="2327"/>
      <c r="HA22" s="2457"/>
      <c r="HB22" s="2331"/>
      <c r="HC22" s="2331"/>
      <c r="HD22" s="2331"/>
      <c r="HE22" s="2331"/>
      <c r="HF22" s="2329"/>
      <c r="HG22" s="2329"/>
      <c r="HH22" s="2329"/>
      <c r="HI22" s="2329"/>
      <c r="HJ22" s="2329"/>
      <c r="HK22" s="2329"/>
      <c r="HL22" s="2329"/>
      <c r="HM22" s="2329"/>
      <c r="HN22" s="2329"/>
      <c r="HO22" s="2329"/>
      <c r="HP22" s="2329"/>
      <c r="HQ22" s="2329"/>
      <c r="HR22" s="2329"/>
      <c r="HS22" s="2329"/>
      <c r="HT22" s="2329"/>
      <c r="HU22" s="2329"/>
      <c r="HV22" s="2329"/>
      <c r="HW22" s="2329"/>
      <c r="HX22" s="2329"/>
      <c r="HY22" s="2329"/>
      <c r="HZ22" s="2329"/>
      <c r="IA22" s="2329"/>
      <c r="IB22" s="2329"/>
      <c r="IC22" s="2329"/>
      <c r="ID22" s="2329"/>
      <c r="IE22" s="2329"/>
      <c r="IF22" s="2469"/>
    </row>
    <row r="23" spans="1:240" ht="12.6" customHeight="1" thickTop="1" x14ac:dyDescent="0.25">
      <c r="A23" s="1448" t="s">
        <v>1431</v>
      </c>
      <c r="B23" s="1681">
        <v>2</v>
      </c>
      <c r="C23" s="1449" t="s">
        <v>1592</v>
      </c>
      <c r="D23" s="1705">
        <v>40</v>
      </c>
      <c r="E23" s="1778">
        <v>0</v>
      </c>
      <c r="F23" s="1708" t="str">
        <f>IF(DX23=0,"",TRUNC(DX23/12))</f>
        <v/>
      </c>
      <c r="G23" s="1709" t="str">
        <f>IF(DX23=0,"",DX23-(F23*12))</f>
        <v/>
      </c>
      <c r="H23" s="1779" t="str">
        <f>IF(DX23=0,"",CW23)</f>
        <v/>
      </c>
      <c r="I23" s="1705" t="str">
        <f>IF(ED23=0,"",TRUNC(ED23/12))</f>
        <v/>
      </c>
      <c r="J23" s="1709" t="str">
        <f>IF(ED23=0,"",ED23-(I23*12))</f>
        <v/>
      </c>
      <c r="K23" s="1780" t="str">
        <f>IF(ED23=0,"",DG23)</f>
        <v/>
      </c>
      <c r="L23" s="1712">
        <v>5</v>
      </c>
      <c r="M23" s="1713">
        <v>5</v>
      </c>
      <c r="N23" s="1708" t="str">
        <f>IF(ES23="","",IF(AND(ES23&lt;0,ES23&gt;-12),TRUNC(ES23/12)-0.0000001,TRUNC(ES23/12)))</f>
        <v/>
      </c>
      <c r="O23" s="1709" t="str">
        <f>IF(ES23="","",IF(AND(ES23-(N23*12)=0,ES23&lt;0),-0.000001,ES23-(N23*12)))</f>
        <v/>
      </c>
      <c r="P23" s="1710" t="str">
        <f>IF(ES23="","",IF(OR(CW23="Q",CW23="C"),3,CZ23))</f>
        <v/>
      </c>
      <c r="Q23" s="1705" t="str">
        <f>IF(ET23="","",IF(AND(ET23&lt;0,ET23&gt;-12),TRUNC(ET23/12)-0.0000001,TRUNC(ET23/12)))</f>
        <v/>
      </c>
      <c r="R23" s="1709" t="str">
        <f>IF(ET23="","",IF(AND(ET23-(Q23*12)=0,ET23&lt;0),-0.000001,ET23-(Q23*12)))</f>
        <v/>
      </c>
      <c r="S23" s="1753" t="str">
        <f>IF(ET23="","",IF(OR(DG23="Q",DG23="C"),3,DJ23))</f>
        <v/>
      </c>
      <c r="T23" s="1708">
        <v>0</v>
      </c>
      <c r="U23" s="1709">
        <v>2.25</v>
      </c>
      <c r="V23" s="1705">
        <v>0</v>
      </c>
      <c r="W23" s="1709">
        <v>2</v>
      </c>
      <c r="X23" s="1750">
        <v>4</v>
      </c>
      <c r="Y23" s="1781" t="str">
        <f>FG23</f>
        <v/>
      </c>
      <c r="Z23" s="1782" t="str">
        <f>FL23</f>
        <v/>
      </c>
      <c r="AA23" s="1783" t="s">
        <v>1702</v>
      </c>
      <c r="AB23" s="1413"/>
      <c r="AC23" s="964" t="b">
        <v>0</v>
      </c>
      <c r="AD23" s="441">
        <f t="shared" ref="AD23:AD40" si="1">IF($C23="",0,IF(SUM(AE23:AG23)&gt;0,0,IF(ISERROR(SEARCH("K",$C23,1))=TRUE,0,$B23)))</f>
        <v>0</v>
      </c>
      <c r="AE23" s="442">
        <f t="shared" ref="AE23:AE40" si="2">IF(ISERROR(SEARCH("LH",$C23,1))=TRUE,0,$B23)</f>
        <v>2</v>
      </c>
      <c r="AF23" s="442">
        <f t="shared" ref="AF23:AF40" si="3">IF(ISERROR(SEARCH("JS",$C23))=TRUE,IF(ISERROR(SEARCH("2.5K",$C23))=TRUE,0,$B23),$B23)</f>
        <v>0</v>
      </c>
      <c r="AG23" s="442">
        <f t="shared" ref="AG23:AG40" si="4">IF(ISERROR(SEARCH("HDR",$C23,1))=TRUE,0,$B23)</f>
        <v>0</v>
      </c>
      <c r="AH23" s="443">
        <f t="shared" ref="AH23:AH40" si="5">IF(ISERROR(SEARCH("CJ",$C23,1))=TRUE,0,$B23)</f>
        <v>0</v>
      </c>
      <c r="AI23" s="444" t="b">
        <v>0</v>
      </c>
      <c r="AJ23" s="238">
        <f>IF(OR(ISERROR(VALUE(LEFT(C23,SEARCH(AK23,C23)-1))),AK23=""),0,VALUE(LEFT(C23,SEARCH(AK23,C23)-1)))</f>
        <v>32</v>
      </c>
      <c r="AK23" s="238" t="str">
        <f t="shared" ref="AK23:AK40" si="6">IF(AV23="",AW23,AV23)</f>
        <v>LH</v>
      </c>
      <c r="AL23" s="1290" t="str">
        <f t="shared" ref="AL23:AL40" si="7">IF(AK23="","",IF(ISERROR(SEARCH("/",C23)),IF(VALUE(MID(C23,SEARCH(AK23,C23)+LEN(AK23),LEN(C23)))&gt;25,"",VALUE(MID(C23,SEARCH(AK23,C23)+LEN(AK23),LEN(C23)))),""))</f>
        <v/>
      </c>
      <c r="AM23" s="238">
        <f t="shared" ref="AM23:AM40" si="8">IF(AK23="","",IF(ISERROR(SEARCH("/",C23)),IF(VALUE(MID(C23,SEARCH(AK23,C23)+LEN(AK23),LEN(C23)))&lt;26,"",VALUE(MID(C23,SEARCH(AK23,C23)+LEN(AK23),LEN(C23)))),VALUE(MID(C23,SEARCH(AK23,C23)+LEN(AK23),SEARCH("/",C23)-SEARCH(AK23,C23)-LEN(AK23)))))</f>
        <v>305</v>
      </c>
      <c r="AN23" s="238">
        <f t="shared" ref="AN23:AN40" si="9">IF(AK23="","",IF(AK23="CJ",MID(MID(C23,SEARCH("/",C23)+1,LEN(C23)),1,SEARCH("/",MID(C23,SEARCH("/",C23)+1,LEN(C23)))-1),IF(ISERROR(SEARCH("/",C23)),"",VALUE(MID(C23,SEARCH("/",C23)+1,LEN(C23))))))</f>
        <v>180</v>
      </c>
      <c r="AO23" s="238" t="str">
        <f t="shared" ref="AO23:AO40" si="10">IF(AK23="CJ",VALUE(MID(MID(C23,SEARCH("/",C23)+1,LEN(C23)),SEARCH("/",MID(C23,SEARCH("/",C23)+1,LEN(C23)))+1,LEN(MID(C23,SEARCH("/",C23)+1,LEN(C23))))),"")</f>
        <v/>
      </c>
      <c r="AP23" s="830" t="b">
        <f>IF(ISERROR(AJ23),FALSE,IF(OR(AJ23=0,ISERROR(AL23),ISERROR(AM23),ISERROR(AN23),ISERROR(AO23)),FALSE,IF(AL23&lt;&gt;"",IF(ISERROR(VLOOKUP(SUBSTITUTE(SUBSTITUTE(C23,"R",""),"A",""),TblJoistSize!$A:$A,1,FALSE)),FALSE,TRUE),TRUE)))</f>
        <v>1</v>
      </c>
      <c r="AQ23" s="1038">
        <f t="shared" ref="AQ23:AQ40" si="11">VLOOKUP(AK23,$DF$2:$DN$9,4,FALSE)+IF(LEFT(H23,1)="R",IF(ISNUMBER(F23),F23*12,0)+IF(ISNUMBER(G23),G23,0),0)</f>
        <v>6</v>
      </c>
      <c r="AR23" s="945" t="b">
        <f>IF(IF(ISNUMBER(T23),T23*12,0)+IF(ISNUMBER(U23),U23,0)&gt;0,IF(AND(IF(ISNUMBER(T23),T23*12,0)+IF(ISNUMBER(U23),U23,0)&gt;=VLOOKUP(AU23,$DF$2:$DN$9,8,FALSE)/2+$DQ$2,IF(ISNUMBER(T23),T23*12,0)+IF(ISNUMBER(U23),U23,0)&lt;=(AQ23-(VLOOKUP(AU23,$DF$2:$DN$9,8,FALSE)/2+$DQ$2))+IF(H23="X",2,0)),TRUE,FALSE),FALSE)</f>
        <v>1</v>
      </c>
      <c r="AS23" s="1038">
        <f t="shared" ref="AS23:AS40" si="12">VLOOKUP(AK23,$DF$2:$DN$9,4,FALSE)+IF(LEFT(K23,1)="R",(IF(ISNUMBER(I23),I23*12,0)+IF(ISNUMBER(J23),J23,0)),0)</f>
        <v>6</v>
      </c>
      <c r="AT23" s="945" t="b">
        <f>IF(IF(ISNUMBER(V23),V23*12,0)+IF(ISNUMBER(W23),W23,0)&gt;0,IF(AND((IF(ISNUMBER(V23),V23*12,0)+IF(ISNUMBER(W23),W23,0))&gt;=VLOOKUP(AU23,$DF$2:$DN$9,8,FALSE)/2+$DQ$2,(IF(ISNUMBER(V23),V23*12,0)+IF(ISNUMBER(W23),W23,0))&lt;=(AS23-(VLOOKUP(AU23,$DF$2:$DN$9,8,FALSE)/2+$DQ$2))+IF(K23="X",2,0)),TRUE,FALSE),FALSE)</f>
        <v>1</v>
      </c>
      <c r="AU23" s="1291" t="str">
        <f t="shared" ref="AU23:AU40" si="13">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LH</v>
      </c>
      <c r="AV23" s="830" t="str">
        <f t="shared" ref="AV23:AV40" si="14">IF(NOT(ISERROR(SEARCH("KCSR",C23))),"KCSR",IF(NOT(ISERROR(SEARCH("KCSA",C23))),"KCSA",IF(NOT(ISERROR(SEARCH("KCS",C23))),"KCS",IF(NOT(ISERROR(SEARCH("KR",C23))),"KR",IF(NOT(ISERROR(SEARCH("KA",C23))),"KA",IF(NOT(ISERROR(SEARCH("K",C23))),"K",IF(NOT(ISERROR(SEARCH("CJ",C23))),"CJ","")))))))</f>
        <v/>
      </c>
      <c r="AW23" s="830" t="str">
        <f>IF(NOT(ISERROR(SEARCH("HDR",C23))),"HDR",IF(NOT(ISERROR(SEARCH("JS",C23))),"JS",IF(NOT(ISERROR(SEARCH("SLH",C23))),"SLH",IF(NOT(ISERROR(SEARCH("DLH",C23))),"DLH",IF(NOT(ISERROR(SEARCH("LH",C23))),"LH","")))))</f>
        <v>LH</v>
      </c>
      <c r="AX23" s="830" t="str">
        <f>IF(OR(ISBLANK(A23),A23=""),"",A23)</f>
        <v>J1</v>
      </c>
      <c r="AY23" s="464" t="b">
        <f t="shared" ref="AY23:AY40" si="15">IF($AE$1,IF(AX23=AX22,AY22,IF(AND(AX23&lt;&gt;"",OR(B23=0,B23="")),TRUE,FALSE)),FALSE)</f>
        <v>0</v>
      </c>
      <c r="AZ23" s="856" t="b">
        <f>IF(AND(NOT(ISERROR(AJ23)),AJ23&gt;0),((IF(D23="",0,D23)*12+IF(E23="",0,E23))-(IF(F23="",0,F23)*12+IF(G23="",0,G23))-(IF(I23="",0,I23)*12+IF(J23="",0,J23)))&gt;AJ23*24,"")</f>
        <v>0</v>
      </c>
      <c r="BA23" s="549"/>
      <c r="BB23" s="664"/>
      <c r="BC23" s="1683"/>
      <c r="BD23" s="1540"/>
      <c r="BE23" s="1541"/>
      <c r="BF23" s="1542"/>
      <c r="BG23" s="664"/>
      <c r="BH23" s="1543"/>
      <c r="BI23" s="1544"/>
      <c r="BJ23" s="1624"/>
      <c r="BK23" s="1543"/>
      <c r="BL23" s="1544"/>
      <c r="BM23" s="1567"/>
      <c r="BN23" s="1568"/>
      <c r="BO23" s="1616" t="str">
        <f>IF(ISERROR(CU23),"",IF(CU23="","",IF(VLOOKUP(BG23,SectInfo!$B:$N,10,FALSE)="","","X")))</f>
        <v/>
      </c>
      <c r="BP23" s="1558"/>
      <c r="BQ23" s="1559" t="str">
        <f t="shared" ref="BQ23:BQ40" si="16">IF(ISERROR(CU23),"",IF(CW23="","",IF(CW23="C",CV23,IF(CW23="Q",2,""))))</f>
        <v/>
      </c>
      <c r="BR23" s="1560"/>
      <c r="BS23" s="664"/>
      <c r="BT23" s="1543"/>
      <c r="BU23" s="1544"/>
      <c r="BV23" s="1624"/>
      <c r="BW23" s="1543"/>
      <c r="BX23" s="1544"/>
      <c r="BY23" s="1567"/>
      <c r="BZ23" s="1568"/>
      <c r="CA23" s="1616" t="str">
        <f>IF(ISERROR(DE23),"",IF(DE23="","",IF(VLOOKUP(BS23,SectInfo!$B:$N,10,FALSE)="","","X")))</f>
        <v/>
      </c>
      <c r="CB23" s="1558"/>
      <c r="CC23" s="1559" t="str">
        <f t="shared" ref="CC23:CC40" si="17">IF(ISERROR(DE23),"",IF(DG23="","",IF(DG23="C",DF23,IF(DG23="Q",2,""))))</f>
        <v/>
      </c>
      <c r="CD23" s="1560"/>
      <c r="CE23" s="1573"/>
      <c r="CF23" s="1545"/>
      <c r="CG23" s="984"/>
      <c r="CH23" s="640" t="str">
        <f t="shared" ref="CH23:CH40" si="18">IF(EJ23=EK23,IF(EK23="ERR","ERR",""),CONCATENATE(IF(BM23&lt;0,"NS ","FS "),IF(EK23="ERR","Slot Only",CONCATENATE("Slot @ ",EJ23))))</f>
        <v/>
      </c>
      <c r="CI23" s="641" t="str">
        <f t="shared" ref="CI23:CI40" si="19">IF(EQ23=ER23,IF(ER23="ERR","ERR",""),CONCATENATE(IF(BY23&lt;0,"FS ","NS "),IF(ER23="ERR","Slot Only",CONCATENATE("Slot @ ",EQ23))))</f>
        <v/>
      </c>
      <c r="CJ23" s="642" t="str">
        <f t="shared" ref="CJ23:CJ40" si="20">IF(EV23="","",IF(AND(DB23&lt;&gt;EV23,OR(NOT(ISBLANK(BJ23)),CU23="C")),CONCATENATE("LE slots @ ",DB23," Ga."),IF(AND(DL23&lt;&gt;EV23,OR(NOT(ISBLANK(BV23)),DE23="C")),CONCATENATE("RE slots @ ",DL23," Ga."),"")))</f>
        <v/>
      </c>
      <c r="CK23" s="851" t="str">
        <f t="shared" ref="CK23:CK40" si="21">IF(AND(CP23&lt;&gt;"",BM23&lt;&gt;"",CQ23&lt;&gt;"",BY23&lt;&gt;""),"BE",IF(AND(CP23&lt;&gt;"",BM23&lt;&gt;""),"LE",IF(AND(CQ23&lt;&gt;"",BY23&lt;&gt;""),"RE","")))</f>
        <v/>
      </c>
      <c r="CL23" s="845" t="str">
        <f t="shared" ref="CL23:CL40" si="22">IF(BQ23="","",IF(CEILING(DV23,0.125)&lt;=DW23+VLOOKUP(AU23,$DF$2:$DI$9,4,FALSE),"",CEILING(DV23,0.125)))</f>
        <v/>
      </c>
      <c r="CM23" s="846" t="str">
        <f t="shared" ref="CM23:CM40" si="23">IF(CC23="","",IF(CEILING(EB23,0.125)&lt;=EC23+VLOOKUP(AU23,$DF$2:$DI$9,4,FALSE),"",CEILING(EB23,0.125)))</f>
        <v/>
      </c>
      <c r="CN23" s="609" t="str">
        <f t="shared" ref="CN23:CN40" si="24">IF(AND(CE23&lt;&gt;0,BM23&lt;&gt;0),CE23*COS(RADIANS(90-BM23))/(1/COS(RADIANS(90-BM23)))*-1,"")</f>
        <v/>
      </c>
      <c r="CO23" s="610" t="str">
        <f t="shared" ref="CO23:CO40" si="25">IF(AND(CE23&lt;&gt;0,BY23&lt;&gt;0),CE23*COS(RADIANS(90-BY23))/(1/COS(RADIANS(90-BY23))),"")</f>
        <v/>
      </c>
      <c r="CP23" s="613" t="str">
        <f t="shared" ref="CP23:CP40" si="26">IF(BG23="","",IF(AU23="JS","",IF(VLOOKUP(AU23,$DF$2:$DN$9,5,FALSE)&gt;FO23,IF(FO23&gt;=0.0625,CEILING(FO23-0.0625,0.125),FO23),"")))</f>
        <v/>
      </c>
      <c r="CQ23" s="614" t="str">
        <f t="shared" ref="CQ23:CQ40" si="27">IF(BS23="","",IF(AU23="JS","",IF(VLOOKUP(AU23,$DF$2:$DN$9,5,FALSE)&gt;FP23,IF(FP23&gt;=0.0625,CEILING(FP23-0.0625,0.125),FP23),"")))</f>
        <v/>
      </c>
      <c r="CR23" s="748">
        <f t="shared" ref="CR23:CR40" si="28">IF(AU23="","",IF(ABS(FF23)&lt;ABS($CX$2),VLOOKUP(AU23,$DF$2:$DN$9,3,FALSE),CEILING(VLOOKUP(AU23,$DF$2:$DN$9,3,FALSE)/COS(FE23)+0.375+IF(CU23="M",IF(FE23&gt;0,(DV23-DW23)/12,0),IF(FE23&gt;0,0,(DV23-CV23)/12))*ABS(FF23),0.125)))</f>
        <v>5</v>
      </c>
      <c r="CS23" s="749">
        <f t="shared" ref="CS23:CS40" si="29">IF(AU23="","",IF(ABS(FK23)&lt;ABS($CX$2),VLOOKUP(AU23,$DF$2:$DN$9,3,FALSE),CEILING(VLOOKUP(AU23,$DF$2:$DN$9,3,FALSE)/COS(FJ23)+0.375+IF(DE23="M",IF(FJ23&lt;0,(EB23-EC23)/12,0),IF(FJ23&lt;0,0,(EB23-DF23)/12))*ABS(FK23),0.125)))</f>
        <v>5</v>
      </c>
      <c r="CU23" s="114" t="str">
        <f>IF(BG23="","",VLOOKUP(BG23,SectInfo!$B:$N,12,FALSE))</f>
        <v/>
      </c>
      <c r="CV23" s="115" t="str">
        <f>IF(BG23="","",IF(ISBLANK(BP23),VLOOKUP(BG23,SectInfo!$B:$N,13,FALSE),BP23))</f>
        <v/>
      </c>
      <c r="CW23" s="1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115" t="str">
        <f>IF(BG23="","",IF(VLOOKUP(BG23,SectInfo!$B:$N,7,FALSE)="","",(VLOOKUP(BG23,SectInfo!$B:$N,7,FALSE)*-1)))</f>
        <v/>
      </c>
      <c r="DB23" s="815" t="str">
        <f>IF(BG23="","",IF(VLOOKUP(BG23,SectInfo!$B:$N,8,FALSE)="",VLOOKUP(AU23,$DF$2:$DN$9,6,FALSE),(VLOOKUP(BG23,SectInfo!$B:$N,8,FALSE))))</f>
        <v/>
      </c>
      <c r="DC23" s="815" t="str">
        <f>IF(BG23="","",VLOOKUP(BG23,SectInfo!$B:$N,9,FALSE))</f>
        <v/>
      </c>
      <c r="DD23" s="816">
        <f t="shared" ref="DD23:DD40" si="30">BN23*-1</f>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ref="DN23:DN40" si="31">BZ23*-1</f>
        <v>0</v>
      </c>
      <c r="DO23" s="818">
        <f t="shared" ref="DO23:DO40" si="32">IF(CE23="",0,ATAN(CE23/12))</f>
        <v>0</v>
      </c>
      <c r="DP23" s="819" t="str">
        <f t="shared" ref="DP23:DP40" si="33">IF(OR(CV23="",BE23="",DF23=""),"",CEILING(IF(AND(BE23="",BF23=""),"",((BE23*12+BF23)+CV23+DF23)/COS(FN23))-0.0625,0.125))</f>
        <v/>
      </c>
      <c r="DQ23" s="819" t="str">
        <f t="shared" ref="DQ23:DQ40" si="34">IF(AU23="","",IF(ABS(FF23)&lt;ABS($CX$2),CX23,IF(FF23=0,CX23,CEILING((CX23+((DW23-CV23)/12)*FF23)-0.0625,0.125))))</f>
        <v/>
      </c>
      <c r="DR23" s="819" t="str">
        <f t="shared" ref="DR23:DR40" si="35">IF(AU23="","",IF(ABS(FK23)&lt;ABS($CX$2),DH23,IF(FK23=0,DH23,CEILING((DH23+((EC23-DF23)/12)*FK23)-0.0625,0.125))))</f>
        <v/>
      </c>
      <c r="DS23" s="820">
        <f t="shared" ref="DS23:DS40" si="36">IF(BM23="",0,RADIANS(ABS(BM23)))</f>
        <v>0</v>
      </c>
      <c r="DT23" s="821">
        <f t="shared" ref="DT23:DT40" si="37">MIN(IF(BH23&gt;0,BH23/2,MAX(BI23/2,DC23)),IF(BI23&gt;0,BI23/2,MAX(BH23/2,DC23)),IF(DC23&gt;0,DC23,MAX(BI23/2,BH23/2)))/IF(OR(CU23="C",AND(CU23="M",$DD$1="N")),1,COS(DS23))</f>
        <v>0</v>
      </c>
      <c r="DU23" s="821" t="str">
        <f t="shared" ref="DU23:DU40" si="38">IF(CV23="","",IF(DC23&gt;=0,MAX(BH23/2,BI23/2,DC23),DC23)/IF(OR(CU23="C",AND(CU23="M",$DD$1="N")),1,COS(DS23)))</f>
        <v/>
      </c>
      <c r="DV23" s="819" t="str">
        <f t="shared" ref="DV23:DV40" si="39">IF(CV23="","",(CV23+DU23+(VLOOKUP(IF(AU23="HDR","K",AU23),$DF$2:$DN$9,2,FALSE))*TAN(DS23))/COS(FD23)-FH23)</f>
        <v/>
      </c>
      <c r="DW23" s="1127" t="str">
        <f t="shared" ref="DW23:DW40" si="40">IF(CV23="","",MAX(0,IF(NOT(BQ23=""),CV23-BQ23,DV23-VLOOKUP(IF(AU23="HDR","K",AU23),$DF$2:$DN$9,4,FALSE))))</f>
        <v/>
      </c>
      <c r="DX23" s="1005">
        <f>IF(CV23="",0,IF(DW23/COS(FN23-FD23)&lt;0.0625,0,CEILING(DW23/COS(FN23-FD23)-0.03125,0.125)))</f>
        <v>0</v>
      </c>
      <c r="DY23" s="819">
        <f t="shared" ref="DY23:DY40" si="41">RADIANS(ABS(BY23))</f>
        <v>0</v>
      </c>
      <c r="DZ23" s="821">
        <f t="shared" ref="DZ23:DZ40" si="42">MIN(IF(BT23&gt;0,BT23/2,MAX(BU23/2,DM23)),IF(BU23&gt;0,BU23/2,MAX(BT23/2,DM23)),IF(DM23&gt;0,DM23,MAX(BU23/2,BT23/2)))/IF(OR(DE23="C",AND(DE23="M",$DD$1="N")),1,COS(DY23))</f>
        <v>0</v>
      </c>
      <c r="EA23" s="821" t="str">
        <f t="shared" ref="EA23:EA40" si="43">IF(DF23="","",IF(DM23&gt;=0,MAX(BT23/2,BU23/2,DM23),DM23)/IF(OR(DE23="C",AND(DE23="M",$DD$1="N")),1,COS(DY23)))</f>
        <v/>
      </c>
      <c r="EB23" s="819" t="str">
        <f>IF(DF23="","",(DF23+EA23+(VLOOKUP(IF(AU23="HDR","K",AU23),$DF$2:$DN$9,2,FALSE))*TAN(DY23))/COS(FI23)-FM23)</f>
        <v/>
      </c>
      <c r="EC23" s="1127" t="str">
        <f t="shared" ref="EC23:EC40" si="44">IF(DF23="","",MAX(0,IF(NOT(CC23=""),DF23-CC23,EB23-VLOOKUP(IF(AU23="HDR","K",AU23),$DF$2:$DN$9,4,FALSE))))</f>
        <v/>
      </c>
      <c r="ED23" s="1005">
        <f>IF(DF23="",0,IF(EC23/COS(FN23+FI23)&lt;0.0625,0,CEILING(EC23/COS(FN23+FI23)-0.03125,0.125)))</f>
        <v>0</v>
      </c>
      <c r="EE23" s="1292" t="str">
        <f t="shared" ref="EE23:EE40" si="45">IF(AND(EZ23="",DA23=""),"",IF(EZ23="ERR","ERR",IF(CU23="C",DA23,IF(BJ23="","",IF(DA23="",(EZ23/2)*-1,DA23)))))</f>
        <v/>
      </c>
      <c r="EF23" s="819" t="str">
        <f>IF(EE23="ERR","ERR",IF(EE23="","",IF(DB23*TAN(DS23)&lt;=(VLOOKUP(AU23,$DF$2:$DN$9,8,FALSE)-(VLOOKUP(AU23,$DF$2:$DN$9,7,FALSE)-0.0625)),CV23-(EE23-FH23)/IF(OR(CU23="C",AND(CU23="M",$DD$1="N")),1,COS(DS23))-IF(MID(CW23,1,1)="R",0,DW23),(ABS(EE23-FH23)/IF(OR(CU23="C",AND(CU23="M",$DD$1="N")),1,COS(DS23))+CV23)-((DB23/2)*TAN(DS23))-IF(MID(CW23,1,1)="R",0,DW23))))</f>
        <v/>
      </c>
      <c r="EG23" s="819" t="str">
        <f>IF(EE23="ERR","ERR",IF(EE23="","",IF(DB23*TAN(DS23)&lt;=(VLOOKUP(AU23,$DF$2:$DN$9,8,FALSE)-(VLOOKUP(AU23,$DF$2:$DN$9,7,FALSE)-0.0625)),CV23-(EE23-FH23)/IF(OR(CU23="C",AND(CU23="M",$DD$1="N")),1,COS(DS23))-IF(MID(CW23,1,1)="R",0,DW23),(ABS(EE23-FH23)/IF(OR(CU23="C",AND(CU23="M",$DD$1="N")),1,COS(DS23))+CV23)+((DB23/2)*TAN(DS23))-IF(MID(CW23,1,1)="R",0,DW23))))</f>
        <v/>
      </c>
      <c r="EH23" s="856" t="str">
        <f t="shared" ref="EH23:EH40" si="46">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ERR</v>
      </c>
      <c r="EI23" s="856" t="str">
        <f t="shared" ref="EI23:EI40" si="47">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ERR</v>
      </c>
      <c r="EJ23" s="819" t="str">
        <f t="shared" ref="EJ23:EK38" si="48">IF(ISERROR(EF23),"ERR",IF(EF23="","",IF(EH23="ERR","ERR",CEILING(EH23-0.0625,0.125))))</f>
        <v/>
      </c>
      <c r="EK23" s="819" t="str">
        <f t="shared" si="48"/>
        <v/>
      </c>
      <c r="EL23" s="1292" t="str">
        <f t="shared" ref="EL23:EL40" si="49">IF(AND(FC23="",DK23=""),"",IF(FC23="ERR","ERR",IF(DE23="C",DK23,IF(BV23="","",IF(DK23="",(FC23/2)*-1,DK23)))))</f>
        <v/>
      </c>
      <c r="EM23" s="819" t="str">
        <f>IF(EL23="ERR","ERR",IF(EL23="","",IF(DL23*TAN(DY23)&lt;=(VLOOKUP(AU23,$DF$2:$DN$9,8,FALSE)-(VLOOKUP(AU23,$DF$2:$DN$9,7,FALSE)-0.0625)),DF23-(EL23-FM23)/IF(OR(DE23="C",AND(DE23="M",$DD$1="N")),1,COS(DY23))-IF(MID(DG23,1,1)="R",0,EC23),(ABS(EL23-FM23)/IF(OR(DE23="C",AND(DE23="M",$DD$1="N")),1,COS(DY23))+DF23)-((DL23/2)*TAN(DY23))-IF(MID(DG23,1,1)="R",0,EC23))))</f>
        <v/>
      </c>
      <c r="EN23" s="819" t="str">
        <f>IF(EL23="ERR","ERR",IF(EL23="","",IF(DL23*TAN(DY23)&lt;=(VLOOKUP(AU23,$DF$2:$DN$9,8,FALSE)-(VLOOKUP(AU23,$DF$2:$DN$9,7,FALSE)-0.0625)),DF23-(EL23-FM23)/IF(OR(DE23="C",AND(DE23="M",$DD$1="N")),1,COS(DY23))-IF(MID(DG23,1,1)="R",0,EC23),(ABS(EL23-FM23)/IF(OR(DE23="C",AND(DE23="M",$DD$1="N")),1,COS(DY23))+DF23)+((DL23/2)*TAN(DY23))-IF(MID(DG23,1,1)="R",0,EC23))))</f>
        <v/>
      </c>
      <c r="EO23" s="856" t="str">
        <f t="shared" ref="EO23:EO40" si="50">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ERR</v>
      </c>
      <c r="EP23" s="856" t="str">
        <f t="shared" ref="EP23:EP40" si="51">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ERR</v>
      </c>
      <c r="EQ23" s="819" t="str">
        <f t="shared" ref="EQ23:ER40" si="52">IF(ISERROR(EM23),"ERR",IF(EM23="","",IF(EO23="ERR","ERR",CEILING(EO23-0.0625,0.125))))</f>
        <v/>
      </c>
      <c r="ER23" s="819" t="str">
        <f t="shared" si="52"/>
        <v/>
      </c>
      <c r="ES23" s="822" t="str">
        <f t="shared" ref="ES23:ES40" si="53">IF(OR(CY23="",AU23="JS",AU23="HDR",BO23=""),"",IF((CV23-CY23)/COS(DO23)-FS23&lt;=-0.0625,CEILING((CV23-CY23)/COS(DO23)-FS23+0.0625,-0.125),IF((CV23-CY23)/COS(DO23)-FS23&gt;=0.0625,CEILING((CV23-CY23)/COS(DO23)-FS23-0.0625,0.125),0)))</f>
        <v/>
      </c>
      <c r="ET23" s="822" t="str">
        <f t="shared" ref="ET23:ET40" si="54">IF(OR(DI23="",AU23="JS",AU23="HDR",CA23=""),"",IF((DF23-DI23)/COS(DO23)-FT23&lt;=-0.0625,CEILING((DF23-DI23)/COS(DO23)-FT23+0.0625,-0.125),IF((DF23-DI23)/COS(DO23)-FT23&gt;=0.0625,CEILING((DF23-DI23)/COS(DO23)-FT23-0.0625,0.125),0)))</f>
        <v/>
      </c>
      <c r="EU23" s="823">
        <f t="shared" ref="EU23:EU40" si="55">IF(AU23="","",VLOOKUP(AU23,$DF$2:$DN$9,6,FALSE))</f>
        <v>4</v>
      </c>
      <c r="EV23" s="824" t="str">
        <f>IF(AND(EK23="",ER23=""),"",IF(EK23="",DL23,IF(EQ23="",DB23,IF(DB23&lt;&gt;DL23,EU23,DB23))))</f>
        <v/>
      </c>
      <c r="EW23" s="823"/>
      <c r="EX23" s="823" t="str">
        <f>IF(AND(CU23="G", ISBLANK(BK23), ISBLANK(BL23)),VLOOKUP(MIN(BH23:BI23),TblJoistSize!$M$3:$N$10,2),IF(OR(CU23="B",CU23="G"),MIN(BK23:BL23),""))</f>
        <v/>
      </c>
      <c r="EY23" s="823" t="str">
        <f>IF(AND(CU23="G", ISBLANK(BK23), ISBLANK(BL23)),VLOOKUP(MAX(BH23:BI23),TblJoistSize!$M$3:$N$10,2),IF(OR(CU23="B",CU23="G"),MAX(BK23:BL23),""))</f>
        <v/>
      </c>
      <c r="EZ23" s="823" t="str">
        <f t="shared" ref="EZ23:EZ40" si="56">IF(BJ23="X",IF(OR(CU23="M",CU23="C"),"",IF((EY23-EX23)/2&lt;=(VLOOKUP(AU23,$DF$2:$DN$9,8,FALSE)-(VLOOKUP(AU23,$DF$2:$DN$9,7,FALSE)-0.0625)),(EX23+EY23)/2,"ERR")),"")</f>
        <v/>
      </c>
      <c r="FA23" s="823" t="str">
        <f>IF(AND(DE23="G", ISBLANK(BW23), ISBLANK(BX23)),VLOOKUP(MIN(BT23:BU23),TblJoistSize!$M$3:$N$10,2),IF(OR(DE23="B", DE23="G"),MIN(BW23:BX23),""))</f>
        <v/>
      </c>
      <c r="FB23" s="823" t="str">
        <f>IF(AND(DE23="G", ISBLANK(BW23), ISBLANK(BX23)),VLOOKUP(MAX(BT23:BU23),TblJoistSize!$M$3:$N$10,2),IF(OR(DE23="B", DE23="G"),MAX(BW23:BX23),""))</f>
        <v/>
      </c>
      <c r="FC23" s="823" t="str">
        <f t="shared" ref="FC23:FC40" si="57">IF(BV23="X",IF(OR(DE23="M",DE23="C"),"",IF((FB23-FA23)/2&lt;=(VLOOKUP(AU23,$DF$2:$DN$9,8,FALSE)-(VLOOKUP(AU23,$DF$2:$DN$9,7,FALSE)-0.0625)),(FA23+FB23)/2,"ERR")),"")</f>
        <v/>
      </c>
      <c r="FD23" s="819">
        <f t="shared" ref="FD23:FD40" si="58">IF(DD23="",0,ATAN(DD23/12))</f>
        <v>0</v>
      </c>
      <c r="FE23" s="819">
        <f t="shared" ref="FE23:FE40" si="59">DO23-FD23</f>
        <v>0</v>
      </c>
      <c r="FF23" s="820">
        <f t="shared" ref="FF23:FF40" si="60">TAN(FE23)*12</f>
        <v>0</v>
      </c>
      <c r="FG23" s="820" t="str">
        <f t="shared" ref="FG23:FG40" si="61">IF(FF23=0,"",IF(ABS(FF23)&lt;$CX$2,IF(AND(ABS(MIN(DV23,FQ23)/12*FF23)&gt;$DD$2,FF23&gt;0),IF(FF23&gt;0,CEILING(FF23-0.0625,0.125),CEILING(FF23+0.0625,-0.125)),""),IF(FF23&gt;0,CEILING(FF23-0.0625,0.125),CEILING(FF23+0.0625,-0.125))))</f>
        <v/>
      </c>
      <c r="FH23" s="819" t="str">
        <f t="shared" ref="FH23:FH40" si="62">IF(CX23="","",CX23*TAN(FD23))</f>
        <v/>
      </c>
      <c r="FI23" s="819">
        <f t="shared" ref="FI23:FI40" si="63">IF(DN23="",0,ATAN(DN23/12))</f>
        <v>0</v>
      </c>
      <c r="FJ23" s="819">
        <f t="shared" ref="FJ23:FJ40" si="64">DO23+FI23</f>
        <v>0</v>
      </c>
      <c r="FK23" s="820">
        <f t="shared" ref="FK23:FK40" si="65">TAN(FJ23)*-12</f>
        <v>0</v>
      </c>
      <c r="FL23" s="820" t="str">
        <f t="shared" ref="FL23:FL40" si="66">IF(FK23=0,"",IF(ABS(FK23)&lt;$CX$2,IF(AND(ABS(MIN(EB23,FR23)/12*FK23)&gt;$DD$2,FK23&gt;0),IF(FK23&gt;0,CEILING(FK23-0.0625,0.125),CEILING(FK23+0.0625,-0.125)),""),IF(FK23&gt;0,CEILING(FK23-0.0625,0.125),CEILING(FK23+0.0625,-0.125))))</f>
        <v/>
      </c>
      <c r="FM23" s="819" t="str">
        <f t="shared" ref="FM23:FM40" si="67">IF(DH23="","",DH23*TAN(FI23))</f>
        <v/>
      </c>
      <c r="FN23" s="819" t="e">
        <f t="shared" ref="FN23:FN40" si="68">IF(((BE23*12+BF23)+CV23+DF23)/COS(DO23)-((BE23*12+BF23)+CV23+DF23)&lt;$DB$2,0,DO23)</f>
        <v>#VALUE!</v>
      </c>
      <c r="FO23" s="1386" t="e">
        <f t="shared" ref="FO23:FO40" si="69">MIN(IF(BH23&gt;0,BH23/2,MAX(BI23/2,DC23)),IF(BI23&gt;0,BI23/2,MAX(BH23/2,DC23)),IF(DC23&gt;0,DC23,MAX(BI23/2,BH23/2)))/COS(DS23)+CV23-DW23-FH23</f>
        <v>#VALUE!</v>
      </c>
      <c r="FP23" s="1386" t="e">
        <f t="shared" ref="FP23:FP40" si="70">MIN(IF(BT23&gt;0,BT23/2,MAX(BU23/2,DM23)),IF(BU23&gt;0,BU23/2,MAX(BT23/2,DM23)),IF(DM23&gt;0,DM23,MAX(BU23/2,BT23/2)))/COS(DY23)+DF23-EC23-FM23</f>
        <v>#VALUE!</v>
      </c>
      <c r="FQ23" s="825" t="e">
        <f t="shared" ref="FQ23:FQ40" si="71">IF(OR(CU23="B",CU23="G"),MAX(BH23,BI23),IF(CU23="M",12,DC23+CV23))</f>
        <v>#VALUE!</v>
      </c>
      <c r="FR23" s="826" t="e">
        <f t="shared" ref="FR23:FR40" si="72">IF(OR(DE23="B",DE23="G"),MAX(BT23,BU23),IF(DE23="M",12,DM23+DF23))</f>
        <v>#VALUE!</v>
      </c>
      <c r="FS23" s="827" t="str">
        <f t="shared" ref="FS23:FS40" si="73">IF(CY23="","",IF(ABS(CE23*((AJ23-IF(CE23&gt;0,VLOOKUP(AU23,$DF$2:$DN$9,9,FALSE),0))/12))&gt;$CZ$2,CE23*((AJ23-IF(CE23&gt;0,VLOOKUP(AU23,$DF$2:$DN$9,9,FALSE),0))/12),0))</f>
        <v/>
      </c>
      <c r="FT23" s="828" t="str">
        <f t="shared" ref="FT23:FT40" si="74">IF(DI23="","",IF(ABS(CE23*((AJ23-IF(CE23&lt;0,VLOOKUP(AU23,$DF$2:$DN$9,9,FALSE),0))/12))&gt;$CZ$2,CE23*((AJ23-IF(CE23&lt;0,VLOOKUP(AU23,$DF$2:$DN$9,9,FALSE),0))/12)*-1,0))</f>
        <v/>
      </c>
      <c r="FU23" s="1009">
        <f t="shared" ref="FU23:FU40" si="75">IF(CX23="",0,MAX(0,MIN(DV23-VLOOKUP(AU23,DF$2:DN$9,4,FALSE),(MAX(0,CX23-VLOOKUP(AU23,DF$2:DN$9,3,FALSE))+VLOOKUP(AU23,DF$2:DN$9,4,FALSE))*COS(DO23)+((MAX(0,CX23-VLOOKUP(AU23,DF$2:DN$9,3,FALSE))+VLOOKUP(AU23,DF$2:DN$9,4,FALSE))*COS(PI()/2-DO23))/TAN(PI()/2-(DO23+PI()/4))-VLOOKUP(AU23,DF$2:DN$9,4,FALSE))))</f>
        <v>0</v>
      </c>
      <c r="FV23" s="1010">
        <f t="shared" ref="FV23:FV40" si="76">IF(DH23="",0,MAX(0,MIN(EB23-VLOOKUP(AU23,DF$2:DN$9,4,FALSE),(MAX(0,DH23-VLOOKUP(AU23,DF$2:DN$9,3,FALSE))+VLOOKUP(AU23,DF$2:DN$9,4,FALSE))*COS(DO23)+((MAX(0,DH23-VLOOKUP(AU23,DF$2:DN$9,3,FALSE))+VLOOKUP(AU23,DF$2:DN$9,4,FALSE))*COS(PI()/2-DO23))/TAN(PI()/2-(DO23+PI()/4))-VLOOKUP(AU23,DF$2:DN$9,4,FALSE))))</f>
        <v>0</v>
      </c>
      <c r="GA23" s="1791">
        <v>40</v>
      </c>
      <c r="GB23" s="1792">
        <v>0.75</v>
      </c>
      <c r="GC23" s="1793">
        <v>-0.25</v>
      </c>
      <c r="GD23" s="1794">
        <v>-0.5</v>
      </c>
      <c r="GE23" s="1795">
        <f t="shared" ref="GE23:GE40" si="77">IF(GF23="","",IF(ISBLANK(CE23),IF(Y23=Z23,0,MAX(ABS(Y23),ABS(Z23))*IF(Y23&lt;0,-1,1)),CE23))</f>
        <v>0</v>
      </c>
      <c r="GF23" s="600" t="str">
        <f t="shared" ref="GF23:GF40" si="78">IF(A23=0,"",A23)</f>
        <v>J1</v>
      </c>
      <c r="GG23" s="1130">
        <v>0</v>
      </c>
      <c r="GH23" s="1131">
        <v>0</v>
      </c>
      <c r="GI23" s="1130"/>
      <c r="GJ23" s="1131"/>
      <c r="GK23" s="1636">
        <f t="shared" ref="GK23:GK40" si="79">IF(D23="",0,D23*12+E23)</f>
        <v>480</v>
      </c>
      <c r="GL23" s="1636">
        <f t="shared" ref="GL23:GL40" si="80">(GA23*12+GB23+GC23+GD23)/COS(ATAN(ABS(GE23/12)))</f>
        <v>480</v>
      </c>
      <c r="GM23" s="1637">
        <f>IF(ABS(GK23-GL23)&gt;='Job Info.'!$L$22,ABS(GK23-GL23),0)</f>
        <v>0</v>
      </c>
      <c r="GZ23" s="415"/>
      <c r="HA23" s="1269" t="s">
        <v>1431</v>
      </c>
      <c r="HB23" s="1270">
        <v>2</v>
      </c>
      <c r="HC23" s="1270" t="s">
        <v>1592</v>
      </c>
      <c r="HD23" s="1271">
        <v>40</v>
      </c>
      <c r="HE23" s="1272">
        <v>0</v>
      </c>
      <c r="HF23" s="1270" t="s">
        <v>116</v>
      </c>
      <c r="HG23" s="1270" t="s">
        <v>116</v>
      </c>
      <c r="HH23" s="1270" t="s">
        <v>116</v>
      </c>
      <c r="HI23" s="1273" t="s">
        <v>116</v>
      </c>
      <c r="HJ23" s="1270" t="s">
        <v>116</v>
      </c>
      <c r="HK23" s="1270" t="s">
        <v>116</v>
      </c>
      <c r="HL23" s="1270">
        <v>5</v>
      </c>
      <c r="HM23" s="1270">
        <v>5</v>
      </c>
      <c r="HN23" s="1270" t="s">
        <v>116</v>
      </c>
      <c r="HO23" s="1270" t="s">
        <v>116</v>
      </c>
      <c r="HP23" s="1270" t="s">
        <v>116</v>
      </c>
      <c r="HQ23" s="1273" t="s">
        <v>116</v>
      </c>
      <c r="HR23" s="1270" t="s">
        <v>116</v>
      </c>
      <c r="HS23" s="1270" t="s">
        <v>116</v>
      </c>
      <c r="HT23" s="1270">
        <v>0</v>
      </c>
      <c r="HU23" s="1270">
        <v>2.25</v>
      </c>
      <c r="HV23" s="1270">
        <v>0</v>
      </c>
      <c r="HW23" s="1272">
        <v>2</v>
      </c>
      <c r="HX23" s="1272">
        <v>4</v>
      </c>
      <c r="HY23" s="1272" t="s">
        <v>116</v>
      </c>
      <c r="HZ23" s="1272" t="s">
        <v>116</v>
      </c>
      <c r="IA23" s="1272" t="s">
        <v>1643</v>
      </c>
      <c r="IB23" s="1272"/>
      <c r="IC23" s="1272"/>
      <c r="ID23" s="1272"/>
      <c r="IE23" s="1272"/>
      <c r="IF23" s="1274"/>
    </row>
    <row r="24" spans="1:240" ht="12.6" customHeight="1" x14ac:dyDescent="0.25">
      <c r="A24" s="1448" t="s">
        <v>1432</v>
      </c>
      <c r="B24" s="1681">
        <v>2</v>
      </c>
      <c r="C24" s="1449" t="s">
        <v>1592</v>
      </c>
      <c r="D24" s="1705">
        <v>40</v>
      </c>
      <c r="E24" s="1778">
        <v>0</v>
      </c>
      <c r="F24" s="1708" t="str">
        <f>IF(DX24=0,"",TRUNC(DX24/12))</f>
        <v/>
      </c>
      <c r="G24" s="1709" t="str">
        <f>IF(DX24=0,"",DX24-(F24*12))</f>
        <v/>
      </c>
      <c r="H24" s="1779" t="str">
        <f>IF(DX24=0,"",CW24)</f>
        <v/>
      </c>
      <c r="I24" s="1705" t="str">
        <f>IF(ED24=0,"",TRUNC(ED24/12))</f>
        <v/>
      </c>
      <c r="J24" s="1709" t="str">
        <f>IF(ED24=0,"",ED24-(I24*12))</f>
        <v/>
      </c>
      <c r="K24" s="1780" t="str">
        <f>IF(ED24=0,"",DG24)</f>
        <v/>
      </c>
      <c r="L24" s="1712">
        <v>5</v>
      </c>
      <c r="M24" s="1713">
        <v>5</v>
      </c>
      <c r="N24" s="1708" t="str">
        <f>IF(ES24="","",IF(AND(ES24&lt;0,ES24&gt;-12),TRUNC(ES24/12)-0.0000001,TRUNC(ES24/12)))</f>
        <v/>
      </c>
      <c r="O24" s="1709" t="str">
        <f>IF(ES24="","",IF(AND(ES24-(N24*12)=0,ES24&lt;0),-0.000001,ES24-(N24*12)))</f>
        <v/>
      </c>
      <c r="P24" s="1710" t="str">
        <f>IF(ES24="","",IF(OR(CW24="Q",CW24="C"),3,CZ24))</f>
        <v/>
      </c>
      <c r="Q24" s="1705" t="str">
        <f>IF(ET24="","",IF(AND(ET24&lt;0,ET24&gt;-12),TRUNC(ET24/12)-0.0000001,TRUNC(ET24/12)))</f>
        <v/>
      </c>
      <c r="R24" s="1709" t="str">
        <f>IF(ET24="","",IF(AND(ET24-(Q24*12)=0,ET24&lt;0),-0.000001,ET24-(Q24*12)))</f>
        <v/>
      </c>
      <c r="S24" s="1753" t="str">
        <f>IF(ET24="","",IF(OR(DG24="Q",DG24="C"),3,DJ24))</f>
        <v/>
      </c>
      <c r="T24" s="1708">
        <v>0</v>
      </c>
      <c r="U24" s="1709">
        <v>2.25</v>
      </c>
      <c r="V24" s="1705">
        <v>0</v>
      </c>
      <c r="W24" s="1709">
        <v>2</v>
      </c>
      <c r="X24" s="1750">
        <v>4</v>
      </c>
      <c r="Y24" s="1781" t="str">
        <f>FG24</f>
        <v/>
      </c>
      <c r="Z24" s="1782" t="str">
        <f>FL24</f>
        <v/>
      </c>
      <c r="AA24" s="1783" t="s">
        <v>1703</v>
      </c>
      <c r="AB24" s="1413"/>
      <c r="AC24" s="964" t="b">
        <v>0</v>
      </c>
      <c r="AD24" s="441">
        <f t="shared" si="1"/>
        <v>0</v>
      </c>
      <c r="AE24" s="442">
        <f t="shared" si="2"/>
        <v>2</v>
      </c>
      <c r="AF24" s="442">
        <f t="shared" si="3"/>
        <v>0</v>
      </c>
      <c r="AG24" s="442">
        <f t="shared" si="4"/>
        <v>0</v>
      </c>
      <c r="AH24" s="443">
        <f t="shared" si="5"/>
        <v>0</v>
      </c>
      <c r="AI24" s="444" t="b">
        <v>0</v>
      </c>
      <c r="AJ24" s="238">
        <f>IF(OR(ISERROR(VALUE(LEFT(C24,SEARCH(AK24,C24)-1))),AK24=""),0,VALUE(LEFT(C24,SEARCH(AK24,C24)-1)))</f>
        <v>32</v>
      </c>
      <c r="AK24" s="238" t="str">
        <f t="shared" si="6"/>
        <v>LH</v>
      </c>
      <c r="AL24" s="1290" t="str">
        <f t="shared" si="7"/>
        <v/>
      </c>
      <c r="AM24" s="238">
        <f t="shared" si="8"/>
        <v>305</v>
      </c>
      <c r="AN24" s="238">
        <f t="shared" si="9"/>
        <v>180</v>
      </c>
      <c r="AO24" s="238" t="str">
        <f t="shared" si="10"/>
        <v/>
      </c>
      <c r="AP24" s="830" t="b">
        <f>IF(ISERROR(AJ24),FALSE,IF(OR(AJ24=0,ISERROR(AL24),ISERROR(AM24),ISERROR(AN24),ISERROR(AO24)),FALSE,IF(AL24&lt;&gt;"",IF(ISERROR(VLOOKUP(SUBSTITUTE(SUBSTITUTE(C24,"R",""),"A",""),TblJoistSize!$A:$A,1,FALSE)),FALSE,TRUE),TRUE)))</f>
        <v>1</v>
      </c>
      <c r="AQ24" s="1038">
        <f t="shared" si="11"/>
        <v>6</v>
      </c>
      <c r="AR24" s="945" t="b">
        <f>IF(IF(ISNUMBER(T24),T24*12,0)+IF(ISNUMBER(U24),U24,0)&gt;0,IF(AND(IF(ISNUMBER(T24),T24*12,0)+IF(ISNUMBER(U24),U24,0)&gt;=VLOOKUP(AU24,$DF$2:$DN$9,8,FALSE)/2+$DQ$2,IF(ISNUMBER(T24),T24*12,0)+IF(ISNUMBER(U24),U24,0)&lt;=(AQ24-(VLOOKUP(AU24,$DF$2:$DN$9,8,FALSE)/2+$DQ$2))+IF(H24="X",2,0)),TRUE,FALSE),FALSE)</f>
        <v>1</v>
      </c>
      <c r="AS24" s="1038">
        <f t="shared" si="12"/>
        <v>6</v>
      </c>
      <c r="AT24" s="945" t="b">
        <f>IF(IF(ISNUMBER(V24),V24*12,0)+IF(ISNUMBER(W24),W24,0)&gt;0,IF(AND((IF(ISNUMBER(V24),V24*12,0)+IF(ISNUMBER(W24),W24,0))&gt;=VLOOKUP(AU24,$DF$2:$DN$9,8,FALSE)/2+$DQ$2,(IF(ISNUMBER(V24),V24*12,0)+IF(ISNUMBER(W24),W24,0))&lt;=(AS24-(VLOOKUP(AU24,$DF$2:$DN$9,8,FALSE)/2+$DQ$2))+IF(K24="X",2,0)),TRUE,FALSE),FALSE)</f>
        <v>1</v>
      </c>
      <c r="AU24" s="1291" t="str">
        <f t="shared" si="13"/>
        <v>LH</v>
      </c>
      <c r="AV24" s="830" t="str">
        <f t="shared" si="14"/>
        <v/>
      </c>
      <c r="AW24" s="830" t="str">
        <f t="shared" ref="AW24:AW40" si="81">IF(NOT(ISERROR(SEARCH("HDR",C24))),"HDR",IF(NOT(ISERROR(SEARCH("JS",C24))),"JS",IF(NOT(ISERROR(SEARCH("SLH",C24))),"SLH",IF(NOT(ISERROR(SEARCH("DLH",C24))),"DLH",IF(NOT(ISERROR(SEARCH("LH",C24))),"LH","")))))</f>
        <v>LH</v>
      </c>
      <c r="AX24" s="830" t="str">
        <f>IF(AND(OR(ISBLANK(A24),A24=""),AA24&lt;&gt;""),AX23,IF(OR(ISBLANK(A24),A24=""),"",A24))</f>
        <v>J2</v>
      </c>
      <c r="AY24" s="464" t="b">
        <f t="shared" si="15"/>
        <v>0</v>
      </c>
      <c r="AZ24" s="856" t="b">
        <f t="shared" ref="AZ24:AZ40" si="82">IF(AND(NOT(ISERROR(AJ24)),AJ24&gt;0),((IF(D24="",0,D24)*12+IF(E24="",0,E24))-(IF(F24="",0,F24)*12+IF(G24="",0,G24))-(IF(I24="",0,I24)*12+IF(J24="",0,J24)))&gt;AJ24*24,"")</f>
        <v>0</v>
      </c>
      <c r="BA24" s="549"/>
      <c r="BB24" s="672"/>
      <c r="BC24" s="1684"/>
      <c r="BD24" s="733"/>
      <c r="BE24" s="734"/>
      <c r="BF24" s="735"/>
      <c r="BG24" s="672"/>
      <c r="BH24" s="982"/>
      <c r="BI24" s="983"/>
      <c r="BJ24" s="1625"/>
      <c r="BK24" s="982"/>
      <c r="BL24" s="983"/>
      <c r="BM24" s="1569"/>
      <c r="BN24" s="1570"/>
      <c r="BO24" s="1617" t="str">
        <f>IF(ISERROR(CU24),"",IF(CU24="","",IF(VLOOKUP(BG24,SectInfo!$B:$N,10,FALSE)="","","X")))</f>
        <v/>
      </c>
      <c r="BP24" s="1561"/>
      <c r="BQ24" s="1562" t="str">
        <f t="shared" si="16"/>
        <v/>
      </c>
      <c r="BR24" s="1563"/>
      <c r="BS24" s="672"/>
      <c r="BT24" s="982"/>
      <c r="BU24" s="983"/>
      <c r="BV24" s="1625"/>
      <c r="BW24" s="982"/>
      <c r="BX24" s="983"/>
      <c r="BY24" s="1569"/>
      <c r="BZ24" s="1570"/>
      <c r="CA24" s="1617" t="str">
        <f>IF(ISERROR(DE24),"",IF(DE24="","",IF(VLOOKUP(BS24,SectInfo!$B:$N,10,FALSE)="","","X")))</f>
        <v/>
      </c>
      <c r="CB24" s="1561"/>
      <c r="CC24" s="1562" t="str">
        <f t="shared" si="17"/>
        <v/>
      </c>
      <c r="CD24" s="1563"/>
      <c r="CE24" s="1574"/>
      <c r="CF24" s="736"/>
      <c r="CG24" s="737"/>
      <c r="CH24" s="643" t="str">
        <f t="shared" si="18"/>
        <v/>
      </c>
      <c r="CI24" s="644" t="str">
        <f t="shared" si="19"/>
        <v/>
      </c>
      <c r="CJ24" s="645" t="str">
        <f t="shared" si="20"/>
        <v/>
      </c>
      <c r="CK24" s="852" t="str">
        <f t="shared" si="21"/>
        <v/>
      </c>
      <c r="CL24" s="847" t="str">
        <f t="shared" si="22"/>
        <v/>
      </c>
      <c r="CM24" s="848" t="str">
        <f t="shared" si="23"/>
        <v/>
      </c>
      <c r="CN24" s="611" t="str">
        <f t="shared" si="24"/>
        <v/>
      </c>
      <c r="CO24" s="612" t="str">
        <f t="shared" si="25"/>
        <v/>
      </c>
      <c r="CP24" s="615" t="str">
        <f t="shared" si="26"/>
        <v/>
      </c>
      <c r="CQ24" s="616" t="str">
        <f t="shared" si="27"/>
        <v/>
      </c>
      <c r="CR24" s="750">
        <f t="shared" si="28"/>
        <v>5</v>
      </c>
      <c r="CS24" s="751">
        <f t="shared" si="29"/>
        <v>5</v>
      </c>
      <c r="CU24" s="114" t="str">
        <f>IF(BG24="","",VLOOKUP(BG24,SectInfo!$B:$N,12,FALSE))</f>
        <v/>
      </c>
      <c r="CV24" s="115" t="str">
        <f>IF(BG24="","",IF(ISBLANK(BP24),VLOOKUP(BG24,SectInfo!$B:$N,13,FALSE),BP24))</f>
        <v/>
      </c>
      <c r="CW24" s="1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115" t="str">
        <f>IF(BG24="","",IF(VLOOKUP(BG24,SectInfo!$B:$N,7,FALSE)="","",(VLOOKUP(BG24,SectInfo!$B:$N,7,FALSE)*-1)))</f>
        <v/>
      </c>
      <c r="DB24" s="815" t="str">
        <f>IF(BG24="","",IF(VLOOKUP(BG24,SectInfo!$B:$N,8,FALSE)="",VLOOKUP(AU24,$DF$2:$DN$9,6,FALSE),(VLOOKUP(BG24,SectInfo!$B:$N,8,FALSE))))</f>
        <v/>
      </c>
      <c r="DC24" s="815" t="str">
        <f>IF(BG24="","",VLOOKUP(BG24,SectInfo!$B:$N,9,FALSE))</f>
        <v/>
      </c>
      <c r="DD24" s="816">
        <f t="shared" si="30"/>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31"/>
        <v>0</v>
      </c>
      <c r="DO24" s="818">
        <f t="shared" si="32"/>
        <v>0</v>
      </c>
      <c r="DP24" s="822" t="str">
        <f t="shared" si="33"/>
        <v/>
      </c>
      <c r="DQ24" s="822" t="str">
        <f t="shared" si="34"/>
        <v/>
      </c>
      <c r="DR24" s="822" t="str">
        <f t="shared" si="35"/>
        <v/>
      </c>
      <c r="DS24" s="821">
        <f t="shared" si="36"/>
        <v>0</v>
      </c>
      <c r="DT24" s="821">
        <f t="shared" si="37"/>
        <v>0</v>
      </c>
      <c r="DU24" s="821" t="str">
        <f t="shared" si="38"/>
        <v/>
      </c>
      <c r="DV24" s="822" t="str">
        <f t="shared" si="39"/>
        <v/>
      </c>
      <c r="DW24" s="856" t="str">
        <f t="shared" si="40"/>
        <v/>
      </c>
      <c r="DX24" s="1006">
        <f>IF(CV24="",0,IF(DW24/COS(FN24-FD24)&lt;0.0625,0,CEILING(DW24/COS(FN24-FD24)-0.03125,0.125)))</f>
        <v>0</v>
      </c>
      <c r="DY24" s="822">
        <f t="shared" si="41"/>
        <v>0</v>
      </c>
      <c r="DZ24" s="821">
        <f t="shared" si="42"/>
        <v>0</v>
      </c>
      <c r="EA24" s="821" t="str">
        <f t="shared" si="43"/>
        <v/>
      </c>
      <c r="EB24" s="822" t="str">
        <f>IF(DF24="","",(DF24+EA24+(VLOOKUP(IF(AU24="HDR","K",AU24),$DF$2:$DN$9,2,FALSE))*TAN(DY24))/COS(FI24)-FM24)</f>
        <v/>
      </c>
      <c r="EC24" s="856" t="str">
        <f t="shared" si="44"/>
        <v/>
      </c>
      <c r="ED24" s="1006">
        <f>IF(DF24="",0,IF(EC24/COS(FN24+FI24)&lt;0.0625,0,CEILING(EC24/COS(FN24+FI24)-0.03125,0.125)))</f>
        <v>0</v>
      </c>
      <c r="EE24" s="1293" t="str">
        <f t="shared" si="45"/>
        <v/>
      </c>
      <c r="EF24" s="822" t="str">
        <f>IF(EE24="ERR","ERR",IF(EE24="","",IF(DB24*TAN(DS24)&lt;=(VLOOKUP(AU24,$DF$2:$DN$9,8,FALSE)-(VLOOKUP(AU24,$DF$2:$DN$9,7,FALSE)-0.0625)),CV24-(EE24-FH24)/IF(OR(CU24="C",AND(CU24="M",$DD$1="N")),1,COS(DS24))-IF(MID(CW24,1,1)="R",0,DW24),(ABS(EE24-FH24)/IF(OR(CU24="C",AND(CU24="M",$DD$1="N")),1,COS(DS24))+CV24)-((DB24/2)*TAN(DS24))-IF(MID(CW24,1,1)="R",0,DW24))))</f>
        <v/>
      </c>
      <c r="EG24" s="822" t="str">
        <f>IF(EE24="ERR","ERR",IF(EE24="","",IF(DB24*TAN(DS24)&lt;=(VLOOKUP(AU24,$DF$2:$DN$9,8,FALSE)-(VLOOKUP(AU24,$DF$2:$DN$9,7,FALSE)-0.0625)),CV24-(EE24-FH24)/IF(OR(CU24="C",AND(CU24="M",$DD$1="N")),1,COS(DS24))-IF(MID(CW24,1,1)="R",0,DW24),(ABS(EE24-FH24)/IF(OR(CU24="C",AND(CU24="M",$DD$1="N")),1,COS(DS24))+CV24)+((DB24/2)*TAN(DS24))-IF(MID(CW24,1,1)="R",0,DW24))))</f>
        <v/>
      </c>
      <c r="EH24" s="856" t="str">
        <f t="shared" si="46"/>
        <v>ERR</v>
      </c>
      <c r="EI24" s="856" t="str">
        <f t="shared" si="47"/>
        <v>ERR</v>
      </c>
      <c r="EJ24" s="822" t="str">
        <f t="shared" si="48"/>
        <v/>
      </c>
      <c r="EK24" s="822" t="str">
        <f t="shared" si="48"/>
        <v/>
      </c>
      <c r="EL24" s="1293" t="str">
        <f t="shared" si="49"/>
        <v/>
      </c>
      <c r="EM24" s="822" t="str">
        <f>IF(EL24="ERR","ERR",IF(EL24="","",IF(DL24*TAN(DY24)&lt;=(VLOOKUP(AU24,$DF$2:$DN$9,8,FALSE)-(VLOOKUP(AU24,$DF$2:$DN$9,7,FALSE)-0.0625)),DF24-(EL24-FM24)/IF(OR(DE24="C",AND(DE24="M",$DD$1="N")),1,COS(DY24))-IF(MID(DG24,1,1)="R",0,EC24),(ABS(EL24-FM24)/IF(OR(DE24="C",AND(DE24="M",$DD$1="N")),1,COS(DY24))+DF24)-((DL24/2)*TAN(DY24))-IF(MID(DG24,1,1)="R",0,EC24))))</f>
        <v/>
      </c>
      <c r="EN24" s="822" t="str">
        <f>IF(EL24="ERR","ERR",IF(EL24="","",IF(DL24*TAN(DY24)&lt;=(VLOOKUP(AU24,$DF$2:$DN$9,8,FALSE)-(VLOOKUP(AU24,$DF$2:$DN$9,7,FALSE)-0.0625)),DF24-(EL24-FM24)/IF(OR(DE24="C",AND(DE24="M",$DD$1="N")),1,COS(DY24))-IF(MID(DG24,1,1)="R",0,EC24),(ABS(EL24-FM24)/IF(OR(DE24="C",AND(DE24="M",$DD$1="N")),1,COS(DY24))+DF24)+((DL24/2)*TAN(DY24))-IF(MID(DG24,1,1)="R",0,EC24))))</f>
        <v/>
      </c>
      <c r="EO24" s="856" t="str">
        <f t="shared" si="50"/>
        <v>ERR</v>
      </c>
      <c r="EP24" s="856" t="str">
        <f t="shared" si="51"/>
        <v>ERR</v>
      </c>
      <c r="EQ24" s="822" t="str">
        <f t="shared" si="52"/>
        <v/>
      </c>
      <c r="ER24" s="822" t="str">
        <f t="shared" si="52"/>
        <v/>
      </c>
      <c r="ES24" s="822" t="str">
        <f t="shared" si="53"/>
        <v/>
      </c>
      <c r="ET24" s="822" t="str">
        <f t="shared" si="54"/>
        <v/>
      </c>
      <c r="EU24" s="829">
        <f t="shared" si="55"/>
        <v>4</v>
      </c>
      <c r="EV24" s="824" t="str">
        <f>IF(AND(EK24="",ER24=""),"",IF(EK24="",DL24,IF(EQ24="",DB24,IF(DB24&lt;&gt;DL24,EU24,DB24))))</f>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56"/>
        <v/>
      </c>
      <c r="FA24" s="829" t="str">
        <f>IF(AND(DE24="G", ISBLANK(BW24), ISBLANK(BX24)),VLOOKUP(MIN(BT24:BU24),TblJoistSize!$M$3:$N$10,2),IF(OR(DE24="B", DE24="G"),MIN(BW24:BX24),""))</f>
        <v/>
      </c>
      <c r="FB24" s="829" t="str">
        <f>IF(AND(DE24="G", ISBLANK(BW24), ISBLANK(BX24)),VLOOKUP(MAX(BT24:BU24),TblJoistSize!$M$3:$N$10,2),IF(OR(DE24="B", DE24="G"),MAX(BW24:BX24),""))</f>
        <v/>
      </c>
      <c r="FC24" s="829" t="str">
        <f t="shared" si="57"/>
        <v/>
      </c>
      <c r="FD24" s="822">
        <f t="shared" si="58"/>
        <v>0</v>
      </c>
      <c r="FE24" s="822">
        <f t="shared" si="59"/>
        <v>0</v>
      </c>
      <c r="FF24" s="821">
        <f t="shared" si="60"/>
        <v>0</v>
      </c>
      <c r="FG24" s="821" t="str">
        <f t="shared" si="61"/>
        <v/>
      </c>
      <c r="FH24" s="822" t="str">
        <f t="shared" si="62"/>
        <v/>
      </c>
      <c r="FI24" s="822">
        <f t="shared" si="63"/>
        <v>0</v>
      </c>
      <c r="FJ24" s="822">
        <f t="shared" si="64"/>
        <v>0</v>
      </c>
      <c r="FK24" s="821">
        <f t="shared" si="65"/>
        <v>0</v>
      </c>
      <c r="FL24" s="821" t="str">
        <f t="shared" si="66"/>
        <v/>
      </c>
      <c r="FM24" s="822" t="str">
        <f t="shared" si="67"/>
        <v/>
      </c>
      <c r="FN24" s="822" t="e">
        <f t="shared" si="68"/>
        <v>#VALUE!</v>
      </c>
      <c r="FO24" s="940" t="e">
        <f t="shared" si="69"/>
        <v>#VALUE!</v>
      </c>
      <c r="FP24" s="940" t="e">
        <f t="shared" si="70"/>
        <v>#VALUE!</v>
      </c>
      <c r="FQ24" s="830" t="e">
        <f t="shared" si="71"/>
        <v>#VALUE!</v>
      </c>
      <c r="FR24" s="831" t="e">
        <f t="shared" si="72"/>
        <v>#VALUE!</v>
      </c>
      <c r="FS24" s="832" t="str">
        <f t="shared" si="73"/>
        <v/>
      </c>
      <c r="FT24" s="833" t="str">
        <f t="shared" si="74"/>
        <v/>
      </c>
      <c r="FU24" s="870">
        <f t="shared" si="75"/>
        <v>0</v>
      </c>
      <c r="FV24" s="871">
        <f t="shared" si="76"/>
        <v>0</v>
      </c>
      <c r="GA24" s="1791">
        <v>40</v>
      </c>
      <c r="GB24" s="1792">
        <v>0.75</v>
      </c>
      <c r="GC24" s="1793">
        <v>-0.25</v>
      </c>
      <c r="GD24" s="1794">
        <v>-0.5</v>
      </c>
      <c r="GE24" s="1795">
        <f t="shared" si="77"/>
        <v>0</v>
      </c>
      <c r="GF24" s="600" t="str">
        <f t="shared" si="78"/>
        <v>J2</v>
      </c>
      <c r="GG24" s="1130">
        <v>0</v>
      </c>
      <c r="GH24" s="1131">
        <v>0</v>
      </c>
      <c r="GI24" s="1130"/>
      <c r="GJ24" s="1131"/>
      <c r="GK24" s="1636">
        <f t="shared" si="79"/>
        <v>480</v>
      </c>
      <c r="GL24" s="1636">
        <f t="shared" si="80"/>
        <v>480</v>
      </c>
      <c r="GM24" s="1637">
        <f>IF(ABS(GK24-GL24)&gt;='Job Info.'!$L$22,ABS(GK24-GL24),0)</f>
        <v>0</v>
      </c>
      <c r="GZ24" s="415"/>
      <c r="HA24" s="1391" t="s">
        <v>1432</v>
      </c>
      <c r="HB24" s="1392">
        <v>2</v>
      </c>
      <c r="HC24" s="1392" t="s">
        <v>1592</v>
      </c>
      <c r="HD24" s="1393">
        <v>40</v>
      </c>
      <c r="HE24" s="1394">
        <v>0</v>
      </c>
      <c r="HF24" s="1392" t="s">
        <v>116</v>
      </c>
      <c r="HG24" s="1392" t="s">
        <v>116</v>
      </c>
      <c r="HH24" s="1392" t="s">
        <v>116</v>
      </c>
      <c r="HI24" s="1395" t="s">
        <v>116</v>
      </c>
      <c r="HJ24" s="1392" t="s">
        <v>116</v>
      </c>
      <c r="HK24" s="1392" t="s">
        <v>116</v>
      </c>
      <c r="HL24" s="1392">
        <v>5</v>
      </c>
      <c r="HM24" s="1392">
        <v>5</v>
      </c>
      <c r="HN24" s="1392" t="s">
        <v>116</v>
      </c>
      <c r="HO24" s="1392" t="s">
        <v>116</v>
      </c>
      <c r="HP24" s="1392" t="s">
        <v>116</v>
      </c>
      <c r="HQ24" s="1395" t="s">
        <v>116</v>
      </c>
      <c r="HR24" s="1392" t="s">
        <v>116</v>
      </c>
      <c r="HS24" s="1392" t="s">
        <v>116</v>
      </c>
      <c r="HT24" s="1392">
        <v>0</v>
      </c>
      <c r="HU24" s="1392">
        <v>2.25</v>
      </c>
      <c r="HV24" s="1392">
        <v>0</v>
      </c>
      <c r="HW24" s="1394">
        <v>2</v>
      </c>
      <c r="HX24" s="1394">
        <v>4</v>
      </c>
      <c r="HY24" s="1394" t="s">
        <v>116</v>
      </c>
      <c r="HZ24" s="1394" t="s">
        <v>116</v>
      </c>
      <c r="IA24" s="1394" t="s">
        <v>1644</v>
      </c>
      <c r="IB24" s="1394"/>
      <c r="IC24" s="1394"/>
      <c r="ID24" s="1394"/>
      <c r="IE24" s="1394"/>
      <c r="IF24" s="1396"/>
    </row>
    <row r="25" spans="1:240" ht="12.6" customHeight="1" x14ac:dyDescent="0.25">
      <c r="A25" s="1448" t="s">
        <v>1433</v>
      </c>
      <c r="B25" s="1681">
        <v>2</v>
      </c>
      <c r="C25" s="1449" t="s">
        <v>1592</v>
      </c>
      <c r="D25" s="1705">
        <v>40</v>
      </c>
      <c r="E25" s="1778">
        <v>0</v>
      </c>
      <c r="F25" s="1708" t="str">
        <f>IF(DX25=0,"",TRUNC(DX25/12))</f>
        <v/>
      </c>
      <c r="G25" s="1709" t="str">
        <f>IF(DX25=0,"",DX25-(F25*12))</f>
        <v/>
      </c>
      <c r="H25" s="1779" t="str">
        <f>IF(DX25=0,"",CW25)</f>
        <v/>
      </c>
      <c r="I25" s="1705" t="str">
        <f>IF(ED25=0,"",TRUNC(ED25/12))</f>
        <v/>
      </c>
      <c r="J25" s="1709" t="str">
        <f>IF(ED25=0,"",ED25-(I25*12))</f>
        <v/>
      </c>
      <c r="K25" s="1780" t="str">
        <f>IF(ED25=0,"",DG25)</f>
        <v/>
      </c>
      <c r="L25" s="1712">
        <v>5</v>
      </c>
      <c r="M25" s="1713">
        <v>5</v>
      </c>
      <c r="N25" s="1708" t="str">
        <f>IF(ES25="","",IF(AND(ES25&lt;0,ES25&gt;-12),TRUNC(ES25/12)-0.0000001,TRUNC(ES25/12)))</f>
        <v/>
      </c>
      <c r="O25" s="1709" t="str">
        <f>IF(ES25="","",IF(AND(ES25-(N25*12)=0,ES25&lt;0),-0.000001,ES25-(N25*12)))</f>
        <v/>
      </c>
      <c r="P25" s="1710" t="str">
        <f>IF(ES25="","",IF(OR(CW25="Q",CW25="C"),3,CZ25))</f>
        <v/>
      </c>
      <c r="Q25" s="1705" t="str">
        <f>IF(ET25="","",IF(AND(ET25&lt;0,ET25&gt;-12),TRUNC(ET25/12)-0.0000001,TRUNC(ET25/12)))</f>
        <v/>
      </c>
      <c r="R25" s="1709" t="str">
        <f>IF(ET25="","",IF(AND(ET25-(Q25*12)=0,ET25&lt;0),-0.000001,ET25-(Q25*12)))</f>
        <v/>
      </c>
      <c r="S25" s="1753" t="str">
        <f>IF(ET25="","",IF(OR(DG25="Q",DG25="C"),3,DJ25))</f>
        <v/>
      </c>
      <c r="T25" s="1708">
        <v>0</v>
      </c>
      <c r="U25" s="1709">
        <v>2.25</v>
      </c>
      <c r="V25" s="1705">
        <v>0</v>
      </c>
      <c r="W25" s="1709">
        <v>2</v>
      </c>
      <c r="X25" s="1750">
        <v>4</v>
      </c>
      <c r="Y25" s="1781" t="str">
        <f>FG25</f>
        <v/>
      </c>
      <c r="Z25" s="1782" t="str">
        <f>FL25</f>
        <v/>
      </c>
      <c r="AA25" s="1783" t="s">
        <v>1704</v>
      </c>
      <c r="AB25" s="1413"/>
      <c r="AC25" s="964" t="b">
        <v>0</v>
      </c>
      <c r="AD25" s="441">
        <f t="shared" si="1"/>
        <v>0</v>
      </c>
      <c r="AE25" s="442">
        <f t="shared" si="2"/>
        <v>2</v>
      </c>
      <c r="AF25" s="442">
        <f t="shared" si="3"/>
        <v>0</v>
      </c>
      <c r="AG25" s="442">
        <f t="shared" si="4"/>
        <v>0</v>
      </c>
      <c r="AH25" s="443">
        <f t="shared" si="5"/>
        <v>0</v>
      </c>
      <c r="AI25" s="444" t="b">
        <v>0</v>
      </c>
      <c r="AJ25" s="238">
        <f>IF(OR(ISERROR(VALUE(LEFT(C25,SEARCH(AK25,C25)-1))),AK25=""),0,VALUE(LEFT(C25,SEARCH(AK25,C25)-1)))</f>
        <v>32</v>
      </c>
      <c r="AK25" s="238" t="str">
        <f t="shared" si="6"/>
        <v>LH</v>
      </c>
      <c r="AL25" s="1290" t="str">
        <f t="shared" si="7"/>
        <v/>
      </c>
      <c r="AM25" s="238">
        <f t="shared" si="8"/>
        <v>305</v>
      </c>
      <c r="AN25" s="238">
        <f t="shared" si="9"/>
        <v>180</v>
      </c>
      <c r="AO25" s="238" t="str">
        <f t="shared" si="10"/>
        <v/>
      </c>
      <c r="AP25" s="830" t="b">
        <f>IF(ISERROR(AJ25),FALSE,IF(OR(AJ25=0,ISERROR(AL25),ISERROR(AM25),ISERROR(AN25),ISERROR(AO25)),FALSE,IF(AL25&lt;&gt;"",IF(ISERROR(VLOOKUP(SUBSTITUTE(SUBSTITUTE(C25,"R",""),"A",""),TblJoistSize!$A:$A,1,FALSE)),FALSE,TRUE),TRUE)))</f>
        <v>1</v>
      </c>
      <c r="AQ25" s="1038">
        <f t="shared" si="11"/>
        <v>6</v>
      </c>
      <c r="AR25" s="945" t="b">
        <f t="shared" ref="AR25:AR40" si="83">IF(IF(ISNUMBER(T25),T25*12,0)+IF(ISNUMBER(U25),U25,0)&gt;0,IF(AND(IF(ISNUMBER(T25),T25*12,0)+IF(ISNUMBER(U25),U25,0)&gt;=VLOOKUP(AU25,$DF$2:$DN$9,8,FALSE)/2+$DQ$2,IF(ISNUMBER(T25),T25*12,0)+IF(ISNUMBER(U25),U25,0)&lt;=(AQ25-(VLOOKUP(AU25,$DF$2:$DN$9,8,FALSE)/2+$DQ$2))+IF(H25="X",2,0)),TRUE,FALSE),FALSE)</f>
        <v>1</v>
      </c>
      <c r="AS25" s="1038">
        <f t="shared" si="12"/>
        <v>6</v>
      </c>
      <c r="AT25" s="945" t="b">
        <f t="shared" ref="AT25:AT40" si="84">IF(IF(ISNUMBER(V25),V25*12,0)+IF(ISNUMBER(W25),W25,0)&gt;0,IF(AND((IF(ISNUMBER(V25),V25*12,0)+IF(ISNUMBER(W25),W25,0))&gt;=VLOOKUP(AU25,$DF$2:$DN$9,8,FALSE)/2+$DQ$2,(IF(ISNUMBER(V25),V25*12,0)+IF(ISNUMBER(W25),W25,0))&lt;=(AS25-(VLOOKUP(AU25,$DF$2:$DN$9,8,FALSE)/2+$DQ$2))+IF(K25="X",2,0)),TRUE,FALSE),FALSE)</f>
        <v>1</v>
      </c>
      <c r="AU25" s="1291" t="str">
        <f t="shared" si="13"/>
        <v>LH</v>
      </c>
      <c r="AV25" s="830" t="str">
        <f t="shared" si="14"/>
        <v/>
      </c>
      <c r="AW25" s="830" t="str">
        <f t="shared" si="81"/>
        <v>LH</v>
      </c>
      <c r="AX25" s="830" t="str">
        <f t="shared" ref="AX25:AX40" si="85">IF(AND(OR(ISBLANK(A25),A25=""),AA25&lt;&gt;""),AX24,IF(OR(ISBLANK(A25),A25=""),"",A25))</f>
        <v>J3</v>
      </c>
      <c r="AY25" s="464" t="b">
        <f t="shared" si="15"/>
        <v>0</v>
      </c>
      <c r="AZ25" s="856" t="b">
        <f t="shared" si="82"/>
        <v>0</v>
      </c>
      <c r="BA25" s="549"/>
      <c r="BB25" s="672"/>
      <c r="BC25" s="1684"/>
      <c r="BD25" s="733"/>
      <c r="BE25" s="734"/>
      <c r="BF25" s="735"/>
      <c r="BG25" s="672"/>
      <c r="BH25" s="982"/>
      <c r="BI25" s="983"/>
      <c r="BJ25" s="1625"/>
      <c r="BK25" s="982"/>
      <c r="BL25" s="983"/>
      <c r="BM25" s="1569"/>
      <c r="BN25" s="1570"/>
      <c r="BO25" s="1617" t="str">
        <f>IF(ISERROR(CU25),"",IF(CU25="","",IF(VLOOKUP(BG25,SectInfo!$B:$N,10,FALSE)="","","X")))</f>
        <v/>
      </c>
      <c r="BP25" s="1561"/>
      <c r="BQ25" s="1562" t="str">
        <f t="shared" si="16"/>
        <v/>
      </c>
      <c r="BR25" s="1563"/>
      <c r="BS25" s="672"/>
      <c r="BT25" s="982"/>
      <c r="BU25" s="983"/>
      <c r="BV25" s="1625"/>
      <c r="BW25" s="982"/>
      <c r="BX25" s="983"/>
      <c r="BY25" s="1569"/>
      <c r="BZ25" s="1570"/>
      <c r="CA25" s="1617" t="str">
        <f>IF(ISERROR(DE25),"",IF(DE25="","",IF(VLOOKUP(BS25,SectInfo!$B:$N,10,FALSE)="","","X")))</f>
        <v/>
      </c>
      <c r="CB25" s="1561"/>
      <c r="CC25" s="1562" t="str">
        <f t="shared" si="17"/>
        <v/>
      </c>
      <c r="CD25" s="1563"/>
      <c r="CE25" s="1574"/>
      <c r="CF25" s="736"/>
      <c r="CG25" s="737"/>
      <c r="CH25" s="643" t="str">
        <f t="shared" si="18"/>
        <v/>
      </c>
      <c r="CI25" s="644" t="str">
        <f t="shared" si="19"/>
        <v/>
      </c>
      <c r="CJ25" s="645" t="str">
        <f t="shared" si="20"/>
        <v/>
      </c>
      <c r="CK25" s="852" t="str">
        <f t="shared" si="21"/>
        <v/>
      </c>
      <c r="CL25" s="847" t="str">
        <f t="shared" si="22"/>
        <v/>
      </c>
      <c r="CM25" s="848" t="str">
        <f t="shared" si="23"/>
        <v/>
      </c>
      <c r="CN25" s="611" t="str">
        <f t="shared" si="24"/>
        <v/>
      </c>
      <c r="CO25" s="612" t="str">
        <f t="shared" si="25"/>
        <v/>
      </c>
      <c r="CP25" s="615" t="str">
        <f t="shared" si="26"/>
        <v/>
      </c>
      <c r="CQ25" s="616" t="str">
        <f t="shared" si="27"/>
        <v/>
      </c>
      <c r="CR25" s="750">
        <f t="shared" si="28"/>
        <v>5</v>
      </c>
      <c r="CS25" s="751">
        <f t="shared" si="29"/>
        <v>5</v>
      </c>
      <c r="CU25" s="114" t="str">
        <f>IF(BG25="","",VLOOKUP(BG25,SectInfo!$B:$N,12,FALSE))</f>
        <v/>
      </c>
      <c r="CV25" s="115" t="str">
        <f>IF(BG25="","",IF(ISBLANK(BP25),VLOOKUP(BG25,SectInfo!$B:$N,13,FALSE),BP25))</f>
        <v/>
      </c>
      <c r="CW25" s="1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115" t="str">
        <f>IF(BG25="","",IF(VLOOKUP(BG25,SectInfo!$B:$N,7,FALSE)="","",(VLOOKUP(BG25,SectInfo!$B:$N,7,FALSE)*-1)))</f>
        <v/>
      </c>
      <c r="DB25" s="815" t="str">
        <f>IF(BG25="","",IF(VLOOKUP(BG25,SectInfo!$B:$N,8,FALSE)="",VLOOKUP(AU25,$DF$2:$DN$9,6,FALSE),(VLOOKUP(BG25,SectInfo!$B:$N,8,FALSE))))</f>
        <v/>
      </c>
      <c r="DC25" s="815" t="str">
        <f>IF(BG25="","",VLOOKUP(BG25,SectInfo!$B:$N,9,FALSE))</f>
        <v/>
      </c>
      <c r="DD25" s="816">
        <f t="shared" si="30"/>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31"/>
        <v>0</v>
      </c>
      <c r="DO25" s="818">
        <f t="shared" si="32"/>
        <v>0</v>
      </c>
      <c r="DP25" s="822" t="str">
        <f t="shared" si="33"/>
        <v/>
      </c>
      <c r="DQ25" s="822" t="str">
        <f t="shared" si="34"/>
        <v/>
      </c>
      <c r="DR25" s="822" t="str">
        <f t="shared" si="35"/>
        <v/>
      </c>
      <c r="DS25" s="821">
        <f t="shared" si="36"/>
        <v>0</v>
      </c>
      <c r="DT25" s="821">
        <f t="shared" si="37"/>
        <v>0</v>
      </c>
      <c r="DU25" s="821" t="str">
        <f t="shared" si="38"/>
        <v/>
      </c>
      <c r="DV25" s="822" t="str">
        <f t="shared" si="39"/>
        <v/>
      </c>
      <c r="DW25" s="856" t="str">
        <f t="shared" si="40"/>
        <v/>
      </c>
      <c r="DX25" s="1006">
        <f>IF(CV25="",0,IF(DW25/COS(FN25-FD25)&lt;0.0625,0,CEILING(DW25/COS(FN25-FD25)-0.03125,0.125)))</f>
        <v>0</v>
      </c>
      <c r="DY25" s="822">
        <f t="shared" si="41"/>
        <v>0</v>
      </c>
      <c r="DZ25" s="821">
        <f t="shared" si="42"/>
        <v>0</v>
      </c>
      <c r="EA25" s="821" t="str">
        <f t="shared" si="43"/>
        <v/>
      </c>
      <c r="EB25" s="822" t="str">
        <f>IF(DF25="","",(DF25+EA25+(VLOOKUP(IF(AU25="HDR","K",AU25),$DF$2:$DN$9,2,FALSE))*TAN(DY25))/COS(FI25)-FM25)</f>
        <v/>
      </c>
      <c r="EC25" s="856" t="str">
        <f t="shared" si="44"/>
        <v/>
      </c>
      <c r="ED25" s="1006">
        <f>IF(DF25="",0,IF(EC25/COS(FN25+FI25)&lt;0.0625,0,CEILING(EC25/COS(FN25+FI25)-0.03125,0.125)))</f>
        <v>0</v>
      </c>
      <c r="EE25" s="1293" t="str">
        <f t="shared" si="45"/>
        <v/>
      </c>
      <c r="EF25" s="1293" t="str">
        <f>IF(EE25="ERR","ERR",IF(EE25="","",IF(DB25*TAN(DS25)&lt;=(VLOOKUP(AU25,$DF$2:$DN$9,8,FALSE)-(VLOOKUP(AU25,$DF$2:$DN$9,7,FALSE)-0.0625)),CV25-(EE25-FH25)/IF(OR(CU25="C",AND(CU25="M",$DD$1="N")),1,COS(DS25))-IF(MID(CW25,1,1)="R",0,DW25),(ABS(EE25-FH25)/IF(OR(CU25="C",AND(CU25="M",$DD$1="N")),1,COS(DS25))+CV25)-((DB25/2)*TAN(DS25))-IF(MID(CW25,1,1)="R",0,DW25))))</f>
        <v/>
      </c>
      <c r="EG25" s="1293" t="str">
        <f>IF(EE25="ERR","ERR",IF(EE25="","",IF(DB25*TAN(DS25)&lt;=(VLOOKUP(AU25,$DF$2:$DN$9,8,FALSE)-(VLOOKUP(AU25,$DF$2:$DN$9,7,FALSE)-0.0625)),CV25-(EE25-FH25)/IF(OR(CU25="C",AND(CU25="M",$DD$1="N")),1,COS(DS25))-IF(MID(CW25,1,1)="R",0,DW25),(ABS(EE25-FH25)/IF(OR(CU25="C",AND(CU25="M",$DD$1="N")),1,COS(DS25))+CV25)+((DB25/2)*TAN(DS25))-IF(MID(CW25,1,1)="R",0,DW25))))</f>
        <v/>
      </c>
      <c r="EH25" s="856" t="str">
        <f t="shared" si="46"/>
        <v>ERR</v>
      </c>
      <c r="EI25" s="856" t="str">
        <f t="shared" si="47"/>
        <v>ERR</v>
      </c>
      <c r="EJ25" s="822" t="str">
        <f t="shared" si="48"/>
        <v/>
      </c>
      <c r="EK25" s="822" t="str">
        <f t="shared" si="48"/>
        <v/>
      </c>
      <c r="EL25" s="1293" t="str">
        <f t="shared" si="49"/>
        <v/>
      </c>
      <c r="EM25" s="822" t="str">
        <f>IF(EL25="ERR","ERR",IF(EL25="","",IF(DL25*TAN(DY25)&lt;=(VLOOKUP(AU25,$DF$2:$DN$9,8,FALSE)-(VLOOKUP(AU25,$DF$2:$DN$9,7,FALSE)-0.0625)),DF25-(EL25-FM25)/IF(OR(DE25="C",AND(DE25="M",$DD$1="N")),1,COS(DY25))-IF(MID(DG25,1,1)="R",0,EC25),(ABS(EL25-FM25)/IF(OR(DE25="C",AND(DE25="M",$DD$1="N")),1,COS(DY25))+DF25)-((DL25/2)*TAN(DY25))-IF(MID(DG25,1,1)="R",0,EC25))))</f>
        <v/>
      </c>
      <c r="EN25" s="822" t="str">
        <f>IF(EL25="ERR","ERR",IF(EL25="","",IF(DL25*TAN(DY25)&lt;=(VLOOKUP(AU25,$DF$2:$DN$9,8,FALSE)-(VLOOKUP(AU25,$DF$2:$DN$9,7,FALSE)-0.0625)),DF25-(EL25-FM25)/IF(OR(DE25="C",AND(DE25="M",$DD$1="N")),1,COS(DY25))-IF(MID(DG25,1,1)="R",0,EC25),(ABS(EL25-FM25)/IF(OR(DE25="C",AND(DE25="M",$DD$1="N")),1,COS(DY25))+DF25)+((DL25/2)*TAN(DY25))-IF(MID(DG25,1,1)="R",0,EC25))))</f>
        <v/>
      </c>
      <c r="EO25" s="856" t="str">
        <f t="shared" si="50"/>
        <v>ERR</v>
      </c>
      <c r="EP25" s="856" t="str">
        <f t="shared" si="51"/>
        <v>ERR</v>
      </c>
      <c r="EQ25" s="822" t="str">
        <f t="shared" si="52"/>
        <v/>
      </c>
      <c r="ER25" s="822" t="str">
        <f t="shared" si="52"/>
        <v/>
      </c>
      <c r="ES25" s="822" t="str">
        <f t="shared" si="53"/>
        <v/>
      </c>
      <c r="ET25" s="822" t="str">
        <f t="shared" si="54"/>
        <v/>
      </c>
      <c r="EU25" s="829">
        <f t="shared" si="55"/>
        <v>4</v>
      </c>
      <c r="EV25" s="824" t="str">
        <f>IF(AND(EK25="",ER25=""),"",IF(EK25="",DL25,IF(EQ25="",DB25,IF(DB25&lt;&gt;DL25,EU25,DB25))))</f>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56"/>
        <v/>
      </c>
      <c r="FA25" s="829" t="str">
        <f>IF(AND(DE25="G", ISBLANK(BW25), ISBLANK(BX25)),VLOOKUP(MIN(BT25:BU25),TblJoistSize!$M$3:$N$10,2),IF(OR(DE25="B", DE25="G"),MIN(BW25:BX25),""))</f>
        <v/>
      </c>
      <c r="FB25" s="829" t="str">
        <f>IF(AND(DE25="G", ISBLANK(BW25), ISBLANK(BX25)),VLOOKUP(MAX(BT25:BU25),TblJoistSize!$M$3:$N$10,2),IF(OR(DE25="B", DE25="G"),MAX(BW25:BX25),""))</f>
        <v/>
      </c>
      <c r="FC25" s="829" t="str">
        <f t="shared" si="57"/>
        <v/>
      </c>
      <c r="FD25" s="822">
        <f t="shared" si="58"/>
        <v>0</v>
      </c>
      <c r="FE25" s="822">
        <f t="shared" si="59"/>
        <v>0</v>
      </c>
      <c r="FF25" s="821">
        <f t="shared" si="60"/>
        <v>0</v>
      </c>
      <c r="FG25" s="821" t="str">
        <f t="shared" si="61"/>
        <v/>
      </c>
      <c r="FH25" s="822" t="str">
        <f t="shared" si="62"/>
        <v/>
      </c>
      <c r="FI25" s="822">
        <f t="shared" si="63"/>
        <v>0</v>
      </c>
      <c r="FJ25" s="822">
        <f t="shared" si="64"/>
        <v>0</v>
      </c>
      <c r="FK25" s="821">
        <f t="shared" si="65"/>
        <v>0</v>
      </c>
      <c r="FL25" s="821" t="str">
        <f t="shared" si="66"/>
        <v/>
      </c>
      <c r="FM25" s="822" t="str">
        <f t="shared" si="67"/>
        <v/>
      </c>
      <c r="FN25" s="822" t="e">
        <f t="shared" si="68"/>
        <v>#VALUE!</v>
      </c>
      <c r="FO25" s="940" t="e">
        <f t="shared" si="69"/>
        <v>#VALUE!</v>
      </c>
      <c r="FP25" s="940" t="e">
        <f t="shared" si="70"/>
        <v>#VALUE!</v>
      </c>
      <c r="FQ25" s="830" t="e">
        <f t="shared" si="71"/>
        <v>#VALUE!</v>
      </c>
      <c r="FR25" s="831" t="e">
        <f t="shared" si="72"/>
        <v>#VALUE!</v>
      </c>
      <c r="FS25" s="832" t="str">
        <f t="shared" si="73"/>
        <v/>
      </c>
      <c r="FT25" s="833" t="str">
        <f t="shared" si="74"/>
        <v/>
      </c>
      <c r="FU25" s="870">
        <f t="shared" si="75"/>
        <v>0</v>
      </c>
      <c r="FV25" s="871">
        <f t="shared" si="76"/>
        <v>0</v>
      </c>
      <c r="GA25" s="1791">
        <v>40</v>
      </c>
      <c r="GB25" s="1792">
        <v>0.75</v>
      </c>
      <c r="GC25" s="1793">
        <v>-0.25</v>
      </c>
      <c r="GD25" s="1794">
        <v>-0.5</v>
      </c>
      <c r="GE25" s="1795">
        <f t="shared" si="77"/>
        <v>0</v>
      </c>
      <c r="GF25" s="600" t="str">
        <f t="shared" si="78"/>
        <v>J3</v>
      </c>
      <c r="GG25" s="1130">
        <v>0</v>
      </c>
      <c r="GH25" s="1131">
        <v>0</v>
      </c>
      <c r="GI25" s="1130"/>
      <c r="GJ25" s="1131"/>
      <c r="GK25" s="1636">
        <f t="shared" si="79"/>
        <v>480</v>
      </c>
      <c r="GL25" s="1636">
        <f t="shared" si="80"/>
        <v>480</v>
      </c>
      <c r="GM25" s="1637">
        <f>IF(ABS(GK25-GL25)&gt;='Job Info.'!$L$22,ABS(GK25-GL25),0)</f>
        <v>0</v>
      </c>
      <c r="GZ25" s="415"/>
      <c r="HA25" s="1391" t="s">
        <v>1433</v>
      </c>
      <c r="HB25" s="1392">
        <v>2</v>
      </c>
      <c r="HC25" s="1392" t="s">
        <v>1592</v>
      </c>
      <c r="HD25" s="1393">
        <v>40</v>
      </c>
      <c r="HE25" s="1394">
        <v>0</v>
      </c>
      <c r="HF25" s="1392" t="s">
        <v>116</v>
      </c>
      <c r="HG25" s="1392" t="s">
        <v>116</v>
      </c>
      <c r="HH25" s="1392" t="s">
        <v>116</v>
      </c>
      <c r="HI25" s="1395" t="s">
        <v>116</v>
      </c>
      <c r="HJ25" s="1392" t="s">
        <v>116</v>
      </c>
      <c r="HK25" s="1392" t="s">
        <v>116</v>
      </c>
      <c r="HL25" s="1392">
        <v>5</v>
      </c>
      <c r="HM25" s="1392">
        <v>5</v>
      </c>
      <c r="HN25" s="1392" t="s">
        <v>116</v>
      </c>
      <c r="HO25" s="1392" t="s">
        <v>116</v>
      </c>
      <c r="HP25" s="1392" t="s">
        <v>116</v>
      </c>
      <c r="HQ25" s="1395" t="s">
        <v>116</v>
      </c>
      <c r="HR25" s="1392" t="s">
        <v>116</v>
      </c>
      <c r="HS25" s="1392" t="s">
        <v>116</v>
      </c>
      <c r="HT25" s="1392">
        <v>0</v>
      </c>
      <c r="HU25" s="1392">
        <v>2.25</v>
      </c>
      <c r="HV25" s="1392">
        <v>0</v>
      </c>
      <c r="HW25" s="1394">
        <v>2</v>
      </c>
      <c r="HX25" s="1394">
        <v>4</v>
      </c>
      <c r="HY25" s="1394" t="s">
        <v>116</v>
      </c>
      <c r="HZ25" s="1394" t="s">
        <v>116</v>
      </c>
      <c r="IA25" s="1394" t="s">
        <v>1645</v>
      </c>
      <c r="IB25" s="1394"/>
      <c r="IC25" s="1394"/>
      <c r="ID25" s="1394"/>
      <c r="IE25" s="1394"/>
      <c r="IF25" s="1396"/>
    </row>
    <row r="26" spans="1:240" ht="12.6" customHeight="1" x14ac:dyDescent="0.25">
      <c r="A26" s="1448" t="s">
        <v>1434</v>
      </c>
      <c r="B26" s="1681">
        <v>2</v>
      </c>
      <c r="C26" s="1449" t="s">
        <v>1592</v>
      </c>
      <c r="D26" s="1705">
        <v>40</v>
      </c>
      <c r="E26" s="1778">
        <v>0</v>
      </c>
      <c r="F26" s="1708" t="str">
        <f t="shared" ref="F26:F40" si="86">IF(DX26=0,"",TRUNC(DX26/12))</f>
        <v/>
      </c>
      <c r="G26" s="1709" t="str">
        <f t="shared" ref="G26:G40" si="87">IF(DX26=0,"",DX26-(F26*12))</f>
        <v/>
      </c>
      <c r="H26" s="1779" t="str">
        <f t="shared" ref="H26:H40" si="88">IF(DX26=0,"",CW26)</f>
        <v/>
      </c>
      <c r="I26" s="1705" t="str">
        <f t="shared" ref="I26:I40" si="89">IF(ED26=0,"",TRUNC(ED26/12))</f>
        <v/>
      </c>
      <c r="J26" s="1709" t="str">
        <f t="shared" ref="J26:J40" si="90">IF(ED26=0,"",ED26-(I26*12))</f>
        <v/>
      </c>
      <c r="K26" s="1780" t="str">
        <f t="shared" ref="K26:K40" si="91">IF(ED26=0,"",DG26)</f>
        <v/>
      </c>
      <c r="L26" s="1712">
        <v>5</v>
      </c>
      <c r="M26" s="1713">
        <v>5</v>
      </c>
      <c r="N26" s="1708" t="str">
        <f t="shared" ref="N26:N40" si="92">IF(ES26="","",IF(AND(ES26&lt;0,ES26&gt;-12),TRUNC(ES26/12)-0.0000001,TRUNC(ES26/12)))</f>
        <v/>
      </c>
      <c r="O26" s="1709" t="str">
        <f t="shared" ref="O26:O40" si="93">IF(ES26="","",IF(AND(ES26-(N26*12)=0,ES26&lt;0),-0.000001,ES26-(N26*12)))</f>
        <v/>
      </c>
      <c r="P26" s="1710" t="str">
        <f t="shared" ref="P26:P40" si="94">IF(ES26="","",IF(OR(CW26="Q",CW26="C"),3,CZ26))</f>
        <v/>
      </c>
      <c r="Q26" s="1705" t="str">
        <f t="shared" ref="Q26:Q40" si="95">IF(ET26="","",IF(AND(ET26&lt;0,ET26&gt;-12),TRUNC(ET26/12)-0.0000001,TRUNC(ET26/12)))</f>
        <v/>
      </c>
      <c r="R26" s="1709" t="str">
        <f t="shared" ref="R26:R40" si="96">IF(ET26="","",IF(AND(ET26-(Q26*12)=0,ET26&lt;0),-0.000001,ET26-(Q26*12)))</f>
        <v/>
      </c>
      <c r="S26" s="1753" t="str">
        <f t="shared" ref="S26:S40" si="97">IF(ET26="","",IF(OR(DG26="Q",DG26="C"),3,DJ26))</f>
        <v/>
      </c>
      <c r="T26" s="1708">
        <v>0</v>
      </c>
      <c r="U26" s="1709">
        <v>2.25</v>
      </c>
      <c r="V26" s="1705">
        <v>0</v>
      </c>
      <c r="W26" s="1709">
        <v>2</v>
      </c>
      <c r="X26" s="1750">
        <v>4</v>
      </c>
      <c r="Y26" s="1781" t="str">
        <f t="shared" ref="Y26:Y40" si="98">FG26</f>
        <v/>
      </c>
      <c r="Z26" s="1782" t="str">
        <f t="shared" ref="Z26:Z40" si="99">FL26</f>
        <v/>
      </c>
      <c r="AA26" s="1783" t="s">
        <v>1705</v>
      </c>
      <c r="AB26" s="1413"/>
      <c r="AC26" s="964" t="b">
        <v>0</v>
      </c>
      <c r="AD26" s="441">
        <f t="shared" si="1"/>
        <v>0</v>
      </c>
      <c r="AE26" s="442">
        <f t="shared" si="2"/>
        <v>2</v>
      </c>
      <c r="AF26" s="442">
        <f t="shared" si="3"/>
        <v>0</v>
      </c>
      <c r="AG26" s="442">
        <f t="shared" si="4"/>
        <v>0</v>
      </c>
      <c r="AH26" s="443">
        <f t="shared" si="5"/>
        <v>0</v>
      </c>
      <c r="AI26" s="444" t="b">
        <v>0</v>
      </c>
      <c r="AJ26" s="238">
        <f>IF(OR(ISERROR(VALUE(LEFT(C26,SEARCH(AK26,C26)-1))),AK26=""),0,VALUE(LEFT(C26,SEARCH(AK26,C26)-1)))</f>
        <v>32</v>
      </c>
      <c r="AK26" s="238" t="str">
        <f t="shared" si="6"/>
        <v>LH</v>
      </c>
      <c r="AL26" s="1290" t="str">
        <f t="shared" si="7"/>
        <v/>
      </c>
      <c r="AM26" s="238">
        <f t="shared" si="8"/>
        <v>305</v>
      </c>
      <c r="AN26" s="238">
        <f t="shared" si="9"/>
        <v>180</v>
      </c>
      <c r="AO26" s="238" t="str">
        <f t="shared" si="10"/>
        <v/>
      </c>
      <c r="AP26" s="830" t="b">
        <f>IF(ISERROR(AJ26),FALSE,IF(OR(AJ26=0,ISERROR(AL26),ISERROR(AM26),ISERROR(AN26),ISERROR(AO26)),FALSE,IF(AL26&lt;&gt;"",IF(ISERROR(VLOOKUP(SUBSTITUTE(SUBSTITUTE(C26,"R",""),"A",""),TblJoistSize!$A:$A,1,FALSE)),FALSE,TRUE),TRUE)))</f>
        <v>1</v>
      </c>
      <c r="AQ26" s="1038">
        <f t="shared" si="11"/>
        <v>6</v>
      </c>
      <c r="AR26" s="945" t="b">
        <f t="shared" si="83"/>
        <v>1</v>
      </c>
      <c r="AS26" s="1038">
        <f t="shared" si="12"/>
        <v>6</v>
      </c>
      <c r="AT26" s="945" t="b">
        <f t="shared" si="84"/>
        <v>1</v>
      </c>
      <c r="AU26" s="1291" t="str">
        <f t="shared" si="13"/>
        <v>LH</v>
      </c>
      <c r="AV26" s="830" t="str">
        <f t="shared" si="14"/>
        <v/>
      </c>
      <c r="AW26" s="830" t="str">
        <f t="shared" si="81"/>
        <v>LH</v>
      </c>
      <c r="AX26" s="830" t="str">
        <f t="shared" si="85"/>
        <v>J4</v>
      </c>
      <c r="AY26" s="464" t="b">
        <f t="shared" si="15"/>
        <v>0</v>
      </c>
      <c r="AZ26" s="856" t="b">
        <f t="shared" si="82"/>
        <v>0</v>
      </c>
      <c r="BA26" s="549"/>
      <c r="BB26" s="672"/>
      <c r="BC26" s="1684"/>
      <c r="BD26" s="733"/>
      <c r="BE26" s="734"/>
      <c r="BF26" s="735"/>
      <c r="BG26" s="672"/>
      <c r="BH26" s="982"/>
      <c r="BI26" s="983"/>
      <c r="BJ26" s="1625"/>
      <c r="BK26" s="982"/>
      <c r="BL26" s="983"/>
      <c r="BM26" s="1569"/>
      <c r="BN26" s="1570"/>
      <c r="BO26" s="1617" t="str">
        <f>IF(ISERROR(CU26),"",IF(CU26="","",IF(VLOOKUP(BG26,SectInfo!$B:$N,10,FALSE)="","","X")))</f>
        <v/>
      </c>
      <c r="BP26" s="1561"/>
      <c r="BQ26" s="1562" t="str">
        <f t="shared" si="16"/>
        <v/>
      </c>
      <c r="BR26" s="1563"/>
      <c r="BS26" s="672"/>
      <c r="BT26" s="982"/>
      <c r="BU26" s="983"/>
      <c r="BV26" s="1625"/>
      <c r="BW26" s="982"/>
      <c r="BX26" s="983"/>
      <c r="BY26" s="1569"/>
      <c r="BZ26" s="1570"/>
      <c r="CA26" s="1617" t="str">
        <f>IF(ISERROR(DE26),"",IF(DE26="","",IF(VLOOKUP(BS26,SectInfo!$B:$N,10,FALSE)="","","X")))</f>
        <v/>
      </c>
      <c r="CB26" s="1561"/>
      <c r="CC26" s="1562" t="str">
        <f t="shared" si="17"/>
        <v/>
      </c>
      <c r="CD26" s="1563"/>
      <c r="CE26" s="1574"/>
      <c r="CF26" s="736"/>
      <c r="CG26" s="737"/>
      <c r="CH26" s="643" t="str">
        <f t="shared" si="18"/>
        <v/>
      </c>
      <c r="CI26" s="644" t="str">
        <f t="shared" si="19"/>
        <v/>
      </c>
      <c r="CJ26" s="645" t="str">
        <f t="shared" si="20"/>
        <v/>
      </c>
      <c r="CK26" s="852" t="str">
        <f t="shared" si="21"/>
        <v/>
      </c>
      <c r="CL26" s="847" t="str">
        <f t="shared" si="22"/>
        <v/>
      </c>
      <c r="CM26" s="848" t="str">
        <f t="shared" si="23"/>
        <v/>
      </c>
      <c r="CN26" s="611" t="str">
        <f t="shared" si="24"/>
        <v/>
      </c>
      <c r="CO26" s="612" t="str">
        <f t="shared" si="25"/>
        <v/>
      </c>
      <c r="CP26" s="615" t="str">
        <f t="shared" si="26"/>
        <v/>
      </c>
      <c r="CQ26" s="616" t="str">
        <f t="shared" si="27"/>
        <v/>
      </c>
      <c r="CR26" s="750">
        <f t="shared" si="28"/>
        <v>5</v>
      </c>
      <c r="CS26" s="751">
        <f t="shared" si="29"/>
        <v>5</v>
      </c>
      <c r="CU26" s="114" t="str">
        <f>IF(BG26="","",VLOOKUP(BG26,SectInfo!$B:$N,12,FALSE))</f>
        <v/>
      </c>
      <c r="CV26" s="115" t="str">
        <f>IF(BG26="","",IF(ISBLANK(BP26),VLOOKUP(BG26,SectInfo!$B:$N,13,FALSE),BP26))</f>
        <v/>
      </c>
      <c r="CW26" s="1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115" t="str">
        <f>IF(BG26="","",IF(VLOOKUP(BG26,SectInfo!$B:$N,7,FALSE)="","",(VLOOKUP(BG26,SectInfo!$B:$N,7,FALSE)*-1)))</f>
        <v/>
      </c>
      <c r="DB26" s="815" t="str">
        <f>IF(BG26="","",IF(VLOOKUP(BG26,SectInfo!$B:$N,8,FALSE)="",VLOOKUP(AU26,$DF$2:$DN$9,6,FALSE),(VLOOKUP(BG26,SectInfo!$B:$N,8,FALSE))))</f>
        <v/>
      </c>
      <c r="DC26" s="815" t="str">
        <f>IF(BG26="","",VLOOKUP(BG26,SectInfo!$B:$N,9,FALSE))</f>
        <v/>
      </c>
      <c r="DD26" s="816">
        <f t="shared" si="30"/>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31"/>
        <v>0</v>
      </c>
      <c r="DO26" s="818">
        <f t="shared" si="32"/>
        <v>0</v>
      </c>
      <c r="DP26" s="822" t="str">
        <f t="shared" si="33"/>
        <v/>
      </c>
      <c r="DQ26" s="822" t="str">
        <f t="shared" si="34"/>
        <v/>
      </c>
      <c r="DR26" s="822" t="str">
        <f t="shared" si="35"/>
        <v/>
      </c>
      <c r="DS26" s="821">
        <f t="shared" si="36"/>
        <v>0</v>
      </c>
      <c r="DT26" s="821">
        <f t="shared" si="37"/>
        <v>0</v>
      </c>
      <c r="DU26" s="821" t="str">
        <f t="shared" si="38"/>
        <v/>
      </c>
      <c r="DV26" s="822" t="str">
        <f t="shared" si="39"/>
        <v/>
      </c>
      <c r="DW26" s="856" t="str">
        <f t="shared" si="40"/>
        <v/>
      </c>
      <c r="DX26" s="1006">
        <f t="shared" ref="DX26:DX40" si="100">IF(CV26="",0,IF(DW26/COS(FN26-FD26)&lt;0.0625,0,CEILING(DW26/COS(FN26-FD26)-0.03125,0.125)))</f>
        <v>0</v>
      </c>
      <c r="DY26" s="822">
        <f t="shared" si="41"/>
        <v>0</v>
      </c>
      <c r="DZ26" s="821">
        <f t="shared" si="42"/>
        <v>0</v>
      </c>
      <c r="EA26" s="821" t="str">
        <f t="shared" si="43"/>
        <v/>
      </c>
      <c r="EB26" s="822" t="str">
        <f t="shared" ref="EB26:EB40" si="101">IF(DF26="","",(DF26+EA26+(VLOOKUP(IF(AU26="HDR","K",AU26),$DF$2:$DN$9,2,FALSE))*TAN(DY26))/COS(FI26)-FM26)</f>
        <v/>
      </c>
      <c r="EC26" s="856" t="str">
        <f t="shared" si="44"/>
        <v/>
      </c>
      <c r="ED26" s="1006">
        <f t="shared" ref="ED26:ED40" si="102">IF(DF26="",0,IF(EC26/COS(FN26+FI26)&lt;0.0625,0,CEILING(EC26/COS(FN26+FI26)-0.03125,0.125)))</f>
        <v>0</v>
      </c>
      <c r="EE26" s="1293" t="str">
        <f t="shared" si="45"/>
        <v/>
      </c>
      <c r="EF26" s="822" t="str">
        <f t="shared" ref="EF26:EF40" si="103">IF(EE26="ERR","ERR",IF(EE26="","",IF(DB26*TAN(DS26)&lt;=(VLOOKUP(AU26,$DF$2:$DN$9,8,FALSE)-(VLOOKUP(AU26,$DF$2:$DN$9,7,FALSE)-0.0625)),CV26-(EE26-FH26)/IF(OR(CU26="C",AND(CU26="M",$DD$1="N")),1,COS(DS26))-IF(MID(CW26,1,1)="R",0,DW26),(ABS(EE26-FH26)/IF(OR(CU26="C",AND(CU26="M",$DD$1="N")),1,COS(DS26))+CV26)-((DB26/2)*TAN(DS26))-IF(MID(CW26,1,1)="R",0,DW26))))</f>
        <v/>
      </c>
      <c r="EG26" s="822" t="str">
        <f t="shared" ref="EG26:EG40" si="104">IF(EE26="ERR","ERR",IF(EE26="","",IF(DB26*TAN(DS26)&lt;=(VLOOKUP(AU26,$DF$2:$DN$9,8,FALSE)-(VLOOKUP(AU26,$DF$2:$DN$9,7,FALSE)-0.0625)),CV26-(EE26-FH26)/IF(OR(CU26="C",AND(CU26="M",$DD$1="N")),1,COS(DS26))-IF(MID(CW26,1,1)="R",0,DW26),(ABS(EE26-FH26)/IF(OR(CU26="C",AND(CU26="M",$DD$1="N")),1,COS(DS26))+CV26)+((DB26/2)*TAN(DS26))-IF(MID(CW26,1,1)="R",0,DW26))))</f>
        <v/>
      </c>
      <c r="EH26" s="856" t="str">
        <f t="shared" si="46"/>
        <v>ERR</v>
      </c>
      <c r="EI26" s="856" t="str">
        <f t="shared" si="47"/>
        <v>ERR</v>
      </c>
      <c r="EJ26" s="822" t="str">
        <f t="shared" si="48"/>
        <v/>
      </c>
      <c r="EK26" s="822" t="str">
        <f t="shared" si="48"/>
        <v/>
      </c>
      <c r="EL26" s="1293" t="str">
        <f t="shared" si="49"/>
        <v/>
      </c>
      <c r="EM26" s="822" t="str">
        <f t="shared" ref="EM26:EM40" si="105">IF(EL26="ERR","ERR",IF(EL26="","",IF(DL26*TAN(DY26)&lt;=(VLOOKUP(AU26,$DF$2:$DN$9,8,FALSE)-(VLOOKUP(AU26,$DF$2:$DN$9,7,FALSE)-0.0625)),DF26-(EL26-FM26)/IF(OR(DE26="C",AND(DE26="M",$DD$1="N")),1,COS(DY26))-IF(MID(DG26,1,1)="R",0,EC26),(ABS(EL26-FM26)/IF(OR(DE26="C",AND(DE26="M",$DD$1="N")),1,COS(DY26))+DF26)-((DL26/2)*TAN(DY26))-IF(MID(DG26,1,1)="R",0,EC26))))</f>
        <v/>
      </c>
      <c r="EN26" s="822" t="str">
        <f t="shared" ref="EN26:EN40" si="106">IF(EL26="ERR","ERR",IF(EL26="","",IF(DL26*TAN(DY26)&lt;=(VLOOKUP(AU26,$DF$2:$DN$9,8,FALSE)-(VLOOKUP(AU26,$DF$2:$DN$9,7,FALSE)-0.0625)),DF26-(EL26-FM26)/IF(OR(DE26="C",AND(DE26="M",$DD$1="N")),1,COS(DY26))-IF(MID(DG26,1,1)="R",0,EC26),(ABS(EL26-FM26)/IF(OR(DE26="C",AND(DE26="M",$DD$1="N")),1,COS(DY26))+DF26)+((DL26/2)*TAN(DY26))-IF(MID(DG26,1,1)="R",0,EC26))))</f>
        <v/>
      </c>
      <c r="EO26" s="856" t="str">
        <f t="shared" si="50"/>
        <v>ERR</v>
      </c>
      <c r="EP26" s="856" t="str">
        <f t="shared" si="51"/>
        <v>ERR</v>
      </c>
      <c r="EQ26" s="822" t="str">
        <f t="shared" si="52"/>
        <v/>
      </c>
      <c r="ER26" s="822" t="str">
        <f t="shared" si="52"/>
        <v/>
      </c>
      <c r="ES26" s="822" t="str">
        <f t="shared" si="53"/>
        <v/>
      </c>
      <c r="ET26" s="822" t="str">
        <f t="shared" si="54"/>
        <v/>
      </c>
      <c r="EU26" s="829">
        <f t="shared" si="55"/>
        <v>4</v>
      </c>
      <c r="EV26" s="824" t="str">
        <f>IF(AND(EK26="",ER26=""),"",IF(EK26="",DL26,IF(EQ26="",DB26,IF(DB26&lt;&gt;DL26,EU26,DB26))))</f>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56"/>
        <v/>
      </c>
      <c r="FA26" s="829" t="str">
        <f>IF(AND(DE26="G", ISBLANK(BW26), ISBLANK(BX26)),VLOOKUP(MIN(BT26:BU26),TblJoistSize!$M$3:$N$10,2),IF(OR(DE26="B", DE26="G"),MIN(BW26:BX26),""))</f>
        <v/>
      </c>
      <c r="FB26" s="829" t="str">
        <f>IF(AND(DE26="G", ISBLANK(BW26), ISBLANK(BX26)),VLOOKUP(MAX(BT26:BU26),TblJoistSize!$M$3:$N$10,2),IF(OR(DE26="B", DE26="G"),MAX(BW26:BX26),""))</f>
        <v/>
      </c>
      <c r="FC26" s="829" t="str">
        <f t="shared" si="57"/>
        <v/>
      </c>
      <c r="FD26" s="822">
        <f t="shared" si="58"/>
        <v>0</v>
      </c>
      <c r="FE26" s="822">
        <f t="shared" si="59"/>
        <v>0</v>
      </c>
      <c r="FF26" s="821">
        <f t="shared" si="60"/>
        <v>0</v>
      </c>
      <c r="FG26" s="821" t="str">
        <f t="shared" si="61"/>
        <v/>
      </c>
      <c r="FH26" s="822" t="str">
        <f t="shared" si="62"/>
        <v/>
      </c>
      <c r="FI26" s="822">
        <f t="shared" si="63"/>
        <v>0</v>
      </c>
      <c r="FJ26" s="822">
        <f t="shared" si="64"/>
        <v>0</v>
      </c>
      <c r="FK26" s="821">
        <f t="shared" si="65"/>
        <v>0</v>
      </c>
      <c r="FL26" s="821" t="str">
        <f t="shared" si="66"/>
        <v/>
      </c>
      <c r="FM26" s="822" t="str">
        <f t="shared" si="67"/>
        <v/>
      </c>
      <c r="FN26" s="822" t="e">
        <f t="shared" si="68"/>
        <v>#VALUE!</v>
      </c>
      <c r="FO26" s="940" t="e">
        <f t="shared" si="69"/>
        <v>#VALUE!</v>
      </c>
      <c r="FP26" s="940" t="e">
        <f t="shared" si="70"/>
        <v>#VALUE!</v>
      </c>
      <c r="FQ26" s="830" t="e">
        <f t="shared" si="71"/>
        <v>#VALUE!</v>
      </c>
      <c r="FR26" s="831" t="e">
        <f t="shared" si="72"/>
        <v>#VALUE!</v>
      </c>
      <c r="FS26" s="832" t="str">
        <f t="shared" si="73"/>
        <v/>
      </c>
      <c r="FT26" s="833" t="str">
        <f t="shared" si="74"/>
        <v/>
      </c>
      <c r="FU26" s="870">
        <f t="shared" si="75"/>
        <v>0</v>
      </c>
      <c r="FV26" s="871">
        <f t="shared" si="76"/>
        <v>0</v>
      </c>
      <c r="GA26" s="1791">
        <v>40</v>
      </c>
      <c r="GB26" s="1792">
        <v>0.75</v>
      </c>
      <c r="GC26" s="1793">
        <v>-0.25</v>
      </c>
      <c r="GD26" s="1794">
        <v>-0.5</v>
      </c>
      <c r="GE26" s="1795">
        <f t="shared" si="77"/>
        <v>0</v>
      </c>
      <c r="GF26" s="600" t="str">
        <f t="shared" si="78"/>
        <v>J4</v>
      </c>
      <c r="GG26" s="1130">
        <v>0</v>
      </c>
      <c r="GH26" s="1131">
        <v>0</v>
      </c>
      <c r="GI26" s="1130"/>
      <c r="GJ26" s="1131"/>
      <c r="GK26" s="1636">
        <f t="shared" si="79"/>
        <v>480</v>
      </c>
      <c r="GL26" s="1636">
        <f t="shared" si="80"/>
        <v>480</v>
      </c>
      <c r="GM26" s="1637">
        <f>IF(ABS(GK26-GL26)&gt;='Job Info.'!$L$22,ABS(GK26-GL26),0)</f>
        <v>0</v>
      </c>
      <c r="GZ26" s="415"/>
      <c r="HA26" s="1391" t="s">
        <v>1434</v>
      </c>
      <c r="HB26" s="1392">
        <v>2</v>
      </c>
      <c r="HC26" s="1392" t="s">
        <v>1592</v>
      </c>
      <c r="HD26" s="1393">
        <v>40</v>
      </c>
      <c r="HE26" s="1394">
        <v>0</v>
      </c>
      <c r="HF26" s="1392" t="s">
        <v>116</v>
      </c>
      <c r="HG26" s="1392" t="s">
        <v>116</v>
      </c>
      <c r="HH26" s="1392" t="s">
        <v>116</v>
      </c>
      <c r="HI26" s="1395" t="s">
        <v>116</v>
      </c>
      <c r="HJ26" s="1392" t="s">
        <v>116</v>
      </c>
      <c r="HK26" s="1392" t="s">
        <v>116</v>
      </c>
      <c r="HL26" s="1392">
        <v>5</v>
      </c>
      <c r="HM26" s="1392">
        <v>5</v>
      </c>
      <c r="HN26" s="1392" t="s">
        <v>116</v>
      </c>
      <c r="HO26" s="1392" t="s">
        <v>116</v>
      </c>
      <c r="HP26" s="1392" t="s">
        <v>116</v>
      </c>
      <c r="HQ26" s="1395" t="s">
        <v>116</v>
      </c>
      <c r="HR26" s="1392" t="s">
        <v>116</v>
      </c>
      <c r="HS26" s="1392" t="s">
        <v>116</v>
      </c>
      <c r="HT26" s="1392">
        <v>0</v>
      </c>
      <c r="HU26" s="1392">
        <v>2.25</v>
      </c>
      <c r="HV26" s="1392">
        <v>0</v>
      </c>
      <c r="HW26" s="1394">
        <v>2</v>
      </c>
      <c r="HX26" s="1394">
        <v>4</v>
      </c>
      <c r="HY26" s="1394" t="s">
        <v>116</v>
      </c>
      <c r="HZ26" s="1394" t="s">
        <v>116</v>
      </c>
      <c r="IA26" s="1394" t="s">
        <v>1646</v>
      </c>
      <c r="IB26" s="1394"/>
      <c r="IC26" s="1394"/>
      <c r="ID26" s="1394"/>
      <c r="IE26" s="1394"/>
      <c r="IF26" s="1396"/>
    </row>
    <row r="27" spans="1:240" ht="12.6" customHeight="1" x14ac:dyDescent="0.25">
      <c r="A27" s="1448" t="s">
        <v>1435</v>
      </c>
      <c r="B27" s="1681">
        <v>1</v>
      </c>
      <c r="C27" s="1449" t="s">
        <v>1592</v>
      </c>
      <c r="D27" s="1705">
        <v>40</v>
      </c>
      <c r="E27" s="1778">
        <v>0</v>
      </c>
      <c r="F27" s="1708" t="str">
        <f t="shared" si="86"/>
        <v/>
      </c>
      <c r="G27" s="1709" t="str">
        <f t="shared" si="87"/>
        <v/>
      </c>
      <c r="H27" s="1779" t="str">
        <f t="shared" si="88"/>
        <v/>
      </c>
      <c r="I27" s="1705" t="str">
        <f t="shared" si="89"/>
        <v/>
      </c>
      <c r="J27" s="1709" t="str">
        <f t="shared" si="90"/>
        <v/>
      </c>
      <c r="K27" s="1780" t="str">
        <f t="shared" si="91"/>
        <v/>
      </c>
      <c r="L27" s="1712">
        <v>5</v>
      </c>
      <c r="M27" s="1713">
        <v>5</v>
      </c>
      <c r="N27" s="1708" t="str">
        <f t="shared" si="92"/>
        <v/>
      </c>
      <c r="O27" s="1709" t="str">
        <f t="shared" si="93"/>
        <v/>
      </c>
      <c r="P27" s="1710" t="str">
        <f t="shared" si="94"/>
        <v/>
      </c>
      <c r="Q27" s="1705" t="str">
        <f t="shared" si="95"/>
        <v/>
      </c>
      <c r="R27" s="1709" t="str">
        <f t="shared" si="96"/>
        <v/>
      </c>
      <c r="S27" s="1753" t="str">
        <f t="shared" si="97"/>
        <v/>
      </c>
      <c r="T27" s="1708">
        <v>0</v>
      </c>
      <c r="U27" s="1709">
        <v>2.25</v>
      </c>
      <c r="V27" s="1705">
        <v>0</v>
      </c>
      <c r="W27" s="1709">
        <v>2</v>
      </c>
      <c r="X27" s="1750">
        <v>4</v>
      </c>
      <c r="Y27" s="1781" t="str">
        <f t="shared" si="98"/>
        <v/>
      </c>
      <c r="Z27" s="1782" t="str">
        <f t="shared" si="99"/>
        <v/>
      </c>
      <c r="AA27" s="1783" t="s">
        <v>1706</v>
      </c>
      <c r="AB27" s="1413"/>
      <c r="AC27" s="964" t="b">
        <v>0</v>
      </c>
      <c r="AD27" s="441">
        <f t="shared" si="1"/>
        <v>0</v>
      </c>
      <c r="AE27" s="442">
        <f t="shared" si="2"/>
        <v>1</v>
      </c>
      <c r="AF27" s="442">
        <f t="shared" si="3"/>
        <v>0</v>
      </c>
      <c r="AG27" s="442">
        <f t="shared" si="4"/>
        <v>0</v>
      </c>
      <c r="AH27" s="443">
        <f t="shared" si="5"/>
        <v>0</v>
      </c>
      <c r="AI27" s="444" t="b">
        <v>0</v>
      </c>
      <c r="AJ27" s="238">
        <f>IF(OR(ISERROR(VALUE(LEFT(C27,SEARCH(AK27,C27)-1))),AK27=""),0,VALUE(LEFT(C27,SEARCH(AK27,C27)-1)))</f>
        <v>32</v>
      </c>
      <c r="AK27" s="238" t="str">
        <f t="shared" si="6"/>
        <v>LH</v>
      </c>
      <c r="AL27" s="1290" t="str">
        <f t="shared" si="7"/>
        <v/>
      </c>
      <c r="AM27" s="238">
        <f t="shared" si="8"/>
        <v>305</v>
      </c>
      <c r="AN27" s="238">
        <f t="shared" si="9"/>
        <v>180</v>
      </c>
      <c r="AO27" s="238" t="str">
        <f t="shared" si="10"/>
        <v/>
      </c>
      <c r="AP27" s="830" t="b">
        <f>IF(ISERROR(AJ27),FALSE,IF(OR(AJ27=0,ISERROR(AL27),ISERROR(AM27),ISERROR(AN27),ISERROR(AO27)),FALSE,IF(AL27&lt;&gt;"",IF(ISERROR(VLOOKUP(SUBSTITUTE(SUBSTITUTE(C27,"R",""),"A",""),TblJoistSize!$A:$A,1,FALSE)),FALSE,TRUE),TRUE)))</f>
        <v>1</v>
      </c>
      <c r="AQ27" s="1038">
        <f t="shared" si="11"/>
        <v>6</v>
      </c>
      <c r="AR27" s="945" t="b">
        <f t="shared" si="83"/>
        <v>1</v>
      </c>
      <c r="AS27" s="1038">
        <f t="shared" si="12"/>
        <v>6</v>
      </c>
      <c r="AT27" s="945" t="b">
        <f t="shared" si="84"/>
        <v>1</v>
      </c>
      <c r="AU27" s="1291" t="str">
        <f t="shared" si="13"/>
        <v>LH</v>
      </c>
      <c r="AV27" s="830" t="str">
        <f t="shared" si="14"/>
        <v/>
      </c>
      <c r="AW27" s="830" t="str">
        <f t="shared" si="81"/>
        <v>LH</v>
      </c>
      <c r="AX27" s="830" t="str">
        <f t="shared" si="85"/>
        <v>J5</v>
      </c>
      <c r="AY27" s="464" t="b">
        <f t="shared" si="15"/>
        <v>0</v>
      </c>
      <c r="AZ27" s="856" t="b">
        <f t="shared" si="82"/>
        <v>0</v>
      </c>
      <c r="BA27" s="549"/>
      <c r="BB27" s="672"/>
      <c r="BC27" s="1684"/>
      <c r="BD27" s="733"/>
      <c r="BE27" s="734"/>
      <c r="BF27" s="735"/>
      <c r="BG27" s="672"/>
      <c r="BH27" s="982"/>
      <c r="BI27" s="983"/>
      <c r="BJ27" s="1625"/>
      <c r="BK27" s="982"/>
      <c r="BL27" s="983"/>
      <c r="BM27" s="1569"/>
      <c r="BN27" s="1570"/>
      <c r="BO27" s="1617" t="str">
        <f>IF(ISERROR(CU27),"",IF(CU27="","",IF(VLOOKUP(BG27,SectInfo!$B:$N,10,FALSE)="","","X")))</f>
        <v/>
      </c>
      <c r="BP27" s="1561"/>
      <c r="BQ27" s="1562" t="str">
        <f t="shared" si="16"/>
        <v/>
      </c>
      <c r="BR27" s="1563"/>
      <c r="BS27" s="672"/>
      <c r="BT27" s="982"/>
      <c r="BU27" s="983"/>
      <c r="BV27" s="1625"/>
      <c r="BW27" s="982"/>
      <c r="BX27" s="983"/>
      <c r="BY27" s="1569"/>
      <c r="BZ27" s="1570"/>
      <c r="CA27" s="1617" t="str">
        <f>IF(ISERROR(DE27),"",IF(DE27="","",IF(VLOOKUP(BS27,SectInfo!$B:$N,10,FALSE)="","","X")))</f>
        <v/>
      </c>
      <c r="CB27" s="1561"/>
      <c r="CC27" s="1562" t="str">
        <f t="shared" si="17"/>
        <v/>
      </c>
      <c r="CD27" s="1563"/>
      <c r="CE27" s="1574"/>
      <c r="CF27" s="736"/>
      <c r="CG27" s="737"/>
      <c r="CH27" s="643" t="str">
        <f t="shared" si="18"/>
        <v/>
      </c>
      <c r="CI27" s="644" t="str">
        <f t="shared" si="19"/>
        <v/>
      </c>
      <c r="CJ27" s="645" t="str">
        <f t="shared" si="20"/>
        <v/>
      </c>
      <c r="CK27" s="852" t="str">
        <f t="shared" si="21"/>
        <v/>
      </c>
      <c r="CL27" s="847" t="str">
        <f t="shared" si="22"/>
        <v/>
      </c>
      <c r="CM27" s="848" t="str">
        <f t="shared" si="23"/>
        <v/>
      </c>
      <c r="CN27" s="611" t="str">
        <f t="shared" si="24"/>
        <v/>
      </c>
      <c r="CO27" s="612" t="str">
        <f t="shared" si="25"/>
        <v/>
      </c>
      <c r="CP27" s="615" t="str">
        <f t="shared" si="26"/>
        <v/>
      </c>
      <c r="CQ27" s="616" t="str">
        <f t="shared" si="27"/>
        <v/>
      </c>
      <c r="CR27" s="750">
        <f t="shared" si="28"/>
        <v>5</v>
      </c>
      <c r="CS27" s="751">
        <f t="shared" si="29"/>
        <v>5</v>
      </c>
      <c r="CU27" s="114" t="str">
        <f>IF(BG27="","",VLOOKUP(BG27,SectInfo!$B:$N,12,FALSE))</f>
        <v/>
      </c>
      <c r="CV27" s="115" t="str">
        <f>IF(BG27="","",IF(ISBLANK(BP27),VLOOKUP(BG27,SectInfo!$B:$N,13,FALSE),BP27))</f>
        <v/>
      </c>
      <c r="CW27" s="1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115" t="str">
        <f>IF(BG27="","",IF(VLOOKUP(BG27,SectInfo!$B:$N,7,FALSE)="","",(VLOOKUP(BG27,SectInfo!$B:$N,7,FALSE)*-1)))</f>
        <v/>
      </c>
      <c r="DB27" s="815" t="str">
        <f>IF(BG27="","",IF(VLOOKUP(BG27,SectInfo!$B:$N,8,FALSE)="",VLOOKUP(AU27,$DF$2:$DN$9,6,FALSE),(VLOOKUP(BG27,SectInfo!$B:$N,8,FALSE))))</f>
        <v/>
      </c>
      <c r="DC27" s="815" t="str">
        <f>IF(BG27="","",VLOOKUP(BG27,SectInfo!$B:$N,9,FALSE))</f>
        <v/>
      </c>
      <c r="DD27" s="816">
        <f t="shared" si="30"/>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31"/>
        <v>0</v>
      </c>
      <c r="DO27" s="818">
        <f t="shared" si="32"/>
        <v>0</v>
      </c>
      <c r="DP27" s="822" t="str">
        <f t="shared" si="33"/>
        <v/>
      </c>
      <c r="DQ27" s="822" t="str">
        <f t="shared" si="34"/>
        <v/>
      </c>
      <c r="DR27" s="822" t="str">
        <f t="shared" si="35"/>
        <v/>
      </c>
      <c r="DS27" s="821">
        <f t="shared" si="36"/>
        <v>0</v>
      </c>
      <c r="DT27" s="821">
        <f t="shared" si="37"/>
        <v>0</v>
      </c>
      <c r="DU27" s="821" t="str">
        <f t="shared" si="38"/>
        <v/>
      </c>
      <c r="DV27" s="822" t="str">
        <f t="shared" si="39"/>
        <v/>
      </c>
      <c r="DW27" s="856" t="str">
        <f t="shared" si="40"/>
        <v/>
      </c>
      <c r="DX27" s="1006">
        <f t="shared" si="100"/>
        <v>0</v>
      </c>
      <c r="DY27" s="822">
        <f t="shared" si="41"/>
        <v>0</v>
      </c>
      <c r="DZ27" s="821">
        <f t="shared" si="42"/>
        <v>0</v>
      </c>
      <c r="EA27" s="821" t="str">
        <f t="shared" si="43"/>
        <v/>
      </c>
      <c r="EB27" s="822" t="str">
        <f t="shared" si="101"/>
        <v/>
      </c>
      <c r="EC27" s="856" t="str">
        <f t="shared" si="44"/>
        <v/>
      </c>
      <c r="ED27" s="1006">
        <f t="shared" si="102"/>
        <v>0</v>
      </c>
      <c r="EE27" s="1293" t="str">
        <f t="shared" si="45"/>
        <v/>
      </c>
      <c r="EF27" s="822" t="str">
        <f t="shared" si="103"/>
        <v/>
      </c>
      <c r="EG27" s="822" t="str">
        <f t="shared" si="104"/>
        <v/>
      </c>
      <c r="EH27" s="856" t="str">
        <f t="shared" si="46"/>
        <v>ERR</v>
      </c>
      <c r="EI27" s="856" t="str">
        <f t="shared" si="47"/>
        <v>ERR</v>
      </c>
      <c r="EJ27" s="822" t="str">
        <f t="shared" si="48"/>
        <v/>
      </c>
      <c r="EK27" s="822" t="str">
        <f t="shared" si="48"/>
        <v/>
      </c>
      <c r="EL27" s="1293" t="str">
        <f t="shared" si="49"/>
        <v/>
      </c>
      <c r="EM27" s="822" t="str">
        <f t="shared" si="105"/>
        <v/>
      </c>
      <c r="EN27" s="822" t="str">
        <f t="shared" si="106"/>
        <v/>
      </c>
      <c r="EO27" s="856" t="str">
        <f t="shared" si="50"/>
        <v>ERR</v>
      </c>
      <c r="EP27" s="856" t="str">
        <f t="shared" si="51"/>
        <v>ERR</v>
      </c>
      <c r="EQ27" s="822" t="str">
        <f t="shared" si="52"/>
        <v/>
      </c>
      <c r="ER27" s="822" t="str">
        <f t="shared" si="52"/>
        <v/>
      </c>
      <c r="ES27" s="822" t="str">
        <f t="shared" si="53"/>
        <v/>
      </c>
      <c r="ET27" s="822" t="str">
        <f t="shared" si="54"/>
        <v/>
      </c>
      <c r="EU27" s="829">
        <f t="shared" si="55"/>
        <v>4</v>
      </c>
      <c r="EV27" s="824" t="str">
        <f t="shared" ref="EV27:EV40" si="107">IF(AND(EK27="",ER27=""),"",IF(EK27="",DL27,IF(EQ27="",DB27,IF(DB27&lt;&gt;DL27,EU27,DB27))))</f>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56"/>
        <v/>
      </c>
      <c r="FA27" s="829" t="str">
        <f>IF(AND(DE27="G", ISBLANK(BW27), ISBLANK(BX27)),VLOOKUP(MIN(BT27:BU27),TblJoistSize!$M$3:$N$10,2),IF(OR(DE27="B", DE27="G"),MIN(BW27:BX27),""))</f>
        <v/>
      </c>
      <c r="FB27" s="829" t="str">
        <f>IF(AND(DE27="G", ISBLANK(BW27), ISBLANK(BX27)),VLOOKUP(MAX(BT27:BU27),TblJoistSize!$M$3:$N$10,2),IF(OR(DE27="B", DE27="G"),MAX(BW27:BX27),""))</f>
        <v/>
      </c>
      <c r="FC27" s="829" t="str">
        <f t="shared" si="57"/>
        <v/>
      </c>
      <c r="FD27" s="822">
        <f t="shared" si="58"/>
        <v>0</v>
      </c>
      <c r="FE27" s="822">
        <f t="shared" si="59"/>
        <v>0</v>
      </c>
      <c r="FF27" s="821">
        <f t="shared" si="60"/>
        <v>0</v>
      </c>
      <c r="FG27" s="821" t="str">
        <f t="shared" si="61"/>
        <v/>
      </c>
      <c r="FH27" s="822" t="str">
        <f t="shared" si="62"/>
        <v/>
      </c>
      <c r="FI27" s="822">
        <f t="shared" si="63"/>
        <v>0</v>
      </c>
      <c r="FJ27" s="822">
        <f t="shared" si="64"/>
        <v>0</v>
      </c>
      <c r="FK27" s="821">
        <f t="shared" si="65"/>
        <v>0</v>
      </c>
      <c r="FL27" s="821" t="str">
        <f t="shared" si="66"/>
        <v/>
      </c>
      <c r="FM27" s="822" t="str">
        <f t="shared" si="67"/>
        <v/>
      </c>
      <c r="FN27" s="822" t="e">
        <f t="shared" si="68"/>
        <v>#VALUE!</v>
      </c>
      <c r="FO27" s="940" t="e">
        <f t="shared" si="69"/>
        <v>#VALUE!</v>
      </c>
      <c r="FP27" s="940" t="e">
        <f t="shared" si="70"/>
        <v>#VALUE!</v>
      </c>
      <c r="FQ27" s="830" t="e">
        <f t="shared" si="71"/>
        <v>#VALUE!</v>
      </c>
      <c r="FR27" s="831" t="e">
        <f t="shared" si="72"/>
        <v>#VALUE!</v>
      </c>
      <c r="FS27" s="832" t="str">
        <f t="shared" si="73"/>
        <v/>
      </c>
      <c r="FT27" s="833" t="str">
        <f t="shared" si="74"/>
        <v/>
      </c>
      <c r="FU27" s="870">
        <f t="shared" si="75"/>
        <v>0</v>
      </c>
      <c r="FV27" s="871">
        <f t="shared" si="76"/>
        <v>0</v>
      </c>
      <c r="GA27" s="1791">
        <v>40</v>
      </c>
      <c r="GB27" s="1792">
        <v>0.75</v>
      </c>
      <c r="GC27" s="1793">
        <v>-0.25</v>
      </c>
      <c r="GD27" s="1794">
        <v>-0.5</v>
      </c>
      <c r="GE27" s="1795">
        <f t="shared" si="77"/>
        <v>0</v>
      </c>
      <c r="GF27" s="600" t="str">
        <f t="shared" si="78"/>
        <v>J5</v>
      </c>
      <c r="GG27" s="1130">
        <v>0</v>
      </c>
      <c r="GH27" s="1131">
        <v>0</v>
      </c>
      <c r="GI27" s="1130"/>
      <c r="GJ27" s="1131"/>
      <c r="GK27" s="1636">
        <f t="shared" si="79"/>
        <v>480</v>
      </c>
      <c r="GL27" s="1636">
        <f t="shared" si="80"/>
        <v>480</v>
      </c>
      <c r="GM27" s="1637">
        <f>IF(ABS(GK27-GL27)&gt;='Job Info.'!$L$22,ABS(GK27-GL27),0)</f>
        <v>0</v>
      </c>
      <c r="GZ27" s="415"/>
      <c r="HA27" s="1391" t="s">
        <v>1435</v>
      </c>
      <c r="HB27" s="1392">
        <v>1</v>
      </c>
      <c r="HC27" s="1392" t="s">
        <v>1592</v>
      </c>
      <c r="HD27" s="1393">
        <v>40</v>
      </c>
      <c r="HE27" s="1394">
        <v>0</v>
      </c>
      <c r="HF27" s="1392" t="s">
        <v>116</v>
      </c>
      <c r="HG27" s="1392" t="s">
        <v>116</v>
      </c>
      <c r="HH27" s="1392" t="s">
        <v>116</v>
      </c>
      <c r="HI27" s="1395" t="s">
        <v>116</v>
      </c>
      <c r="HJ27" s="1392" t="s">
        <v>116</v>
      </c>
      <c r="HK27" s="1392" t="s">
        <v>116</v>
      </c>
      <c r="HL27" s="1392">
        <v>5</v>
      </c>
      <c r="HM27" s="1392">
        <v>5</v>
      </c>
      <c r="HN27" s="1392" t="s">
        <v>116</v>
      </c>
      <c r="HO27" s="1392" t="s">
        <v>116</v>
      </c>
      <c r="HP27" s="1392" t="s">
        <v>116</v>
      </c>
      <c r="HQ27" s="1395" t="s">
        <v>116</v>
      </c>
      <c r="HR27" s="1392" t="s">
        <v>116</v>
      </c>
      <c r="HS27" s="1392" t="s">
        <v>116</v>
      </c>
      <c r="HT27" s="1392">
        <v>0</v>
      </c>
      <c r="HU27" s="1392">
        <v>2.25</v>
      </c>
      <c r="HV27" s="1392">
        <v>0</v>
      </c>
      <c r="HW27" s="1394">
        <v>2</v>
      </c>
      <c r="HX27" s="1394">
        <v>4</v>
      </c>
      <c r="HY27" s="1394" t="s">
        <v>116</v>
      </c>
      <c r="HZ27" s="1394" t="s">
        <v>116</v>
      </c>
      <c r="IA27" s="1394" t="s">
        <v>1647</v>
      </c>
      <c r="IB27" s="1394"/>
      <c r="IC27" s="1394"/>
      <c r="ID27" s="1394"/>
      <c r="IE27" s="1394"/>
      <c r="IF27" s="1396"/>
    </row>
    <row r="28" spans="1:240" ht="12.6" customHeight="1" x14ac:dyDescent="0.25">
      <c r="A28" s="1448" t="s">
        <v>1436</v>
      </c>
      <c r="B28" s="1681">
        <v>11</v>
      </c>
      <c r="C28" s="1449" t="s">
        <v>1592</v>
      </c>
      <c r="D28" s="1705">
        <v>40</v>
      </c>
      <c r="E28" s="1778">
        <v>0</v>
      </c>
      <c r="F28" s="1708" t="str">
        <f t="shared" si="86"/>
        <v/>
      </c>
      <c r="G28" s="1709" t="str">
        <f t="shared" si="87"/>
        <v/>
      </c>
      <c r="H28" s="1779" t="str">
        <f t="shared" si="88"/>
        <v/>
      </c>
      <c r="I28" s="1705" t="str">
        <f t="shared" si="89"/>
        <v/>
      </c>
      <c r="J28" s="1709" t="str">
        <f t="shared" si="90"/>
        <v/>
      </c>
      <c r="K28" s="1780" t="str">
        <f t="shared" si="91"/>
        <v/>
      </c>
      <c r="L28" s="1712">
        <v>5</v>
      </c>
      <c r="M28" s="1713">
        <v>5</v>
      </c>
      <c r="N28" s="1708" t="str">
        <f t="shared" si="92"/>
        <v/>
      </c>
      <c r="O28" s="1709" t="str">
        <f t="shared" si="93"/>
        <v/>
      </c>
      <c r="P28" s="1710" t="str">
        <f t="shared" si="94"/>
        <v/>
      </c>
      <c r="Q28" s="1705" t="str">
        <f t="shared" si="95"/>
        <v/>
      </c>
      <c r="R28" s="1709" t="str">
        <f t="shared" si="96"/>
        <v/>
      </c>
      <c r="S28" s="1753" t="str">
        <f t="shared" si="97"/>
        <v/>
      </c>
      <c r="T28" s="1708">
        <v>0</v>
      </c>
      <c r="U28" s="1709">
        <v>2.25</v>
      </c>
      <c r="V28" s="1705">
        <v>0</v>
      </c>
      <c r="W28" s="1709">
        <v>2</v>
      </c>
      <c r="X28" s="1750">
        <v>4</v>
      </c>
      <c r="Y28" s="1781" t="str">
        <f t="shared" si="98"/>
        <v/>
      </c>
      <c r="Z28" s="1782" t="str">
        <f t="shared" si="99"/>
        <v/>
      </c>
      <c r="AA28" s="1783" t="s">
        <v>1707</v>
      </c>
      <c r="AB28" s="1413"/>
      <c r="AC28" s="964" t="b">
        <v>0</v>
      </c>
      <c r="AD28" s="441">
        <f t="shared" si="1"/>
        <v>0</v>
      </c>
      <c r="AE28" s="442">
        <f t="shared" si="2"/>
        <v>11</v>
      </c>
      <c r="AF28" s="442">
        <f t="shared" si="3"/>
        <v>0</v>
      </c>
      <c r="AG28" s="442">
        <f t="shared" si="4"/>
        <v>0</v>
      </c>
      <c r="AH28" s="443">
        <f t="shared" si="5"/>
        <v>0</v>
      </c>
      <c r="AI28" s="444" t="b">
        <v>0</v>
      </c>
      <c r="AJ28" s="238">
        <f t="shared" ref="AJ28:AJ40" si="108">IF(OR(ISERROR(VALUE(LEFT(C28,SEARCH(AK28,C28)-1))),AK28=""),0,VALUE(LEFT(C28,SEARCH(AK28,C28)-1)))</f>
        <v>32</v>
      </c>
      <c r="AK28" s="238" t="str">
        <f t="shared" si="6"/>
        <v>LH</v>
      </c>
      <c r="AL28" s="1290" t="str">
        <f t="shared" si="7"/>
        <v/>
      </c>
      <c r="AM28" s="238">
        <f t="shared" si="8"/>
        <v>305</v>
      </c>
      <c r="AN28" s="238">
        <f t="shared" si="9"/>
        <v>180</v>
      </c>
      <c r="AO28" s="238" t="str">
        <f t="shared" si="10"/>
        <v/>
      </c>
      <c r="AP28" s="830" t="b">
        <f>IF(ISERROR(AJ28),FALSE,IF(OR(AJ28=0,ISERROR(AL28),ISERROR(AM28),ISERROR(AN28),ISERROR(AO28)),FALSE,IF(AL28&lt;&gt;"",IF(ISERROR(VLOOKUP(SUBSTITUTE(SUBSTITUTE(C28,"R",""),"A",""),TblJoistSize!$A:$A,1,FALSE)),FALSE,TRUE),TRUE)))</f>
        <v>1</v>
      </c>
      <c r="AQ28" s="1038">
        <f t="shared" si="11"/>
        <v>6</v>
      </c>
      <c r="AR28" s="945" t="b">
        <f t="shared" si="83"/>
        <v>1</v>
      </c>
      <c r="AS28" s="1038">
        <f t="shared" si="12"/>
        <v>6</v>
      </c>
      <c r="AT28" s="945" t="b">
        <f t="shared" si="84"/>
        <v>1</v>
      </c>
      <c r="AU28" s="1291" t="str">
        <f t="shared" si="13"/>
        <v>LH</v>
      </c>
      <c r="AV28" s="830" t="str">
        <f t="shared" si="14"/>
        <v/>
      </c>
      <c r="AW28" s="830" t="str">
        <f t="shared" si="81"/>
        <v>LH</v>
      </c>
      <c r="AX28" s="830" t="str">
        <f t="shared" si="85"/>
        <v>J6</v>
      </c>
      <c r="AY28" s="464" t="b">
        <f t="shared" si="15"/>
        <v>0</v>
      </c>
      <c r="AZ28" s="856" t="b">
        <f t="shared" si="82"/>
        <v>0</v>
      </c>
      <c r="BA28" s="549"/>
      <c r="BB28" s="672"/>
      <c r="BC28" s="1684"/>
      <c r="BD28" s="733"/>
      <c r="BE28" s="734"/>
      <c r="BF28" s="735"/>
      <c r="BG28" s="672"/>
      <c r="BH28" s="982"/>
      <c r="BI28" s="983"/>
      <c r="BJ28" s="1625"/>
      <c r="BK28" s="982"/>
      <c r="BL28" s="983"/>
      <c r="BM28" s="1569"/>
      <c r="BN28" s="1570"/>
      <c r="BO28" s="1617" t="str">
        <f>IF(ISERROR(CU28),"",IF(CU28="","",IF(VLOOKUP(BG28,SectInfo!$B:$N,10,FALSE)="","","X")))</f>
        <v/>
      </c>
      <c r="BP28" s="1561"/>
      <c r="BQ28" s="1562" t="str">
        <f t="shared" si="16"/>
        <v/>
      </c>
      <c r="BR28" s="1563"/>
      <c r="BS28" s="672"/>
      <c r="BT28" s="982"/>
      <c r="BU28" s="983"/>
      <c r="BV28" s="1625"/>
      <c r="BW28" s="982"/>
      <c r="BX28" s="983"/>
      <c r="BY28" s="1569"/>
      <c r="BZ28" s="1570"/>
      <c r="CA28" s="1617" t="str">
        <f>IF(ISERROR(DE28),"",IF(DE28="","",IF(VLOOKUP(BS28,SectInfo!$B:$N,10,FALSE)="","","X")))</f>
        <v/>
      </c>
      <c r="CB28" s="1561"/>
      <c r="CC28" s="1562" t="str">
        <f t="shared" si="17"/>
        <v/>
      </c>
      <c r="CD28" s="1563"/>
      <c r="CE28" s="1574"/>
      <c r="CF28" s="736"/>
      <c r="CG28" s="737"/>
      <c r="CH28" s="643" t="str">
        <f t="shared" si="18"/>
        <v/>
      </c>
      <c r="CI28" s="644" t="str">
        <f t="shared" si="19"/>
        <v/>
      </c>
      <c r="CJ28" s="645" t="str">
        <f t="shared" si="20"/>
        <v/>
      </c>
      <c r="CK28" s="852" t="str">
        <f t="shared" si="21"/>
        <v/>
      </c>
      <c r="CL28" s="847" t="str">
        <f t="shared" si="22"/>
        <v/>
      </c>
      <c r="CM28" s="848" t="str">
        <f t="shared" si="23"/>
        <v/>
      </c>
      <c r="CN28" s="611" t="str">
        <f t="shared" si="24"/>
        <v/>
      </c>
      <c r="CO28" s="612" t="str">
        <f t="shared" si="25"/>
        <v/>
      </c>
      <c r="CP28" s="615" t="str">
        <f t="shared" si="26"/>
        <v/>
      </c>
      <c r="CQ28" s="616" t="str">
        <f t="shared" si="27"/>
        <v/>
      </c>
      <c r="CR28" s="750">
        <f t="shared" si="28"/>
        <v>5</v>
      </c>
      <c r="CS28" s="751">
        <f t="shared" si="29"/>
        <v>5</v>
      </c>
      <c r="CU28" s="114" t="str">
        <f>IF(BG28="","",VLOOKUP(BG28,SectInfo!$B:$N,12,FALSE))</f>
        <v/>
      </c>
      <c r="CV28" s="115" t="str">
        <f>IF(BG28="","",IF(ISBLANK(BP28),VLOOKUP(BG28,SectInfo!$B:$N,13,FALSE),BP28))</f>
        <v/>
      </c>
      <c r="CW28" s="1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115" t="str">
        <f>IF(BG28="","",IF(VLOOKUP(BG28,SectInfo!$B:$N,7,FALSE)="","",(VLOOKUP(BG28,SectInfo!$B:$N,7,FALSE)*-1)))</f>
        <v/>
      </c>
      <c r="DB28" s="815" t="str">
        <f>IF(BG28="","",IF(VLOOKUP(BG28,SectInfo!$B:$N,8,FALSE)="",VLOOKUP(AU28,$DF$2:$DN$9,6,FALSE),(VLOOKUP(BG28,SectInfo!$B:$N,8,FALSE))))</f>
        <v/>
      </c>
      <c r="DC28" s="815" t="str">
        <f>IF(BG28="","",VLOOKUP(BG28,SectInfo!$B:$N,9,FALSE))</f>
        <v/>
      </c>
      <c r="DD28" s="816">
        <f t="shared" si="30"/>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31"/>
        <v>0</v>
      </c>
      <c r="DO28" s="818">
        <f t="shared" si="32"/>
        <v>0</v>
      </c>
      <c r="DP28" s="822" t="str">
        <f t="shared" si="33"/>
        <v/>
      </c>
      <c r="DQ28" s="822" t="str">
        <f t="shared" si="34"/>
        <v/>
      </c>
      <c r="DR28" s="822" t="str">
        <f t="shared" si="35"/>
        <v/>
      </c>
      <c r="DS28" s="821">
        <f t="shared" si="36"/>
        <v>0</v>
      </c>
      <c r="DT28" s="821">
        <f t="shared" si="37"/>
        <v>0</v>
      </c>
      <c r="DU28" s="821" t="str">
        <f t="shared" si="38"/>
        <v/>
      </c>
      <c r="DV28" s="822" t="str">
        <f t="shared" si="39"/>
        <v/>
      </c>
      <c r="DW28" s="856" t="str">
        <f t="shared" si="40"/>
        <v/>
      </c>
      <c r="DX28" s="1006">
        <f t="shared" si="100"/>
        <v>0</v>
      </c>
      <c r="DY28" s="822">
        <f t="shared" si="41"/>
        <v>0</v>
      </c>
      <c r="DZ28" s="821">
        <f t="shared" si="42"/>
        <v>0</v>
      </c>
      <c r="EA28" s="821" t="str">
        <f t="shared" si="43"/>
        <v/>
      </c>
      <c r="EB28" s="822" t="str">
        <f t="shared" si="101"/>
        <v/>
      </c>
      <c r="EC28" s="856" t="str">
        <f t="shared" si="44"/>
        <v/>
      </c>
      <c r="ED28" s="1006">
        <f t="shared" si="102"/>
        <v>0</v>
      </c>
      <c r="EE28" s="1293" t="str">
        <f t="shared" si="45"/>
        <v/>
      </c>
      <c r="EF28" s="822" t="str">
        <f t="shared" si="103"/>
        <v/>
      </c>
      <c r="EG28" s="822" t="str">
        <f t="shared" si="104"/>
        <v/>
      </c>
      <c r="EH28" s="856" t="str">
        <f t="shared" si="46"/>
        <v>ERR</v>
      </c>
      <c r="EI28" s="856" t="str">
        <f t="shared" si="47"/>
        <v>ERR</v>
      </c>
      <c r="EJ28" s="822" t="str">
        <f t="shared" si="48"/>
        <v/>
      </c>
      <c r="EK28" s="822" t="str">
        <f t="shared" si="48"/>
        <v/>
      </c>
      <c r="EL28" s="1293" t="str">
        <f t="shared" si="49"/>
        <v/>
      </c>
      <c r="EM28" s="822" t="str">
        <f t="shared" si="105"/>
        <v/>
      </c>
      <c r="EN28" s="822" t="str">
        <f t="shared" si="106"/>
        <v/>
      </c>
      <c r="EO28" s="856" t="str">
        <f t="shared" si="50"/>
        <v>ERR</v>
      </c>
      <c r="EP28" s="856" t="str">
        <f t="shared" si="51"/>
        <v>ERR</v>
      </c>
      <c r="EQ28" s="822" t="str">
        <f t="shared" si="52"/>
        <v/>
      </c>
      <c r="ER28" s="822" t="str">
        <f t="shared" si="52"/>
        <v/>
      </c>
      <c r="ES28" s="822" t="str">
        <f t="shared" si="53"/>
        <v/>
      </c>
      <c r="ET28" s="822" t="str">
        <f t="shared" si="54"/>
        <v/>
      </c>
      <c r="EU28" s="829">
        <f t="shared" si="55"/>
        <v>4</v>
      </c>
      <c r="EV28" s="824" t="str">
        <f t="shared" si="107"/>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56"/>
        <v/>
      </c>
      <c r="FA28" s="829" t="str">
        <f>IF(AND(DE28="G", ISBLANK(BW28), ISBLANK(BX28)),VLOOKUP(MIN(BT28:BU28),TblJoistSize!$M$3:$N$10,2),IF(OR(DE28="B", DE28="G"),MIN(BW28:BX28),""))</f>
        <v/>
      </c>
      <c r="FB28" s="829" t="str">
        <f>IF(AND(DE28="G", ISBLANK(BW28), ISBLANK(BX28)),VLOOKUP(MAX(BT28:BU28),TblJoistSize!$M$3:$N$10,2),IF(OR(DE28="B", DE28="G"),MAX(BW28:BX28),""))</f>
        <v/>
      </c>
      <c r="FC28" s="829" t="str">
        <f t="shared" si="57"/>
        <v/>
      </c>
      <c r="FD28" s="822">
        <f t="shared" si="58"/>
        <v>0</v>
      </c>
      <c r="FE28" s="822">
        <f t="shared" si="59"/>
        <v>0</v>
      </c>
      <c r="FF28" s="821">
        <f t="shared" si="60"/>
        <v>0</v>
      </c>
      <c r="FG28" s="821" t="str">
        <f t="shared" si="61"/>
        <v/>
      </c>
      <c r="FH28" s="822" t="str">
        <f t="shared" si="62"/>
        <v/>
      </c>
      <c r="FI28" s="822">
        <f t="shared" si="63"/>
        <v>0</v>
      </c>
      <c r="FJ28" s="822">
        <f t="shared" si="64"/>
        <v>0</v>
      </c>
      <c r="FK28" s="821">
        <f t="shared" si="65"/>
        <v>0</v>
      </c>
      <c r="FL28" s="821" t="str">
        <f t="shared" si="66"/>
        <v/>
      </c>
      <c r="FM28" s="822" t="str">
        <f t="shared" si="67"/>
        <v/>
      </c>
      <c r="FN28" s="822" t="e">
        <f t="shared" si="68"/>
        <v>#VALUE!</v>
      </c>
      <c r="FO28" s="940" t="e">
        <f t="shared" si="69"/>
        <v>#VALUE!</v>
      </c>
      <c r="FP28" s="940" t="e">
        <f t="shared" si="70"/>
        <v>#VALUE!</v>
      </c>
      <c r="FQ28" s="830" t="e">
        <f t="shared" si="71"/>
        <v>#VALUE!</v>
      </c>
      <c r="FR28" s="831" t="e">
        <f t="shared" si="72"/>
        <v>#VALUE!</v>
      </c>
      <c r="FS28" s="832" t="str">
        <f t="shared" si="73"/>
        <v/>
      </c>
      <c r="FT28" s="833" t="str">
        <f t="shared" si="74"/>
        <v/>
      </c>
      <c r="FU28" s="870">
        <f t="shared" si="75"/>
        <v>0</v>
      </c>
      <c r="FV28" s="871">
        <f t="shared" si="76"/>
        <v>0</v>
      </c>
      <c r="GA28" s="1791">
        <v>40</v>
      </c>
      <c r="GB28" s="1792">
        <v>0.75</v>
      </c>
      <c r="GC28" s="1793">
        <v>-0.25</v>
      </c>
      <c r="GD28" s="1794">
        <v>-0.5</v>
      </c>
      <c r="GE28" s="1795">
        <f t="shared" si="77"/>
        <v>0</v>
      </c>
      <c r="GF28" s="600" t="str">
        <f t="shared" si="78"/>
        <v>J6</v>
      </c>
      <c r="GG28" s="1130">
        <v>0</v>
      </c>
      <c r="GH28" s="1131">
        <v>0</v>
      </c>
      <c r="GI28" s="1130"/>
      <c r="GJ28" s="1131"/>
      <c r="GK28" s="1636">
        <f t="shared" si="79"/>
        <v>480</v>
      </c>
      <c r="GL28" s="1636">
        <f t="shared" si="80"/>
        <v>480</v>
      </c>
      <c r="GM28" s="1637">
        <f>IF(ABS(GK28-GL28)&gt;='Job Info.'!$L$22,ABS(GK28-GL28),0)</f>
        <v>0</v>
      </c>
      <c r="GZ28" s="415"/>
      <c r="HA28" s="1391" t="s">
        <v>1436</v>
      </c>
      <c r="HB28" s="1392">
        <v>11</v>
      </c>
      <c r="HC28" s="1392" t="s">
        <v>1592</v>
      </c>
      <c r="HD28" s="1393">
        <v>40</v>
      </c>
      <c r="HE28" s="1394">
        <v>0</v>
      </c>
      <c r="HF28" s="1392" t="s">
        <v>116</v>
      </c>
      <c r="HG28" s="1392" t="s">
        <v>116</v>
      </c>
      <c r="HH28" s="1392" t="s">
        <v>116</v>
      </c>
      <c r="HI28" s="1395" t="s">
        <v>116</v>
      </c>
      <c r="HJ28" s="1392" t="s">
        <v>116</v>
      </c>
      <c r="HK28" s="1392" t="s">
        <v>116</v>
      </c>
      <c r="HL28" s="1392">
        <v>5</v>
      </c>
      <c r="HM28" s="1392">
        <v>5</v>
      </c>
      <c r="HN28" s="1392" t="s">
        <v>116</v>
      </c>
      <c r="HO28" s="1392" t="s">
        <v>116</v>
      </c>
      <c r="HP28" s="1392" t="s">
        <v>116</v>
      </c>
      <c r="HQ28" s="1395" t="s">
        <v>116</v>
      </c>
      <c r="HR28" s="1392" t="s">
        <v>116</v>
      </c>
      <c r="HS28" s="1392" t="s">
        <v>116</v>
      </c>
      <c r="HT28" s="1392">
        <v>0</v>
      </c>
      <c r="HU28" s="1392">
        <v>2.25</v>
      </c>
      <c r="HV28" s="1392">
        <v>0</v>
      </c>
      <c r="HW28" s="1394">
        <v>2</v>
      </c>
      <c r="HX28" s="1394">
        <v>4</v>
      </c>
      <c r="HY28" s="1394" t="s">
        <v>116</v>
      </c>
      <c r="HZ28" s="1394" t="s">
        <v>116</v>
      </c>
      <c r="IA28" s="1394" t="s">
        <v>1648</v>
      </c>
      <c r="IB28" s="1394"/>
      <c r="IC28" s="1394"/>
      <c r="ID28" s="1394"/>
      <c r="IE28" s="1394"/>
      <c r="IF28" s="1396"/>
    </row>
    <row r="29" spans="1:240" ht="12.6" customHeight="1" x14ac:dyDescent="0.25">
      <c r="A29" s="1448" t="s">
        <v>1437</v>
      </c>
      <c r="B29" s="1681">
        <v>14</v>
      </c>
      <c r="C29" s="1449" t="s">
        <v>1592</v>
      </c>
      <c r="D29" s="1705">
        <v>40</v>
      </c>
      <c r="E29" s="1778">
        <v>0</v>
      </c>
      <c r="F29" s="1708" t="str">
        <f t="shared" si="86"/>
        <v/>
      </c>
      <c r="G29" s="1709" t="str">
        <f t="shared" si="87"/>
        <v/>
      </c>
      <c r="H29" s="1779" t="str">
        <f t="shared" si="88"/>
        <v/>
      </c>
      <c r="I29" s="1705" t="str">
        <f t="shared" si="89"/>
        <v/>
      </c>
      <c r="J29" s="1709" t="str">
        <f t="shared" si="90"/>
        <v/>
      </c>
      <c r="K29" s="1780" t="str">
        <f t="shared" si="91"/>
        <v/>
      </c>
      <c r="L29" s="1712">
        <v>5</v>
      </c>
      <c r="M29" s="1713">
        <v>5</v>
      </c>
      <c r="N29" s="1708" t="str">
        <f t="shared" si="92"/>
        <v/>
      </c>
      <c r="O29" s="1709" t="str">
        <f t="shared" si="93"/>
        <v/>
      </c>
      <c r="P29" s="1710" t="str">
        <f t="shared" si="94"/>
        <v/>
      </c>
      <c r="Q29" s="1705" t="str">
        <f t="shared" si="95"/>
        <v/>
      </c>
      <c r="R29" s="1709" t="str">
        <f t="shared" si="96"/>
        <v/>
      </c>
      <c r="S29" s="1753" t="str">
        <f t="shared" si="97"/>
        <v/>
      </c>
      <c r="T29" s="1708">
        <v>0</v>
      </c>
      <c r="U29" s="1709">
        <v>2.25</v>
      </c>
      <c r="V29" s="1705">
        <v>0</v>
      </c>
      <c r="W29" s="1709">
        <v>2</v>
      </c>
      <c r="X29" s="1750">
        <v>4</v>
      </c>
      <c r="Y29" s="1781" t="str">
        <f t="shared" si="98"/>
        <v/>
      </c>
      <c r="Z29" s="1782" t="str">
        <f t="shared" si="99"/>
        <v/>
      </c>
      <c r="AA29" s="1783" t="s">
        <v>1708</v>
      </c>
      <c r="AB29" s="1413"/>
      <c r="AC29" s="964" t="b">
        <v>0</v>
      </c>
      <c r="AD29" s="441">
        <f t="shared" si="1"/>
        <v>0</v>
      </c>
      <c r="AE29" s="442">
        <f t="shared" si="2"/>
        <v>14</v>
      </c>
      <c r="AF29" s="442">
        <f t="shared" si="3"/>
        <v>0</v>
      </c>
      <c r="AG29" s="442">
        <f t="shared" si="4"/>
        <v>0</v>
      </c>
      <c r="AH29" s="443">
        <f t="shared" si="5"/>
        <v>0</v>
      </c>
      <c r="AI29" s="444" t="b">
        <v>0</v>
      </c>
      <c r="AJ29" s="238">
        <f t="shared" si="108"/>
        <v>32</v>
      </c>
      <c r="AK29" s="238" t="str">
        <f t="shared" si="6"/>
        <v>LH</v>
      </c>
      <c r="AL29" s="1290" t="str">
        <f t="shared" si="7"/>
        <v/>
      </c>
      <c r="AM29" s="238">
        <f t="shared" si="8"/>
        <v>305</v>
      </c>
      <c r="AN29" s="238">
        <f t="shared" si="9"/>
        <v>180</v>
      </c>
      <c r="AO29" s="238" t="str">
        <f t="shared" si="10"/>
        <v/>
      </c>
      <c r="AP29" s="830" t="b">
        <f>IF(ISERROR(AJ29),FALSE,IF(OR(AJ29=0,ISERROR(AL29),ISERROR(AM29),ISERROR(AN29),ISERROR(AO29)),FALSE,IF(AL29&lt;&gt;"",IF(ISERROR(VLOOKUP(SUBSTITUTE(SUBSTITUTE(C29,"R",""),"A",""),TblJoistSize!$A:$A,1,FALSE)),FALSE,TRUE),TRUE)))</f>
        <v>1</v>
      </c>
      <c r="AQ29" s="1038">
        <f t="shared" si="11"/>
        <v>6</v>
      </c>
      <c r="AR29" s="945" t="b">
        <f t="shared" si="83"/>
        <v>1</v>
      </c>
      <c r="AS29" s="1038">
        <f t="shared" si="12"/>
        <v>6</v>
      </c>
      <c r="AT29" s="945" t="b">
        <f t="shared" si="84"/>
        <v>1</v>
      </c>
      <c r="AU29" s="1291" t="str">
        <f t="shared" si="13"/>
        <v>LH</v>
      </c>
      <c r="AV29" s="830" t="str">
        <f t="shared" si="14"/>
        <v/>
      </c>
      <c r="AW29" s="830" t="str">
        <f t="shared" si="81"/>
        <v>LH</v>
      </c>
      <c r="AX29" s="830" t="str">
        <f t="shared" si="85"/>
        <v>J7</v>
      </c>
      <c r="AY29" s="464" t="b">
        <f t="shared" si="15"/>
        <v>0</v>
      </c>
      <c r="AZ29" s="856" t="b">
        <f t="shared" si="82"/>
        <v>0</v>
      </c>
      <c r="BA29" s="549"/>
      <c r="BB29" s="672"/>
      <c r="BC29" s="1684"/>
      <c r="BD29" s="733"/>
      <c r="BE29" s="734"/>
      <c r="BF29" s="735"/>
      <c r="BG29" s="672"/>
      <c r="BH29" s="982"/>
      <c r="BI29" s="983"/>
      <c r="BJ29" s="1625"/>
      <c r="BK29" s="982"/>
      <c r="BL29" s="983"/>
      <c r="BM29" s="1569"/>
      <c r="BN29" s="1570"/>
      <c r="BO29" s="1617" t="str">
        <f>IF(ISERROR(CU29),"",IF(CU29="","",IF(VLOOKUP(BG29,SectInfo!$B:$N,10,FALSE)="","","X")))</f>
        <v/>
      </c>
      <c r="BP29" s="1561"/>
      <c r="BQ29" s="1562" t="str">
        <f t="shared" si="16"/>
        <v/>
      </c>
      <c r="BR29" s="1563"/>
      <c r="BS29" s="672"/>
      <c r="BT29" s="982"/>
      <c r="BU29" s="983"/>
      <c r="BV29" s="1625"/>
      <c r="BW29" s="982"/>
      <c r="BX29" s="983"/>
      <c r="BY29" s="1569"/>
      <c r="BZ29" s="1570"/>
      <c r="CA29" s="1617" t="str">
        <f>IF(ISERROR(DE29),"",IF(DE29="","",IF(VLOOKUP(BS29,SectInfo!$B:$N,10,FALSE)="","","X")))</f>
        <v/>
      </c>
      <c r="CB29" s="1561"/>
      <c r="CC29" s="1562" t="str">
        <f t="shared" si="17"/>
        <v/>
      </c>
      <c r="CD29" s="1563"/>
      <c r="CE29" s="1574"/>
      <c r="CF29" s="736"/>
      <c r="CG29" s="737"/>
      <c r="CH29" s="643" t="str">
        <f t="shared" si="18"/>
        <v/>
      </c>
      <c r="CI29" s="644" t="str">
        <f t="shared" si="19"/>
        <v/>
      </c>
      <c r="CJ29" s="645" t="str">
        <f t="shared" si="20"/>
        <v/>
      </c>
      <c r="CK29" s="852" t="str">
        <f t="shared" si="21"/>
        <v/>
      </c>
      <c r="CL29" s="847" t="str">
        <f t="shared" si="22"/>
        <v/>
      </c>
      <c r="CM29" s="848" t="str">
        <f t="shared" si="23"/>
        <v/>
      </c>
      <c r="CN29" s="611" t="str">
        <f t="shared" si="24"/>
        <v/>
      </c>
      <c r="CO29" s="612" t="str">
        <f t="shared" si="25"/>
        <v/>
      </c>
      <c r="CP29" s="615" t="str">
        <f t="shared" si="26"/>
        <v/>
      </c>
      <c r="CQ29" s="616" t="str">
        <f t="shared" si="27"/>
        <v/>
      </c>
      <c r="CR29" s="750">
        <f t="shared" si="28"/>
        <v>5</v>
      </c>
      <c r="CS29" s="751">
        <f t="shared" si="29"/>
        <v>5</v>
      </c>
      <c r="CU29" s="114" t="str">
        <f>IF(BG29="","",VLOOKUP(BG29,SectInfo!$B:$N,12,FALSE))</f>
        <v/>
      </c>
      <c r="CV29" s="115" t="str">
        <f>IF(BG29="","",IF(ISBLANK(BP29),VLOOKUP(BG29,SectInfo!$B:$N,13,FALSE),BP29))</f>
        <v/>
      </c>
      <c r="CW29" s="1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115" t="str">
        <f>IF(BG29="","",IF(VLOOKUP(BG29,SectInfo!$B:$N,7,FALSE)="","",(VLOOKUP(BG29,SectInfo!$B:$N,7,FALSE)*-1)))</f>
        <v/>
      </c>
      <c r="DB29" s="815" t="str">
        <f>IF(BG29="","",IF(VLOOKUP(BG29,SectInfo!$B:$N,8,FALSE)="",VLOOKUP(AU29,$DF$2:$DN$9,6,FALSE),(VLOOKUP(BG29,SectInfo!$B:$N,8,FALSE))))</f>
        <v/>
      </c>
      <c r="DC29" s="815" t="str">
        <f>IF(BG29="","",VLOOKUP(BG29,SectInfo!$B:$N,9,FALSE))</f>
        <v/>
      </c>
      <c r="DD29" s="816">
        <f t="shared" si="30"/>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31"/>
        <v>0</v>
      </c>
      <c r="DO29" s="818">
        <f t="shared" si="32"/>
        <v>0</v>
      </c>
      <c r="DP29" s="822" t="str">
        <f t="shared" si="33"/>
        <v/>
      </c>
      <c r="DQ29" s="822" t="str">
        <f t="shared" si="34"/>
        <v/>
      </c>
      <c r="DR29" s="822" t="str">
        <f t="shared" si="35"/>
        <v/>
      </c>
      <c r="DS29" s="821">
        <f t="shared" si="36"/>
        <v>0</v>
      </c>
      <c r="DT29" s="821">
        <f t="shared" si="37"/>
        <v>0</v>
      </c>
      <c r="DU29" s="821" t="str">
        <f t="shared" si="38"/>
        <v/>
      </c>
      <c r="DV29" s="822" t="str">
        <f t="shared" si="39"/>
        <v/>
      </c>
      <c r="DW29" s="856" t="str">
        <f t="shared" si="40"/>
        <v/>
      </c>
      <c r="DX29" s="1006">
        <f t="shared" si="100"/>
        <v>0</v>
      </c>
      <c r="DY29" s="822">
        <f t="shared" si="41"/>
        <v>0</v>
      </c>
      <c r="DZ29" s="821">
        <f t="shared" si="42"/>
        <v>0</v>
      </c>
      <c r="EA29" s="821" t="str">
        <f t="shared" si="43"/>
        <v/>
      </c>
      <c r="EB29" s="822" t="str">
        <f t="shared" si="101"/>
        <v/>
      </c>
      <c r="EC29" s="856" t="str">
        <f t="shared" si="44"/>
        <v/>
      </c>
      <c r="ED29" s="1006">
        <f t="shared" si="102"/>
        <v>0</v>
      </c>
      <c r="EE29" s="1293" t="str">
        <f t="shared" si="45"/>
        <v/>
      </c>
      <c r="EF29" s="822" t="str">
        <f t="shared" si="103"/>
        <v/>
      </c>
      <c r="EG29" s="822" t="str">
        <f t="shared" si="104"/>
        <v/>
      </c>
      <c r="EH29" s="856" t="str">
        <f t="shared" si="46"/>
        <v>ERR</v>
      </c>
      <c r="EI29" s="856" t="str">
        <f t="shared" si="47"/>
        <v>ERR</v>
      </c>
      <c r="EJ29" s="822" t="str">
        <f t="shared" si="48"/>
        <v/>
      </c>
      <c r="EK29" s="822" t="str">
        <f t="shared" si="48"/>
        <v/>
      </c>
      <c r="EL29" s="1293" t="str">
        <f t="shared" si="49"/>
        <v/>
      </c>
      <c r="EM29" s="822" t="str">
        <f t="shared" si="105"/>
        <v/>
      </c>
      <c r="EN29" s="822" t="str">
        <f t="shared" si="106"/>
        <v/>
      </c>
      <c r="EO29" s="856" t="str">
        <f t="shared" si="50"/>
        <v>ERR</v>
      </c>
      <c r="EP29" s="856" t="str">
        <f t="shared" si="51"/>
        <v>ERR</v>
      </c>
      <c r="EQ29" s="822" t="str">
        <f t="shared" si="52"/>
        <v/>
      </c>
      <c r="ER29" s="822" t="str">
        <f t="shared" si="52"/>
        <v/>
      </c>
      <c r="ES29" s="822" t="str">
        <f t="shared" si="53"/>
        <v/>
      </c>
      <c r="ET29" s="822" t="str">
        <f t="shared" si="54"/>
        <v/>
      </c>
      <c r="EU29" s="829">
        <f t="shared" si="55"/>
        <v>4</v>
      </c>
      <c r="EV29" s="824" t="str">
        <f t="shared" si="107"/>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56"/>
        <v/>
      </c>
      <c r="FA29" s="829" t="str">
        <f>IF(AND(DE29="G", ISBLANK(BW29), ISBLANK(BX29)),VLOOKUP(MIN(BT29:BU29),TblJoistSize!$M$3:$N$10,2),IF(OR(DE29="B", DE29="G"),MIN(BW29:BX29),""))</f>
        <v/>
      </c>
      <c r="FB29" s="829" t="str">
        <f>IF(AND(DE29="G", ISBLANK(BW29), ISBLANK(BX29)),VLOOKUP(MAX(BT29:BU29),TblJoistSize!$M$3:$N$10,2),IF(OR(DE29="B", DE29="G"),MAX(BW29:BX29),""))</f>
        <v/>
      </c>
      <c r="FC29" s="829" t="str">
        <f t="shared" si="57"/>
        <v/>
      </c>
      <c r="FD29" s="822">
        <f t="shared" si="58"/>
        <v>0</v>
      </c>
      <c r="FE29" s="822">
        <f t="shared" si="59"/>
        <v>0</v>
      </c>
      <c r="FF29" s="821">
        <f t="shared" si="60"/>
        <v>0</v>
      </c>
      <c r="FG29" s="821" t="str">
        <f t="shared" si="61"/>
        <v/>
      </c>
      <c r="FH29" s="822" t="str">
        <f t="shared" si="62"/>
        <v/>
      </c>
      <c r="FI29" s="822">
        <f t="shared" si="63"/>
        <v>0</v>
      </c>
      <c r="FJ29" s="822">
        <f t="shared" si="64"/>
        <v>0</v>
      </c>
      <c r="FK29" s="821">
        <f t="shared" si="65"/>
        <v>0</v>
      </c>
      <c r="FL29" s="821" t="str">
        <f t="shared" si="66"/>
        <v/>
      </c>
      <c r="FM29" s="822" t="str">
        <f t="shared" si="67"/>
        <v/>
      </c>
      <c r="FN29" s="822" t="e">
        <f t="shared" si="68"/>
        <v>#VALUE!</v>
      </c>
      <c r="FO29" s="940" t="e">
        <f t="shared" si="69"/>
        <v>#VALUE!</v>
      </c>
      <c r="FP29" s="940" t="e">
        <f t="shared" si="70"/>
        <v>#VALUE!</v>
      </c>
      <c r="FQ29" s="830" t="e">
        <f t="shared" si="71"/>
        <v>#VALUE!</v>
      </c>
      <c r="FR29" s="831" t="e">
        <f t="shared" si="72"/>
        <v>#VALUE!</v>
      </c>
      <c r="FS29" s="832" t="str">
        <f t="shared" si="73"/>
        <v/>
      </c>
      <c r="FT29" s="833" t="str">
        <f t="shared" si="74"/>
        <v/>
      </c>
      <c r="FU29" s="870">
        <f t="shared" si="75"/>
        <v>0</v>
      </c>
      <c r="FV29" s="871">
        <f t="shared" si="76"/>
        <v>0</v>
      </c>
      <c r="GA29" s="1791">
        <v>40</v>
      </c>
      <c r="GB29" s="1792">
        <v>0.75</v>
      </c>
      <c r="GC29" s="1793">
        <v>-0.25</v>
      </c>
      <c r="GD29" s="1794">
        <v>-0.5</v>
      </c>
      <c r="GE29" s="1795">
        <f t="shared" si="77"/>
        <v>0</v>
      </c>
      <c r="GF29" s="600" t="str">
        <f t="shared" si="78"/>
        <v>J7</v>
      </c>
      <c r="GG29" s="1130">
        <v>0</v>
      </c>
      <c r="GH29" s="1131">
        <v>0</v>
      </c>
      <c r="GI29" s="1130"/>
      <c r="GJ29" s="1131"/>
      <c r="GK29" s="1636">
        <f t="shared" si="79"/>
        <v>480</v>
      </c>
      <c r="GL29" s="1636">
        <f t="shared" si="80"/>
        <v>480</v>
      </c>
      <c r="GM29" s="1637">
        <f>IF(ABS(GK29-GL29)&gt;='Job Info.'!$L$22,ABS(GK29-GL29),0)</f>
        <v>0</v>
      </c>
      <c r="GZ29" s="415"/>
      <c r="HA29" s="1391" t="s">
        <v>1437</v>
      </c>
      <c r="HB29" s="1392">
        <v>14</v>
      </c>
      <c r="HC29" s="1392" t="s">
        <v>1592</v>
      </c>
      <c r="HD29" s="1393">
        <v>40</v>
      </c>
      <c r="HE29" s="1394">
        <v>0</v>
      </c>
      <c r="HF29" s="1392" t="s">
        <v>116</v>
      </c>
      <c r="HG29" s="1392" t="s">
        <v>116</v>
      </c>
      <c r="HH29" s="1392" t="s">
        <v>116</v>
      </c>
      <c r="HI29" s="1395" t="s">
        <v>116</v>
      </c>
      <c r="HJ29" s="1392" t="s">
        <v>116</v>
      </c>
      <c r="HK29" s="1392" t="s">
        <v>116</v>
      </c>
      <c r="HL29" s="1392">
        <v>5</v>
      </c>
      <c r="HM29" s="1392">
        <v>5</v>
      </c>
      <c r="HN29" s="1392" t="s">
        <v>116</v>
      </c>
      <c r="HO29" s="1392" t="s">
        <v>116</v>
      </c>
      <c r="HP29" s="1392" t="s">
        <v>116</v>
      </c>
      <c r="HQ29" s="1395" t="s">
        <v>116</v>
      </c>
      <c r="HR29" s="1392" t="s">
        <v>116</v>
      </c>
      <c r="HS29" s="1392" t="s">
        <v>116</v>
      </c>
      <c r="HT29" s="1392">
        <v>0</v>
      </c>
      <c r="HU29" s="1392">
        <v>2.25</v>
      </c>
      <c r="HV29" s="1392">
        <v>0</v>
      </c>
      <c r="HW29" s="1394">
        <v>2</v>
      </c>
      <c r="HX29" s="1394">
        <v>4</v>
      </c>
      <c r="HY29" s="1394" t="s">
        <v>116</v>
      </c>
      <c r="HZ29" s="1394" t="s">
        <v>116</v>
      </c>
      <c r="IA29" s="1394" t="s">
        <v>1649</v>
      </c>
      <c r="IB29" s="1394"/>
      <c r="IC29" s="1394"/>
      <c r="ID29" s="1394"/>
      <c r="IE29" s="1394"/>
      <c r="IF29" s="1396"/>
    </row>
    <row r="30" spans="1:240" ht="12.6" customHeight="1" x14ac:dyDescent="0.25">
      <c r="A30" s="1448" t="s">
        <v>1438</v>
      </c>
      <c r="B30" s="1681">
        <v>2</v>
      </c>
      <c r="C30" s="1449" t="s">
        <v>1592</v>
      </c>
      <c r="D30" s="1705">
        <v>39</v>
      </c>
      <c r="E30" s="1778">
        <v>2.25</v>
      </c>
      <c r="F30" s="1708" t="str">
        <f t="shared" si="86"/>
        <v/>
      </c>
      <c r="G30" s="1709" t="str">
        <f t="shared" si="87"/>
        <v/>
      </c>
      <c r="H30" s="1779" t="str">
        <f t="shared" si="88"/>
        <v/>
      </c>
      <c r="I30" s="1705" t="str">
        <f t="shared" si="89"/>
        <v/>
      </c>
      <c r="J30" s="1709" t="str">
        <f t="shared" si="90"/>
        <v/>
      </c>
      <c r="K30" s="1780" t="str">
        <f t="shared" si="91"/>
        <v/>
      </c>
      <c r="L30" s="1712">
        <v>5</v>
      </c>
      <c r="M30" s="1713">
        <v>5</v>
      </c>
      <c r="N30" s="1708">
        <v>0</v>
      </c>
      <c r="O30" s="1709">
        <v>6.75</v>
      </c>
      <c r="P30" s="1710">
        <v>2</v>
      </c>
      <c r="Q30" s="1705" t="str">
        <f t="shared" si="95"/>
        <v/>
      </c>
      <c r="R30" s="1709" t="str">
        <f t="shared" si="96"/>
        <v/>
      </c>
      <c r="S30" s="1753" t="str">
        <f t="shared" si="97"/>
        <v/>
      </c>
      <c r="T30" s="1708">
        <v>0</v>
      </c>
      <c r="U30" s="1709">
        <v>2.25</v>
      </c>
      <c r="V30" s="1705">
        <v>0</v>
      </c>
      <c r="W30" s="1709">
        <v>2</v>
      </c>
      <c r="X30" s="1750">
        <v>4</v>
      </c>
      <c r="Y30" s="1781" t="str">
        <f t="shared" si="98"/>
        <v/>
      </c>
      <c r="Z30" s="1782" t="str">
        <f t="shared" si="99"/>
        <v/>
      </c>
      <c r="AA30" s="1783" t="s">
        <v>1709</v>
      </c>
      <c r="AB30" s="1413"/>
      <c r="AC30" s="964" t="b">
        <v>0</v>
      </c>
      <c r="AD30" s="441">
        <f t="shared" si="1"/>
        <v>0</v>
      </c>
      <c r="AE30" s="442">
        <f t="shared" si="2"/>
        <v>2</v>
      </c>
      <c r="AF30" s="442">
        <f t="shared" si="3"/>
        <v>0</v>
      </c>
      <c r="AG30" s="442">
        <f t="shared" si="4"/>
        <v>0</v>
      </c>
      <c r="AH30" s="443">
        <f t="shared" si="5"/>
        <v>0</v>
      </c>
      <c r="AI30" s="444" t="b">
        <v>0</v>
      </c>
      <c r="AJ30" s="238">
        <f t="shared" si="108"/>
        <v>32</v>
      </c>
      <c r="AK30" s="238" t="str">
        <f t="shared" si="6"/>
        <v>LH</v>
      </c>
      <c r="AL30" s="1290" t="str">
        <f t="shared" si="7"/>
        <v/>
      </c>
      <c r="AM30" s="238">
        <f t="shared" si="8"/>
        <v>305</v>
      </c>
      <c r="AN30" s="238">
        <f t="shared" si="9"/>
        <v>180</v>
      </c>
      <c r="AO30" s="238" t="str">
        <f t="shared" si="10"/>
        <v/>
      </c>
      <c r="AP30" s="830" t="b">
        <f>IF(ISERROR(AJ30),FALSE,IF(OR(AJ30=0,ISERROR(AL30),ISERROR(AM30),ISERROR(AN30),ISERROR(AO30)),FALSE,IF(AL30&lt;&gt;"",IF(ISERROR(VLOOKUP(SUBSTITUTE(SUBSTITUTE(C30,"R",""),"A",""),TblJoistSize!$A:$A,1,FALSE)),FALSE,TRUE),TRUE)))</f>
        <v>1</v>
      </c>
      <c r="AQ30" s="1038">
        <f t="shared" si="11"/>
        <v>6</v>
      </c>
      <c r="AR30" s="945" t="b">
        <f t="shared" si="83"/>
        <v>1</v>
      </c>
      <c r="AS30" s="1038">
        <f t="shared" si="12"/>
        <v>6</v>
      </c>
      <c r="AT30" s="945" t="b">
        <f t="shared" si="84"/>
        <v>1</v>
      </c>
      <c r="AU30" s="1291" t="str">
        <f t="shared" si="13"/>
        <v>LH</v>
      </c>
      <c r="AV30" s="830" t="str">
        <f t="shared" si="14"/>
        <v/>
      </c>
      <c r="AW30" s="830" t="str">
        <f t="shared" si="81"/>
        <v>LH</v>
      </c>
      <c r="AX30" s="830" t="str">
        <f t="shared" si="85"/>
        <v>TJ8</v>
      </c>
      <c r="AY30" s="464" t="b">
        <f t="shared" si="15"/>
        <v>0</v>
      </c>
      <c r="AZ30" s="856" t="b">
        <f t="shared" si="82"/>
        <v>0</v>
      </c>
      <c r="BA30" s="549"/>
      <c r="BB30" s="672"/>
      <c r="BC30" s="1684"/>
      <c r="BD30" s="733"/>
      <c r="BE30" s="734"/>
      <c r="BF30" s="735"/>
      <c r="BG30" s="672"/>
      <c r="BH30" s="982"/>
      <c r="BI30" s="983"/>
      <c r="BJ30" s="1625"/>
      <c r="BK30" s="982"/>
      <c r="BL30" s="983"/>
      <c r="BM30" s="1569"/>
      <c r="BN30" s="1570"/>
      <c r="BO30" s="1617" t="str">
        <f>IF(ISERROR(CU30),"",IF(CU30="","",IF(VLOOKUP(BG30,SectInfo!$B:$N,10,FALSE)="","","X")))</f>
        <v/>
      </c>
      <c r="BP30" s="1561"/>
      <c r="BQ30" s="1562" t="str">
        <f t="shared" si="16"/>
        <v/>
      </c>
      <c r="BR30" s="1563"/>
      <c r="BS30" s="672"/>
      <c r="BT30" s="982"/>
      <c r="BU30" s="983"/>
      <c r="BV30" s="1625"/>
      <c r="BW30" s="982"/>
      <c r="BX30" s="983"/>
      <c r="BY30" s="1569"/>
      <c r="BZ30" s="1570"/>
      <c r="CA30" s="1617" t="str">
        <f>IF(ISERROR(DE30),"",IF(DE30="","",IF(VLOOKUP(BS30,SectInfo!$B:$N,10,FALSE)="","","X")))</f>
        <v/>
      </c>
      <c r="CB30" s="1561"/>
      <c r="CC30" s="1562" t="str">
        <f t="shared" si="17"/>
        <v/>
      </c>
      <c r="CD30" s="1563"/>
      <c r="CE30" s="1574"/>
      <c r="CF30" s="736"/>
      <c r="CG30" s="737"/>
      <c r="CH30" s="643" t="str">
        <f t="shared" si="18"/>
        <v/>
      </c>
      <c r="CI30" s="644" t="str">
        <f t="shared" si="19"/>
        <v/>
      </c>
      <c r="CJ30" s="645" t="str">
        <f t="shared" si="20"/>
        <v/>
      </c>
      <c r="CK30" s="852" t="str">
        <f t="shared" si="21"/>
        <v/>
      </c>
      <c r="CL30" s="847" t="str">
        <f t="shared" si="22"/>
        <v/>
      </c>
      <c r="CM30" s="848" t="str">
        <f t="shared" si="23"/>
        <v/>
      </c>
      <c r="CN30" s="611" t="str">
        <f t="shared" si="24"/>
        <v/>
      </c>
      <c r="CO30" s="612" t="str">
        <f t="shared" si="25"/>
        <v/>
      </c>
      <c r="CP30" s="615" t="str">
        <f t="shared" si="26"/>
        <v/>
      </c>
      <c r="CQ30" s="616" t="str">
        <f t="shared" si="27"/>
        <v/>
      </c>
      <c r="CR30" s="750">
        <f t="shared" si="28"/>
        <v>5</v>
      </c>
      <c r="CS30" s="751">
        <f t="shared" si="29"/>
        <v>5</v>
      </c>
      <c r="CU30" s="114" t="str">
        <f>IF(BG30="","",VLOOKUP(BG30,SectInfo!$B:$N,12,FALSE))</f>
        <v/>
      </c>
      <c r="CV30" s="115" t="str">
        <f>IF(BG30="","",IF(ISBLANK(BP30),VLOOKUP(BG30,SectInfo!$B:$N,13,FALSE),BP30))</f>
        <v/>
      </c>
      <c r="CW30" s="1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115" t="str">
        <f>IF(BG30="","",IF(VLOOKUP(BG30,SectInfo!$B:$N,7,FALSE)="","",(VLOOKUP(BG30,SectInfo!$B:$N,7,FALSE)*-1)))</f>
        <v/>
      </c>
      <c r="DB30" s="815" t="str">
        <f>IF(BG30="","",IF(VLOOKUP(BG30,SectInfo!$B:$N,8,FALSE)="",VLOOKUP(AU30,$DF$2:$DN$9,6,FALSE),(VLOOKUP(BG30,SectInfo!$B:$N,8,FALSE))))</f>
        <v/>
      </c>
      <c r="DC30" s="815" t="str">
        <f>IF(BG30="","",VLOOKUP(BG30,SectInfo!$B:$N,9,FALSE))</f>
        <v/>
      </c>
      <c r="DD30" s="816">
        <f t="shared" si="30"/>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31"/>
        <v>0</v>
      </c>
      <c r="DO30" s="818">
        <f t="shared" si="32"/>
        <v>0</v>
      </c>
      <c r="DP30" s="822" t="str">
        <f t="shared" si="33"/>
        <v/>
      </c>
      <c r="DQ30" s="822" t="str">
        <f t="shared" si="34"/>
        <v/>
      </c>
      <c r="DR30" s="822" t="str">
        <f t="shared" si="35"/>
        <v/>
      </c>
      <c r="DS30" s="821">
        <f t="shared" si="36"/>
        <v>0</v>
      </c>
      <c r="DT30" s="821">
        <f t="shared" si="37"/>
        <v>0</v>
      </c>
      <c r="DU30" s="821" t="str">
        <f t="shared" si="38"/>
        <v/>
      </c>
      <c r="DV30" s="822" t="str">
        <f t="shared" si="39"/>
        <v/>
      </c>
      <c r="DW30" s="856" t="str">
        <f t="shared" si="40"/>
        <v/>
      </c>
      <c r="DX30" s="1006">
        <f t="shared" si="100"/>
        <v>0</v>
      </c>
      <c r="DY30" s="822">
        <f t="shared" si="41"/>
        <v>0</v>
      </c>
      <c r="DZ30" s="821">
        <f t="shared" si="42"/>
        <v>0</v>
      </c>
      <c r="EA30" s="821" t="str">
        <f t="shared" si="43"/>
        <v/>
      </c>
      <c r="EB30" s="822" t="str">
        <f t="shared" si="101"/>
        <v/>
      </c>
      <c r="EC30" s="856" t="str">
        <f t="shared" si="44"/>
        <v/>
      </c>
      <c r="ED30" s="1006">
        <f t="shared" si="102"/>
        <v>0</v>
      </c>
      <c r="EE30" s="1293" t="str">
        <f t="shared" si="45"/>
        <v/>
      </c>
      <c r="EF30" s="822" t="str">
        <f t="shared" si="103"/>
        <v/>
      </c>
      <c r="EG30" s="822" t="str">
        <f t="shared" si="104"/>
        <v/>
      </c>
      <c r="EH30" s="856" t="str">
        <f t="shared" si="46"/>
        <v>ERR</v>
      </c>
      <c r="EI30" s="856" t="str">
        <f t="shared" si="47"/>
        <v>ERR</v>
      </c>
      <c r="EJ30" s="822" t="str">
        <f t="shared" si="48"/>
        <v/>
      </c>
      <c r="EK30" s="822" t="str">
        <f t="shared" si="48"/>
        <v/>
      </c>
      <c r="EL30" s="1293" t="str">
        <f t="shared" si="49"/>
        <v/>
      </c>
      <c r="EM30" s="822" t="str">
        <f t="shared" si="105"/>
        <v/>
      </c>
      <c r="EN30" s="822" t="str">
        <f t="shared" si="106"/>
        <v/>
      </c>
      <c r="EO30" s="856" t="str">
        <f t="shared" si="50"/>
        <v>ERR</v>
      </c>
      <c r="EP30" s="856" t="str">
        <f t="shared" si="51"/>
        <v>ERR</v>
      </c>
      <c r="EQ30" s="822" t="str">
        <f t="shared" si="52"/>
        <v/>
      </c>
      <c r="ER30" s="822" t="str">
        <f t="shared" si="52"/>
        <v/>
      </c>
      <c r="ES30" s="822" t="str">
        <f t="shared" si="53"/>
        <v/>
      </c>
      <c r="ET30" s="822" t="str">
        <f t="shared" si="54"/>
        <v/>
      </c>
      <c r="EU30" s="829">
        <f t="shared" si="55"/>
        <v>4</v>
      </c>
      <c r="EV30" s="824" t="str">
        <f t="shared" si="107"/>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56"/>
        <v/>
      </c>
      <c r="FA30" s="829" t="str">
        <f>IF(AND(DE30="G", ISBLANK(BW30), ISBLANK(BX30)),VLOOKUP(MIN(BT30:BU30),TblJoistSize!$M$3:$N$10,2),IF(OR(DE30="B", DE30="G"),MIN(BW30:BX30),""))</f>
        <v/>
      </c>
      <c r="FB30" s="829" t="str">
        <f>IF(AND(DE30="G", ISBLANK(BW30), ISBLANK(BX30)),VLOOKUP(MAX(BT30:BU30),TblJoistSize!$M$3:$N$10,2),IF(OR(DE30="B", DE30="G"),MAX(BW30:BX30),""))</f>
        <v/>
      </c>
      <c r="FC30" s="829" t="str">
        <f t="shared" si="57"/>
        <v/>
      </c>
      <c r="FD30" s="822">
        <f t="shared" si="58"/>
        <v>0</v>
      </c>
      <c r="FE30" s="822">
        <f t="shared" si="59"/>
        <v>0</v>
      </c>
      <c r="FF30" s="821">
        <f t="shared" si="60"/>
        <v>0</v>
      </c>
      <c r="FG30" s="821" t="str">
        <f t="shared" si="61"/>
        <v/>
      </c>
      <c r="FH30" s="822" t="str">
        <f t="shared" si="62"/>
        <v/>
      </c>
      <c r="FI30" s="822">
        <f t="shared" si="63"/>
        <v>0</v>
      </c>
      <c r="FJ30" s="822">
        <f t="shared" si="64"/>
        <v>0</v>
      </c>
      <c r="FK30" s="821">
        <f t="shared" si="65"/>
        <v>0</v>
      </c>
      <c r="FL30" s="821" t="str">
        <f t="shared" si="66"/>
        <v/>
      </c>
      <c r="FM30" s="822" t="str">
        <f t="shared" si="67"/>
        <v/>
      </c>
      <c r="FN30" s="822" t="e">
        <f t="shared" si="68"/>
        <v>#VALUE!</v>
      </c>
      <c r="FO30" s="940" t="e">
        <f t="shared" si="69"/>
        <v>#VALUE!</v>
      </c>
      <c r="FP30" s="940" t="e">
        <f t="shared" si="70"/>
        <v>#VALUE!</v>
      </c>
      <c r="FQ30" s="830" t="e">
        <f t="shared" si="71"/>
        <v>#VALUE!</v>
      </c>
      <c r="FR30" s="831" t="e">
        <f t="shared" si="72"/>
        <v>#VALUE!</v>
      </c>
      <c r="FS30" s="832" t="str">
        <f t="shared" si="73"/>
        <v/>
      </c>
      <c r="FT30" s="833" t="str">
        <f t="shared" si="74"/>
        <v/>
      </c>
      <c r="FU30" s="870">
        <f t="shared" si="75"/>
        <v>0</v>
      </c>
      <c r="FV30" s="871">
        <f t="shared" si="76"/>
        <v>0</v>
      </c>
      <c r="GA30" s="1791">
        <v>39</v>
      </c>
      <c r="GB30" s="1792">
        <v>3</v>
      </c>
      <c r="GC30" s="1793">
        <v>-0.25</v>
      </c>
      <c r="GD30" s="1794">
        <v>-0.5</v>
      </c>
      <c r="GE30" s="1795">
        <f t="shared" si="77"/>
        <v>0</v>
      </c>
      <c r="GF30" s="600" t="str">
        <f t="shared" si="78"/>
        <v>TJ8</v>
      </c>
      <c r="GG30" s="1130">
        <v>0</v>
      </c>
      <c r="GH30" s="1131">
        <v>0</v>
      </c>
      <c r="GI30" s="1130"/>
      <c r="GJ30" s="1131"/>
      <c r="GK30" s="1636">
        <f t="shared" si="79"/>
        <v>470.25</v>
      </c>
      <c r="GL30" s="1636">
        <f t="shared" si="80"/>
        <v>470.25</v>
      </c>
      <c r="GM30" s="1637">
        <f>IF(ABS(GK30-GL30)&gt;='Job Info.'!$L$22,ABS(GK30-GL30),0)</f>
        <v>0</v>
      </c>
      <c r="GZ30" s="415"/>
      <c r="HA30" s="1391" t="s">
        <v>1438</v>
      </c>
      <c r="HB30" s="1392">
        <v>2</v>
      </c>
      <c r="HC30" s="1392" t="s">
        <v>1592</v>
      </c>
      <c r="HD30" s="1393">
        <v>39</v>
      </c>
      <c r="HE30" s="1394">
        <v>2.25</v>
      </c>
      <c r="HF30" s="1392" t="s">
        <v>116</v>
      </c>
      <c r="HG30" s="1392" t="s">
        <v>116</v>
      </c>
      <c r="HH30" s="1392" t="s">
        <v>116</v>
      </c>
      <c r="HI30" s="1395" t="s">
        <v>116</v>
      </c>
      <c r="HJ30" s="1392" t="s">
        <v>116</v>
      </c>
      <c r="HK30" s="1392" t="s">
        <v>116</v>
      </c>
      <c r="HL30" s="1392">
        <v>5</v>
      </c>
      <c r="HM30" s="1392">
        <v>5</v>
      </c>
      <c r="HN30" s="1392">
        <v>0</v>
      </c>
      <c r="HO30" s="1392">
        <v>6.75</v>
      </c>
      <c r="HP30" s="1392">
        <v>2</v>
      </c>
      <c r="HQ30" s="1395" t="s">
        <v>116</v>
      </c>
      <c r="HR30" s="1392" t="s">
        <v>116</v>
      </c>
      <c r="HS30" s="1392" t="s">
        <v>116</v>
      </c>
      <c r="HT30" s="1392">
        <v>0</v>
      </c>
      <c r="HU30" s="1392">
        <v>2.25</v>
      </c>
      <c r="HV30" s="1392">
        <v>0</v>
      </c>
      <c r="HW30" s="1394">
        <v>2</v>
      </c>
      <c r="HX30" s="1394">
        <v>4</v>
      </c>
      <c r="HY30" s="1394" t="s">
        <v>116</v>
      </c>
      <c r="HZ30" s="1394" t="s">
        <v>116</v>
      </c>
      <c r="IA30" s="1394" t="s">
        <v>1649</v>
      </c>
      <c r="IB30" s="1394"/>
      <c r="IC30" s="1394"/>
      <c r="ID30" s="1394"/>
      <c r="IE30" s="1394"/>
      <c r="IF30" s="1396"/>
    </row>
    <row r="31" spans="1:240" ht="12.6" customHeight="1" x14ac:dyDescent="0.25">
      <c r="A31" s="1448" t="s">
        <v>1439</v>
      </c>
      <c r="B31" s="1681">
        <v>35</v>
      </c>
      <c r="C31" s="1449" t="s">
        <v>1592</v>
      </c>
      <c r="D31" s="1705">
        <v>39</v>
      </c>
      <c r="E31" s="1778">
        <v>2.25</v>
      </c>
      <c r="F31" s="1708" t="str">
        <f t="shared" si="86"/>
        <v/>
      </c>
      <c r="G31" s="1709" t="str">
        <f t="shared" si="87"/>
        <v/>
      </c>
      <c r="H31" s="1779" t="str">
        <f t="shared" si="88"/>
        <v/>
      </c>
      <c r="I31" s="1705" t="str">
        <f t="shared" si="89"/>
        <v/>
      </c>
      <c r="J31" s="1709" t="str">
        <f t="shared" si="90"/>
        <v/>
      </c>
      <c r="K31" s="1780" t="str">
        <f t="shared" si="91"/>
        <v/>
      </c>
      <c r="L31" s="1712">
        <v>5</v>
      </c>
      <c r="M31" s="1713">
        <v>5</v>
      </c>
      <c r="N31" s="1708" t="str">
        <f t="shared" si="92"/>
        <v/>
      </c>
      <c r="O31" s="1709" t="str">
        <f t="shared" si="93"/>
        <v/>
      </c>
      <c r="P31" s="1710" t="str">
        <f t="shared" si="94"/>
        <v/>
      </c>
      <c r="Q31" s="1705" t="str">
        <f t="shared" si="95"/>
        <v/>
      </c>
      <c r="R31" s="1709" t="str">
        <f t="shared" si="96"/>
        <v/>
      </c>
      <c r="S31" s="1753" t="str">
        <f t="shared" si="97"/>
        <v/>
      </c>
      <c r="T31" s="1708">
        <v>0</v>
      </c>
      <c r="U31" s="1709">
        <v>2.25</v>
      </c>
      <c r="V31" s="1705">
        <v>0</v>
      </c>
      <c r="W31" s="1709">
        <v>2</v>
      </c>
      <c r="X31" s="1750">
        <v>4</v>
      </c>
      <c r="Y31" s="1781" t="str">
        <f t="shared" si="98"/>
        <v/>
      </c>
      <c r="Z31" s="1782" t="str">
        <f t="shared" si="99"/>
        <v/>
      </c>
      <c r="AA31" s="1783" t="s">
        <v>1710</v>
      </c>
      <c r="AB31" s="1413"/>
      <c r="AC31" s="964" t="b">
        <v>0</v>
      </c>
      <c r="AD31" s="441">
        <f t="shared" si="1"/>
        <v>0</v>
      </c>
      <c r="AE31" s="442">
        <f t="shared" si="2"/>
        <v>35</v>
      </c>
      <c r="AF31" s="442">
        <f t="shared" si="3"/>
        <v>0</v>
      </c>
      <c r="AG31" s="442">
        <f t="shared" si="4"/>
        <v>0</v>
      </c>
      <c r="AH31" s="443">
        <f t="shared" si="5"/>
        <v>0</v>
      </c>
      <c r="AI31" s="444" t="b">
        <v>0</v>
      </c>
      <c r="AJ31" s="238">
        <f t="shared" si="108"/>
        <v>32</v>
      </c>
      <c r="AK31" s="238" t="str">
        <f t="shared" si="6"/>
        <v>LH</v>
      </c>
      <c r="AL31" s="1290" t="str">
        <f t="shared" si="7"/>
        <v/>
      </c>
      <c r="AM31" s="238">
        <f t="shared" si="8"/>
        <v>305</v>
      </c>
      <c r="AN31" s="238">
        <f t="shared" si="9"/>
        <v>180</v>
      </c>
      <c r="AO31" s="238" t="str">
        <f t="shared" si="10"/>
        <v/>
      </c>
      <c r="AP31" s="830" t="b">
        <f>IF(ISERROR(AJ31),FALSE,IF(OR(AJ31=0,ISERROR(AL31),ISERROR(AM31),ISERROR(AN31),ISERROR(AO31)),FALSE,IF(AL31&lt;&gt;"",IF(ISERROR(VLOOKUP(SUBSTITUTE(SUBSTITUTE(C31,"R",""),"A",""),TblJoistSize!$A:$A,1,FALSE)),FALSE,TRUE),TRUE)))</f>
        <v>1</v>
      </c>
      <c r="AQ31" s="1038">
        <f t="shared" si="11"/>
        <v>6</v>
      </c>
      <c r="AR31" s="945" t="b">
        <f t="shared" si="83"/>
        <v>1</v>
      </c>
      <c r="AS31" s="1038">
        <f t="shared" si="12"/>
        <v>6</v>
      </c>
      <c r="AT31" s="945" t="b">
        <f t="shared" si="84"/>
        <v>1</v>
      </c>
      <c r="AU31" s="1291" t="str">
        <f t="shared" si="13"/>
        <v>LH</v>
      </c>
      <c r="AV31" s="830" t="str">
        <f t="shared" si="14"/>
        <v/>
      </c>
      <c r="AW31" s="830" t="str">
        <f t="shared" si="81"/>
        <v>LH</v>
      </c>
      <c r="AX31" s="830" t="str">
        <f t="shared" si="85"/>
        <v>J9</v>
      </c>
      <c r="AY31" s="464" t="b">
        <f t="shared" si="15"/>
        <v>0</v>
      </c>
      <c r="AZ31" s="856" t="b">
        <f t="shared" si="82"/>
        <v>0</v>
      </c>
      <c r="BA31" s="549"/>
      <c r="BB31" s="672"/>
      <c r="BC31" s="1684"/>
      <c r="BD31" s="733"/>
      <c r="BE31" s="734"/>
      <c r="BF31" s="735"/>
      <c r="BG31" s="672"/>
      <c r="BH31" s="982"/>
      <c r="BI31" s="983"/>
      <c r="BJ31" s="1625"/>
      <c r="BK31" s="982"/>
      <c r="BL31" s="983"/>
      <c r="BM31" s="1569"/>
      <c r="BN31" s="1570"/>
      <c r="BO31" s="1617" t="str">
        <f>IF(ISERROR(CU31),"",IF(CU31="","",IF(VLOOKUP(BG31,SectInfo!$B:$N,10,FALSE)="","","X")))</f>
        <v/>
      </c>
      <c r="BP31" s="1561"/>
      <c r="BQ31" s="1562" t="str">
        <f t="shared" si="16"/>
        <v/>
      </c>
      <c r="BR31" s="1563"/>
      <c r="BS31" s="672"/>
      <c r="BT31" s="982"/>
      <c r="BU31" s="983"/>
      <c r="BV31" s="1625"/>
      <c r="BW31" s="982"/>
      <c r="BX31" s="983"/>
      <c r="BY31" s="1569"/>
      <c r="BZ31" s="1570"/>
      <c r="CA31" s="1617" t="str">
        <f>IF(ISERROR(DE31),"",IF(DE31="","",IF(VLOOKUP(BS31,SectInfo!$B:$N,10,FALSE)="","","X")))</f>
        <v/>
      </c>
      <c r="CB31" s="1561"/>
      <c r="CC31" s="1562" t="str">
        <f t="shared" si="17"/>
        <v/>
      </c>
      <c r="CD31" s="1563"/>
      <c r="CE31" s="1574"/>
      <c r="CF31" s="736"/>
      <c r="CG31" s="737"/>
      <c r="CH31" s="643" t="str">
        <f t="shared" si="18"/>
        <v/>
      </c>
      <c r="CI31" s="644" t="str">
        <f t="shared" si="19"/>
        <v/>
      </c>
      <c r="CJ31" s="645" t="str">
        <f t="shared" si="20"/>
        <v/>
      </c>
      <c r="CK31" s="852" t="str">
        <f t="shared" si="21"/>
        <v/>
      </c>
      <c r="CL31" s="847" t="str">
        <f t="shared" si="22"/>
        <v/>
      </c>
      <c r="CM31" s="848" t="str">
        <f t="shared" si="23"/>
        <v/>
      </c>
      <c r="CN31" s="611" t="str">
        <f t="shared" si="24"/>
        <v/>
      </c>
      <c r="CO31" s="612" t="str">
        <f t="shared" si="25"/>
        <v/>
      </c>
      <c r="CP31" s="615" t="str">
        <f t="shared" si="26"/>
        <v/>
      </c>
      <c r="CQ31" s="616" t="str">
        <f t="shared" si="27"/>
        <v/>
      </c>
      <c r="CR31" s="750">
        <f t="shared" si="28"/>
        <v>5</v>
      </c>
      <c r="CS31" s="751">
        <f t="shared" si="29"/>
        <v>5</v>
      </c>
      <c r="CU31" s="114" t="str">
        <f>IF(BG31="","",VLOOKUP(BG31,SectInfo!$B:$N,12,FALSE))</f>
        <v/>
      </c>
      <c r="CV31" s="115" t="str">
        <f>IF(BG31="","",IF(ISBLANK(BP31),VLOOKUP(BG31,SectInfo!$B:$N,13,FALSE),BP31))</f>
        <v/>
      </c>
      <c r="CW31" s="1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115" t="str">
        <f>IF(BG31="","",IF(VLOOKUP(BG31,SectInfo!$B:$N,7,FALSE)="","",(VLOOKUP(BG31,SectInfo!$B:$N,7,FALSE)*-1)))</f>
        <v/>
      </c>
      <c r="DB31" s="815" t="str">
        <f>IF(BG31="","",IF(VLOOKUP(BG31,SectInfo!$B:$N,8,FALSE)="",VLOOKUP(AU31,$DF$2:$DN$9,6,FALSE),(VLOOKUP(BG31,SectInfo!$B:$N,8,FALSE))))</f>
        <v/>
      </c>
      <c r="DC31" s="815" t="str">
        <f>IF(BG31="","",VLOOKUP(BG31,SectInfo!$B:$N,9,FALSE))</f>
        <v/>
      </c>
      <c r="DD31" s="816">
        <f t="shared" si="30"/>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31"/>
        <v>0</v>
      </c>
      <c r="DO31" s="818">
        <f t="shared" si="32"/>
        <v>0</v>
      </c>
      <c r="DP31" s="822" t="str">
        <f t="shared" si="33"/>
        <v/>
      </c>
      <c r="DQ31" s="822" t="str">
        <f t="shared" si="34"/>
        <v/>
      </c>
      <c r="DR31" s="822" t="str">
        <f t="shared" si="35"/>
        <v/>
      </c>
      <c r="DS31" s="821">
        <f t="shared" si="36"/>
        <v>0</v>
      </c>
      <c r="DT31" s="821">
        <f t="shared" si="37"/>
        <v>0</v>
      </c>
      <c r="DU31" s="821" t="str">
        <f t="shared" si="38"/>
        <v/>
      </c>
      <c r="DV31" s="822" t="str">
        <f t="shared" si="39"/>
        <v/>
      </c>
      <c r="DW31" s="856" t="str">
        <f t="shared" si="40"/>
        <v/>
      </c>
      <c r="DX31" s="1006">
        <f t="shared" si="100"/>
        <v>0</v>
      </c>
      <c r="DY31" s="822">
        <f t="shared" si="41"/>
        <v>0</v>
      </c>
      <c r="DZ31" s="821">
        <f t="shared" si="42"/>
        <v>0</v>
      </c>
      <c r="EA31" s="821" t="str">
        <f t="shared" si="43"/>
        <v/>
      </c>
      <c r="EB31" s="822" t="str">
        <f t="shared" si="101"/>
        <v/>
      </c>
      <c r="EC31" s="856" t="str">
        <f t="shared" si="44"/>
        <v/>
      </c>
      <c r="ED31" s="1006">
        <f t="shared" si="102"/>
        <v>0</v>
      </c>
      <c r="EE31" s="1293" t="str">
        <f t="shared" si="45"/>
        <v/>
      </c>
      <c r="EF31" s="822" t="str">
        <f t="shared" si="103"/>
        <v/>
      </c>
      <c r="EG31" s="822" t="str">
        <f t="shared" si="104"/>
        <v/>
      </c>
      <c r="EH31" s="856" t="str">
        <f t="shared" si="46"/>
        <v>ERR</v>
      </c>
      <c r="EI31" s="856" t="str">
        <f t="shared" si="47"/>
        <v>ERR</v>
      </c>
      <c r="EJ31" s="822" t="str">
        <f t="shared" si="48"/>
        <v/>
      </c>
      <c r="EK31" s="822" t="str">
        <f t="shared" si="48"/>
        <v/>
      </c>
      <c r="EL31" s="1293" t="str">
        <f t="shared" si="49"/>
        <v/>
      </c>
      <c r="EM31" s="822" t="str">
        <f t="shared" si="105"/>
        <v/>
      </c>
      <c r="EN31" s="822" t="str">
        <f t="shared" si="106"/>
        <v/>
      </c>
      <c r="EO31" s="856" t="str">
        <f t="shared" si="50"/>
        <v>ERR</v>
      </c>
      <c r="EP31" s="856" t="str">
        <f t="shared" si="51"/>
        <v>ERR</v>
      </c>
      <c r="EQ31" s="822" t="str">
        <f t="shared" si="52"/>
        <v/>
      </c>
      <c r="ER31" s="822" t="str">
        <f t="shared" si="52"/>
        <v/>
      </c>
      <c r="ES31" s="822" t="str">
        <f t="shared" si="53"/>
        <v/>
      </c>
      <c r="ET31" s="822" t="str">
        <f t="shared" si="54"/>
        <v/>
      </c>
      <c r="EU31" s="829">
        <f t="shared" si="55"/>
        <v>4</v>
      </c>
      <c r="EV31" s="824" t="str">
        <f t="shared" si="107"/>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56"/>
        <v/>
      </c>
      <c r="FA31" s="829" t="str">
        <f>IF(AND(DE31="G", ISBLANK(BW31), ISBLANK(BX31)),VLOOKUP(MIN(BT31:BU31),TblJoistSize!$M$3:$N$10,2),IF(OR(DE31="B", DE31="G"),MIN(BW31:BX31),""))</f>
        <v/>
      </c>
      <c r="FB31" s="829" t="str">
        <f>IF(AND(DE31="G", ISBLANK(BW31), ISBLANK(BX31)),VLOOKUP(MAX(BT31:BU31),TblJoistSize!$M$3:$N$10,2),IF(OR(DE31="B", DE31="G"),MAX(BW31:BX31),""))</f>
        <v/>
      </c>
      <c r="FC31" s="829" t="str">
        <f t="shared" si="57"/>
        <v/>
      </c>
      <c r="FD31" s="822">
        <f t="shared" si="58"/>
        <v>0</v>
      </c>
      <c r="FE31" s="822">
        <f t="shared" si="59"/>
        <v>0</v>
      </c>
      <c r="FF31" s="821">
        <f t="shared" si="60"/>
        <v>0</v>
      </c>
      <c r="FG31" s="821" t="str">
        <f t="shared" si="61"/>
        <v/>
      </c>
      <c r="FH31" s="822" t="str">
        <f t="shared" si="62"/>
        <v/>
      </c>
      <c r="FI31" s="822">
        <f t="shared" si="63"/>
        <v>0</v>
      </c>
      <c r="FJ31" s="822">
        <f t="shared" si="64"/>
        <v>0</v>
      </c>
      <c r="FK31" s="821">
        <f t="shared" si="65"/>
        <v>0</v>
      </c>
      <c r="FL31" s="821" t="str">
        <f t="shared" si="66"/>
        <v/>
      </c>
      <c r="FM31" s="822" t="str">
        <f t="shared" si="67"/>
        <v/>
      </c>
      <c r="FN31" s="822" t="e">
        <f t="shared" si="68"/>
        <v>#VALUE!</v>
      </c>
      <c r="FO31" s="940" t="e">
        <f t="shared" si="69"/>
        <v>#VALUE!</v>
      </c>
      <c r="FP31" s="940" t="e">
        <f t="shared" si="70"/>
        <v>#VALUE!</v>
      </c>
      <c r="FQ31" s="830" t="e">
        <f t="shared" si="71"/>
        <v>#VALUE!</v>
      </c>
      <c r="FR31" s="831" t="e">
        <f t="shared" si="72"/>
        <v>#VALUE!</v>
      </c>
      <c r="FS31" s="832" t="str">
        <f t="shared" si="73"/>
        <v/>
      </c>
      <c r="FT31" s="833" t="str">
        <f t="shared" si="74"/>
        <v/>
      </c>
      <c r="FU31" s="870">
        <f t="shared" si="75"/>
        <v>0</v>
      </c>
      <c r="FV31" s="871">
        <f t="shared" si="76"/>
        <v>0</v>
      </c>
      <c r="GA31" s="1791">
        <v>39</v>
      </c>
      <c r="GB31" s="1792">
        <v>3</v>
      </c>
      <c r="GC31" s="1793">
        <v>-0.25</v>
      </c>
      <c r="GD31" s="1794">
        <v>-0.5</v>
      </c>
      <c r="GE31" s="1795">
        <f t="shared" si="77"/>
        <v>0</v>
      </c>
      <c r="GF31" s="600" t="str">
        <f t="shared" si="78"/>
        <v>J9</v>
      </c>
      <c r="GG31" s="1130">
        <v>0</v>
      </c>
      <c r="GH31" s="1131">
        <v>0</v>
      </c>
      <c r="GI31" s="1130"/>
      <c r="GJ31" s="1131"/>
      <c r="GK31" s="1636">
        <f t="shared" si="79"/>
        <v>470.25</v>
      </c>
      <c r="GL31" s="1636">
        <f t="shared" si="80"/>
        <v>470.25</v>
      </c>
      <c r="GM31" s="1637">
        <f>IF(ABS(GK31-GL31)&gt;='Job Info.'!$L$22,ABS(GK31-GL31),0)</f>
        <v>0</v>
      </c>
      <c r="GZ31" s="415"/>
      <c r="HA31" s="1391" t="s">
        <v>1439</v>
      </c>
      <c r="HB31" s="1392">
        <v>35</v>
      </c>
      <c r="HC31" s="1392" t="s">
        <v>1592</v>
      </c>
      <c r="HD31" s="1393">
        <v>39</v>
      </c>
      <c r="HE31" s="1394">
        <v>2.25</v>
      </c>
      <c r="HF31" s="1392" t="s">
        <v>116</v>
      </c>
      <c r="HG31" s="1392" t="s">
        <v>116</v>
      </c>
      <c r="HH31" s="1392" t="s">
        <v>116</v>
      </c>
      <c r="HI31" s="1395" t="s">
        <v>116</v>
      </c>
      <c r="HJ31" s="1392" t="s">
        <v>116</v>
      </c>
      <c r="HK31" s="1392" t="s">
        <v>116</v>
      </c>
      <c r="HL31" s="1392">
        <v>5</v>
      </c>
      <c r="HM31" s="1392">
        <v>5</v>
      </c>
      <c r="HN31" s="1392" t="s">
        <v>116</v>
      </c>
      <c r="HO31" s="1392" t="s">
        <v>116</v>
      </c>
      <c r="HP31" s="1392" t="s">
        <v>116</v>
      </c>
      <c r="HQ31" s="1395" t="s">
        <v>116</v>
      </c>
      <c r="HR31" s="1392" t="s">
        <v>116</v>
      </c>
      <c r="HS31" s="1392" t="s">
        <v>116</v>
      </c>
      <c r="HT31" s="1392">
        <v>0</v>
      </c>
      <c r="HU31" s="1392">
        <v>2.25</v>
      </c>
      <c r="HV31" s="1392">
        <v>0</v>
      </c>
      <c r="HW31" s="1394">
        <v>2</v>
      </c>
      <c r="HX31" s="1394">
        <v>4</v>
      </c>
      <c r="HY31" s="1394" t="s">
        <v>116</v>
      </c>
      <c r="HZ31" s="1394" t="s">
        <v>116</v>
      </c>
      <c r="IA31" s="1394" t="s">
        <v>1650</v>
      </c>
      <c r="IB31" s="1394"/>
      <c r="IC31" s="1394"/>
      <c r="ID31" s="1394"/>
      <c r="IE31" s="1394"/>
      <c r="IF31" s="1396"/>
    </row>
    <row r="32" spans="1:240" ht="12.6" customHeight="1" x14ac:dyDescent="0.25">
      <c r="A32" s="1448" t="s">
        <v>1440</v>
      </c>
      <c r="B32" s="1681">
        <v>7</v>
      </c>
      <c r="C32" s="1449" t="s">
        <v>1592</v>
      </c>
      <c r="D32" s="1705">
        <v>39</v>
      </c>
      <c r="E32" s="1778">
        <v>2.25</v>
      </c>
      <c r="F32" s="1708" t="str">
        <f t="shared" si="86"/>
        <v/>
      </c>
      <c r="G32" s="1709" t="str">
        <f t="shared" si="87"/>
        <v/>
      </c>
      <c r="H32" s="1779" t="str">
        <f t="shared" si="88"/>
        <v/>
      </c>
      <c r="I32" s="1705" t="str">
        <f t="shared" si="89"/>
        <v/>
      </c>
      <c r="J32" s="1709" t="str">
        <f t="shared" si="90"/>
        <v/>
      </c>
      <c r="K32" s="1780" t="str">
        <f t="shared" si="91"/>
        <v/>
      </c>
      <c r="L32" s="1712">
        <v>5</v>
      </c>
      <c r="M32" s="1713">
        <v>5</v>
      </c>
      <c r="N32" s="1708" t="str">
        <f t="shared" si="92"/>
        <v/>
      </c>
      <c r="O32" s="1709" t="str">
        <f t="shared" si="93"/>
        <v/>
      </c>
      <c r="P32" s="1710" t="str">
        <f t="shared" si="94"/>
        <v/>
      </c>
      <c r="Q32" s="1705" t="str">
        <f t="shared" si="95"/>
        <v/>
      </c>
      <c r="R32" s="1709" t="str">
        <f t="shared" si="96"/>
        <v/>
      </c>
      <c r="S32" s="1753" t="str">
        <f t="shared" si="97"/>
        <v/>
      </c>
      <c r="T32" s="1708">
        <v>0</v>
      </c>
      <c r="U32" s="1709">
        <v>2.25</v>
      </c>
      <c r="V32" s="1705">
        <v>0</v>
      </c>
      <c r="W32" s="1709">
        <v>2</v>
      </c>
      <c r="X32" s="1750">
        <v>4</v>
      </c>
      <c r="Y32" s="1781" t="str">
        <f t="shared" si="98"/>
        <v/>
      </c>
      <c r="Z32" s="1782" t="str">
        <f t="shared" si="99"/>
        <v/>
      </c>
      <c r="AA32" s="1783" t="s">
        <v>1711</v>
      </c>
      <c r="AB32" s="1413"/>
      <c r="AC32" s="964" t="b">
        <v>0</v>
      </c>
      <c r="AD32" s="441">
        <f t="shared" si="1"/>
        <v>0</v>
      </c>
      <c r="AE32" s="442">
        <f t="shared" si="2"/>
        <v>7</v>
      </c>
      <c r="AF32" s="442">
        <f t="shared" si="3"/>
        <v>0</v>
      </c>
      <c r="AG32" s="442">
        <f t="shared" si="4"/>
        <v>0</v>
      </c>
      <c r="AH32" s="443">
        <f t="shared" si="5"/>
        <v>0</v>
      </c>
      <c r="AI32" s="444" t="b">
        <v>0</v>
      </c>
      <c r="AJ32" s="238">
        <f t="shared" si="108"/>
        <v>32</v>
      </c>
      <c r="AK32" s="238" t="str">
        <f t="shared" si="6"/>
        <v>LH</v>
      </c>
      <c r="AL32" s="1290" t="str">
        <f t="shared" si="7"/>
        <v/>
      </c>
      <c r="AM32" s="238">
        <f t="shared" si="8"/>
        <v>305</v>
      </c>
      <c r="AN32" s="238">
        <f t="shared" si="9"/>
        <v>180</v>
      </c>
      <c r="AO32" s="238" t="str">
        <f t="shared" si="10"/>
        <v/>
      </c>
      <c r="AP32" s="830" t="b">
        <f>IF(ISERROR(AJ32),FALSE,IF(OR(AJ32=0,ISERROR(AL32),ISERROR(AM32),ISERROR(AN32),ISERROR(AO32)),FALSE,IF(AL32&lt;&gt;"",IF(ISERROR(VLOOKUP(SUBSTITUTE(SUBSTITUTE(C32,"R",""),"A",""),TblJoistSize!$A:$A,1,FALSE)),FALSE,TRUE),TRUE)))</f>
        <v>1</v>
      </c>
      <c r="AQ32" s="1038">
        <f t="shared" si="11"/>
        <v>6</v>
      </c>
      <c r="AR32" s="945" t="b">
        <f t="shared" si="83"/>
        <v>1</v>
      </c>
      <c r="AS32" s="1038">
        <f t="shared" si="12"/>
        <v>6</v>
      </c>
      <c r="AT32" s="945" t="b">
        <f t="shared" si="84"/>
        <v>1</v>
      </c>
      <c r="AU32" s="1291" t="str">
        <f t="shared" si="13"/>
        <v>LH</v>
      </c>
      <c r="AV32" s="830" t="str">
        <f t="shared" si="14"/>
        <v/>
      </c>
      <c r="AW32" s="830" t="str">
        <f t="shared" si="81"/>
        <v>LH</v>
      </c>
      <c r="AX32" s="830" t="str">
        <f t="shared" si="85"/>
        <v>J10</v>
      </c>
      <c r="AY32" s="464" t="b">
        <f t="shared" si="15"/>
        <v>0</v>
      </c>
      <c r="AZ32" s="856" t="b">
        <f t="shared" si="82"/>
        <v>0</v>
      </c>
      <c r="BA32" s="549"/>
      <c r="BB32" s="672"/>
      <c r="BC32" s="1684"/>
      <c r="BD32" s="733"/>
      <c r="BE32" s="734"/>
      <c r="BF32" s="735"/>
      <c r="BG32" s="672"/>
      <c r="BH32" s="982"/>
      <c r="BI32" s="983"/>
      <c r="BJ32" s="1625"/>
      <c r="BK32" s="982"/>
      <c r="BL32" s="983"/>
      <c r="BM32" s="1569"/>
      <c r="BN32" s="1570"/>
      <c r="BO32" s="1617" t="str">
        <f>IF(ISERROR(CU32),"",IF(CU32="","",IF(VLOOKUP(BG32,SectInfo!$B:$N,10,FALSE)="","","X")))</f>
        <v/>
      </c>
      <c r="BP32" s="1561"/>
      <c r="BQ32" s="1562" t="str">
        <f t="shared" si="16"/>
        <v/>
      </c>
      <c r="BR32" s="1563"/>
      <c r="BS32" s="672"/>
      <c r="BT32" s="982"/>
      <c r="BU32" s="983"/>
      <c r="BV32" s="1625"/>
      <c r="BW32" s="982"/>
      <c r="BX32" s="983"/>
      <c r="BY32" s="1569"/>
      <c r="BZ32" s="1570"/>
      <c r="CA32" s="1617" t="str">
        <f>IF(ISERROR(DE32),"",IF(DE32="","",IF(VLOOKUP(BS32,SectInfo!$B:$N,10,FALSE)="","","X")))</f>
        <v/>
      </c>
      <c r="CB32" s="1561"/>
      <c r="CC32" s="1562" t="str">
        <f t="shared" si="17"/>
        <v/>
      </c>
      <c r="CD32" s="1563"/>
      <c r="CE32" s="1574"/>
      <c r="CF32" s="736"/>
      <c r="CG32" s="737"/>
      <c r="CH32" s="643" t="str">
        <f t="shared" si="18"/>
        <v/>
      </c>
      <c r="CI32" s="644" t="str">
        <f t="shared" si="19"/>
        <v/>
      </c>
      <c r="CJ32" s="645" t="str">
        <f t="shared" si="20"/>
        <v/>
      </c>
      <c r="CK32" s="852" t="str">
        <f t="shared" si="21"/>
        <v/>
      </c>
      <c r="CL32" s="847" t="str">
        <f t="shared" si="22"/>
        <v/>
      </c>
      <c r="CM32" s="848" t="str">
        <f t="shared" si="23"/>
        <v/>
      </c>
      <c r="CN32" s="611" t="str">
        <f t="shared" si="24"/>
        <v/>
      </c>
      <c r="CO32" s="612" t="str">
        <f t="shared" si="25"/>
        <v/>
      </c>
      <c r="CP32" s="615" t="str">
        <f t="shared" si="26"/>
        <v/>
      </c>
      <c r="CQ32" s="616" t="str">
        <f t="shared" si="27"/>
        <v/>
      </c>
      <c r="CR32" s="750">
        <f t="shared" si="28"/>
        <v>5</v>
      </c>
      <c r="CS32" s="751">
        <f t="shared" si="29"/>
        <v>5</v>
      </c>
      <c r="CU32" s="114" t="str">
        <f>IF(BG32="","",VLOOKUP(BG32,SectInfo!$B:$N,12,FALSE))</f>
        <v/>
      </c>
      <c r="CV32" s="115" t="str">
        <f>IF(BG32="","",IF(ISBLANK(BP32),VLOOKUP(BG32,SectInfo!$B:$N,13,FALSE),BP32))</f>
        <v/>
      </c>
      <c r="CW32" s="1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115" t="str">
        <f>IF(BG32="","",IF(VLOOKUP(BG32,SectInfo!$B:$N,7,FALSE)="","",(VLOOKUP(BG32,SectInfo!$B:$N,7,FALSE)*-1)))</f>
        <v/>
      </c>
      <c r="DB32" s="815" t="str">
        <f>IF(BG32="","",IF(VLOOKUP(BG32,SectInfo!$B:$N,8,FALSE)="",VLOOKUP(AU32,$DF$2:$DN$9,6,FALSE),(VLOOKUP(BG32,SectInfo!$B:$N,8,FALSE))))</f>
        <v/>
      </c>
      <c r="DC32" s="815" t="str">
        <f>IF(BG32="","",VLOOKUP(BG32,SectInfo!$B:$N,9,FALSE))</f>
        <v/>
      </c>
      <c r="DD32" s="816">
        <f t="shared" si="30"/>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31"/>
        <v>0</v>
      </c>
      <c r="DO32" s="818">
        <f t="shared" si="32"/>
        <v>0</v>
      </c>
      <c r="DP32" s="822" t="str">
        <f t="shared" si="33"/>
        <v/>
      </c>
      <c r="DQ32" s="822" t="str">
        <f t="shared" si="34"/>
        <v/>
      </c>
      <c r="DR32" s="822" t="str">
        <f t="shared" si="35"/>
        <v/>
      </c>
      <c r="DS32" s="821">
        <f t="shared" si="36"/>
        <v>0</v>
      </c>
      <c r="DT32" s="821">
        <f t="shared" si="37"/>
        <v>0</v>
      </c>
      <c r="DU32" s="821" t="str">
        <f t="shared" si="38"/>
        <v/>
      </c>
      <c r="DV32" s="822" t="str">
        <f t="shared" si="39"/>
        <v/>
      </c>
      <c r="DW32" s="856" t="str">
        <f t="shared" si="40"/>
        <v/>
      </c>
      <c r="DX32" s="1006">
        <f t="shared" si="100"/>
        <v>0</v>
      </c>
      <c r="DY32" s="822">
        <f t="shared" si="41"/>
        <v>0</v>
      </c>
      <c r="DZ32" s="821">
        <f t="shared" si="42"/>
        <v>0</v>
      </c>
      <c r="EA32" s="821" t="str">
        <f t="shared" si="43"/>
        <v/>
      </c>
      <c r="EB32" s="822" t="str">
        <f t="shared" si="101"/>
        <v/>
      </c>
      <c r="EC32" s="856" t="str">
        <f t="shared" si="44"/>
        <v/>
      </c>
      <c r="ED32" s="1006">
        <f t="shared" si="102"/>
        <v>0</v>
      </c>
      <c r="EE32" s="1293" t="str">
        <f t="shared" si="45"/>
        <v/>
      </c>
      <c r="EF32" s="822" t="str">
        <f t="shared" si="103"/>
        <v/>
      </c>
      <c r="EG32" s="822" t="str">
        <f t="shared" si="104"/>
        <v/>
      </c>
      <c r="EH32" s="856" t="str">
        <f t="shared" si="46"/>
        <v>ERR</v>
      </c>
      <c r="EI32" s="856" t="str">
        <f t="shared" si="47"/>
        <v>ERR</v>
      </c>
      <c r="EJ32" s="822" t="str">
        <f t="shared" si="48"/>
        <v/>
      </c>
      <c r="EK32" s="822" t="str">
        <f t="shared" si="48"/>
        <v/>
      </c>
      <c r="EL32" s="1293" t="str">
        <f t="shared" si="49"/>
        <v/>
      </c>
      <c r="EM32" s="822" t="str">
        <f t="shared" si="105"/>
        <v/>
      </c>
      <c r="EN32" s="822" t="str">
        <f t="shared" si="106"/>
        <v/>
      </c>
      <c r="EO32" s="856" t="str">
        <f t="shared" si="50"/>
        <v>ERR</v>
      </c>
      <c r="EP32" s="856" t="str">
        <f t="shared" si="51"/>
        <v>ERR</v>
      </c>
      <c r="EQ32" s="822" t="str">
        <f t="shared" si="52"/>
        <v/>
      </c>
      <c r="ER32" s="822" t="str">
        <f t="shared" si="52"/>
        <v/>
      </c>
      <c r="ES32" s="822" t="str">
        <f t="shared" si="53"/>
        <v/>
      </c>
      <c r="ET32" s="822" t="str">
        <f t="shared" si="54"/>
        <v/>
      </c>
      <c r="EU32" s="829">
        <f t="shared" si="55"/>
        <v>4</v>
      </c>
      <c r="EV32" s="824" t="str">
        <f t="shared" si="107"/>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56"/>
        <v/>
      </c>
      <c r="FA32" s="829" t="str">
        <f>IF(AND(DE32="G", ISBLANK(BW32), ISBLANK(BX32)),VLOOKUP(MIN(BT32:BU32),TblJoistSize!$M$3:$N$10,2),IF(OR(DE32="B", DE32="G"),MIN(BW32:BX32),""))</f>
        <v/>
      </c>
      <c r="FB32" s="829" t="str">
        <f>IF(AND(DE32="G", ISBLANK(BW32), ISBLANK(BX32)),VLOOKUP(MAX(BT32:BU32),TblJoistSize!$M$3:$N$10,2),IF(OR(DE32="B", DE32="G"),MAX(BW32:BX32),""))</f>
        <v/>
      </c>
      <c r="FC32" s="829" t="str">
        <f t="shared" si="57"/>
        <v/>
      </c>
      <c r="FD32" s="822">
        <f t="shared" si="58"/>
        <v>0</v>
      </c>
      <c r="FE32" s="822">
        <f t="shared" si="59"/>
        <v>0</v>
      </c>
      <c r="FF32" s="821">
        <f t="shared" si="60"/>
        <v>0</v>
      </c>
      <c r="FG32" s="821" t="str">
        <f t="shared" si="61"/>
        <v/>
      </c>
      <c r="FH32" s="822" t="str">
        <f t="shared" si="62"/>
        <v/>
      </c>
      <c r="FI32" s="822">
        <f t="shared" si="63"/>
        <v>0</v>
      </c>
      <c r="FJ32" s="822">
        <f t="shared" si="64"/>
        <v>0</v>
      </c>
      <c r="FK32" s="821">
        <f t="shared" si="65"/>
        <v>0</v>
      </c>
      <c r="FL32" s="821" t="str">
        <f t="shared" si="66"/>
        <v/>
      </c>
      <c r="FM32" s="822" t="str">
        <f t="shared" si="67"/>
        <v/>
      </c>
      <c r="FN32" s="822" t="e">
        <f t="shared" si="68"/>
        <v>#VALUE!</v>
      </c>
      <c r="FO32" s="940" t="e">
        <f t="shared" si="69"/>
        <v>#VALUE!</v>
      </c>
      <c r="FP32" s="940" t="e">
        <f t="shared" si="70"/>
        <v>#VALUE!</v>
      </c>
      <c r="FQ32" s="830" t="e">
        <f t="shared" si="71"/>
        <v>#VALUE!</v>
      </c>
      <c r="FR32" s="831" t="e">
        <f t="shared" si="72"/>
        <v>#VALUE!</v>
      </c>
      <c r="FS32" s="832" t="str">
        <f t="shared" si="73"/>
        <v/>
      </c>
      <c r="FT32" s="833" t="str">
        <f t="shared" si="74"/>
        <v/>
      </c>
      <c r="FU32" s="870">
        <f t="shared" si="75"/>
        <v>0</v>
      </c>
      <c r="FV32" s="871">
        <f t="shared" si="76"/>
        <v>0</v>
      </c>
      <c r="GA32" s="1791">
        <v>39</v>
      </c>
      <c r="GB32" s="1792">
        <v>3</v>
      </c>
      <c r="GC32" s="1793">
        <v>-0.25</v>
      </c>
      <c r="GD32" s="1794">
        <v>-0.5</v>
      </c>
      <c r="GE32" s="1795">
        <f t="shared" si="77"/>
        <v>0</v>
      </c>
      <c r="GF32" s="600" t="str">
        <f t="shared" si="78"/>
        <v>J10</v>
      </c>
      <c r="GG32" s="1130">
        <v>0</v>
      </c>
      <c r="GH32" s="1131">
        <v>0</v>
      </c>
      <c r="GI32" s="1130"/>
      <c r="GJ32" s="1131"/>
      <c r="GK32" s="1636">
        <f t="shared" si="79"/>
        <v>470.25</v>
      </c>
      <c r="GL32" s="1636">
        <f t="shared" si="80"/>
        <v>470.25</v>
      </c>
      <c r="GM32" s="1637">
        <f>IF(ABS(GK32-GL32)&gt;='Job Info.'!$L$22,ABS(GK32-GL32),0)</f>
        <v>0</v>
      </c>
      <c r="GZ32" s="415"/>
      <c r="HA32" s="1391" t="s">
        <v>1440</v>
      </c>
      <c r="HB32" s="1392">
        <v>7</v>
      </c>
      <c r="HC32" s="1392" t="s">
        <v>1592</v>
      </c>
      <c r="HD32" s="1393">
        <v>39</v>
      </c>
      <c r="HE32" s="1394">
        <v>2.25</v>
      </c>
      <c r="HF32" s="1392" t="s">
        <v>116</v>
      </c>
      <c r="HG32" s="1392" t="s">
        <v>116</v>
      </c>
      <c r="HH32" s="1392" t="s">
        <v>116</v>
      </c>
      <c r="HI32" s="1395" t="s">
        <v>116</v>
      </c>
      <c r="HJ32" s="1392" t="s">
        <v>116</v>
      </c>
      <c r="HK32" s="1392" t="s">
        <v>116</v>
      </c>
      <c r="HL32" s="1392">
        <v>5</v>
      </c>
      <c r="HM32" s="1392">
        <v>5</v>
      </c>
      <c r="HN32" s="1392" t="s">
        <v>116</v>
      </c>
      <c r="HO32" s="1392" t="s">
        <v>116</v>
      </c>
      <c r="HP32" s="1392" t="s">
        <v>116</v>
      </c>
      <c r="HQ32" s="1395" t="s">
        <v>116</v>
      </c>
      <c r="HR32" s="1392" t="s">
        <v>116</v>
      </c>
      <c r="HS32" s="1392" t="s">
        <v>116</v>
      </c>
      <c r="HT32" s="1392">
        <v>0</v>
      </c>
      <c r="HU32" s="1392">
        <v>2.25</v>
      </c>
      <c r="HV32" s="1392">
        <v>0</v>
      </c>
      <c r="HW32" s="1394">
        <v>2</v>
      </c>
      <c r="HX32" s="1394">
        <v>4</v>
      </c>
      <c r="HY32" s="1394" t="s">
        <v>116</v>
      </c>
      <c r="HZ32" s="1394" t="s">
        <v>116</v>
      </c>
      <c r="IA32" s="1394" t="s">
        <v>1651</v>
      </c>
      <c r="IB32" s="1394"/>
      <c r="IC32" s="1394"/>
      <c r="ID32" s="1394"/>
      <c r="IE32" s="1394"/>
      <c r="IF32" s="1396"/>
    </row>
    <row r="33" spans="1:240" ht="12.6" customHeight="1" x14ac:dyDescent="0.25">
      <c r="A33" s="1448" t="s">
        <v>1441</v>
      </c>
      <c r="B33" s="1681">
        <v>4</v>
      </c>
      <c r="C33" s="1449" t="s">
        <v>1592</v>
      </c>
      <c r="D33" s="1705">
        <v>39</v>
      </c>
      <c r="E33" s="1778">
        <v>2.25</v>
      </c>
      <c r="F33" s="1708" t="str">
        <f t="shared" si="86"/>
        <v/>
      </c>
      <c r="G33" s="1709" t="str">
        <f t="shared" si="87"/>
        <v/>
      </c>
      <c r="H33" s="1779" t="str">
        <f t="shared" si="88"/>
        <v/>
      </c>
      <c r="I33" s="1705" t="str">
        <f t="shared" si="89"/>
        <v/>
      </c>
      <c r="J33" s="1709" t="str">
        <f t="shared" si="90"/>
        <v/>
      </c>
      <c r="K33" s="1780" t="str">
        <f t="shared" si="91"/>
        <v/>
      </c>
      <c r="L33" s="1712">
        <v>5</v>
      </c>
      <c r="M33" s="1713">
        <v>5</v>
      </c>
      <c r="N33" s="1708">
        <v>0</v>
      </c>
      <c r="O33" s="1709">
        <v>6.75</v>
      </c>
      <c r="P33" s="1710">
        <v>2</v>
      </c>
      <c r="Q33" s="1705" t="str">
        <f t="shared" si="95"/>
        <v/>
      </c>
      <c r="R33" s="1709" t="str">
        <f t="shared" si="96"/>
        <v/>
      </c>
      <c r="S33" s="1753" t="str">
        <f t="shared" si="97"/>
        <v/>
      </c>
      <c r="T33" s="1708">
        <v>0</v>
      </c>
      <c r="U33" s="1709">
        <v>2.25</v>
      </c>
      <c r="V33" s="1705">
        <v>0</v>
      </c>
      <c r="W33" s="1709">
        <v>2</v>
      </c>
      <c r="X33" s="1750">
        <v>4</v>
      </c>
      <c r="Y33" s="1781" t="str">
        <f t="shared" si="98"/>
        <v/>
      </c>
      <c r="Z33" s="1782" t="str">
        <f t="shared" si="99"/>
        <v/>
      </c>
      <c r="AA33" s="1783" t="s">
        <v>1712</v>
      </c>
      <c r="AB33" s="1413"/>
      <c r="AC33" s="964" t="b">
        <v>0</v>
      </c>
      <c r="AD33" s="441">
        <f t="shared" si="1"/>
        <v>0</v>
      </c>
      <c r="AE33" s="442">
        <f t="shared" si="2"/>
        <v>4</v>
      </c>
      <c r="AF33" s="442">
        <f t="shared" si="3"/>
        <v>0</v>
      </c>
      <c r="AG33" s="442">
        <f t="shared" si="4"/>
        <v>0</v>
      </c>
      <c r="AH33" s="443">
        <f t="shared" si="5"/>
        <v>0</v>
      </c>
      <c r="AI33" s="444" t="b">
        <v>0</v>
      </c>
      <c r="AJ33" s="238">
        <f t="shared" si="108"/>
        <v>32</v>
      </c>
      <c r="AK33" s="238" t="str">
        <f t="shared" si="6"/>
        <v>LH</v>
      </c>
      <c r="AL33" s="1290" t="str">
        <f t="shared" si="7"/>
        <v/>
      </c>
      <c r="AM33" s="238">
        <f t="shared" si="8"/>
        <v>305</v>
      </c>
      <c r="AN33" s="238">
        <f t="shared" si="9"/>
        <v>180</v>
      </c>
      <c r="AO33" s="238" t="str">
        <f t="shared" si="10"/>
        <v/>
      </c>
      <c r="AP33" s="830" t="b">
        <f>IF(ISERROR(AJ33),FALSE,IF(OR(AJ33=0,ISERROR(AL33),ISERROR(AM33),ISERROR(AN33),ISERROR(AO33)),FALSE,IF(AL33&lt;&gt;"",IF(ISERROR(VLOOKUP(SUBSTITUTE(SUBSTITUTE(C33,"R",""),"A",""),TblJoistSize!$A:$A,1,FALSE)),FALSE,TRUE),TRUE)))</f>
        <v>1</v>
      </c>
      <c r="AQ33" s="1038">
        <f t="shared" si="11"/>
        <v>6</v>
      </c>
      <c r="AR33" s="945" t="b">
        <f t="shared" si="83"/>
        <v>1</v>
      </c>
      <c r="AS33" s="1038">
        <f t="shared" si="12"/>
        <v>6</v>
      </c>
      <c r="AT33" s="945" t="b">
        <f t="shared" si="84"/>
        <v>1</v>
      </c>
      <c r="AU33" s="1291" t="str">
        <f t="shared" si="13"/>
        <v>LH</v>
      </c>
      <c r="AV33" s="830" t="str">
        <f t="shared" si="14"/>
        <v/>
      </c>
      <c r="AW33" s="830" t="str">
        <f t="shared" si="81"/>
        <v>LH</v>
      </c>
      <c r="AX33" s="830" t="str">
        <f t="shared" si="85"/>
        <v>TJ11</v>
      </c>
      <c r="AY33" s="464" t="b">
        <f t="shared" si="15"/>
        <v>0</v>
      </c>
      <c r="AZ33" s="856" t="b">
        <f t="shared" si="82"/>
        <v>0</v>
      </c>
      <c r="BA33" s="549"/>
      <c r="BB33" s="672"/>
      <c r="BC33" s="1684"/>
      <c r="BD33" s="733"/>
      <c r="BE33" s="734"/>
      <c r="BF33" s="735"/>
      <c r="BG33" s="672"/>
      <c r="BH33" s="982"/>
      <c r="BI33" s="983"/>
      <c r="BJ33" s="1625"/>
      <c r="BK33" s="982"/>
      <c r="BL33" s="983"/>
      <c r="BM33" s="1569"/>
      <c r="BN33" s="1570"/>
      <c r="BO33" s="1617" t="str">
        <f>IF(ISERROR(CU33),"",IF(CU33="","",IF(VLOOKUP(BG33,SectInfo!$B:$N,10,FALSE)="","","X")))</f>
        <v/>
      </c>
      <c r="BP33" s="1561"/>
      <c r="BQ33" s="1562" t="str">
        <f t="shared" si="16"/>
        <v/>
      </c>
      <c r="BR33" s="1563"/>
      <c r="BS33" s="672"/>
      <c r="BT33" s="982"/>
      <c r="BU33" s="983"/>
      <c r="BV33" s="1625"/>
      <c r="BW33" s="982"/>
      <c r="BX33" s="983"/>
      <c r="BY33" s="1569"/>
      <c r="BZ33" s="1570"/>
      <c r="CA33" s="1617" t="str">
        <f>IF(ISERROR(DE33),"",IF(DE33="","",IF(VLOOKUP(BS33,SectInfo!$B:$N,10,FALSE)="","","X")))</f>
        <v/>
      </c>
      <c r="CB33" s="1561"/>
      <c r="CC33" s="1562" t="str">
        <f t="shared" si="17"/>
        <v/>
      </c>
      <c r="CD33" s="1563"/>
      <c r="CE33" s="1574"/>
      <c r="CF33" s="736"/>
      <c r="CG33" s="737"/>
      <c r="CH33" s="643" t="str">
        <f t="shared" si="18"/>
        <v/>
      </c>
      <c r="CI33" s="644" t="str">
        <f t="shared" si="19"/>
        <v/>
      </c>
      <c r="CJ33" s="645" t="str">
        <f t="shared" si="20"/>
        <v/>
      </c>
      <c r="CK33" s="852" t="str">
        <f t="shared" si="21"/>
        <v/>
      </c>
      <c r="CL33" s="847" t="str">
        <f t="shared" si="22"/>
        <v/>
      </c>
      <c r="CM33" s="848" t="str">
        <f t="shared" si="23"/>
        <v/>
      </c>
      <c r="CN33" s="611" t="str">
        <f t="shared" si="24"/>
        <v/>
      </c>
      <c r="CO33" s="612" t="str">
        <f t="shared" si="25"/>
        <v/>
      </c>
      <c r="CP33" s="615" t="str">
        <f t="shared" si="26"/>
        <v/>
      </c>
      <c r="CQ33" s="616" t="str">
        <f t="shared" si="27"/>
        <v/>
      </c>
      <c r="CR33" s="750">
        <f t="shared" si="28"/>
        <v>5</v>
      </c>
      <c r="CS33" s="751">
        <f t="shared" si="29"/>
        <v>5</v>
      </c>
      <c r="CU33" s="114" t="str">
        <f>IF(BG33="","",VLOOKUP(BG33,SectInfo!$B:$N,12,FALSE))</f>
        <v/>
      </c>
      <c r="CV33" s="115" t="str">
        <f>IF(BG33="","",IF(ISBLANK(BP33),VLOOKUP(BG33,SectInfo!$B:$N,13,FALSE),BP33))</f>
        <v/>
      </c>
      <c r="CW33" s="1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115" t="str">
        <f>IF(BG33="","",IF(VLOOKUP(BG33,SectInfo!$B:$N,7,FALSE)="","",(VLOOKUP(BG33,SectInfo!$B:$N,7,FALSE)*-1)))</f>
        <v/>
      </c>
      <c r="DB33" s="815" t="str">
        <f>IF(BG33="","",IF(VLOOKUP(BG33,SectInfo!$B:$N,8,FALSE)="",VLOOKUP(AU33,$DF$2:$DN$9,6,FALSE),(VLOOKUP(BG33,SectInfo!$B:$N,8,FALSE))))</f>
        <v/>
      </c>
      <c r="DC33" s="815" t="str">
        <f>IF(BG33="","",VLOOKUP(BG33,SectInfo!$B:$N,9,FALSE))</f>
        <v/>
      </c>
      <c r="DD33" s="816">
        <f t="shared" si="30"/>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31"/>
        <v>0</v>
      </c>
      <c r="DO33" s="818">
        <f t="shared" si="32"/>
        <v>0</v>
      </c>
      <c r="DP33" s="822" t="str">
        <f t="shared" si="33"/>
        <v/>
      </c>
      <c r="DQ33" s="822" t="str">
        <f t="shared" si="34"/>
        <v/>
      </c>
      <c r="DR33" s="822" t="str">
        <f t="shared" si="35"/>
        <v/>
      </c>
      <c r="DS33" s="821">
        <f t="shared" si="36"/>
        <v>0</v>
      </c>
      <c r="DT33" s="821">
        <f t="shared" si="37"/>
        <v>0</v>
      </c>
      <c r="DU33" s="821" t="str">
        <f t="shared" si="38"/>
        <v/>
      </c>
      <c r="DV33" s="822" t="str">
        <f t="shared" si="39"/>
        <v/>
      </c>
      <c r="DW33" s="856" t="str">
        <f t="shared" si="40"/>
        <v/>
      </c>
      <c r="DX33" s="1006">
        <f t="shared" si="100"/>
        <v>0</v>
      </c>
      <c r="DY33" s="822">
        <f t="shared" si="41"/>
        <v>0</v>
      </c>
      <c r="DZ33" s="821">
        <f t="shared" si="42"/>
        <v>0</v>
      </c>
      <c r="EA33" s="821" t="str">
        <f t="shared" si="43"/>
        <v/>
      </c>
      <c r="EB33" s="822" t="str">
        <f t="shared" si="101"/>
        <v/>
      </c>
      <c r="EC33" s="856" t="str">
        <f t="shared" si="44"/>
        <v/>
      </c>
      <c r="ED33" s="1006">
        <f t="shared" si="102"/>
        <v>0</v>
      </c>
      <c r="EE33" s="1293" t="str">
        <f t="shared" si="45"/>
        <v/>
      </c>
      <c r="EF33" s="822" t="str">
        <f t="shared" si="103"/>
        <v/>
      </c>
      <c r="EG33" s="822" t="str">
        <f t="shared" si="104"/>
        <v/>
      </c>
      <c r="EH33" s="856" t="str">
        <f t="shared" si="46"/>
        <v>ERR</v>
      </c>
      <c r="EI33" s="856" t="str">
        <f t="shared" si="47"/>
        <v>ERR</v>
      </c>
      <c r="EJ33" s="822" t="str">
        <f t="shared" si="48"/>
        <v/>
      </c>
      <c r="EK33" s="822" t="str">
        <f t="shared" si="48"/>
        <v/>
      </c>
      <c r="EL33" s="1293" t="str">
        <f t="shared" si="49"/>
        <v/>
      </c>
      <c r="EM33" s="822" t="str">
        <f t="shared" si="105"/>
        <v/>
      </c>
      <c r="EN33" s="822" t="str">
        <f t="shared" si="106"/>
        <v/>
      </c>
      <c r="EO33" s="856" t="str">
        <f t="shared" si="50"/>
        <v>ERR</v>
      </c>
      <c r="EP33" s="856" t="str">
        <f t="shared" si="51"/>
        <v>ERR</v>
      </c>
      <c r="EQ33" s="822" t="str">
        <f t="shared" si="52"/>
        <v/>
      </c>
      <c r="ER33" s="822" t="str">
        <f t="shared" si="52"/>
        <v/>
      </c>
      <c r="ES33" s="822" t="str">
        <f t="shared" si="53"/>
        <v/>
      </c>
      <c r="ET33" s="822" t="str">
        <f t="shared" si="54"/>
        <v/>
      </c>
      <c r="EU33" s="829">
        <f t="shared" si="55"/>
        <v>4</v>
      </c>
      <c r="EV33" s="824" t="str">
        <f t="shared" si="107"/>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56"/>
        <v/>
      </c>
      <c r="FA33" s="829" t="str">
        <f>IF(AND(DE33="G", ISBLANK(BW33), ISBLANK(BX33)),VLOOKUP(MIN(BT33:BU33),TblJoistSize!$M$3:$N$10,2),IF(OR(DE33="B", DE33="G"),MIN(BW33:BX33),""))</f>
        <v/>
      </c>
      <c r="FB33" s="829" t="str">
        <f>IF(AND(DE33="G", ISBLANK(BW33), ISBLANK(BX33)),VLOOKUP(MAX(BT33:BU33),TblJoistSize!$M$3:$N$10,2),IF(OR(DE33="B", DE33="G"),MAX(BW33:BX33),""))</f>
        <v/>
      </c>
      <c r="FC33" s="829" t="str">
        <f t="shared" si="57"/>
        <v/>
      </c>
      <c r="FD33" s="822">
        <f t="shared" si="58"/>
        <v>0</v>
      </c>
      <c r="FE33" s="822">
        <f t="shared" si="59"/>
        <v>0</v>
      </c>
      <c r="FF33" s="821">
        <f t="shared" si="60"/>
        <v>0</v>
      </c>
      <c r="FG33" s="821" t="str">
        <f t="shared" si="61"/>
        <v/>
      </c>
      <c r="FH33" s="822" t="str">
        <f t="shared" si="62"/>
        <v/>
      </c>
      <c r="FI33" s="822">
        <f t="shared" si="63"/>
        <v>0</v>
      </c>
      <c r="FJ33" s="822">
        <f t="shared" si="64"/>
        <v>0</v>
      </c>
      <c r="FK33" s="821">
        <f t="shared" si="65"/>
        <v>0</v>
      </c>
      <c r="FL33" s="821" t="str">
        <f t="shared" si="66"/>
        <v/>
      </c>
      <c r="FM33" s="822" t="str">
        <f t="shared" si="67"/>
        <v/>
      </c>
      <c r="FN33" s="822" t="e">
        <f t="shared" si="68"/>
        <v>#VALUE!</v>
      </c>
      <c r="FO33" s="940" t="e">
        <f t="shared" si="69"/>
        <v>#VALUE!</v>
      </c>
      <c r="FP33" s="940" t="e">
        <f t="shared" si="70"/>
        <v>#VALUE!</v>
      </c>
      <c r="FQ33" s="830" t="e">
        <f t="shared" si="71"/>
        <v>#VALUE!</v>
      </c>
      <c r="FR33" s="831" t="e">
        <f t="shared" si="72"/>
        <v>#VALUE!</v>
      </c>
      <c r="FS33" s="832" t="str">
        <f t="shared" si="73"/>
        <v/>
      </c>
      <c r="FT33" s="833" t="str">
        <f t="shared" si="74"/>
        <v/>
      </c>
      <c r="FU33" s="870">
        <f t="shared" si="75"/>
        <v>0</v>
      </c>
      <c r="FV33" s="871">
        <f t="shared" si="76"/>
        <v>0</v>
      </c>
      <c r="GA33" s="1791">
        <v>39</v>
      </c>
      <c r="GB33" s="1792">
        <v>3</v>
      </c>
      <c r="GC33" s="1793">
        <v>-0.25</v>
      </c>
      <c r="GD33" s="1794">
        <v>-0.5</v>
      </c>
      <c r="GE33" s="1795">
        <f t="shared" si="77"/>
        <v>0</v>
      </c>
      <c r="GF33" s="600" t="str">
        <f t="shared" si="78"/>
        <v>TJ11</v>
      </c>
      <c r="GG33" s="1130">
        <v>0</v>
      </c>
      <c r="GH33" s="1131">
        <v>0</v>
      </c>
      <c r="GI33" s="1130"/>
      <c r="GJ33" s="1131"/>
      <c r="GK33" s="1636">
        <f t="shared" si="79"/>
        <v>470.25</v>
      </c>
      <c r="GL33" s="1636">
        <f t="shared" si="80"/>
        <v>470.25</v>
      </c>
      <c r="GM33" s="1637">
        <f>IF(ABS(GK33-GL33)&gt;='Job Info.'!$L$22,ABS(GK33-GL33),0)</f>
        <v>0</v>
      </c>
      <c r="GZ33" s="415"/>
      <c r="HA33" s="1391" t="s">
        <v>1441</v>
      </c>
      <c r="HB33" s="1392">
        <v>4</v>
      </c>
      <c r="HC33" s="1392" t="s">
        <v>1592</v>
      </c>
      <c r="HD33" s="1393">
        <v>39</v>
      </c>
      <c r="HE33" s="1394">
        <v>2.25</v>
      </c>
      <c r="HF33" s="1392" t="s">
        <v>116</v>
      </c>
      <c r="HG33" s="1392" t="s">
        <v>116</v>
      </c>
      <c r="HH33" s="1392" t="s">
        <v>116</v>
      </c>
      <c r="HI33" s="1395" t="s">
        <v>116</v>
      </c>
      <c r="HJ33" s="1392" t="s">
        <v>116</v>
      </c>
      <c r="HK33" s="1392" t="s">
        <v>116</v>
      </c>
      <c r="HL33" s="1392">
        <v>5</v>
      </c>
      <c r="HM33" s="1392">
        <v>5</v>
      </c>
      <c r="HN33" s="1392">
        <v>0</v>
      </c>
      <c r="HO33" s="1392">
        <v>6.75</v>
      </c>
      <c r="HP33" s="1392">
        <v>2</v>
      </c>
      <c r="HQ33" s="1395" t="s">
        <v>116</v>
      </c>
      <c r="HR33" s="1392" t="s">
        <v>116</v>
      </c>
      <c r="HS33" s="1392" t="s">
        <v>116</v>
      </c>
      <c r="HT33" s="1392">
        <v>0</v>
      </c>
      <c r="HU33" s="1392">
        <v>2.25</v>
      </c>
      <c r="HV33" s="1392">
        <v>0</v>
      </c>
      <c r="HW33" s="1394">
        <v>2</v>
      </c>
      <c r="HX33" s="1394">
        <v>4</v>
      </c>
      <c r="HY33" s="1394" t="s">
        <v>116</v>
      </c>
      <c r="HZ33" s="1394" t="s">
        <v>116</v>
      </c>
      <c r="IA33" s="1394" t="s">
        <v>1650</v>
      </c>
      <c r="IB33" s="1394"/>
      <c r="IC33" s="1394"/>
      <c r="ID33" s="1394"/>
      <c r="IE33" s="1394"/>
      <c r="IF33" s="1396"/>
    </row>
    <row r="34" spans="1:240" ht="12.6" customHeight="1" x14ac:dyDescent="0.25">
      <c r="A34" s="1448" t="s">
        <v>1442</v>
      </c>
      <c r="B34" s="1681">
        <v>1</v>
      </c>
      <c r="C34" s="1449" t="s">
        <v>1592</v>
      </c>
      <c r="D34" s="1705">
        <v>39</v>
      </c>
      <c r="E34" s="1778">
        <v>2.25</v>
      </c>
      <c r="F34" s="1708" t="str">
        <f t="shared" si="86"/>
        <v/>
      </c>
      <c r="G34" s="1709" t="str">
        <f t="shared" si="87"/>
        <v/>
      </c>
      <c r="H34" s="1779" t="str">
        <f t="shared" si="88"/>
        <v/>
      </c>
      <c r="I34" s="1705" t="str">
        <f t="shared" si="89"/>
        <v/>
      </c>
      <c r="J34" s="1709" t="str">
        <f t="shared" si="90"/>
        <v/>
      </c>
      <c r="K34" s="1780" t="str">
        <f t="shared" si="91"/>
        <v/>
      </c>
      <c r="L34" s="1712">
        <v>5</v>
      </c>
      <c r="M34" s="1713">
        <v>5</v>
      </c>
      <c r="N34" s="1708" t="str">
        <f t="shared" si="92"/>
        <v/>
      </c>
      <c r="O34" s="1709" t="str">
        <f t="shared" si="93"/>
        <v/>
      </c>
      <c r="P34" s="1710" t="str">
        <f t="shared" si="94"/>
        <v/>
      </c>
      <c r="Q34" s="1705" t="str">
        <f t="shared" si="95"/>
        <v/>
      </c>
      <c r="R34" s="1709" t="str">
        <f t="shared" si="96"/>
        <v/>
      </c>
      <c r="S34" s="1753" t="str">
        <f t="shared" si="97"/>
        <v/>
      </c>
      <c r="T34" s="1708">
        <v>0</v>
      </c>
      <c r="U34" s="1709">
        <v>2.25</v>
      </c>
      <c r="V34" s="1705">
        <v>0</v>
      </c>
      <c r="W34" s="1709">
        <v>2</v>
      </c>
      <c r="X34" s="1750">
        <v>4</v>
      </c>
      <c r="Y34" s="1781" t="str">
        <f t="shared" si="98"/>
        <v/>
      </c>
      <c r="Z34" s="1782" t="str">
        <f t="shared" si="99"/>
        <v/>
      </c>
      <c r="AA34" s="1783" t="s">
        <v>1713</v>
      </c>
      <c r="AB34" s="1413"/>
      <c r="AC34" s="964" t="b">
        <v>0</v>
      </c>
      <c r="AD34" s="441">
        <f t="shared" si="1"/>
        <v>0</v>
      </c>
      <c r="AE34" s="442">
        <f t="shared" si="2"/>
        <v>1</v>
      </c>
      <c r="AF34" s="442">
        <f t="shared" si="3"/>
        <v>0</v>
      </c>
      <c r="AG34" s="442">
        <f t="shared" si="4"/>
        <v>0</v>
      </c>
      <c r="AH34" s="443">
        <f t="shared" si="5"/>
        <v>0</v>
      </c>
      <c r="AI34" s="444" t="b">
        <v>0</v>
      </c>
      <c r="AJ34" s="238">
        <f t="shared" si="108"/>
        <v>32</v>
      </c>
      <c r="AK34" s="238" t="str">
        <f t="shared" si="6"/>
        <v>LH</v>
      </c>
      <c r="AL34" s="1290" t="str">
        <f t="shared" si="7"/>
        <v/>
      </c>
      <c r="AM34" s="238">
        <f t="shared" si="8"/>
        <v>305</v>
      </c>
      <c r="AN34" s="238">
        <f t="shared" si="9"/>
        <v>180</v>
      </c>
      <c r="AO34" s="238" t="str">
        <f t="shared" si="10"/>
        <v/>
      </c>
      <c r="AP34" s="830" t="b">
        <f>IF(ISERROR(AJ34),FALSE,IF(OR(AJ34=0,ISERROR(AL34),ISERROR(AM34),ISERROR(AN34),ISERROR(AO34)),FALSE,IF(AL34&lt;&gt;"",IF(ISERROR(VLOOKUP(SUBSTITUTE(SUBSTITUTE(C34,"R",""),"A",""),TblJoistSize!$A:$A,1,FALSE)),FALSE,TRUE),TRUE)))</f>
        <v>1</v>
      </c>
      <c r="AQ34" s="1038">
        <f t="shared" si="11"/>
        <v>6</v>
      </c>
      <c r="AR34" s="945" t="b">
        <f t="shared" si="83"/>
        <v>1</v>
      </c>
      <c r="AS34" s="1038">
        <f t="shared" si="12"/>
        <v>6</v>
      </c>
      <c r="AT34" s="945" t="b">
        <f t="shared" si="84"/>
        <v>1</v>
      </c>
      <c r="AU34" s="1291" t="str">
        <f t="shared" si="13"/>
        <v>LH</v>
      </c>
      <c r="AV34" s="830" t="str">
        <f t="shared" si="14"/>
        <v/>
      </c>
      <c r="AW34" s="830" t="str">
        <f t="shared" si="81"/>
        <v>LH</v>
      </c>
      <c r="AX34" s="830" t="str">
        <f t="shared" si="85"/>
        <v>J12</v>
      </c>
      <c r="AY34" s="464" t="b">
        <f t="shared" si="15"/>
        <v>0</v>
      </c>
      <c r="AZ34" s="856" t="b">
        <f t="shared" si="82"/>
        <v>0</v>
      </c>
      <c r="BA34" s="549"/>
      <c r="BB34" s="672"/>
      <c r="BC34" s="1684"/>
      <c r="BD34" s="733"/>
      <c r="BE34" s="734"/>
      <c r="BF34" s="735"/>
      <c r="BG34" s="672"/>
      <c r="BH34" s="982"/>
      <c r="BI34" s="983"/>
      <c r="BJ34" s="1625"/>
      <c r="BK34" s="982"/>
      <c r="BL34" s="983"/>
      <c r="BM34" s="1569"/>
      <c r="BN34" s="1570"/>
      <c r="BO34" s="1617" t="str">
        <f>IF(ISERROR(CU34),"",IF(CU34="","",IF(VLOOKUP(BG34,SectInfo!$B:$N,10,FALSE)="","","X")))</f>
        <v/>
      </c>
      <c r="BP34" s="1561"/>
      <c r="BQ34" s="1562" t="str">
        <f t="shared" si="16"/>
        <v/>
      </c>
      <c r="BR34" s="1563"/>
      <c r="BS34" s="672"/>
      <c r="BT34" s="982"/>
      <c r="BU34" s="983"/>
      <c r="BV34" s="1625"/>
      <c r="BW34" s="982"/>
      <c r="BX34" s="983"/>
      <c r="BY34" s="1569"/>
      <c r="BZ34" s="1570"/>
      <c r="CA34" s="1617" t="str">
        <f>IF(ISERROR(DE34),"",IF(DE34="","",IF(VLOOKUP(BS34,SectInfo!$B:$N,10,FALSE)="","","X")))</f>
        <v/>
      </c>
      <c r="CB34" s="1561"/>
      <c r="CC34" s="1562" t="str">
        <f t="shared" si="17"/>
        <v/>
      </c>
      <c r="CD34" s="1563"/>
      <c r="CE34" s="1574"/>
      <c r="CF34" s="736"/>
      <c r="CG34" s="737"/>
      <c r="CH34" s="643" t="str">
        <f t="shared" si="18"/>
        <v/>
      </c>
      <c r="CI34" s="644" t="str">
        <f t="shared" si="19"/>
        <v/>
      </c>
      <c r="CJ34" s="645" t="str">
        <f t="shared" si="20"/>
        <v/>
      </c>
      <c r="CK34" s="852" t="str">
        <f t="shared" si="21"/>
        <v/>
      </c>
      <c r="CL34" s="847" t="str">
        <f t="shared" si="22"/>
        <v/>
      </c>
      <c r="CM34" s="848" t="str">
        <f t="shared" si="23"/>
        <v/>
      </c>
      <c r="CN34" s="611" t="str">
        <f t="shared" si="24"/>
        <v/>
      </c>
      <c r="CO34" s="612" t="str">
        <f t="shared" si="25"/>
        <v/>
      </c>
      <c r="CP34" s="615" t="str">
        <f t="shared" si="26"/>
        <v/>
      </c>
      <c r="CQ34" s="616" t="str">
        <f t="shared" si="27"/>
        <v/>
      </c>
      <c r="CR34" s="750">
        <f t="shared" si="28"/>
        <v>5</v>
      </c>
      <c r="CS34" s="751">
        <f t="shared" si="29"/>
        <v>5</v>
      </c>
      <c r="CU34" s="114" t="str">
        <f>IF(BG34="","",VLOOKUP(BG34,SectInfo!$B:$N,12,FALSE))</f>
        <v/>
      </c>
      <c r="CV34" s="115" t="str">
        <f>IF(BG34="","",IF(ISBLANK(BP34),VLOOKUP(BG34,SectInfo!$B:$N,13,FALSE),BP34))</f>
        <v/>
      </c>
      <c r="CW34" s="1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115" t="str">
        <f>IF(BG34="","",IF(VLOOKUP(BG34,SectInfo!$B:$N,7,FALSE)="","",(VLOOKUP(BG34,SectInfo!$B:$N,7,FALSE)*-1)))</f>
        <v/>
      </c>
      <c r="DB34" s="815" t="str">
        <f>IF(BG34="","",IF(VLOOKUP(BG34,SectInfo!$B:$N,8,FALSE)="",VLOOKUP(AU34,$DF$2:$DN$9,6,FALSE),(VLOOKUP(BG34,SectInfo!$B:$N,8,FALSE))))</f>
        <v/>
      </c>
      <c r="DC34" s="815" t="str">
        <f>IF(BG34="","",VLOOKUP(BG34,SectInfo!$B:$N,9,FALSE))</f>
        <v/>
      </c>
      <c r="DD34" s="816">
        <f t="shared" si="30"/>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31"/>
        <v>0</v>
      </c>
      <c r="DO34" s="818">
        <f t="shared" si="32"/>
        <v>0</v>
      </c>
      <c r="DP34" s="822" t="str">
        <f t="shared" si="33"/>
        <v/>
      </c>
      <c r="DQ34" s="822" t="str">
        <f t="shared" si="34"/>
        <v/>
      </c>
      <c r="DR34" s="822" t="str">
        <f t="shared" si="35"/>
        <v/>
      </c>
      <c r="DS34" s="821">
        <f t="shared" si="36"/>
        <v>0</v>
      </c>
      <c r="DT34" s="821">
        <f t="shared" si="37"/>
        <v>0</v>
      </c>
      <c r="DU34" s="821" t="str">
        <f t="shared" si="38"/>
        <v/>
      </c>
      <c r="DV34" s="822" t="str">
        <f t="shared" si="39"/>
        <v/>
      </c>
      <c r="DW34" s="856" t="str">
        <f t="shared" si="40"/>
        <v/>
      </c>
      <c r="DX34" s="1006">
        <f t="shared" si="100"/>
        <v>0</v>
      </c>
      <c r="DY34" s="822">
        <f t="shared" si="41"/>
        <v>0</v>
      </c>
      <c r="DZ34" s="821">
        <f t="shared" si="42"/>
        <v>0</v>
      </c>
      <c r="EA34" s="821" t="str">
        <f t="shared" si="43"/>
        <v/>
      </c>
      <c r="EB34" s="822" t="str">
        <f t="shared" si="101"/>
        <v/>
      </c>
      <c r="EC34" s="856" t="str">
        <f t="shared" si="44"/>
        <v/>
      </c>
      <c r="ED34" s="1006">
        <f t="shared" si="102"/>
        <v>0</v>
      </c>
      <c r="EE34" s="1293" t="str">
        <f t="shared" si="45"/>
        <v/>
      </c>
      <c r="EF34" s="822" t="str">
        <f t="shared" si="103"/>
        <v/>
      </c>
      <c r="EG34" s="822" t="str">
        <f t="shared" si="104"/>
        <v/>
      </c>
      <c r="EH34" s="856" t="str">
        <f t="shared" si="46"/>
        <v>ERR</v>
      </c>
      <c r="EI34" s="856" t="str">
        <f t="shared" si="47"/>
        <v>ERR</v>
      </c>
      <c r="EJ34" s="822" t="str">
        <f t="shared" si="48"/>
        <v/>
      </c>
      <c r="EK34" s="822" t="str">
        <f t="shared" si="48"/>
        <v/>
      </c>
      <c r="EL34" s="1293" t="str">
        <f t="shared" si="49"/>
        <v/>
      </c>
      <c r="EM34" s="822" t="str">
        <f t="shared" si="105"/>
        <v/>
      </c>
      <c r="EN34" s="822" t="str">
        <f t="shared" si="106"/>
        <v/>
      </c>
      <c r="EO34" s="856" t="str">
        <f t="shared" si="50"/>
        <v>ERR</v>
      </c>
      <c r="EP34" s="856" t="str">
        <f t="shared" si="51"/>
        <v>ERR</v>
      </c>
      <c r="EQ34" s="822" t="str">
        <f t="shared" si="52"/>
        <v/>
      </c>
      <c r="ER34" s="822" t="str">
        <f t="shared" si="52"/>
        <v/>
      </c>
      <c r="ES34" s="822" t="str">
        <f t="shared" si="53"/>
        <v/>
      </c>
      <c r="ET34" s="822" t="str">
        <f t="shared" si="54"/>
        <v/>
      </c>
      <c r="EU34" s="829">
        <f t="shared" si="55"/>
        <v>4</v>
      </c>
      <c r="EV34" s="824" t="str">
        <f t="shared" si="107"/>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56"/>
        <v/>
      </c>
      <c r="FA34" s="829" t="str">
        <f>IF(AND(DE34="G", ISBLANK(BW34), ISBLANK(BX34)),VLOOKUP(MIN(BT34:BU34),TblJoistSize!$M$3:$N$10,2),IF(OR(DE34="B", DE34="G"),MIN(BW34:BX34),""))</f>
        <v/>
      </c>
      <c r="FB34" s="829" t="str">
        <f>IF(AND(DE34="G", ISBLANK(BW34), ISBLANK(BX34)),VLOOKUP(MAX(BT34:BU34),TblJoistSize!$M$3:$N$10,2),IF(OR(DE34="B", DE34="G"),MAX(BW34:BX34),""))</f>
        <v/>
      </c>
      <c r="FC34" s="829" t="str">
        <f t="shared" si="57"/>
        <v/>
      </c>
      <c r="FD34" s="822">
        <f t="shared" si="58"/>
        <v>0</v>
      </c>
      <c r="FE34" s="822">
        <f t="shared" si="59"/>
        <v>0</v>
      </c>
      <c r="FF34" s="821">
        <f t="shared" si="60"/>
        <v>0</v>
      </c>
      <c r="FG34" s="821" t="str">
        <f t="shared" si="61"/>
        <v/>
      </c>
      <c r="FH34" s="822" t="str">
        <f t="shared" si="62"/>
        <v/>
      </c>
      <c r="FI34" s="822">
        <f t="shared" si="63"/>
        <v>0</v>
      </c>
      <c r="FJ34" s="822">
        <f t="shared" si="64"/>
        <v>0</v>
      </c>
      <c r="FK34" s="821">
        <f t="shared" si="65"/>
        <v>0</v>
      </c>
      <c r="FL34" s="821" t="str">
        <f t="shared" si="66"/>
        <v/>
      </c>
      <c r="FM34" s="822" t="str">
        <f t="shared" si="67"/>
        <v/>
      </c>
      <c r="FN34" s="822" t="e">
        <f t="shared" si="68"/>
        <v>#VALUE!</v>
      </c>
      <c r="FO34" s="940" t="e">
        <f t="shared" si="69"/>
        <v>#VALUE!</v>
      </c>
      <c r="FP34" s="940" t="e">
        <f t="shared" si="70"/>
        <v>#VALUE!</v>
      </c>
      <c r="FQ34" s="830" t="e">
        <f t="shared" si="71"/>
        <v>#VALUE!</v>
      </c>
      <c r="FR34" s="831" t="e">
        <f t="shared" si="72"/>
        <v>#VALUE!</v>
      </c>
      <c r="FS34" s="832" t="str">
        <f t="shared" si="73"/>
        <v/>
      </c>
      <c r="FT34" s="833" t="str">
        <f t="shared" si="74"/>
        <v/>
      </c>
      <c r="FU34" s="870">
        <f t="shared" si="75"/>
        <v>0</v>
      </c>
      <c r="FV34" s="871">
        <f t="shared" si="76"/>
        <v>0</v>
      </c>
      <c r="GA34" s="1791">
        <v>39</v>
      </c>
      <c r="GB34" s="1792">
        <v>3</v>
      </c>
      <c r="GC34" s="1793">
        <v>-0.25</v>
      </c>
      <c r="GD34" s="1794">
        <v>-0.5</v>
      </c>
      <c r="GE34" s="1795">
        <f t="shared" si="77"/>
        <v>0</v>
      </c>
      <c r="GF34" s="600" t="str">
        <f t="shared" si="78"/>
        <v>J12</v>
      </c>
      <c r="GG34" s="1130">
        <v>0</v>
      </c>
      <c r="GH34" s="1131">
        <v>0</v>
      </c>
      <c r="GI34" s="1130"/>
      <c r="GJ34" s="1131"/>
      <c r="GK34" s="1636">
        <f t="shared" si="79"/>
        <v>470.25</v>
      </c>
      <c r="GL34" s="1636">
        <f t="shared" si="80"/>
        <v>470.25</v>
      </c>
      <c r="GM34" s="1637">
        <f>IF(ABS(GK34-GL34)&gt;='Job Info.'!$L$22,ABS(GK34-GL34),0)</f>
        <v>0</v>
      </c>
      <c r="GZ34" s="415"/>
      <c r="HA34" s="1391" t="s">
        <v>1442</v>
      </c>
      <c r="HB34" s="1392">
        <v>1</v>
      </c>
      <c r="HC34" s="1392" t="s">
        <v>1592</v>
      </c>
      <c r="HD34" s="1393">
        <v>39</v>
      </c>
      <c r="HE34" s="1394">
        <v>2.25</v>
      </c>
      <c r="HF34" s="1392" t="s">
        <v>116</v>
      </c>
      <c r="HG34" s="1392" t="s">
        <v>116</v>
      </c>
      <c r="HH34" s="1392" t="s">
        <v>116</v>
      </c>
      <c r="HI34" s="1395" t="s">
        <v>116</v>
      </c>
      <c r="HJ34" s="1392" t="s">
        <v>116</v>
      </c>
      <c r="HK34" s="1392" t="s">
        <v>116</v>
      </c>
      <c r="HL34" s="1392">
        <v>5</v>
      </c>
      <c r="HM34" s="1392">
        <v>5</v>
      </c>
      <c r="HN34" s="1392" t="s">
        <v>116</v>
      </c>
      <c r="HO34" s="1392" t="s">
        <v>116</v>
      </c>
      <c r="HP34" s="1392" t="s">
        <v>116</v>
      </c>
      <c r="HQ34" s="1395" t="s">
        <v>116</v>
      </c>
      <c r="HR34" s="1392" t="s">
        <v>116</v>
      </c>
      <c r="HS34" s="1392" t="s">
        <v>116</v>
      </c>
      <c r="HT34" s="1392">
        <v>0</v>
      </c>
      <c r="HU34" s="1392">
        <v>2.25</v>
      </c>
      <c r="HV34" s="1392">
        <v>0</v>
      </c>
      <c r="HW34" s="1394">
        <v>2</v>
      </c>
      <c r="HX34" s="1394">
        <v>4</v>
      </c>
      <c r="HY34" s="1394" t="s">
        <v>116</v>
      </c>
      <c r="HZ34" s="1394" t="s">
        <v>116</v>
      </c>
      <c r="IA34" s="1394" t="s">
        <v>1652</v>
      </c>
      <c r="IB34" s="1394"/>
      <c r="IC34" s="1394"/>
      <c r="ID34" s="1394"/>
      <c r="IE34" s="1394"/>
      <c r="IF34" s="1396"/>
    </row>
    <row r="35" spans="1:240" ht="12.6" customHeight="1" x14ac:dyDescent="0.25">
      <c r="A35" s="1448" t="s">
        <v>1443</v>
      </c>
      <c r="B35" s="1681">
        <v>1</v>
      </c>
      <c r="C35" s="1449" t="s">
        <v>1592</v>
      </c>
      <c r="D35" s="1705">
        <v>39</v>
      </c>
      <c r="E35" s="1778">
        <v>2.25</v>
      </c>
      <c r="F35" s="1708" t="str">
        <f t="shared" si="86"/>
        <v/>
      </c>
      <c r="G35" s="1709" t="str">
        <f t="shared" si="87"/>
        <v/>
      </c>
      <c r="H35" s="1779" t="str">
        <f t="shared" si="88"/>
        <v/>
      </c>
      <c r="I35" s="1705" t="str">
        <f t="shared" si="89"/>
        <v/>
      </c>
      <c r="J35" s="1709" t="str">
        <f t="shared" si="90"/>
        <v/>
      </c>
      <c r="K35" s="1780" t="str">
        <f t="shared" si="91"/>
        <v/>
      </c>
      <c r="L35" s="1712">
        <v>5</v>
      </c>
      <c r="M35" s="1713">
        <v>5</v>
      </c>
      <c r="N35" s="1708" t="str">
        <f t="shared" si="92"/>
        <v/>
      </c>
      <c r="O35" s="1709" t="str">
        <f t="shared" si="93"/>
        <v/>
      </c>
      <c r="P35" s="1710" t="str">
        <f t="shared" si="94"/>
        <v/>
      </c>
      <c r="Q35" s="1705" t="str">
        <f t="shared" si="95"/>
        <v/>
      </c>
      <c r="R35" s="1709" t="str">
        <f t="shared" si="96"/>
        <v/>
      </c>
      <c r="S35" s="1753" t="str">
        <f t="shared" si="97"/>
        <v/>
      </c>
      <c r="T35" s="1708">
        <v>0</v>
      </c>
      <c r="U35" s="1709">
        <v>2.25</v>
      </c>
      <c r="V35" s="1705">
        <v>0</v>
      </c>
      <c r="W35" s="1709">
        <v>2</v>
      </c>
      <c r="X35" s="1750">
        <v>4</v>
      </c>
      <c r="Y35" s="1781" t="str">
        <f t="shared" si="98"/>
        <v/>
      </c>
      <c r="Z35" s="1782" t="str">
        <f t="shared" si="99"/>
        <v/>
      </c>
      <c r="AA35" s="1783" t="s">
        <v>1714</v>
      </c>
      <c r="AB35" s="1413"/>
      <c r="AC35" s="964" t="b">
        <v>0</v>
      </c>
      <c r="AD35" s="441">
        <f t="shared" si="1"/>
        <v>0</v>
      </c>
      <c r="AE35" s="442">
        <f t="shared" si="2"/>
        <v>1</v>
      </c>
      <c r="AF35" s="442">
        <f t="shared" si="3"/>
        <v>0</v>
      </c>
      <c r="AG35" s="442">
        <f t="shared" si="4"/>
        <v>0</v>
      </c>
      <c r="AH35" s="443">
        <f t="shared" si="5"/>
        <v>0</v>
      </c>
      <c r="AI35" s="444" t="b">
        <v>0</v>
      </c>
      <c r="AJ35" s="238">
        <f t="shared" si="108"/>
        <v>32</v>
      </c>
      <c r="AK35" s="238" t="str">
        <f t="shared" si="6"/>
        <v>LH</v>
      </c>
      <c r="AL35" s="1290" t="str">
        <f t="shared" si="7"/>
        <v/>
      </c>
      <c r="AM35" s="238">
        <f t="shared" si="8"/>
        <v>305</v>
      </c>
      <c r="AN35" s="238">
        <f t="shared" si="9"/>
        <v>180</v>
      </c>
      <c r="AO35" s="238" t="str">
        <f t="shared" si="10"/>
        <v/>
      </c>
      <c r="AP35" s="830" t="b">
        <f>IF(ISERROR(AJ35),FALSE,IF(OR(AJ35=0,ISERROR(AL35),ISERROR(AM35),ISERROR(AN35),ISERROR(AO35)),FALSE,IF(AL35&lt;&gt;"",IF(ISERROR(VLOOKUP(SUBSTITUTE(SUBSTITUTE(C35,"R",""),"A",""),TblJoistSize!$A:$A,1,FALSE)),FALSE,TRUE),TRUE)))</f>
        <v>1</v>
      </c>
      <c r="AQ35" s="1038">
        <f t="shared" si="11"/>
        <v>6</v>
      </c>
      <c r="AR35" s="945" t="b">
        <f t="shared" si="83"/>
        <v>1</v>
      </c>
      <c r="AS35" s="1038">
        <f t="shared" si="12"/>
        <v>6</v>
      </c>
      <c r="AT35" s="945" t="b">
        <f t="shared" si="84"/>
        <v>1</v>
      </c>
      <c r="AU35" s="1291" t="str">
        <f t="shared" si="13"/>
        <v>LH</v>
      </c>
      <c r="AV35" s="830" t="str">
        <f t="shared" si="14"/>
        <v/>
      </c>
      <c r="AW35" s="830" t="str">
        <f t="shared" si="81"/>
        <v>LH</v>
      </c>
      <c r="AX35" s="830" t="str">
        <f t="shared" si="85"/>
        <v>J13</v>
      </c>
      <c r="AY35" s="464" t="b">
        <f t="shared" si="15"/>
        <v>0</v>
      </c>
      <c r="AZ35" s="856" t="b">
        <f t="shared" si="82"/>
        <v>0</v>
      </c>
      <c r="BA35" s="549"/>
      <c r="BB35" s="672"/>
      <c r="BC35" s="1684"/>
      <c r="BD35" s="733"/>
      <c r="BE35" s="734"/>
      <c r="BF35" s="735"/>
      <c r="BG35" s="672"/>
      <c r="BH35" s="982"/>
      <c r="BI35" s="983"/>
      <c r="BJ35" s="1625"/>
      <c r="BK35" s="982"/>
      <c r="BL35" s="983"/>
      <c r="BM35" s="1569"/>
      <c r="BN35" s="1570"/>
      <c r="BO35" s="1617" t="str">
        <f>IF(ISERROR(CU35),"",IF(CU35="","",IF(VLOOKUP(BG35,SectInfo!$B:$N,10,FALSE)="","","X")))</f>
        <v/>
      </c>
      <c r="BP35" s="1561"/>
      <c r="BQ35" s="1562" t="str">
        <f t="shared" si="16"/>
        <v/>
      </c>
      <c r="BR35" s="1563"/>
      <c r="BS35" s="672"/>
      <c r="BT35" s="982"/>
      <c r="BU35" s="983"/>
      <c r="BV35" s="1625"/>
      <c r="BW35" s="982"/>
      <c r="BX35" s="983"/>
      <c r="BY35" s="1569"/>
      <c r="BZ35" s="1570"/>
      <c r="CA35" s="1617" t="str">
        <f>IF(ISERROR(DE35),"",IF(DE35="","",IF(VLOOKUP(BS35,SectInfo!$B:$N,10,FALSE)="","","X")))</f>
        <v/>
      </c>
      <c r="CB35" s="1561"/>
      <c r="CC35" s="1562" t="str">
        <f t="shared" si="17"/>
        <v/>
      </c>
      <c r="CD35" s="1563"/>
      <c r="CE35" s="1574"/>
      <c r="CF35" s="736"/>
      <c r="CG35" s="737"/>
      <c r="CH35" s="643" t="str">
        <f t="shared" si="18"/>
        <v/>
      </c>
      <c r="CI35" s="644" t="str">
        <f t="shared" si="19"/>
        <v/>
      </c>
      <c r="CJ35" s="645" t="str">
        <f t="shared" si="20"/>
        <v/>
      </c>
      <c r="CK35" s="852" t="str">
        <f t="shared" si="21"/>
        <v/>
      </c>
      <c r="CL35" s="847" t="str">
        <f t="shared" si="22"/>
        <v/>
      </c>
      <c r="CM35" s="848" t="str">
        <f t="shared" si="23"/>
        <v/>
      </c>
      <c r="CN35" s="611" t="str">
        <f t="shared" si="24"/>
        <v/>
      </c>
      <c r="CO35" s="612" t="str">
        <f t="shared" si="25"/>
        <v/>
      </c>
      <c r="CP35" s="615" t="str">
        <f t="shared" si="26"/>
        <v/>
      </c>
      <c r="CQ35" s="616" t="str">
        <f t="shared" si="27"/>
        <v/>
      </c>
      <c r="CR35" s="750">
        <f t="shared" si="28"/>
        <v>5</v>
      </c>
      <c r="CS35" s="751">
        <f t="shared" si="29"/>
        <v>5</v>
      </c>
      <c r="CU35" s="114" t="str">
        <f>IF(BG35="","",VLOOKUP(BG35,SectInfo!$B:$N,12,FALSE))</f>
        <v/>
      </c>
      <c r="CV35" s="115" t="str">
        <f>IF(BG35="","",IF(ISBLANK(BP35),VLOOKUP(BG35,SectInfo!$B:$N,13,FALSE),BP35))</f>
        <v/>
      </c>
      <c r="CW35" s="1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115" t="str">
        <f>IF(BG35="","",IF(VLOOKUP(BG35,SectInfo!$B:$N,7,FALSE)="","",(VLOOKUP(BG35,SectInfo!$B:$N,7,FALSE)*-1)))</f>
        <v/>
      </c>
      <c r="DB35" s="815" t="str">
        <f>IF(BG35="","",IF(VLOOKUP(BG35,SectInfo!$B:$N,8,FALSE)="",VLOOKUP(AU35,$DF$2:$DN$9,6,FALSE),(VLOOKUP(BG35,SectInfo!$B:$N,8,FALSE))))</f>
        <v/>
      </c>
      <c r="DC35" s="815" t="str">
        <f>IF(BG35="","",VLOOKUP(BG35,SectInfo!$B:$N,9,FALSE))</f>
        <v/>
      </c>
      <c r="DD35" s="816">
        <f t="shared" si="30"/>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31"/>
        <v>0</v>
      </c>
      <c r="DO35" s="818">
        <f t="shared" si="32"/>
        <v>0</v>
      </c>
      <c r="DP35" s="822" t="str">
        <f t="shared" si="33"/>
        <v/>
      </c>
      <c r="DQ35" s="822" t="str">
        <f t="shared" si="34"/>
        <v/>
      </c>
      <c r="DR35" s="822" t="str">
        <f t="shared" si="35"/>
        <v/>
      </c>
      <c r="DS35" s="821">
        <f t="shared" si="36"/>
        <v>0</v>
      </c>
      <c r="DT35" s="821">
        <f t="shared" si="37"/>
        <v>0</v>
      </c>
      <c r="DU35" s="821" t="str">
        <f t="shared" si="38"/>
        <v/>
      </c>
      <c r="DV35" s="822" t="str">
        <f t="shared" si="39"/>
        <v/>
      </c>
      <c r="DW35" s="856" t="str">
        <f t="shared" si="40"/>
        <v/>
      </c>
      <c r="DX35" s="1006">
        <f t="shared" si="100"/>
        <v>0</v>
      </c>
      <c r="DY35" s="822">
        <f t="shared" si="41"/>
        <v>0</v>
      </c>
      <c r="DZ35" s="821">
        <f t="shared" si="42"/>
        <v>0</v>
      </c>
      <c r="EA35" s="821" t="str">
        <f t="shared" si="43"/>
        <v/>
      </c>
      <c r="EB35" s="822" t="str">
        <f t="shared" si="101"/>
        <v/>
      </c>
      <c r="EC35" s="856" t="str">
        <f t="shared" si="44"/>
        <v/>
      </c>
      <c r="ED35" s="1006">
        <f t="shared" si="102"/>
        <v>0</v>
      </c>
      <c r="EE35" s="1293" t="str">
        <f t="shared" si="45"/>
        <v/>
      </c>
      <c r="EF35" s="822" t="str">
        <f t="shared" si="103"/>
        <v/>
      </c>
      <c r="EG35" s="822" t="str">
        <f t="shared" si="104"/>
        <v/>
      </c>
      <c r="EH35" s="856" t="str">
        <f t="shared" si="46"/>
        <v>ERR</v>
      </c>
      <c r="EI35" s="856" t="str">
        <f t="shared" si="47"/>
        <v>ERR</v>
      </c>
      <c r="EJ35" s="822" t="str">
        <f t="shared" si="48"/>
        <v/>
      </c>
      <c r="EK35" s="822" t="str">
        <f t="shared" si="48"/>
        <v/>
      </c>
      <c r="EL35" s="1293" t="str">
        <f t="shared" si="49"/>
        <v/>
      </c>
      <c r="EM35" s="822" t="str">
        <f t="shared" si="105"/>
        <v/>
      </c>
      <c r="EN35" s="822" t="str">
        <f t="shared" si="106"/>
        <v/>
      </c>
      <c r="EO35" s="856" t="str">
        <f t="shared" si="50"/>
        <v>ERR</v>
      </c>
      <c r="EP35" s="856" t="str">
        <f t="shared" si="51"/>
        <v>ERR</v>
      </c>
      <c r="EQ35" s="822" t="str">
        <f t="shared" si="52"/>
        <v/>
      </c>
      <c r="ER35" s="822" t="str">
        <f t="shared" si="52"/>
        <v/>
      </c>
      <c r="ES35" s="822" t="str">
        <f t="shared" si="53"/>
        <v/>
      </c>
      <c r="ET35" s="822" t="str">
        <f t="shared" si="54"/>
        <v/>
      </c>
      <c r="EU35" s="829">
        <f t="shared" si="55"/>
        <v>4</v>
      </c>
      <c r="EV35" s="824" t="str">
        <f t="shared" si="107"/>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56"/>
        <v/>
      </c>
      <c r="FA35" s="829" t="str">
        <f>IF(AND(DE35="G", ISBLANK(BW35), ISBLANK(BX35)),VLOOKUP(MIN(BT35:BU35),TblJoistSize!$M$3:$N$10,2),IF(OR(DE35="B", DE35="G"),MIN(BW35:BX35),""))</f>
        <v/>
      </c>
      <c r="FB35" s="829" t="str">
        <f>IF(AND(DE35="G", ISBLANK(BW35), ISBLANK(BX35)),VLOOKUP(MAX(BT35:BU35),TblJoistSize!$M$3:$N$10,2),IF(OR(DE35="B", DE35="G"),MAX(BW35:BX35),""))</f>
        <v/>
      </c>
      <c r="FC35" s="829" t="str">
        <f t="shared" si="57"/>
        <v/>
      </c>
      <c r="FD35" s="822">
        <f t="shared" si="58"/>
        <v>0</v>
      </c>
      <c r="FE35" s="822">
        <f t="shared" si="59"/>
        <v>0</v>
      </c>
      <c r="FF35" s="821">
        <f t="shared" si="60"/>
        <v>0</v>
      </c>
      <c r="FG35" s="821" t="str">
        <f t="shared" si="61"/>
        <v/>
      </c>
      <c r="FH35" s="822" t="str">
        <f t="shared" si="62"/>
        <v/>
      </c>
      <c r="FI35" s="822">
        <f t="shared" si="63"/>
        <v>0</v>
      </c>
      <c r="FJ35" s="822">
        <f t="shared" si="64"/>
        <v>0</v>
      </c>
      <c r="FK35" s="821">
        <f t="shared" si="65"/>
        <v>0</v>
      </c>
      <c r="FL35" s="821" t="str">
        <f t="shared" si="66"/>
        <v/>
      </c>
      <c r="FM35" s="822" t="str">
        <f t="shared" si="67"/>
        <v/>
      </c>
      <c r="FN35" s="822" t="e">
        <f t="shared" si="68"/>
        <v>#VALUE!</v>
      </c>
      <c r="FO35" s="940" t="e">
        <f t="shared" si="69"/>
        <v>#VALUE!</v>
      </c>
      <c r="FP35" s="940" t="e">
        <f t="shared" si="70"/>
        <v>#VALUE!</v>
      </c>
      <c r="FQ35" s="830" t="e">
        <f t="shared" si="71"/>
        <v>#VALUE!</v>
      </c>
      <c r="FR35" s="831" t="e">
        <f t="shared" si="72"/>
        <v>#VALUE!</v>
      </c>
      <c r="FS35" s="832" t="str">
        <f t="shared" si="73"/>
        <v/>
      </c>
      <c r="FT35" s="833" t="str">
        <f t="shared" si="74"/>
        <v/>
      </c>
      <c r="FU35" s="870">
        <f t="shared" si="75"/>
        <v>0</v>
      </c>
      <c r="FV35" s="871">
        <f t="shared" si="76"/>
        <v>0</v>
      </c>
      <c r="GA35" s="1791">
        <v>39</v>
      </c>
      <c r="GB35" s="1792">
        <v>3</v>
      </c>
      <c r="GC35" s="1793">
        <v>-0.25</v>
      </c>
      <c r="GD35" s="1794">
        <v>-0.5</v>
      </c>
      <c r="GE35" s="1795">
        <f t="shared" si="77"/>
        <v>0</v>
      </c>
      <c r="GF35" s="600" t="str">
        <f t="shared" si="78"/>
        <v>J13</v>
      </c>
      <c r="GG35" s="1130">
        <v>0</v>
      </c>
      <c r="GH35" s="1131">
        <v>0</v>
      </c>
      <c r="GI35" s="1130"/>
      <c r="GJ35" s="1131"/>
      <c r="GK35" s="1636">
        <f t="shared" si="79"/>
        <v>470.25</v>
      </c>
      <c r="GL35" s="1636">
        <f t="shared" si="80"/>
        <v>470.25</v>
      </c>
      <c r="GM35" s="1637">
        <f>IF(ABS(GK35-GL35)&gt;='Job Info.'!$L$22,ABS(GK35-GL35),0)</f>
        <v>0</v>
      </c>
      <c r="GZ35" s="415"/>
      <c r="HA35" s="1391" t="s">
        <v>1443</v>
      </c>
      <c r="HB35" s="1392">
        <v>1</v>
      </c>
      <c r="HC35" s="1392" t="s">
        <v>1592</v>
      </c>
      <c r="HD35" s="1393">
        <v>39</v>
      </c>
      <c r="HE35" s="1394">
        <v>2.25</v>
      </c>
      <c r="HF35" s="1392" t="s">
        <v>116</v>
      </c>
      <c r="HG35" s="1392" t="s">
        <v>116</v>
      </c>
      <c r="HH35" s="1392" t="s">
        <v>116</v>
      </c>
      <c r="HI35" s="1395" t="s">
        <v>116</v>
      </c>
      <c r="HJ35" s="1392" t="s">
        <v>116</v>
      </c>
      <c r="HK35" s="1392" t="s">
        <v>116</v>
      </c>
      <c r="HL35" s="1392">
        <v>5</v>
      </c>
      <c r="HM35" s="1392">
        <v>5</v>
      </c>
      <c r="HN35" s="1392" t="s">
        <v>116</v>
      </c>
      <c r="HO35" s="1392" t="s">
        <v>116</v>
      </c>
      <c r="HP35" s="1392" t="s">
        <v>116</v>
      </c>
      <c r="HQ35" s="1395" t="s">
        <v>116</v>
      </c>
      <c r="HR35" s="1392" t="s">
        <v>116</v>
      </c>
      <c r="HS35" s="1392" t="s">
        <v>116</v>
      </c>
      <c r="HT35" s="1392">
        <v>0</v>
      </c>
      <c r="HU35" s="1392">
        <v>2.25</v>
      </c>
      <c r="HV35" s="1392">
        <v>0</v>
      </c>
      <c r="HW35" s="1394">
        <v>2</v>
      </c>
      <c r="HX35" s="1394">
        <v>4</v>
      </c>
      <c r="HY35" s="1394" t="s">
        <v>116</v>
      </c>
      <c r="HZ35" s="1394" t="s">
        <v>116</v>
      </c>
      <c r="IA35" s="1394" t="s">
        <v>1653</v>
      </c>
      <c r="IB35" s="1394"/>
      <c r="IC35" s="1394"/>
      <c r="ID35" s="1394"/>
      <c r="IE35" s="1394"/>
      <c r="IF35" s="1396"/>
    </row>
    <row r="36" spans="1:240" ht="12.6" customHeight="1" x14ac:dyDescent="0.25">
      <c r="A36" s="1448" t="s">
        <v>1444</v>
      </c>
      <c r="B36" s="1681">
        <v>1</v>
      </c>
      <c r="C36" s="1449" t="s">
        <v>1592</v>
      </c>
      <c r="D36" s="1705">
        <v>39</v>
      </c>
      <c r="E36" s="1778">
        <v>2.25</v>
      </c>
      <c r="F36" s="1708" t="str">
        <f t="shared" si="86"/>
        <v/>
      </c>
      <c r="G36" s="1709" t="str">
        <f t="shared" si="87"/>
        <v/>
      </c>
      <c r="H36" s="1779" t="str">
        <f t="shared" si="88"/>
        <v/>
      </c>
      <c r="I36" s="1705" t="str">
        <f t="shared" si="89"/>
        <v/>
      </c>
      <c r="J36" s="1709" t="str">
        <f t="shared" si="90"/>
        <v/>
      </c>
      <c r="K36" s="1780" t="str">
        <f t="shared" si="91"/>
        <v/>
      </c>
      <c r="L36" s="1712">
        <v>5</v>
      </c>
      <c r="M36" s="1713">
        <v>5</v>
      </c>
      <c r="N36" s="1708" t="str">
        <f t="shared" si="92"/>
        <v/>
      </c>
      <c r="O36" s="1709" t="str">
        <f t="shared" si="93"/>
        <v/>
      </c>
      <c r="P36" s="1710" t="str">
        <f t="shared" si="94"/>
        <v/>
      </c>
      <c r="Q36" s="1705" t="str">
        <f t="shared" si="95"/>
        <v/>
      </c>
      <c r="R36" s="1709" t="str">
        <f t="shared" si="96"/>
        <v/>
      </c>
      <c r="S36" s="1753" t="str">
        <f t="shared" si="97"/>
        <v/>
      </c>
      <c r="T36" s="1708">
        <v>0</v>
      </c>
      <c r="U36" s="1709">
        <v>2.25</v>
      </c>
      <c r="V36" s="1705">
        <v>0</v>
      </c>
      <c r="W36" s="1709">
        <v>2</v>
      </c>
      <c r="X36" s="1750">
        <v>4</v>
      </c>
      <c r="Y36" s="1781" t="str">
        <f t="shared" si="98"/>
        <v/>
      </c>
      <c r="Z36" s="1782" t="str">
        <f t="shared" si="99"/>
        <v/>
      </c>
      <c r="AA36" s="1783" t="s">
        <v>1715</v>
      </c>
      <c r="AB36" s="1413"/>
      <c r="AC36" s="964" t="b">
        <v>0</v>
      </c>
      <c r="AD36" s="441">
        <f t="shared" si="1"/>
        <v>0</v>
      </c>
      <c r="AE36" s="442">
        <f t="shared" si="2"/>
        <v>1</v>
      </c>
      <c r="AF36" s="442">
        <f t="shared" si="3"/>
        <v>0</v>
      </c>
      <c r="AG36" s="442">
        <f t="shared" si="4"/>
        <v>0</v>
      </c>
      <c r="AH36" s="443">
        <f t="shared" si="5"/>
        <v>0</v>
      </c>
      <c r="AI36" s="444" t="b">
        <v>0</v>
      </c>
      <c r="AJ36" s="238">
        <f t="shared" si="108"/>
        <v>32</v>
      </c>
      <c r="AK36" s="238" t="str">
        <f t="shared" si="6"/>
        <v>LH</v>
      </c>
      <c r="AL36" s="1290" t="str">
        <f t="shared" si="7"/>
        <v/>
      </c>
      <c r="AM36" s="238">
        <f t="shared" si="8"/>
        <v>305</v>
      </c>
      <c r="AN36" s="238">
        <f t="shared" si="9"/>
        <v>180</v>
      </c>
      <c r="AO36" s="238" t="str">
        <f t="shared" si="10"/>
        <v/>
      </c>
      <c r="AP36" s="830" t="b">
        <f>IF(ISERROR(AJ36),FALSE,IF(OR(AJ36=0,ISERROR(AL36),ISERROR(AM36),ISERROR(AN36),ISERROR(AO36)),FALSE,IF(AL36&lt;&gt;"",IF(ISERROR(VLOOKUP(SUBSTITUTE(SUBSTITUTE(C36,"R",""),"A",""),TblJoistSize!$A:$A,1,FALSE)),FALSE,TRUE),TRUE)))</f>
        <v>1</v>
      </c>
      <c r="AQ36" s="1038">
        <f t="shared" si="11"/>
        <v>6</v>
      </c>
      <c r="AR36" s="945" t="b">
        <f t="shared" si="83"/>
        <v>1</v>
      </c>
      <c r="AS36" s="1038">
        <f t="shared" si="12"/>
        <v>6</v>
      </c>
      <c r="AT36" s="945" t="b">
        <f t="shared" si="84"/>
        <v>1</v>
      </c>
      <c r="AU36" s="1291" t="str">
        <f t="shared" si="13"/>
        <v>LH</v>
      </c>
      <c r="AV36" s="830" t="str">
        <f t="shared" si="14"/>
        <v/>
      </c>
      <c r="AW36" s="830" t="str">
        <f t="shared" si="81"/>
        <v>LH</v>
      </c>
      <c r="AX36" s="830" t="str">
        <f t="shared" si="85"/>
        <v>J14</v>
      </c>
      <c r="AY36" s="464" t="b">
        <f t="shared" si="15"/>
        <v>0</v>
      </c>
      <c r="AZ36" s="856" t="b">
        <f t="shared" si="82"/>
        <v>0</v>
      </c>
      <c r="BA36" s="549"/>
      <c r="BB36" s="672"/>
      <c r="BC36" s="1684"/>
      <c r="BD36" s="733"/>
      <c r="BE36" s="734"/>
      <c r="BF36" s="735"/>
      <c r="BG36" s="672"/>
      <c r="BH36" s="982"/>
      <c r="BI36" s="983"/>
      <c r="BJ36" s="1625"/>
      <c r="BK36" s="982"/>
      <c r="BL36" s="983"/>
      <c r="BM36" s="1569"/>
      <c r="BN36" s="1570"/>
      <c r="BO36" s="1617" t="str">
        <f>IF(ISERROR(CU36),"",IF(CU36="","",IF(VLOOKUP(BG36,SectInfo!$B:$N,10,FALSE)="","","X")))</f>
        <v/>
      </c>
      <c r="BP36" s="1561"/>
      <c r="BQ36" s="1562" t="str">
        <f t="shared" si="16"/>
        <v/>
      </c>
      <c r="BR36" s="1563"/>
      <c r="BS36" s="672"/>
      <c r="BT36" s="982"/>
      <c r="BU36" s="983"/>
      <c r="BV36" s="1625"/>
      <c r="BW36" s="982"/>
      <c r="BX36" s="983"/>
      <c r="BY36" s="1569"/>
      <c r="BZ36" s="1570"/>
      <c r="CA36" s="1617" t="str">
        <f>IF(ISERROR(DE36),"",IF(DE36="","",IF(VLOOKUP(BS36,SectInfo!$B:$N,10,FALSE)="","","X")))</f>
        <v/>
      </c>
      <c r="CB36" s="1561"/>
      <c r="CC36" s="1562" t="str">
        <f t="shared" si="17"/>
        <v/>
      </c>
      <c r="CD36" s="1563"/>
      <c r="CE36" s="1574"/>
      <c r="CF36" s="736"/>
      <c r="CG36" s="737"/>
      <c r="CH36" s="643" t="str">
        <f t="shared" si="18"/>
        <v/>
      </c>
      <c r="CI36" s="644" t="str">
        <f t="shared" si="19"/>
        <v/>
      </c>
      <c r="CJ36" s="645" t="str">
        <f t="shared" si="20"/>
        <v/>
      </c>
      <c r="CK36" s="852" t="str">
        <f t="shared" si="21"/>
        <v/>
      </c>
      <c r="CL36" s="847" t="str">
        <f t="shared" si="22"/>
        <v/>
      </c>
      <c r="CM36" s="848" t="str">
        <f t="shared" si="23"/>
        <v/>
      </c>
      <c r="CN36" s="611" t="str">
        <f t="shared" si="24"/>
        <v/>
      </c>
      <c r="CO36" s="612" t="str">
        <f t="shared" si="25"/>
        <v/>
      </c>
      <c r="CP36" s="615" t="str">
        <f t="shared" si="26"/>
        <v/>
      </c>
      <c r="CQ36" s="616" t="str">
        <f t="shared" si="27"/>
        <v/>
      </c>
      <c r="CR36" s="750">
        <f t="shared" si="28"/>
        <v>5</v>
      </c>
      <c r="CS36" s="751">
        <f t="shared" si="29"/>
        <v>5</v>
      </c>
      <c r="CU36" s="114" t="str">
        <f>IF(BG36="","",VLOOKUP(BG36,SectInfo!$B:$N,12,FALSE))</f>
        <v/>
      </c>
      <c r="CV36" s="115" t="str">
        <f>IF(BG36="","",IF(ISBLANK(BP36),VLOOKUP(BG36,SectInfo!$B:$N,13,FALSE),BP36))</f>
        <v/>
      </c>
      <c r="CW36" s="1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115" t="str">
        <f>IF(BG36="","",IF(VLOOKUP(BG36,SectInfo!$B:$N,7,FALSE)="","",(VLOOKUP(BG36,SectInfo!$B:$N,7,FALSE)*-1)))</f>
        <v/>
      </c>
      <c r="DB36" s="815" t="str">
        <f>IF(BG36="","",IF(VLOOKUP(BG36,SectInfo!$B:$N,8,FALSE)="",VLOOKUP(AU36,$DF$2:$DN$9,6,FALSE),(VLOOKUP(BG36,SectInfo!$B:$N,8,FALSE))))</f>
        <v/>
      </c>
      <c r="DC36" s="815" t="str">
        <f>IF(BG36="","",VLOOKUP(BG36,SectInfo!$B:$N,9,FALSE))</f>
        <v/>
      </c>
      <c r="DD36" s="816">
        <f t="shared" si="30"/>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31"/>
        <v>0</v>
      </c>
      <c r="DO36" s="818">
        <f t="shared" si="32"/>
        <v>0</v>
      </c>
      <c r="DP36" s="822" t="str">
        <f t="shared" si="33"/>
        <v/>
      </c>
      <c r="DQ36" s="822" t="str">
        <f t="shared" si="34"/>
        <v/>
      </c>
      <c r="DR36" s="822" t="str">
        <f t="shared" si="35"/>
        <v/>
      </c>
      <c r="DS36" s="821">
        <f t="shared" si="36"/>
        <v>0</v>
      </c>
      <c r="DT36" s="821">
        <f t="shared" si="37"/>
        <v>0</v>
      </c>
      <c r="DU36" s="821" t="str">
        <f t="shared" si="38"/>
        <v/>
      </c>
      <c r="DV36" s="822" t="str">
        <f t="shared" si="39"/>
        <v/>
      </c>
      <c r="DW36" s="856" t="str">
        <f t="shared" si="40"/>
        <v/>
      </c>
      <c r="DX36" s="1006">
        <f t="shared" si="100"/>
        <v>0</v>
      </c>
      <c r="DY36" s="822">
        <f t="shared" si="41"/>
        <v>0</v>
      </c>
      <c r="DZ36" s="821">
        <f t="shared" si="42"/>
        <v>0</v>
      </c>
      <c r="EA36" s="821" t="str">
        <f t="shared" si="43"/>
        <v/>
      </c>
      <c r="EB36" s="822" t="str">
        <f t="shared" si="101"/>
        <v/>
      </c>
      <c r="EC36" s="856" t="str">
        <f t="shared" si="44"/>
        <v/>
      </c>
      <c r="ED36" s="1006">
        <f t="shared" si="102"/>
        <v>0</v>
      </c>
      <c r="EE36" s="1293" t="str">
        <f t="shared" si="45"/>
        <v/>
      </c>
      <c r="EF36" s="822" t="str">
        <f t="shared" si="103"/>
        <v/>
      </c>
      <c r="EG36" s="822" t="str">
        <f t="shared" si="104"/>
        <v/>
      </c>
      <c r="EH36" s="856" t="str">
        <f t="shared" si="46"/>
        <v>ERR</v>
      </c>
      <c r="EI36" s="856" t="str">
        <f t="shared" si="47"/>
        <v>ERR</v>
      </c>
      <c r="EJ36" s="822" t="str">
        <f t="shared" si="48"/>
        <v/>
      </c>
      <c r="EK36" s="822" t="str">
        <f t="shared" si="48"/>
        <v/>
      </c>
      <c r="EL36" s="1293" t="str">
        <f t="shared" si="49"/>
        <v/>
      </c>
      <c r="EM36" s="822" t="str">
        <f t="shared" si="105"/>
        <v/>
      </c>
      <c r="EN36" s="822" t="str">
        <f t="shared" si="106"/>
        <v/>
      </c>
      <c r="EO36" s="856" t="str">
        <f t="shared" si="50"/>
        <v>ERR</v>
      </c>
      <c r="EP36" s="856" t="str">
        <f t="shared" si="51"/>
        <v>ERR</v>
      </c>
      <c r="EQ36" s="822" t="str">
        <f t="shared" si="52"/>
        <v/>
      </c>
      <c r="ER36" s="822" t="str">
        <f t="shared" si="52"/>
        <v/>
      </c>
      <c r="ES36" s="822" t="str">
        <f t="shared" si="53"/>
        <v/>
      </c>
      <c r="ET36" s="822" t="str">
        <f t="shared" si="54"/>
        <v/>
      </c>
      <c r="EU36" s="829">
        <f t="shared" si="55"/>
        <v>4</v>
      </c>
      <c r="EV36" s="824" t="str">
        <f t="shared" si="107"/>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56"/>
        <v/>
      </c>
      <c r="FA36" s="829" t="str">
        <f>IF(AND(DE36="G", ISBLANK(BW36), ISBLANK(BX36)),VLOOKUP(MIN(BT36:BU36),TblJoistSize!$M$3:$N$10,2),IF(OR(DE36="B", DE36="G"),MIN(BW36:BX36),""))</f>
        <v/>
      </c>
      <c r="FB36" s="829" t="str">
        <f>IF(AND(DE36="G", ISBLANK(BW36), ISBLANK(BX36)),VLOOKUP(MAX(BT36:BU36),TblJoistSize!$M$3:$N$10,2),IF(OR(DE36="B", DE36="G"),MAX(BW36:BX36),""))</f>
        <v/>
      </c>
      <c r="FC36" s="829" t="str">
        <f t="shared" si="57"/>
        <v/>
      </c>
      <c r="FD36" s="822">
        <f t="shared" si="58"/>
        <v>0</v>
      </c>
      <c r="FE36" s="822">
        <f t="shared" si="59"/>
        <v>0</v>
      </c>
      <c r="FF36" s="821">
        <f t="shared" si="60"/>
        <v>0</v>
      </c>
      <c r="FG36" s="821" t="str">
        <f t="shared" si="61"/>
        <v/>
      </c>
      <c r="FH36" s="822" t="str">
        <f t="shared" si="62"/>
        <v/>
      </c>
      <c r="FI36" s="822">
        <f t="shared" si="63"/>
        <v>0</v>
      </c>
      <c r="FJ36" s="822">
        <f t="shared" si="64"/>
        <v>0</v>
      </c>
      <c r="FK36" s="821">
        <f t="shared" si="65"/>
        <v>0</v>
      </c>
      <c r="FL36" s="821" t="str">
        <f t="shared" si="66"/>
        <v/>
      </c>
      <c r="FM36" s="822" t="str">
        <f t="shared" si="67"/>
        <v/>
      </c>
      <c r="FN36" s="822" t="e">
        <f t="shared" si="68"/>
        <v>#VALUE!</v>
      </c>
      <c r="FO36" s="940" t="e">
        <f t="shared" si="69"/>
        <v>#VALUE!</v>
      </c>
      <c r="FP36" s="940" t="e">
        <f t="shared" si="70"/>
        <v>#VALUE!</v>
      </c>
      <c r="FQ36" s="830" t="e">
        <f t="shared" si="71"/>
        <v>#VALUE!</v>
      </c>
      <c r="FR36" s="831" t="e">
        <f t="shared" si="72"/>
        <v>#VALUE!</v>
      </c>
      <c r="FS36" s="832" t="str">
        <f t="shared" si="73"/>
        <v/>
      </c>
      <c r="FT36" s="833" t="str">
        <f t="shared" si="74"/>
        <v/>
      </c>
      <c r="FU36" s="870">
        <f t="shared" si="75"/>
        <v>0</v>
      </c>
      <c r="FV36" s="871">
        <f t="shared" si="76"/>
        <v>0</v>
      </c>
      <c r="GA36" s="1791">
        <v>39</v>
      </c>
      <c r="GB36" s="1792">
        <v>3</v>
      </c>
      <c r="GC36" s="1793">
        <v>-0.25</v>
      </c>
      <c r="GD36" s="1794">
        <v>-0.5</v>
      </c>
      <c r="GE36" s="1795">
        <f t="shared" si="77"/>
        <v>0</v>
      </c>
      <c r="GF36" s="600" t="str">
        <f t="shared" si="78"/>
        <v>J14</v>
      </c>
      <c r="GG36" s="1130">
        <v>0</v>
      </c>
      <c r="GH36" s="1131">
        <v>0</v>
      </c>
      <c r="GI36" s="1130"/>
      <c r="GJ36" s="1131"/>
      <c r="GK36" s="1636">
        <f t="shared" si="79"/>
        <v>470.25</v>
      </c>
      <c r="GL36" s="1636">
        <f t="shared" si="80"/>
        <v>470.25</v>
      </c>
      <c r="GM36" s="1637">
        <f>IF(ABS(GK36-GL36)&gt;='Job Info.'!$L$22,ABS(GK36-GL36),0)</f>
        <v>0</v>
      </c>
      <c r="GZ36" s="415"/>
      <c r="HA36" s="1391" t="s">
        <v>1444</v>
      </c>
      <c r="HB36" s="1392">
        <v>1</v>
      </c>
      <c r="HC36" s="1392" t="s">
        <v>1592</v>
      </c>
      <c r="HD36" s="1393">
        <v>39</v>
      </c>
      <c r="HE36" s="1394">
        <v>2.25</v>
      </c>
      <c r="HF36" s="1392" t="s">
        <v>116</v>
      </c>
      <c r="HG36" s="1392" t="s">
        <v>116</v>
      </c>
      <c r="HH36" s="1392" t="s">
        <v>116</v>
      </c>
      <c r="HI36" s="1395" t="s">
        <v>116</v>
      </c>
      <c r="HJ36" s="1392" t="s">
        <v>116</v>
      </c>
      <c r="HK36" s="1392" t="s">
        <v>116</v>
      </c>
      <c r="HL36" s="1392">
        <v>5</v>
      </c>
      <c r="HM36" s="1392">
        <v>5</v>
      </c>
      <c r="HN36" s="1392" t="s">
        <v>116</v>
      </c>
      <c r="HO36" s="1392" t="s">
        <v>116</v>
      </c>
      <c r="HP36" s="1392" t="s">
        <v>116</v>
      </c>
      <c r="HQ36" s="1395" t="s">
        <v>116</v>
      </c>
      <c r="HR36" s="1392" t="s">
        <v>116</v>
      </c>
      <c r="HS36" s="1392" t="s">
        <v>116</v>
      </c>
      <c r="HT36" s="1392">
        <v>0</v>
      </c>
      <c r="HU36" s="1392">
        <v>2.25</v>
      </c>
      <c r="HV36" s="1392">
        <v>0</v>
      </c>
      <c r="HW36" s="1394">
        <v>2</v>
      </c>
      <c r="HX36" s="1394">
        <v>4</v>
      </c>
      <c r="HY36" s="1394" t="s">
        <v>116</v>
      </c>
      <c r="HZ36" s="1394" t="s">
        <v>116</v>
      </c>
      <c r="IA36" s="1394" t="s">
        <v>1654</v>
      </c>
      <c r="IB36" s="1394"/>
      <c r="IC36" s="1394"/>
      <c r="ID36" s="1394"/>
      <c r="IE36" s="1394"/>
      <c r="IF36" s="1396"/>
    </row>
    <row r="37" spans="1:240" ht="12.6" customHeight="1" x14ac:dyDescent="0.25">
      <c r="A37" s="1448" t="s">
        <v>1445</v>
      </c>
      <c r="B37" s="1681">
        <v>1</v>
      </c>
      <c r="C37" s="1449" t="s">
        <v>1592</v>
      </c>
      <c r="D37" s="1705">
        <v>39</v>
      </c>
      <c r="E37" s="1778">
        <v>2.25</v>
      </c>
      <c r="F37" s="1708" t="str">
        <f t="shared" si="86"/>
        <v/>
      </c>
      <c r="G37" s="1709" t="str">
        <f t="shared" si="87"/>
        <v/>
      </c>
      <c r="H37" s="1779" t="str">
        <f t="shared" si="88"/>
        <v/>
      </c>
      <c r="I37" s="1705" t="str">
        <f t="shared" si="89"/>
        <v/>
      </c>
      <c r="J37" s="1709" t="str">
        <f t="shared" si="90"/>
        <v/>
      </c>
      <c r="K37" s="1780" t="str">
        <f t="shared" si="91"/>
        <v/>
      </c>
      <c r="L37" s="1712">
        <v>5</v>
      </c>
      <c r="M37" s="1713">
        <v>5</v>
      </c>
      <c r="N37" s="1708" t="str">
        <f t="shared" si="92"/>
        <v/>
      </c>
      <c r="O37" s="1709" t="str">
        <f t="shared" si="93"/>
        <v/>
      </c>
      <c r="P37" s="1710" t="str">
        <f t="shared" si="94"/>
        <v/>
      </c>
      <c r="Q37" s="1705" t="str">
        <f t="shared" si="95"/>
        <v/>
      </c>
      <c r="R37" s="1709" t="str">
        <f t="shared" si="96"/>
        <v/>
      </c>
      <c r="S37" s="1753" t="str">
        <f t="shared" si="97"/>
        <v/>
      </c>
      <c r="T37" s="1708">
        <v>0</v>
      </c>
      <c r="U37" s="1709">
        <v>2.25</v>
      </c>
      <c r="V37" s="1705">
        <v>0</v>
      </c>
      <c r="W37" s="1709">
        <v>2</v>
      </c>
      <c r="X37" s="1750">
        <v>4</v>
      </c>
      <c r="Y37" s="1781" t="str">
        <f t="shared" si="98"/>
        <v/>
      </c>
      <c r="Z37" s="1782" t="str">
        <f t="shared" si="99"/>
        <v/>
      </c>
      <c r="AA37" s="1783" t="s">
        <v>1716</v>
      </c>
      <c r="AB37" s="1413"/>
      <c r="AC37" s="964" t="b">
        <v>0</v>
      </c>
      <c r="AD37" s="441">
        <f t="shared" si="1"/>
        <v>0</v>
      </c>
      <c r="AE37" s="442">
        <f t="shared" si="2"/>
        <v>1</v>
      </c>
      <c r="AF37" s="442">
        <f t="shared" si="3"/>
        <v>0</v>
      </c>
      <c r="AG37" s="442">
        <f t="shared" si="4"/>
        <v>0</v>
      </c>
      <c r="AH37" s="443">
        <f t="shared" si="5"/>
        <v>0</v>
      </c>
      <c r="AI37" s="444" t="b">
        <v>0</v>
      </c>
      <c r="AJ37" s="238">
        <f t="shared" si="108"/>
        <v>32</v>
      </c>
      <c r="AK37" s="238" t="str">
        <f t="shared" si="6"/>
        <v>LH</v>
      </c>
      <c r="AL37" s="1290" t="str">
        <f t="shared" si="7"/>
        <v/>
      </c>
      <c r="AM37" s="238">
        <f t="shared" si="8"/>
        <v>305</v>
      </c>
      <c r="AN37" s="238">
        <f t="shared" si="9"/>
        <v>180</v>
      </c>
      <c r="AO37" s="238" t="str">
        <f t="shared" si="10"/>
        <v/>
      </c>
      <c r="AP37" s="830" t="b">
        <f>IF(ISERROR(AJ37),FALSE,IF(OR(AJ37=0,ISERROR(AL37),ISERROR(AM37),ISERROR(AN37),ISERROR(AO37)),FALSE,IF(AL37&lt;&gt;"",IF(ISERROR(VLOOKUP(SUBSTITUTE(SUBSTITUTE(C37,"R",""),"A",""),TblJoistSize!$A:$A,1,FALSE)),FALSE,TRUE),TRUE)))</f>
        <v>1</v>
      </c>
      <c r="AQ37" s="1038">
        <f t="shared" si="11"/>
        <v>6</v>
      </c>
      <c r="AR37" s="945" t="b">
        <f t="shared" si="83"/>
        <v>1</v>
      </c>
      <c r="AS37" s="1038">
        <f t="shared" si="12"/>
        <v>6</v>
      </c>
      <c r="AT37" s="945" t="b">
        <f t="shared" si="84"/>
        <v>1</v>
      </c>
      <c r="AU37" s="1291" t="str">
        <f t="shared" si="13"/>
        <v>LH</v>
      </c>
      <c r="AV37" s="830" t="str">
        <f t="shared" si="14"/>
        <v/>
      </c>
      <c r="AW37" s="830" t="str">
        <f t="shared" si="81"/>
        <v>LH</v>
      </c>
      <c r="AX37" s="830" t="str">
        <f t="shared" si="85"/>
        <v>J15</v>
      </c>
      <c r="AY37" s="464" t="b">
        <f t="shared" si="15"/>
        <v>0</v>
      </c>
      <c r="AZ37" s="856" t="b">
        <f t="shared" si="82"/>
        <v>0</v>
      </c>
      <c r="BA37" s="549"/>
      <c r="BB37" s="672"/>
      <c r="BC37" s="1684"/>
      <c r="BD37" s="733"/>
      <c r="BE37" s="734"/>
      <c r="BF37" s="735"/>
      <c r="BG37" s="672"/>
      <c r="BH37" s="982"/>
      <c r="BI37" s="983"/>
      <c r="BJ37" s="1625"/>
      <c r="BK37" s="982"/>
      <c r="BL37" s="983"/>
      <c r="BM37" s="1569"/>
      <c r="BN37" s="1570"/>
      <c r="BO37" s="1617" t="str">
        <f>IF(ISERROR(CU37),"",IF(CU37="","",IF(VLOOKUP(BG37,SectInfo!$B:$N,10,FALSE)="","","X")))</f>
        <v/>
      </c>
      <c r="BP37" s="1561"/>
      <c r="BQ37" s="1562" t="str">
        <f t="shared" si="16"/>
        <v/>
      </c>
      <c r="BR37" s="1563"/>
      <c r="BS37" s="672"/>
      <c r="BT37" s="982"/>
      <c r="BU37" s="983"/>
      <c r="BV37" s="1625"/>
      <c r="BW37" s="982"/>
      <c r="BX37" s="983"/>
      <c r="BY37" s="1569"/>
      <c r="BZ37" s="1570"/>
      <c r="CA37" s="1617" t="str">
        <f>IF(ISERROR(DE37),"",IF(DE37="","",IF(VLOOKUP(BS37,SectInfo!$B:$N,10,FALSE)="","","X")))</f>
        <v/>
      </c>
      <c r="CB37" s="1561"/>
      <c r="CC37" s="1562" t="str">
        <f t="shared" si="17"/>
        <v/>
      </c>
      <c r="CD37" s="1563"/>
      <c r="CE37" s="1574"/>
      <c r="CF37" s="736"/>
      <c r="CG37" s="737"/>
      <c r="CH37" s="643" t="str">
        <f t="shared" si="18"/>
        <v/>
      </c>
      <c r="CI37" s="644" t="str">
        <f t="shared" si="19"/>
        <v/>
      </c>
      <c r="CJ37" s="645" t="str">
        <f t="shared" si="20"/>
        <v/>
      </c>
      <c r="CK37" s="852" t="str">
        <f t="shared" si="21"/>
        <v/>
      </c>
      <c r="CL37" s="847" t="str">
        <f t="shared" si="22"/>
        <v/>
      </c>
      <c r="CM37" s="848" t="str">
        <f t="shared" si="23"/>
        <v/>
      </c>
      <c r="CN37" s="611" t="str">
        <f t="shared" si="24"/>
        <v/>
      </c>
      <c r="CO37" s="612" t="str">
        <f t="shared" si="25"/>
        <v/>
      </c>
      <c r="CP37" s="615" t="str">
        <f t="shared" si="26"/>
        <v/>
      </c>
      <c r="CQ37" s="616" t="str">
        <f t="shared" si="27"/>
        <v/>
      </c>
      <c r="CR37" s="750">
        <f t="shared" si="28"/>
        <v>5</v>
      </c>
      <c r="CS37" s="751">
        <f t="shared" si="29"/>
        <v>5</v>
      </c>
      <c r="CU37" s="114" t="str">
        <f>IF(BG37="","",VLOOKUP(BG37,SectInfo!$B:$N,12,FALSE))</f>
        <v/>
      </c>
      <c r="CV37" s="115" t="str">
        <f>IF(BG37="","",IF(ISBLANK(BP37),VLOOKUP(BG37,SectInfo!$B:$N,13,FALSE),BP37))</f>
        <v/>
      </c>
      <c r="CW37" s="1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115" t="str">
        <f>IF(BG37="","",IF(VLOOKUP(BG37,SectInfo!$B:$N,7,FALSE)="","",(VLOOKUP(BG37,SectInfo!$B:$N,7,FALSE)*-1)))</f>
        <v/>
      </c>
      <c r="DB37" s="815" t="str">
        <f>IF(BG37="","",IF(VLOOKUP(BG37,SectInfo!$B:$N,8,FALSE)="",VLOOKUP(AU37,$DF$2:$DN$9,6,FALSE),(VLOOKUP(BG37,SectInfo!$B:$N,8,FALSE))))</f>
        <v/>
      </c>
      <c r="DC37" s="815" t="str">
        <f>IF(BG37="","",VLOOKUP(BG37,SectInfo!$B:$N,9,FALSE))</f>
        <v/>
      </c>
      <c r="DD37" s="816">
        <f t="shared" si="30"/>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31"/>
        <v>0</v>
      </c>
      <c r="DO37" s="818">
        <f t="shared" si="32"/>
        <v>0</v>
      </c>
      <c r="DP37" s="822" t="str">
        <f t="shared" si="33"/>
        <v/>
      </c>
      <c r="DQ37" s="822" t="str">
        <f t="shared" si="34"/>
        <v/>
      </c>
      <c r="DR37" s="822" t="str">
        <f t="shared" si="35"/>
        <v/>
      </c>
      <c r="DS37" s="821">
        <f t="shared" si="36"/>
        <v>0</v>
      </c>
      <c r="DT37" s="821">
        <f t="shared" si="37"/>
        <v>0</v>
      </c>
      <c r="DU37" s="821" t="str">
        <f t="shared" si="38"/>
        <v/>
      </c>
      <c r="DV37" s="822" t="str">
        <f t="shared" si="39"/>
        <v/>
      </c>
      <c r="DW37" s="856" t="str">
        <f t="shared" si="40"/>
        <v/>
      </c>
      <c r="DX37" s="1006">
        <f t="shared" si="100"/>
        <v>0</v>
      </c>
      <c r="DY37" s="822">
        <f t="shared" si="41"/>
        <v>0</v>
      </c>
      <c r="DZ37" s="821">
        <f t="shared" si="42"/>
        <v>0</v>
      </c>
      <c r="EA37" s="821" t="str">
        <f t="shared" si="43"/>
        <v/>
      </c>
      <c r="EB37" s="822" t="str">
        <f t="shared" si="101"/>
        <v/>
      </c>
      <c r="EC37" s="856" t="str">
        <f t="shared" si="44"/>
        <v/>
      </c>
      <c r="ED37" s="1006">
        <f t="shared" si="102"/>
        <v>0</v>
      </c>
      <c r="EE37" s="1293" t="str">
        <f t="shared" si="45"/>
        <v/>
      </c>
      <c r="EF37" s="822" t="str">
        <f t="shared" si="103"/>
        <v/>
      </c>
      <c r="EG37" s="822" t="str">
        <f t="shared" si="104"/>
        <v/>
      </c>
      <c r="EH37" s="856" t="str">
        <f t="shared" si="46"/>
        <v>ERR</v>
      </c>
      <c r="EI37" s="856" t="str">
        <f t="shared" si="47"/>
        <v>ERR</v>
      </c>
      <c r="EJ37" s="822" t="str">
        <f t="shared" si="48"/>
        <v/>
      </c>
      <c r="EK37" s="822" t="str">
        <f t="shared" si="48"/>
        <v/>
      </c>
      <c r="EL37" s="1293" t="str">
        <f t="shared" si="49"/>
        <v/>
      </c>
      <c r="EM37" s="822" t="str">
        <f t="shared" si="105"/>
        <v/>
      </c>
      <c r="EN37" s="822" t="str">
        <f t="shared" si="106"/>
        <v/>
      </c>
      <c r="EO37" s="856" t="str">
        <f t="shared" si="50"/>
        <v>ERR</v>
      </c>
      <c r="EP37" s="856" t="str">
        <f t="shared" si="51"/>
        <v>ERR</v>
      </c>
      <c r="EQ37" s="822" t="str">
        <f t="shared" si="52"/>
        <v/>
      </c>
      <c r="ER37" s="822" t="str">
        <f t="shared" si="52"/>
        <v/>
      </c>
      <c r="ES37" s="822" t="str">
        <f t="shared" si="53"/>
        <v/>
      </c>
      <c r="ET37" s="822" t="str">
        <f t="shared" si="54"/>
        <v/>
      </c>
      <c r="EU37" s="829">
        <f t="shared" si="55"/>
        <v>4</v>
      </c>
      <c r="EV37" s="824" t="str">
        <f t="shared" si="107"/>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56"/>
        <v/>
      </c>
      <c r="FA37" s="829" t="str">
        <f>IF(AND(DE37="G", ISBLANK(BW37), ISBLANK(BX37)),VLOOKUP(MIN(BT37:BU37),TblJoistSize!$M$3:$N$10,2),IF(OR(DE37="B", DE37="G"),MIN(BW37:BX37),""))</f>
        <v/>
      </c>
      <c r="FB37" s="829" t="str">
        <f>IF(AND(DE37="G", ISBLANK(BW37), ISBLANK(BX37)),VLOOKUP(MAX(BT37:BU37),TblJoistSize!$M$3:$N$10,2),IF(OR(DE37="B", DE37="G"),MAX(BW37:BX37),""))</f>
        <v/>
      </c>
      <c r="FC37" s="829" t="str">
        <f t="shared" si="57"/>
        <v/>
      </c>
      <c r="FD37" s="822">
        <f t="shared" si="58"/>
        <v>0</v>
      </c>
      <c r="FE37" s="822">
        <f t="shared" si="59"/>
        <v>0</v>
      </c>
      <c r="FF37" s="821">
        <f t="shared" si="60"/>
        <v>0</v>
      </c>
      <c r="FG37" s="821" t="str">
        <f t="shared" si="61"/>
        <v/>
      </c>
      <c r="FH37" s="822" t="str">
        <f t="shared" si="62"/>
        <v/>
      </c>
      <c r="FI37" s="822">
        <f t="shared" si="63"/>
        <v>0</v>
      </c>
      <c r="FJ37" s="822">
        <f t="shared" si="64"/>
        <v>0</v>
      </c>
      <c r="FK37" s="821">
        <f t="shared" si="65"/>
        <v>0</v>
      </c>
      <c r="FL37" s="821" t="str">
        <f t="shared" si="66"/>
        <v/>
      </c>
      <c r="FM37" s="822" t="str">
        <f t="shared" si="67"/>
        <v/>
      </c>
      <c r="FN37" s="822" t="e">
        <f t="shared" si="68"/>
        <v>#VALUE!</v>
      </c>
      <c r="FO37" s="940" t="e">
        <f t="shared" si="69"/>
        <v>#VALUE!</v>
      </c>
      <c r="FP37" s="940" t="e">
        <f t="shared" si="70"/>
        <v>#VALUE!</v>
      </c>
      <c r="FQ37" s="830" t="e">
        <f t="shared" si="71"/>
        <v>#VALUE!</v>
      </c>
      <c r="FR37" s="831" t="e">
        <f t="shared" si="72"/>
        <v>#VALUE!</v>
      </c>
      <c r="FS37" s="832" t="str">
        <f t="shared" si="73"/>
        <v/>
      </c>
      <c r="FT37" s="833" t="str">
        <f t="shared" si="74"/>
        <v/>
      </c>
      <c r="FU37" s="870">
        <f t="shared" si="75"/>
        <v>0</v>
      </c>
      <c r="FV37" s="871">
        <f t="shared" si="76"/>
        <v>0</v>
      </c>
      <c r="GA37" s="1791">
        <v>39</v>
      </c>
      <c r="GB37" s="1792">
        <v>3</v>
      </c>
      <c r="GC37" s="1793">
        <v>-0.25</v>
      </c>
      <c r="GD37" s="1794">
        <v>-0.5</v>
      </c>
      <c r="GE37" s="1795">
        <f t="shared" si="77"/>
        <v>0</v>
      </c>
      <c r="GF37" s="600" t="str">
        <f t="shared" si="78"/>
        <v>J15</v>
      </c>
      <c r="GG37" s="1130">
        <v>0</v>
      </c>
      <c r="GH37" s="1131">
        <v>0</v>
      </c>
      <c r="GI37" s="1130"/>
      <c r="GJ37" s="1131"/>
      <c r="GK37" s="1636">
        <f t="shared" si="79"/>
        <v>470.25</v>
      </c>
      <c r="GL37" s="1636">
        <f t="shared" si="80"/>
        <v>470.25</v>
      </c>
      <c r="GM37" s="1637">
        <f>IF(ABS(GK37-GL37)&gt;='Job Info.'!$L$22,ABS(GK37-GL37),0)</f>
        <v>0</v>
      </c>
      <c r="GZ37" s="415"/>
      <c r="HA37" s="1391" t="s">
        <v>1445</v>
      </c>
      <c r="HB37" s="1392">
        <v>1</v>
      </c>
      <c r="HC37" s="1392" t="s">
        <v>1592</v>
      </c>
      <c r="HD37" s="1393">
        <v>39</v>
      </c>
      <c r="HE37" s="1394">
        <v>2.25</v>
      </c>
      <c r="HF37" s="1392" t="s">
        <v>116</v>
      </c>
      <c r="HG37" s="1392" t="s">
        <v>116</v>
      </c>
      <c r="HH37" s="1392" t="s">
        <v>116</v>
      </c>
      <c r="HI37" s="1395" t="s">
        <v>116</v>
      </c>
      <c r="HJ37" s="1392" t="s">
        <v>116</v>
      </c>
      <c r="HK37" s="1392" t="s">
        <v>116</v>
      </c>
      <c r="HL37" s="1392">
        <v>5</v>
      </c>
      <c r="HM37" s="1392">
        <v>5</v>
      </c>
      <c r="HN37" s="1392" t="s">
        <v>116</v>
      </c>
      <c r="HO37" s="1392" t="s">
        <v>116</v>
      </c>
      <c r="HP37" s="1392" t="s">
        <v>116</v>
      </c>
      <c r="HQ37" s="1395" t="s">
        <v>116</v>
      </c>
      <c r="HR37" s="1392" t="s">
        <v>116</v>
      </c>
      <c r="HS37" s="1392" t="s">
        <v>116</v>
      </c>
      <c r="HT37" s="1392">
        <v>0</v>
      </c>
      <c r="HU37" s="1392">
        <v>2.25</v>
      </c>
      <c r="HV37" s="1392">
        <v>0</v>
      </c>
      <c r="HW37" s="1394">
        <v>2</v>
      </c>
      <c r="HX37" s="1394">
        <v>4</v>
      </c>
      <c r="HY37" s="1394" t="s">
        <v>116</v>
      </c>
      <c r="HZ37" s="1394" t="s">
        <v>116</v>
      </c>
      <c r="IA37" s="1394" t="s">
        <v>1655</v>
      </c>
      <c r="IB37" s="1394"/>
      <c r="IC37" s="1394"/>
      <c r="ID37" s="1394"/>
      <c r="IE37" s="1394"/>
      <c r="IF37" s="1396"/>
    </row>
    <row r="38" spans="1:240" ht="12.6" customHeight="1" x14ac:dyDescent="0.25">
      <c r="A38" s="1448" t="s">
        <v>1446</v>
      </c>
      <c r="B38" s="1681">
        <v>2</v>
      </c>
      <c r="C38" s="1449" t="s">
        <v>1592</v>
      </c>
      <c r="D38" s="1705">
        <v>40</v>
      </c>
      <c r="E38" s="1778">
        <v>0</v>
      </c>
      <c r="F38" s="1708" t="str">
        <f t="shared" si="86"/>
        <v/>
      </c>
      <c r="G38" s="1709" t="str">
        <f t="shared" si="87"/>
        <v/>
      </c>
      <c r="H38" s="1779" t="str">
        <f t="shared" si="88"/>
        <v/>
      </c>
      <c r="I38" s="1705" t="str">
        <f t="shared" si="89"/>
        <v/>
      </c>
      <c r="J38" s="1709" t="str">
        <f t="shared" si="90"/>
        <v/>
      </c>
      <c r="K38" s="1780" t="str">
        <f t="shared" si="91"/>
        <v/>
      </c>
      <c r="L38" s="1712">
        <v>5</v>
      </c>
      <c r="M38" s="1713">
        <v>5</v>
      </c>
      <c r="N38" s="1708" t="str">
        <f t="shared" si="92"/>
        <v/>
      </c>
      <c r="O38" s="1709" t="str">
        <f t="shared" si="93"/>
        <v/>
      </c>
      <c r="P38" s="1710" t="str">
        <f t="shared" si="94"/>
        <v/>
      </c>
      <c r="Q38" s="1705" t="str">
        <f t="shared" si="95"/>
        <v/>
      </c>
      <c r="R38" s="1709" t="str">
        <f t="shared" si="96"/>
        <v/>
      </c>
      <c r="S38" s="1753" t="str">
        <f t="shared" si="97"/>
        <v/>
      </c>
      <c r="T38" s="1708">
        <v>0</v>
      </c>
      <c r="U38" s="1709">
        <v>2.25</v>
      </c>
      <c r="V38" s="1705">
        <v>0</v>
      </c>
      <c r="W38" s="1709">
        <v>2</v>
      </c>
      <c r="X38" s="1750">
        <v>4</v>
      </c>
      <c r="Y38" s="1781" t="str">
        <f t="shared" si="98"/>
        <v/>
      </c>
      <c r="Z38" s="1782" t="str">
        <f t="shared" si="99"/>
        <v/>
      </c>
      <c r="AA38" s="1783" t="s">
        <v>1717</v>
      </c>
      <c r="AB38" s="1413"/>
      <c r="AC38" s="964" t="b">
        <v>0</v>
      </c>
      <c r="AD38" s="441">
        <f t="shared" si="1"/>
        <v>0</v>
      </c>
      <c r="AE38" s="442">
        <f t="shared" si="2"/>
        <v>2</v>
      </c>
      <c r="AF38" s="442">
        <f t="shared" si="3"/>
        <v>0</v>
      </c>
      <c r="AG38" s="442">
        <f t="shared" si="4"/>
        <v>0</v>
      </c>
      <c r="AH38" s="443">
        <f t="shared" si="5"/>
        <v>0</v>
      </c>
      <c r="AI38" s="444" t="b">
        <v>0</v>
      </c>
      <c r="AJ38" s="238">
        <f t="shared" si="108"/>
        <v>32</v>
      </c>
      <c r="AK38" s="238" t="str">
        <f t="shared" si="6"/>
        <v>LH</v>
      </c>
      <c r="AL38" s="1290" t="str">
        <f t="shared" si="7"/>
        <v/>
      </c>
      <c r="AM38" s="238">
        <f t="shared" si="8"/>
        <v>305</v>
      </c>
      <c r="AN38" s="238">
        <f t="shared" si="9"/>
        <v>180</v>
      </c>
      <c r="AO38" s="238" t="str">
        <f t="shared" si="10"/>
        <v/>
      </c>
      <c r="AP38" s="830" t="b">
        <f>IF(ISERROR(AJ38),FALSE,IF(OR(AJ38=0,ISERROR(AL38),ISERROR(AM38),ISERROR(AN38),ISERROR(AO38)),FALSE,IF(AL38&lt;&gt;"",IF(ISERROR(VLOOKUP(SUBSTITUTE(SUBSTITUTE(C38,"R",""),"A",""),TblJoistSize!$A:$A,1,FALSE)),FALSE,TRUE),TRUE)))</f>
        <v>1</v>
      </c>
      <c r="AQ38" s="1038">
        <f t="shared" si="11"/>
        <v>6</v>
      </c>
      <c r="AR38" s="945" t="b">
        <f t="shared" si="83"/>
        <v>1</v>
      </c>
      <c r="AS38" s="1038">
        <f t="shared" si="12"/>
        <v>6</v>
      </c>
      <c r="AT38" s="945" t="b">
        <f t="shared" si="84"/>
        <v>1</v>
      </c>
      <c r="AU38" s="1291" t="str">
        <f t="shared" si="13"/>
        <v>LH</v>
      </c>
      <c r="AV38" s="830" t="str">
        <f t="shared" si="14"/>
        <v/>
      </c>
      <c r="AW38" s="830" t="str">
        <f t="shared" si="81"/>
        <v>LH</v>
      </c>
      <c r="AX38" s="830" t="str">
        <f t="shared" si="85"/>
        <v>J16</v>
      </c>
      <c r="AY38" s="464" t="b">
        <f t="shared" si="15"/>
        <v>0</v>
      </c>
      <c r="AZ38" s="856" t="b">
        <f t="shared" si="82"/>
        <v>0</v>
      </c>
      <c r="BA38" s="549"/>
      <c r="BB38" s="672"/>
      <c r="BC38" s="1684"/>
      <c r="BD38" s="733"/>
      <c r="BE38" s="734"/>
      <c r="BF38" s="735"/>
      <c r="BG38" s="672"/>
      <c r="BH38" s="982"/>
      <c r="BI38" s="983"/>
      <c r="BJ38" s="1625"/>
      <c r="BK38" s="982"/>
      <c r="BL38" s="983"/>
      <c r="BM38" s="1569"/>
      <c r="BN38" s="1570"/>
      <c r="BO38" s="1617" t="str">
        <f>IF(ISERROR(CU38),"",IF(CU38="","",IF(VLOOKUP(BG38,SectInfo!$B:$N,10,FALSE)="","","X")))</f>
        <v/>
      </c>
      <c r="BP38" s="1561"/>
      <c r="BQ38" s="1562" t="str">
        <f t="shared" si="16"/>
        <v/>
      </c>
      <c r="BR38" s="1563"/>
      <c r="BS38" s="672"/>
      <c r="BT38" s="982"/>
      <c r="BU38" s="983"/>
      <c r="BV38" s="1625"/>
      <c r="BW38" s="982"/>
      <c r="BX38" s="983"/>
      <c r="BY38" s="1569"/>
      <c r="BZ38" s="1570"/>
      <c r="CA38" s="1617" t="str">
        <f>IF(ISERROR(DE38),"",IF(DE38="","",IF(VLOOKUP(BS38,SectInfo!$B:$N,10,FALSE)="","","X")))</f>
        <v/>
      </c>
      <c r="CB38" s="1561"/>
      <c r="CC38" s="1562" t="str">
        <f t="shared" si="17"/>
        <v/>
      </c>
      <c r="CD38" s="1563"/>
      <c r="CE38" s="1574"/>
      <c r="CF38" s="736"/>
      <c r="CG38" s="737"/>
      <c r="CH38" s="643" t="str">
        <f t="shared" si="18"/>
        <v/>
      </c>
      <c r="CI38" s="644" t="str">
        <f t="shared" si="19"/>
        <v/>
      </c>
      <c r="CJ38" s="645" t="str">
        <f t="shared" si="20"/>
        <v/>
      </c>
      <c r="CK38" s="852" t="str">
        <f t="shared" si="21"/>
        <v/>
      </c>
      <c r="CL38" s="847" t="str">
        <f t="shared" si="22"/>
        <v/>
      </c>
      <c r="CM38" s="848" t="str">
        <f t="shared" si="23"/>
        <v/>
      </c>
      <c r="CN38" s="611" t="str">
        <f t="shared" si="24"/>
        <v/>
      </c>
      <c r="CO38" s="612" t="str">
        <f t="shared" si="25"/>
        <v/>
      </c>
      <c r="CP38" s="615" t="str">
        <f t="shared" si="26"/>
        <v/>
      </c>
      <c r="CQ38" s="616" t="str">
        <f t="shared" si="27"/>
        <v/>
      </c>
      <c r="CR38" s="750">
        <f t="shared" si="28"/>
        <v>5</v>
      </c>
      <c r="CS38" s="751">
        <f t="shared" si="29"/>
        <v>5</v>
      </c>
      <c r="CU38" s="114" t="str">
        <f>IF(BG38="","",VLOOKUP(BG38,SectInfo!$B:$N,12,FALSE))</f>
        <v/>
      </c>
      <c r="CV38" s="115" t="str">
        <f>IF(BG38="","",IF(ISBLANK(BP38),VLOOKUP(BG38,SectInfo!$B:$N,13,FALSE),BP38))</f>
        <v/>
      </c>
      <c r="CW38" s="1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115" t="str">
        <f>IF(BG38="","",IF(VLOOKUP(BG38,SectInfo!$B:$N,7,FALSE)="","",(VLOOKUP(BG38,SectInfo!$B:$N,7,FALSE)*-1)))</f>
        <v/>
      </c>
      <c r="DB38" s="815" t="str">
        <f>IF(BG38="","",IF(VLOOKUP(BG38,SectInfo!$B:$N,8,FALSE)="",VLOOKUP(AU38,$DF$2:$DN$9,6,FALSE),(VLOOKUP(BG38,SectInfo!$B:$N,8,FALSE))))</f>
        <v/>
      </c>
      <c r="DC38" s="815" t="str">
        <f>IF(BG38="","",VLOOKUP(BG38,SectInfo!$B:$N,9,FALSE))</f>
        <v/>
      </c>
      <c r="DD38" s="816">
        <f t="shared" si="30"/>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31"/>
        <v>0</v>
      </c>
      <c r="DO38" s="818">
        <f t="shared" si="32"/>
        <v>0</v>
      </c>
      <c r="DP38" s="822" t="str">
        <f t="shared" si="33"/>
        <v/>
      </c>
      <c r="DQ38" s="822" t="str">
        <f t="shared" si="34"/>
        <v/>
      </c>
      <c r="DR38" s="822" t="str">
        <f t="shared" si="35"/>
        <v/>
      </c>
      <c r="DS38" s="821">
        <f t="shared" si="36"/>
        <v>0</v>
      </c>
      <c r="DT38" s="821">
        <f t="shared" si="37"/>
        <v>0</v>
      </c>
      <c r="DU38" s="821" t="str">
        <f t="shared" si="38"/>
        <v/>
      </c>
      <c r="DV38" s="822" t="str">
        <f t="shared" si="39"/>
        <v/>
      </c>
      <c r="DW38" s="856" t="str">
        <f t="shared" si="40"/>
        <v/>
      </c>
      <c r="DX38" s="1006">
        <f t="shared" si="100"/>
        <v>0</v>
      </c>
      <c r="DY38" s="822">
        <f t="shared" si="41"/>
        <v>0</v>
      </c>
      <c r="DZ38" s="821">
        <f t="shared" si="42"/>
        <v>0</v>
      </c>
      <c r="EA38" s="821" t="str">
        <f t="shared" si="43"/>
        <v/>
      </c>
      <c r="EB38" s="822" t="str">
        <f t="shared" si="101"/>
        <v/>
      </c>
      <c r="EC38" s="856" t="str">
        <f t="shared" si="44"/>
        <v/>
      </c>
      <c r="ED38" s="1006">
        <f t="shared" si="102"/>
        <v>0</v>
      </c>
      <c r="EE38" s="1293" t="str">
        <f t="shared" si="45"/>
        <v/>
      </c>
      <c r="EF38" s="822" t="str">
        <f t="shared" si="103"/>
        <v/>
      </c>
      <c r="EG38" s="822" t="str">
        <f t="shared" si="104"/>
        <v/>
      </c>
      <c r="EH38" s="856" t="str">
        <f t="shared" si="46"/>
        <v>ERR</v>
      </c>
      <c r="EI38" s="856" t="str">
        <f t="shared" si="47"/>
        <v>ERR</v>
      </c>
      <c r="EJ38" s="822" t="str">
        <f t="shared" si="48"/>
        <v/>
      </c>
      <c r="EK38" s="822" t="str">
        <f t="shared" si="48"/>
        <v/>
      </c>
      <c r="EL38" s="1293" t="str">
        <f t="shared" si="49"/>
        <v/>
      </c>
      <c r="EM38" s="822" t="str">
        <f t="shared" si="105"/>
        <v/>
      </c>
      <c r="EN38" s="822" t="str">
        <f t="shared" si="106"/>
        <v/>
      </c>
      <c r="EO38" s="856" t="str">
        <f t="shared" si="50"/>
        <v>ERR</v>
      </c>
      <c r="EP38" s="856" t="str">
        <f t="shared" si="51"/>
        <v>ERR</v>
      </c>
      <c r="EQ38" s="822" t="str">
        <f t="shared" si="52"/>
        <v/>
      </c>
      <c r="ER38" s="822" t="str">
        <f t="shared" si="52"/>
        <v/>
      </c>
      <c r="ES38" s="822" t="str">
        <f t="shared" si="53"/>
        <v/>
      </c>
      <c r="ET38" s="822" t="str">
        <f t="shared" si="54"/>
        <v/>
      </c>
      <c r="EU38" s="829">
        <f t="shared" si="55"/>
        <v>4</v>
      </c>
      <c r="EV38" s="824" t="str">
        <f t="shared" si="107"/>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56"/>
        <v/>
      </c>
      <c r="FA38" s="829" t="str">
        <f>IF(AND(DE38="G", ISBLANK(BW38), ISBLANK(BX38)),VLOOKUP(MIN(BT38:BU38),TblJoistSize!$M$3:$N$10,2),IF(OR(DE38="B", DE38="G"),MIN(BW38:BX38),""))</f>
        <v/>
      </c>
      <c r="FB38" s="829" t="str">
        <f>IF(AND(DE38="G", ISBLANK(BW38), ISBLANK(BX38)),VLOOKUP(MAX(BT38:BU38),TblJoistSize!$M$3:$N$10,2),IF(OR(DE38="B", DE38="G"),MAX(BW38:BX38),""))</f>
        <v/>
      </c>
      <c r="FC38" s="829" t="str">
        <f t="shared" si="57"/>
        <v/>
      </c>
      <c r="FD38" s="822">
        <f t="shared" si="58"/>
        <v>0</v>
      </c>
      <c r="FE38" s="822">
        <f t="shared" si="59"/>
        <v>0</v>
      </c>
      <c r="FF38" s="821">
        <f t="shared" si="60"/>
        <v>0</v>
      </c>
      <c r="FG38" s="821" t="str">
        <f t="shared" si="61"/>
        <v/>
      </c>
      <c r="FH38" s="822" t="str">
        <f t="shared" si="62"/>
        <v/>
      </c>
      <c r="FI38" s="822">
        <f t="shared" si="63"/>
        <v>0</v>
      </c>
      <c r="FJ38" s="822">
        <f t="shared" si="64"/>
        <v>0</v>
      </c>
      <c r="FK38" s="821">
        <f t="shared" si="65"/>
        <v>0</v>
      </c>
      <c r="FL38" s="821" t="str">
        <f t="shared" si="66"/>
        <v/>
      </c>
      <c r="FM38" s="822" t="str">
        <f t="shared" si="67"/>
        <v/>
      </c>
      <c r="FN38" s="822" t="e">
        <f t="shared" si="68"/>
        <v>#VALUE!</v>
      </c>
      <c r="FO38" s="940" t="e">
        <f t="shared" si="69"/>
        <v>#VALUE!</v>
      </c>
      <c r="FP38" s="940" t="e">
        <f t="shared" si="70"/>
        <v>#VALUE!</v>
      </c>
      <c r="FQ38" s="830" t="e">
        <f t="shared" si="71"/>
        <v>#VALUE!</v>
      </c>
      <c r="FR38" s="831" t="e">
        <f t="shared" si="72"/>
        <v>#VALUE!</v>
      </c>
      <c r="FS38" s="832" t="str">
        <f t="shared" si="73"/>
        <v/>
      </c>
      <c r="FT38" s="833" t="str">
        <f t="shared" si="74"/>
        <v/>
      </c>
      <c r="FU38" s="870">
        <f t="shared" si="75"/>
        <v>0</v>
      </c>
      <c r="FV38" s="871">
        <f t="shared" si="76"/>
        <v>0</v>
      </c>
      <c r="GA38" s="1791">
        <v>40</v>
      </c>
      <c r="GB38" s="1792">
        <v>0.75</v>
      </c>
      <c r="GC38" s="1793">
        <v>-0.25</v>
      </c>
      <c r="GD38" s="1794">
        <v>-0.5</v>
      </c>
      <c r="GE38" s="1795">
        <f t="shared" si="77"/>
        <v>0</v>
      </c>
      <c r="GF38" s="600" t="str">
        <f t="shared" si="78"/>
        <v>J16</v>
      </c>
      <c r="GG38" s="1130">
        <v>0</v>
      </c>
      <c r="GH38" s="1131">
        <v>0</v>
      </c>
      <c r="GI38" s="1130"/>
      <c r="GJ38" s="1131"/>
      <c r="GK38" s="1636">
        <f t="shared" si="79"/>
        <v>480</v>
      </c>
      <c r="GL38" s="1636">
        <f t="shared" si="80"/>
        <v>480</v>
      </c>
      <c r="GM38" s="1637">
        <f>IF(ABS(GK38-GL38)&gt;='Job Info.'!$L$22,ABS(GK38-GL38),0)</f>
        <v>0</v>
      </c>
      <c r="GZ38" s="415"/>
      <c r="HA38" s="1391" t="s">
        <v>1446</v>
      </c>
      <c r="HB38" s="1392">
        <v>2</v>
      </c>
      <c r="HC38" s="1392" t="s">
        <v>1592</v>
      </c>
      <c r="HD38" s="1393">
        <v>40</v>
      </c>
      <c r="HE38" s="1394">
        <v>0</v>
      </c>
      <c r="HF38" s="1392" t="s">
        <v>116</v>
      </c>
      <c r="HG38" s="1392" t="s">
        <v>116</v>
      </c>
      <c r="HH38" s="1392" t="s">
        <v>116</v>
      </c>
      <c r="HI38" s="1395" t="s">
        <v>116</v>
      </c>
      <c r="HJ38" s="1392" t="s">
        <v>116</v>
      </c>
      <c r="HK38" s="1392" t="s">
        <v>116</v>
      </c>
      <c r="HL38" s="1392">
        <v>5</v>
      </c>
      <c r="HM38" s="1392">
        <v>5</v>
      </c>
      <c r="HN38" s="1392" t="s">
        <v>116</v>
      </c>
      <c r="HO38" s="1392" t="s">
        <v>116</v>
      </c>
      <c r="HP38" s="1392" t="s">
        <v>116</v>
      </c>
      <c r="HQ38" s="1395" t="s">
        <v>116</v>
      </c>
      <c r="HR38" s="1392" t="s">
        <v>116</v>
      </c>
      <c r="HS38" s="1392" t="s">
        <v>116</v>
      </c>
      <c r="HT38" s="1392">
        <v>0</v>
      </c>
      <c r="HU38" s="1392">
        <v>2.25</v>
      </c>
      <c r="HV38" s="1392">
        <v>0</v>
      </c>
      <c r="HW38" s="1394">
        <v>2</v>
      </c>
      <c r="HX38" s="1394">
        <v>4</v>
      </c>
      <c r="HY38" s="1394" t="s">
        <v>116</v>
      </c>
      <c r="HZ38" s="1394" t="s">
        <v>116</v>
      </c>
      <c r="IA38" s="1394" t="s">
        <v>1656</v>
      </c>
      <c r="IB38" s="1394"/>
      <c r="IC38" s="1394"/>
      <c r="ID38" s="1394"/>
      <c r="IE38" s="1394"/>
      <c r="IF38" s="1396"/>
    </row>
    <row r="39" spans="1:240" ht="12.6" customHeight="1" x14ac:dyDescent="0.25">
      <c r="A39" s="1448" t="str">
        <f t="shared" ref="A39:A40" si="109">IF(BB39="","",UPPER(BB39))</f>
        <v/>
      </c>
      <c r="B39" s="1681"/>
      <c r="C39" s="1449" t="str">
        <f t="shared" ref="C39:C40" si="110">IF(BD39="","",UPPER(BD39))</f>
        <v/>
      </c>
      <c r="D39" s="1705" t="str">
        <f t="shared" ref="D39:D40" si="111">IF(DP39="","",TRUNC(DP39/12))</f>
        <v/>
      </c>
      <c r="E39" s="1778" t="str">
        <f t="shared" ref="E39:E40" si="112">IF(DP39="","",DP39-(D39*12))</f>
        <v/>
      </c>
      <c r="F39" s="1708" t="str">
        <f t="shared" si="86"/>
        <v/>
      </c>
      <c r="G39" s="1709" t="str">
        <f t="shared" si="87"/>
        <v/>
      </c>
      <c r="H39" s="1779" t="str">
        <f t="shared" si="88"/>
        <v/>
      </c>
      <c r="I39" s="1705" t="str">
        <f t="shared" si="89"/>
        <v/>
      </c>
      <c r="J39" s="1709" t="str">
        <f t="shared" si="90"/>
        <v/>
      </c>
      <c r="K39" s="1780" t="str">
        <f t="shared" si="91"/>
        <v/>
      </c>
      <c r="L39" s="1712" t="str">
        <f t="shared" ref="L39:M40" si="113">DQ39</f>
        <v/>
      </c>
      <c r="M39" s="1713" t="str">
        <f t="shared" si="113"/>
        <v/>
      </c>
      <c r="N39" s="1708" t="str">
        <f t="shared" si="92"/>
        <v/>
      </c>
      <c r="O39" s="1709" t="str">
        <f t="shared" si="93"/>
        <v/>
      </c>
      <c r="P39" s="1710" t="str">
        <f t="shared" si="94"/>
        <v/>
      </c>
      <c r="Q39" s="1705" t="str">
        <f t="shared" si="95"/>
        <v/>
      </c>
      <c r="R39" s="1709" t="str">
        <f t="shared" si="96"/>
        <v/>
      </c>
      <c r="S39" s="1753" t="str">
        <f t="shared" si="97"/>
        <v/>
      </c>
      <c r="T39" s="1708" t="str">
        <f t="shared" ref="T39:T40" si="114">IF(CH39="ERR","",IF(EK39="","",IF(EK39="ERR",TRUNC(EJ39/12),TRUNC(EK39/12))))</f>
        <v/>
      </c>
      <c r="U39" s="1709" t="str">
        <f t="shared" ref="U39:U40" si="115">IF(CH39="ERR","",IF(EK39="","",IF(EK39="ERR",EJ39-(T39*12),EK39-(T39*12))))</f>
        <v/>
      </c>
      <c r="V39" s="1705" t="str">
        <f t="shared" ref="V39:V40" si="116">IF(CI39="ERR","",IF(ER39="","",IF(ER39="ERR",TRUNC(EQ39/12),TRUNC(ER39/12))))</f>
        <v/>
      </c>
      <c r="W39" s="1709" t="str">
        <f t="shared" ref="W39:W40" si="117">IF(CI39="ERR","",IF(ER39="","",IF(ER39="ERR",EQ39-(V39*12),ER39-(V39*12))))</f>
        <v/>
      </c>
      <c r="X39" s="1750">
        <f t="shared" ref="X39:X40" si="118">IF(EV39="",0,EV39)</f>
        <v>0</v>
      </c>
      <c r="Y39" s="1781" t="str">
        <f t="shared" si="98"/>
        <v/>
      </c>
      <c r="Z39" s="1782" t="str">
        <f t="shared" si="99"/>
        <v/>
      </c>
      <c r="AA39" s="1783" t="s">
        <v>116</v>
      </c>
      <c r="AB39" s="1413"/>
      <c r="AC39" s="964" t="b">
        <v>0</v>
      </c>
      <c r="AD39" s="441">
        <f t="shared" si="1"/>
        <v>0</v>
      </c>
      <c r="AE39" s="442">
        <f t="shared" si="2"/>
        <v>0</v>
      </c>
      <c r="AF39" s="442">
        <f t="shared" si="3"/>
        <v>0</v>
      </c>
      <c r="AG39" s="442">
        <f t="shared" si="4"/>
        <v>0</v>
      </c>
      <c r="AH39" s="443">
        <f t="shared" si="5"/>
        <v>0</v>
      </c>
      <c r="AI39" s="444" t="b">
        <v>0</v>
      </c>
      <c r="AJ39" s="238">
        <f t="shared" si="108"/>
        <v>0</v>
      </c>
      <c r="AK39" s="238" t="str">
        <f t="shared" si="6"/>
        <v/>
      </c>
      <c r="AL39" s="1290" t="str">
        <f t="shared" si="7"/>
        <v/>
      </c>
      <c r="AM39" s="238" t="str">
        <f t="shared" si="8"/>
        <v/>
      </c>
      <c r="AN39" s="238" t="str">
        <f t="shared" si="9"/>
        <v/>
      </c>
      <c r="AO39" s="238" t="str">
        <f t="shared" si="10"/>
        <v/>
      </c>
      <c r="AP39" s="830" t="b">
        <f>IF(ISERROR(AJ39),FALSE,IF(OR(AJ39=0,ISERROR(AL39),ISERROR(AM39),ISERROR(AN39),ISERROR(AO39)),FALSE,IF(AL39&lt;&gt;"",IF(ISERROR(VLOOKUP(SUBSTITUTE(SUBSTITUTE(C39,"R",""),"A",""),TblJoistSize!$A:$A,1,FALSE)),FALSE,TRUE),TRUE)))</f>
        <v>0</v>
      </c>
      <c r="AQ39" s="1038" t="e">
        <f t="shared" si="11"/>
        <v>#N/A</v>
      </c>
      <c r="AR39" s="945" t="b">
        <f t="shared" si="83"/>
        <v>0</v>
      </c>
      <c r="AS39" s="1038" t="e">
        <f t="shared" si="12"/>
        <v>#N/A</v>
      </c>
      <c r="AT39" s="945" t="b">
        <f t="shared" si="84"/>
        <v>0</v>
      </c>
      <c r="AU39" s="1291" t="str">
        <f t="shared" si="13"/>
        <v/>
      </c>
      <c r="AV39" s="830" t="str">
        <f t="shared" si="14"/>
        <v/>
      </c>
      <c r="AW39" s="830" t="str">
        <f t="shared" si="81"/>
        <v/>
      </c>
      <c r="AX39" s="830" t="str">
        <f t="shared" si="85"/>
        <v/>
      </c>
      <c r="AY39" s="464" t="b">
        <f t="shared" si="15"/>
        <v>0</v>
      </c>
      <c r="AZ39" s="856" t="str">
        <f t="shared" si="82"/>
        <v/>
      </c>
      <c r="BA39" s="549"/>
      <c r="BB39" s="672"/>
      <c r="BC39" s="1684"/>
      <c r="BD39" s="733"/>
      <c r="BE39" s="734"/>
      <c r="BF39" s="735"/>
      <c r="BG39" s="672"/>
      <c r="BH39" s="982"/>
      <c r="BI39" s="983"/>
      <c r="BJ39" s="1625"/>
      <c r="BK39" s="982"/>
      <c r="BL39" s="983"/>
      <c r="BM39" s="1569"/>
      <c r="BN39" s="1570"/>
      <c r="BO39" s="1617" t="str">
        <f>IF(ISERROR(CU39),"",IF(CU39="","",IF(VLOOKUP(BG39,SectInfo!$B:$N,10,FALSE)="","","X")))</f>
        <v/>
      </c>
      <c r="BP39" s="1561"/>
      <c r="BQ39" s="1562" t="str">
        <f t="shared" si="16"/>
        <v/>
      </c>
      <c r="BR39" s="1563"/>
      <c r="BS39" s="672"/>
      <c r="BT39" s="982"/>
      <c r="BU39" s="983"/>
      <c r="BV39" s="1625"/>
      <c r="BW39" s="982"/>
      <c r="BX39" s="983"/>
      <c r="BY39" s="1569"/>
      <c r="BZ39" s="1570"/>
      <c r="CA39" s="1617" t="str">
        <f>IF(ISERROR(DE39),"",IF(DE39="","",IF(VLOOKUP(BS39,SectInfo!$B:$N,10,FALSE)="","","X")))</f>
        <v/>
      </c>
      <c r="CB39" s="1561"/>
      <c r="CC39" s="1562" t="str">
        <f t="shared" si="17"/>
        <v/>
      </c>
      <c r="CD39" s="1563"/>
      <c r="CE39" s="1574"/>
      <c r="CF39" s="736"/>
      <c r="CG39" s="737"/>
      <c r="CH39" s="643" t="str">
        <f t="shared" si="18"/>
        <v/>
      </c>
      <c r="CI39" s="644" t="str">
        <f t="shared" si="19"/>
        <v/>
      </c>
      <c r="CJ39" s="645" t="str">
        <f t="shared" si="20"/>
        <v/>
      </c>
      <c r="CK39" s="852" t="str">
        <f t="shared" si="21"/>
        <v/>
      </c>
      <c r="CL39" s="847" t="str">
        <f t="shared" si="22"/>
        <v/>
      </c>
      <c r="CM39" s="848" t="str">
        <f t="shared" si="23"/>
        <v/>
      </c>
      <c r="CN39" s="611" t="str">
        <f t="shared" si="24"/>
        <v/>
      </c>
      <c r="CO39" s="612" t="str">
        <f t="shared" si="25"/>
        <v/>
      </c>
      <c r="CP39" s="615" t="str">
        <f t="shared" si="26"/>
        <v/>
      </c>
      <c r="CQ39" s="616" t="str">
        <f t="shared" si="27"/>
        <v/>
      </c>
      <c r="CR39" s="750" t="str">
        <f t="shared" si="28"/>
        <v/>
      </c>
      <c r="CS39" s="751" t="str">
        <f t="shared" si="29"/>
        <v/>
      </c>
      <c r="CU39" s="114" t="str">
        <f>IF(BG39="","",VLOOKUP(BG39,SectInfo!$B:$N,12,FALSE))</f>
        <v/>
      </c>
      <c r="CV39" s="115" t="str">
        <f>IF(BG39="","",IF(ISBLANK(BP39),VLOOKUP(BG39,SectInfo!$B:$N,13,FALSE),BP39))</f>
        <v/>
      </c>
      <c r="CW39" s="1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115" t="str">
        <f>IF(BG39="","",IF(VLOOKUP(BG39,SectInfo!$B:$N,7,FALSE)="","",(VLOOKUP(BG39,SectInfo!$B:$N,7,FALSE)*-1)))</f>
        <v/>
      </c>
      <c r="DB39" s="815" t="str">
        <f>IF(BG39="","",IF(VLOOKUP(BG39,SectInfo!$B:$N,8,FALSE)="",VLOOKUP(AU39,$DF$2:$DN$9,6,FALSE),(VLOOKUP(BG39,SectInfo!$B:$N,8,FALSE))))</f>
        <v/>
      </c>
      <c r="DC39" s="815" t="str">
        <f>IF(BG39="","",VLOOKUP(BG39,SectInfo!$B:$N,9,FALSE))</f>
        <v/>
      </c>
      <c r="DD39" s="816">
        <f t="shared" si="30"/>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31"/>
        <v>0</v>
      </c>
      <c r="DO39" s="818">
        <f t="shared" si="32"/>
        <v>0</v>
      </c>
      <c r="DP39" s="822" t="str">
        <f t="shared" si="33"/>
        <v/>
      </c>
      <c r="DQ39" s="822" t="str">
        <f t="shared" si="34"/>
        <v/>
      </c>
      <c r="DR39" s="822" t="str">
        <f t="shared" si="35"/>
        <v/>
      </c>
      <c r="DS39" s="821">
        <f t="shared" si="36"/>
        <v>0</v>
      </c>
      <c r="DT39" s="821">
        <f t="shared" si="37"/>
        <v>0</v>
      </c>
      <c r="DU39" s="821" t="str">
        <f t="shared" si="38"/>
        <v/>
      </c>
      <c r="DV39" s="822" t="str">
        <f t="shared" si="39"/>
        <v/>
      </c>
      <c r="DW39" s="856" t="str">
        <f t="shared" si="40"/>
        <v/>
      </c>
      <c r="DX39" s="1006">
        <f t="shared" si="100"/>
        <v>0</v>
      </c>
      <c r="DY39" s="822">
        <f t="shared" si="41"/>
        <v>0</v>
      </c>
      <c r="DZ39" s="821">
        <f t="shared" si="42"/>
        <v>0</v>
      </c>
      <c r="EA39" s="821" t="str">
        <f t="shared" si="43"/>
        <v/>
      </c>
      <c r="EB39" s="822" t="str">
        <f t="shared" si="101"/>
        <v/>
      </c>
      <c r="EC39" s="856" t="str">
        <f t="shared" si="44"/>
        <v/>
      </c>
      <c r="ED39" s="1006">
        <f t="shared" si="102"/>
        <v>0</v>
      </c>
      <c r="EE39" s="1293" t="str">
        <f t="shared" si="45"/>
        <v/>
      </c>
      <c r="EF39" s="822" t="str">
        <f t="shared" si="103"/>
        <v/>
      </c>
      <c r="EG39" s="822" t="str">
        <f t="shared" si="104"/>
        <v/>
      </c>
      <c r="EH39" s="856" t="e">
        <f t="shared" si="46"/>
        <v>#N/A</v>
      </c>
      <c r="EI39" s="856" t="e">
        <f t="shared" si="47"/>
        <v>#N/A</v>
      </c>
      <c r="EJ39" s="822" t="str">
        <f t="shared" ref="EJ39:EK40" si="119">IF(ISERROR(EF39),"ERR",IF(EF39="","",IF(EH39="ERR","ERR",CEILING(EH39-0.0625,0.125))))</f>
        <v/>
      </c>
      <c r="EK39" s="822" t="str">
        <f t="shared" si="119"/>
        <v/>
      </c>
      <c r="EL39" s="1293" t="str">
        <f t="shared" si="49"/>
        <v/>
      </c>
      <c r="EM39" s="822" t="str">
        <f t="shared" si="105"/>
        <v/>
      </c>
      <c r="EN39" s="822" t="str">
        <f t="shared" si="106"/>
        <v/>
      </c>
      <c r="EO39" s="856" t="e">
        <f t="shared" si="50"/>
        <v>#N/A</v>
      </c>
      <c r="EP39" s="856" t="e">
        <f t="shared" si="51"/>
        <v>#N/A</v>
      </c>
      <c r="EQ39" s="822" t="str">
        <f t="shared" si="52"/>
        <v/>
      </c>
      <c r="ER39" s="822" t="str">
        <f t="shared" si="52"/>
        <v/>
      </c>
      <c r="ES39" s="822" t="str">
        <f t="shared" si="53"/>
        <v/>
      </c>
      <c r="ET39" s="822" t="str">
        <f t="shared" si="54"/>
        <v/>
      </c>
      <c r="EU39" s="829" t="str">
        <f t="shared" si="55"/>
        <v/>
      </c>
      <c r="EV39" s="824" t="str">
        <f t="shared" si="107"/>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56"/>
        <v/>
      </c>
      <c r="FA39" s="829" t="str">
        <f>IF(AND(DE39="G", ISBLANK(BW39), ISBLANK(BX39)),VLOOKUP(MIN(BT39:BU39),TblJoistSize!$M$3:$N$10,2),IF(OR(DE39="B", DE39="G"),MIN(BW39:BX39),""))</f>
        <v/>
      </c>
      <c r="FB39" s="829" t="str">
        <f>IF(AND(DE39="G", ISBLANK(BW39), ISBLANK(BX39)),VLOOKUP(MAX(BT39:BU39),TblJoistSize!$M$3:$N$10,2),IF(OR(DE39="B", DE39="G"),MAX(BW39:BX39),""))</f>
        <v/>
      </c>
      <c r="FC39" s="829" t="str">
        <f t="shared" si="57"/>
        <v/>
      </c>
      <c r="FD39" s="822">
        <f t="shared" si="58"/>
        <v>0</v>
      </c>
      <c r="FE39" s="822">
        <f t="shared" si="59"/>
        <v>0</v>
      </c>
      <c r="FF39" s="821">
        <f t="shared" si="60"/>
        <v>0</v>
      </c>
      <c r="FG39" s="821" t="str">
        <f t="shared" si="61"/>
        <v/>
      </c>
      <c r="FH39" s="822" t="str">
        <f t="shared" si="62"/>
        <v/>
      </c>
      <c r="FI39" s="822">
        <f t="shared" si="63"/>
        <v>0</v>
      </c>
      <c r="FJ39" s="822">
        <f t="shared" si="64"/>
        <v>0</v>
      </c>
      <c r="FK39" s="821">
        <f t="shared" si="65"/>
        <v>0</v>
      </c>
      <c r="FL39" s="821" t="str">
        <f t="shared" si="66"/>
        <v/>
      </c>
      <c r="FM39" s="822" t="str">
        <f t="shared" si="67"/>
        <v/>
      </c>
      <c r="FN39" s="822" t="e">
        <f t="shared" si="68"/>
        <v>#VALUE!</v>
      </c>
      <c r="FO39" s="940" t="e">
        <f t="shared" si="69"/>
        <v>#VALUE!</v>
      </c>
      <c r="FP39" s="940" t="e">
        <f t="shared" si="70"/>
        <v>#VALUE!</v>
      </c>
      <c r="FQ39" s="830" t="e">
        <f t="shared" si="71"/>
        <v>#VALUE!</v>
      </c>
      <c r="FR39" s="831" t="e">
        <f t="shared" si="72"/>
        <v>#VALUE!</v>
      </c>
      <c r="FS39" s="832" t="str">
        <f t="shared" si="73"/>
        <v/>
      </c>
      <c r="FT39" s="833" t="str">
        <f t="shared" si="74"/>
        <v/>
      </c>
      <c r="FU39" s="870">
        <f t="shared" si="75"/>
        <v>0</v>
      </c>
      <c r="FV39" s="871">
        <f t="shared" si="76"/>
        <v>0</v>
      </c>
      <c r="GA39" s="1791" t="str">
        <f t="shared" ref="GA39:GA40" si="120">IF(GF39="","",BE39)</f>
        <v/>
      </c>
      <c r="GB39" s="1792" t="str">
        <f t="shared" ref="GB39:GB40" si="121">IF(GF39="","",BF39)</f>
        <v/>
      </c>
      <c r="GC39" s="1793" t="str">
        <f t="shared" ref="GC39:GC40" si="122">IF(GF39="","",IF(CV39="",0,CV39))</f>
        <v/>
      </c>
      <c r="GD39" s="1794" t="str">
        <f t="shared" ref="GD39:GD40" si="123">IF(GF39="","",IF(DF39="",0,DF39))</f>
        <v/>
      </c>
      <c r="GE39" s="1795" t="str">
        <f t="shared" si="77"/>
        <v/>
      </c>
      <c r="GF39" s="600" t="str">
        <f t="shared" si="78"/>
        <v/>
      </c>
      <c r="GG39" s="1130"/>
      <c r="GH39" s="1131"/>
      <c r="GI39" s="1130"/>
      <c r="GJ39" s="1131"/>
      <c r="GK39" s="1636">
        <f t="shared" si="79"/>
        <v>0</v>
      </c>
      <c r="GL39" s="1636" t="e">
        <f t="shared" si="80"/>
        <v>#VALUE!</v>
      </c>
      <c r="GM39" s="1637" t="e">
        <f>IF(ABS(GK39-GL39)&gt;='Job Info.'!$L$22,ABS(GK39-GL39),0)</f>
        <v>#VALUE!</v>
      </c>
      <c r="GZ39" s="415"/>
      <c r="HA39" s="1391"/>
      <c r="HB39" s="1392"/>
      <c r="HC39" s="1392"/>
      <c r="HD39" s="1393"/>
      <c r="HE39" s="1394"/>
      <c r="HF39" s="1392"/>
      <c r="HG39" s="1392"/>
      <c r="HH39" s="1392"/>
      <c r="HI39" s="1395"/>
      <c r="HJ39" s="1392"/>
      <c r="HK39" s="1392"/>
      <c r="HL39" s="1392"/>
      <c r="HM39" s="1392"/>
      <c r="HN39" s="1392"/>
      <c r="HO39" s="1392"/>
      <c r="HP39" s="1392"/>
      <c r="HQ39" s="1395"/>
      <c r="HR39" s="1392"/>
      <c r="HS39" s="1392"/>
      <c r="HT39" s="1392"/>
      <c r="HU39" s="1392"/>
      <c r="HV39" s="1392"/>
      <c r="HW39" s="1394"/>
      <c r="HX39" s="1394"/>
      <c r="HY39" s="1394"/>
      <c r="HZ39" s="1394"/>
      <c r="IA39" s="1394"/>
      <c r="IB39" s="1394"/>
      <c r="IC39" s="1394"/>
      <c r="ID39" s="1394"/>
      <c r="IE39" s="1394"/>
      <c r="IF39" s="1396"/>
    </row>
    <row r="40" spans="1:240" ht="12.6" customHeight="1" thickBot="1" x14ac:dyDescent="0.3">
      <c r="A40" s="1460" t="str">
        <f t="shared" si="109"/>
        <v/>
      </c>
      <c r="B40" s="1682"/>
      <c r="C40" s="1461" t="str">
        <f t="shared" si="110"/>
        <v/>
      </c>
      <c r="D40" s="1719" t="str">
        <f t="shared" si="111"/>
        <v/>
      </c>
      <c r="E40" s="1784" t="str">
        <f t="shared" si="112"/>
        <v/>
      </c>
      <c r="F40" s="1722" t="str">
        <f t="shared" si="86"/>
        <v/>
      </c>
      <c r="G40" s="1723" t="str">
        <f t="shared" si="87"/>
        <v/>
      </c>
      <c r="H40" s="1785" t="str">
        <f t="shared" si="88"/>
        <v/>
      </c>
      <c r="I40" s="1719" t="str">
        <f t="shared" si="89"/>
        <v/>
      </c>
      <c r="J40" s="1723" t="str">
        <f t="shared" si="90"/>
        <v/>
      </c>
      <c r="K40" s="1786" t="str">
        <f t="shared" si="91"/>
        <v/>
      </c>
      <c r="L40" s="1726" t="str">
        <f t="shared" si="113"/>
        <v/>
      </c>
      <c r="M40" s="1727" t="str">
        <f t="shared" si="113"/>
        <v/>
      </c>
      <c r="N40" s="1722" t="str">
        <f t="shared" si="92"/>
        <v/>
      </c>
      <c r="O40" s="1723" t="str">
        <f t="shared" si="93"/>
        <v/>
      </c>
      <c r="P40" s="1724" t="str">
        <f t="shared" si="94"/>
        <v/>
      </c>
      <c r="Q40" s="1719" t="str">
        <f t="shared" si="95"/>
        <v/>
      </c>
      <c r="R40" s="1723" t="str">
        <f t="shared" si="96"/>
        <v/>
      </c>
      <c r="S40" s="1760" t="str">
        <f t="shared" si="97"/>
        <v/>
      </c>
      <c r="T40" s="1722" t="str">
        <f t="shared" si="114"/>
        <v/>
      </c>
      <c r="U40" s="1723" t="str">
        <f t="shared" si="115"/>
        <v/>
      </c>
      <c r="V40" s="1719" t="str">
        <f t="shared" si="116"/>
        <v/>
      </c>
      <c r="W40" s="1723" t="str">
        <f t="shared" si="117"/>
        <v/>
      </c>
      <c r="X40" s="1757">
        <f t="shared" si="118"/>
        <v>0</v>
      </c>
      <c r="Y40" s="1787" t="str">
        <f t="shared" si="98"/>
        <v/>
      </c>
      <c r="Z40" s="1788" t="str">
        <f t="shared" si="99"/>
        <v/>
      </c>
      <c r="AA40" s="1789" t="s">
        <v>116</v>
      </c>
      <c r="AB40" s="1413"/>
      <c r="AC40" s="964" t="b">
        <v>0</v>
      </c>
      <c r="AD40" s="441">
        <f t="shared" si="1"/>
        <v>0</v>
      </c>
      <c r="AE40" s="442">
        <f t="shared" si="2"/>
        <v>0</v>
      </c>
      <c r="AF40" s="442">
        <f t="shared" si="3"/>
        <v>0</v>
      </c>
      <c r="AG40" s="442">
        <f t="shared" si="4"/>
        <v>0</v>
      </c>
      <c r="AH40" s="443">
        <f t="shared" si="5"/>
        <v>0</v>
      </c>
      <c r="AI40" s="444" t="b">
        <v>0</v>
      </c>
      <c r="AJ40" s="238">
        <f t="shared" si="108"/>
        <v>0</v>
      </c>
      <c r="AK40" s="238" t="str">
        <f t="shared" si="6"/>
        <v/>
      </c>
      <c r="AL40" s="1290" t="str">
        <f t="shared" si="7"/>
        <v/>
      </c>
      <c r="AM40" s="238" t="str">
        <f t="shared" si="8"/>
        <v/>
      </c>
      <c r="AN40" s="238" t="str">
        <f t="shared" si="9"/>
        <v/>
      </c>
      <c r="AO40" s="238" t="str">
        <f t="shared" si="10"/>
        <v/>
      </c>
      <c r="AP40" s="830" t="b">
        <f>IF(ISERROR(AJ40),FALSE,IF(OR(AJ40=0,ISERROR(AL40),ISERROR(AM40),ISERROR(AN40),ISERROR(AO40)),FALSE,IF(AL40&lt;&gt;"",IF(ISERROR(VLOOKUP(SUBSTITUTE(SUBSTITUTE(C40,"R",""),"A",""),TblJoistSize!$A:$A,1,FALSE)),FALSE,TRUE),TRUE)))</f>
        <v>0</v>
      </c>
      <c r="AQ40" s="1038" t="e">
        <f t="shared" si="11"/>
        <v>#N/A</v>
      </c>
      <c r="AR40" s="945" t="b">
        <f t="shared" si="83"/>
        <v>0</v>
      </c>
      <c r="AS40" s="1038" t="e">
        <f t="shared" si="12"/>
        <v>#N/A</v>
      </c>
      <c r="AT40" s="945" t="b">
        <f t="shared" si="84"/>
        <v>0</v>
      </c>
      <c r="AU40" s="1291" t="str">
        <f t="shared" si="13"/>
        <v/>
      </c>
      <c r="AV40" s="830" t="str">
        <f t="shared" si="14"/>
        <v/>
      </c>
      <c r="AW40" s="830" t="str">
        <f t="shared" si="81"/>
        <v/>
      </c>
      <c r="AX40" s="830" t="str">
        <f t="shared" si="85"/>
        <v/>
      </c>
      <c r="AY40" s="464" t="b">
        <f t="shared" si="15"/>
        <v>0</v>
      </c>
      <c r="AZ40" s="856" t="str">
        <f t="shared" si="82"/>
        <v/>
      </c>
      <c r="BA40" s="549"/>
      <c r="BB40" s="681"/>
      <c r="BC40" s="1685"/>
      <c r="BD40" s="807"/>
      <c r="BE40" s="808"/>
      <c r="BF40" s="809"/>
      <c r="BG40" s="681"/>
      <c r="BH40" s="985"/>
      <c r="BI40" s="986"/>
      <c r="BJ40" s="1626"/>
      <c r="BK40" s="985"/>
      <c r="BL40" s="986"/>
      <c r="BM40" s="1571"/>
      <c r="BN40" s="1572"/>
      <c r="BO40" s="1618" t="str">
        <f>IF(ISERROR(CU40),"",IF(CU40="","",IF(VLOOKUP(BG40,SectInfo!$B:$N,10,FALSE)="","","X")))</f>
        <v/>
      </c>
      <c r="BP40" s="1564"/>
      <c r="BQ40" s="1565" t="str">
        <f t="shared" si="16"/>
        <v/>
      </c>
      <c r="BR40" s="1566"/>
      <c r="BS40" s="681"/>
      <c r="BT40" s="985"/>
      <c r="BU40" s="986"/>
      <c r="BV40" s="1626"/>
      <c r="BW40" s="985"/>
      <c r="BX40" s="986"/>
      <c r="BY40" s="1571"/>
      <c r="BZ40" s="1572"/>
      <c r="CA40" s="1618" t="str">
        <f>IF(ISERROR(DE40),"",IF(DE40="","",IF(VLOOKUP(BS40,SectInfo!$B:$N,10,FALSE)="","","X")))</f>
        <v/>
      </c>
      <c r="CB40" s="1564"/>
      <c r="CC40" s="1565" t="str">
        <f t="shared" si="17"/>
        <v/>
      </c>
      <c r="CD40" s="1566"/>
      <c r="CE40" s="1575"/>
      <c r="CF40" s="739"/>
      <c r="CG40" s="740"/>
      <c r="CH40" s="801" t="str">
        <f t="shared" si="18"/>
        <v/>
      </c>
      <c r="CI40" s="802" t="str">
        <f t="shared" si="19"/>
        <v/>
      </c>
      <c r="CJ40" s="803" t="str">
        <f t="shared" si="20"/>
        <v/>
      </c>
      <c r="CK40" s="853" t="str">
        <f t="shared" si="21"/>
        <v/>
      </c>
      <c r="CL40" s="849" t="str">
        <f t="shared" si="22"/>
        <v/>
      </c>
      <c r="CM40" s="850" t="str">
        <f t="shared" si="23"/>
        <v/>
      </c>
      <c r="CN40" s="804" t="str">
        <f t="shared" si="24"/>
        <v/>
      </c>
      <c r="CO40" s="805" t="str">
        <f t="shared" si="25"/>
        <v/>
      </c>
      <c r="CP40" s="617" t="str">
        <f t="shared" si="26"/>
        <v/>
      </c>
      <c r="CQ40" s="618" t="str">
        <f t="shared" si="27"/>
        <v/>
      </c>
      <c r="CR40" s="752" t="str">
        <f t="shared" si="28"/>
        <v/>
      </c>
      <c r="CS40" s="753" t="str">
        <f t="shared" si="29"/>
        <v/>
      </c>
      <c r="CU40" s="209" t="str">
        <f>IF(BG40="","",VLOOKUP(BG40,SectInfo!$B:$N,12,FALSE))</f>
        <v/>
      </c>
      <c r="CV40" s="210" t="str">
        <f>IF(BG40="","",IF(ISBLANK(BP40),VLOOKUP(BG40,SectInfo!$B:$N,13,FALSE),BP40))</f>
        <v/>
      </c>
      <c r="CW40" s="210" t="str">
        <f>IF(BG40="","",IF(VLOOKUP(BG40,SectInfo!$B:$N,5,FALSE)="","R",UPPER(VLOOKUP(BG40,SectInfo!$B:$N,5,FALSE))))</f>
        <v/>
      </c>
      <c r="CX40" s="834" t="str">
        <f>IF(BG40="","",IF(ISBLANK(BR40),VLOOKUP(BG40,SectInfo!$B:$N,6,FALSE),BR40))</f>
        <v/>
      </c>
      <c r="CY40" s="1287" t="str">
        <f>IF(BG40="","",IF(VLOOKUP(BG40,SectInfo!$B:$N,10,FALSE)="","",(IF(BO40="X",VLOOKUP(BG40,SectInfo!$B:$N,10,FALSE),VALUE(BO40))*-1)))</f>
        <v/>
      </c>
      <c r="CZ40" s="1123" t="str">
        <f>IF(BG40="","",IF(VLOOKUP(BG40,SectInfo!$B:$N,11,FALSE)="","2",(VLOOKUP(BG40,SectInfo!$B:$N,11,FALSE))))</f>
        <v/>
      </c>
      <c r="DA40" s="210" t="str">
        <f>IF(BG40="","",IF(VLOOKUP(BG40,SectInfo!$B:$N,7,FALSE)="","",(VLOOKUP(BG40,SectInfo!$B:$N,7,FALSE)*-1)))</f>
        <v/>
      </c>
      <c r="DB40" s="834" t="str">
        <f>IF(BG40="","",IF(VLOOKUP(BG40,SectInfo!$B:$N,8,FALSE)="",VLOOKUP(AU40,$DF$2:$DN$9,6,FALSE),(VLOOKUP(BG40,SectInfo!$B:$N,8,FALSE))))</f>
        <v/>
      </c>
      <c r="DC40" s="834" t="str">
        <f>IF(BG40="","",VLOOKUP(BG40,SectInfo!$B:$N,9,FALSE))</f>
        <v/>
      </c>
      <c r="DD40" s="835">
        <f t="shared" si="30"/>
        <v>0</v>
      </c>
      <c r="DE40" s="836" t="str">
        <f>IF(BS40="","",VLOOKUP(BS40,SectInfo!$B:$N,12,FALSE))</f>
        <v/>
      </c>
      <c r="DF40" s="834" t="str">
        <f>IF(BS40="","",IF(ISBLANK(CB40),VLOOKUP(BS40,SectInfo!$B:$N,13,FALSE),CB40))</f>
        <v/>
      </c>
      <c r="DG40" s="834" t="str">
        <f>IF(BS40="","",IF(VLOOKUP(BS40,SectInfo!$B:$N,5,FALSE)="","R",UPPER(VLOOKUP(BS40,SectInfo!$B:$N,5,FALSE))))</f>
        <v/>
      </c>
      <c r="DH40" s="834" t="str">
        <f>IF(BS40="","",IF(ISBLANK(CD40),VLOOKUP(BS40,SectInfo!$B:$N,6,FALSE),CD40))</f>
        <v/>
      </c>
      <c r="DI40" s="1287" t="str">
        <f>IF(BS40="","",IF(VLOOKUP(BS40,SectInfo!$B:$N,10,FALSE)="","",(IF(CA40="X",VLOOKUP(BS40,SectInfo!$B:$N,10,FALSE),VALUE(CA40))*-1)))</f>
        <v/>
      </c>
      <c r="DJ40" s="1123" t="str">
        <f>IF(BS40="","",IF(VLOOKUP(BS40,SectInfo!$B:$N,11,FALSE)="","2",(VLOOKUP(BS40,SectInfo!$B:$N,11,FALSE))))</f>
        <v/>
      </c>
      <c r="DK40" s="834" t="str">
        <f>IF(BS40="","",IF(VLOOKUP(BS40,SectInfo!$B:$N,7,FALSE)="","",(VLOOKUP(BS40,SectInfo!$B:$N,7,FALSE)*-1)))</f>
        <v/>
      </c>
      <c r="DL40" s="834" t="str">
        <f>IF(BS40="","",IF(VLOOKUP(BS40,SectInfo!$B:$N,8,FALSE)="",VLOOKUP(AU40,$DF$2:$DN$9,6,FALSE),(VLOOKUP(BS40,SectInfo!$B:$N,8,FALSE))))</f>
        <v/>
      </c>
      <c r="DM40" s="834" t="str">
        <f>IF(BS40="","",VLOOKUP(BS40,SectInfo!$B:$N,9,FALSE))</f>
        <v/>
      </c>
      <c r="DN40" s="835">
        <f t="shared" si="31"/>
        <v>0</v>
      </c>
      <c r="DO40" s="837">
        <f t="shared" si="32"/>
        <v>0</v>
      </c>
      <c r="DP40" s="838" t="str">
        <f t="shared" si="33"/>
        <v/>
      </c>
      <c r="DQ40" s="838" t="str">
        <f t="shared" si="34"/>
        <v/>
      </c>
      <c r="DR40" s="838" t="str">
        <f t="shared" si="35"/>
        <v/>
      </c>
      <c r="DS40" s="839">
        <f t="shared" si="36"/>
        <v>0</v>
      </c>
      <c r="DT40" s="839">
        <f t="shared" si="37"/>
        <v>0</v>
      </c>
      <c r="DU40" s="839" t="str">
        <f t="shared" si="38"/>
        <v/>
      </c>
      <c r="DV40" s="838" t="str">
        <f t="shared" si="39"/>
        <v/>
      </c>
      <c r="DW40" s="1128" t="str">
        <f t="shared" si="40"/>
        <v/>
      </c>
      <c r="DX40" s="1007">
        <f t="shared" si="100"/>
        <v>0</v>
      </c>
      <c r="DY40" s="838">
        <f t="shared" si="41"/>
        <v>0</v>
      </c>
      <c r="DZ40" s="839">
        <f t="shared" si="42"/>
        <v>0</v>
      </c>
      <c r="EA40" s="839" t="str">
        <f t="shared" si="43"/>
        <v/>
      </c>
      <c r="EB40" s="838" t="str">
        <f t="shared" si="101"/>
        <v/>
      </c>
      <c r="EC40" s="1128" t="str">
        <f t="shared" si="44"/>
        <v/>
      </c>
      <c r="ED40" s="1007">
        <f t="shared" si="102"/>
        <v>0</v>
      </c>
      <c r="EE40" s="1294" t="str">
        <f t="shared" si="45"/>
        <v/>
      </c>
      <c r="EF40" s="838" t="str">
        <f t="shared" si="103"/>
        <v/>
      </c>
      <c r="EG40" s="838" t="str">
        <f t="shared" si="104"/>
        <v/>
      </c>
      <c r="EH40" s="856" t="e">
        <f t="shared" si="46"/>
        <v>#N/A</v>
      </c>
      <c r="EI40" s="856" t="e">
        <f t="shared" si="47"/>
        <v>#N/A</v>
      </c>
      <c r="EJ40" s="838" t="str">
        <f t="shared" si="119"/>
        <v/>
      </c>
      <c r="EK40" s="838" t="str">
        <f t="shared" si="119"/>
        <v/>
      </c>
      <c r="EL40" s="1294" t="str">
        <f t="shared" si="49"/>
        <v/>
      </c>
      <c r="EM40" s="838" t="str">
        <f t="shared" si="105"/>
        <v/>
      </c>
      <c r="EN40" s="838" t="str">
        <f t="shared" si="106"/>
        <v/>
      </c>
      <c r="EO40" s="856" t="e">
        <f t="shared" si="50"/>
        <v>#N/A</v>
      </c>
      <c r="EP40" s="856" t="e">
        <f t="shared" si="51"/>
        <v>#N/A</v>
      </c>
      <c r="EQ40" s="838" t="str">
        <f t="shared" si="52"/>
        <v/>
      </c>
      <c r="ER40" s="838" t="str">
        <f t="shared" si="52"/>
        <v/>
      </c>
      <c r="ES40" s="838" t="str">
        <f t="shared" si="53"/>
        <v/>
      </c>
      <c r="ET40" s="838" t="str">
        <f t="shared" si="54"/>
        <v/>
      </c>
      <c r="EU40" s="840" t="str">
        <f t="shared" si="55"/>
        <v/>
      </c>
      <c r="EV40" s="956" t="str">
        <f t="shared" si="107"/>
        <v/>
      </c>
      <c r="EW40" s="840"/>
      <c r="EX40" s="840" t="str">
        <f>IF(AND(CU40="G", ISBLANK(BK40), ISBLANK(BL40)),VLOOKUP(MIN(BH40:BI40),TblJoistSize!$M$3:$N$10,2),IF(OR(CU40="B",CU40="G"),MIN(BK40:BL40),""))</f>
        <v/>
      </c>
      <c r="EY40" s="840" t="str">
        <f>IF(AND(CU40="G", ISBLANK(BK40), ISBLANK(BL40)),VLOOKUP(MAX(BH40:BI40),TblJoistSize!$M$3:$N$10,2),IF(OR(CU40="B",CU40="G"),MAX(BK40:BL40),""))</f>
        <v/>
      </c>
      <c r="EZ40" s="840" t="str">
        <f t="shared" si="56"/>
        <v/>
      </c>
      <c r="FA40" s="840" t="str">
        <f>IF(AND(DE40="G", ISBLANK(BW40), ISBLANK(BX40)),VLOOKUP(MIN(BT40:BU40),TblJoistSize!$M$3:$N$10,2),IF(OR(DE40="B", DE40="G"),MIN(BW40:BX40),""))</f>
        <v/>
      </c>
      <c r="FB40" s="840" t="str">
        <f>IF(AND(DE40="G", ISBLANK(BW40), ISBLANK(BX40)),VLOOKUP(MAX(BT40:BU40),TblJoistSize!$M$3:$N$10,2),IF(OR(DE40="B", DE40="G"),MAX(BW40:BX40),""))</f>
        <v/>
      </c>
      <c r="FC40" s="840" t="str">
        <f t="shared" si="57"/>
        <v/>
      </c>
      <c r="FD40" s="838">
        <f t="shared" si="58"/>
        <v>0</v>
      </c>
      <c r="FE40" s="838">
        <f t="shared" si="59"/>
        <v>0</v>
      </c>
      <c r="FF40" s="839">
        <f t="shared" si="60"/>
        <v>0</v>
      </c>
      <c r="FG40" s="839" t="str">
        <f t="shared" si="61"/>
        <v/>
      </c>
      <c r="FH40" s="838" t="str">
        <f t="shared" si="62"/>
        <v/>
      </c>
      <c r="FI40" s="838">
        <f t="shared" si="63"/>
        <v>0</v>
      </c>
      <c r="FJ40" s="838">
        <f t="shared" si="64"/>
        <v>0</v>
      </c>
      <c r="FK40" s="839">
        <f t="shared" si="65"/>
        <v>0</v>
      </c>
      <c r="FL40" s="839" t="str">
        <f t="shared" si="66"/>
        <v/>
      </c>
      <c r="FM40" s="838" t="str">
        <f t="shared" si="67"/>
        <v/>
      </c>
      <c r="FN40" s="838" t="e">
        <f t="shared" si="68"/>
        <v>#VALUE!</v>
      </c>
      <c r="FO40" s="1387" t="e">
        <f t="shared" si="69"/>
        <v>#VALUE!</v>
      </c>
      <c r="FP40" s="1387" t="e">
        <f t="shared" si="70"/>
        <v>#VALUE!</v>
      </c>
      <c r="FQ40" s="841" t="e">
        <f t="shared" si="71"/>
        <v>#VALUE!</v>
      </c>
      <c r="FR40" s="842" t="e">
        <f t="shared" si="72"/>
        <v>#VALUE!</v>
      </c>
      <c r="FS40" s="843" t="str">
        <f t="shared" si="73"/>
        <v/>
      </c>
      <c r="FT40" s="844" t="str">
        <f t="shared" si="74"/>
        <v/>
      </c>
      <c r="FU40" s="1011">
        <f t="shared" si="75"/>
        <v>0</v>
      </c>
      <c r="FV40" s="1012">
        <f t="shared" si="76"/>
        <v>0</v>
      </c>
      <c r="GA40" s="1791" t="str">
        <f t="shared" si="120"/>
        <v/>
      </c>
      <c r="GB40" s="1792" t="str">
        <f t="shared" si="121"/>
        <v/>
      </c>
      <c r="GC40" s="1793" t="str">
        <f t="shared" si="122"/>
        <v/>
      </c>
      <c r="GD40" s="1794" t="str">
        <f t="shared" si="123"/>
        <v/>
      </c>
      <c r="GE40" s="1795" t="str">
        <f t="shared" si="77"/>
        <v/>
      </c>
      <c r="GF40" s="600" t="str">
        <f t="shared" si="78"/>
        <v/>
      </c>
      <c r="GG40" s="1132"/>
      <c r="GH40" s="1133"/>
      <c r="GI40" s="1132"/>
      <c r="GJ40" s="1133"/>
      <c r="GK40" s="1636">
        <f t="shared" si="79"/>
        <v>0</v>
      </c>
      <c r="GL40" s="1636" t="e">
        <f t="shared" si="80"/>
        <v>#VALUE!</v>
      </c>
      <c r="GM40" s="1637" t="e">
        <f>IF(ABS(GK40-GL40)&gt;='Job Info.'!$L$22,ABS(GK40-GL40),0)</f>
        <v>#VALUE!</v>
      </c>
      <c r="GZ40" s="415"/>
      <c r="HA40" s="1397"/>
      <c r="HB40" s="1398"/>
      <c r="HC40" s="1398"/>
      <c r="HD40" s="1399"/>
      <c r="HE40" s="1400"/>
      <c r="HF40" s="1398"/>
      <c r="HG40" s="1398"/>
      <c r="HH40" s="1398"/>
      <c r="HI40" s="1401"/>
      <c r="HJ40" s="1398"/>
      <c r="HK40" s="1398"/>
      <c r="HL40" s="1398"/>
      <c r="HM40" s="1398"/>
      <c r="HN40" s="1398"/>
      <c r="HO40" s="1398"/>
      <c r="HP40" s="1398"/>
      <c r="HQ40" s="1401"/>
      <c r="HR40" s="1398"/>
      <c r="HS40" s="1398"/>
      <c r="HT40" s="1398"/>
      <c r="HU40" s="1398"/>
      <c r="HV40" s="1398"/>
      <c r="HW40" s="1400"/>
      <c r="HX40" s="1400"/>
      <c r="HY40" s="1400"/>
      <c r="HZ40" s="1400"/>
      <c r="IA40" s="1400"/>
      <c r="IB40" s="1400"/>
      <c r="IC40" s="1400"/>
      <c r="ID40" s="1400"/>
      <c r="IE40" s="1400"/>
      <c r="IF40" s="1402"/>
    </row>
    <row r="41" spans="1:240" ht="15" customHeight="1" thickTop="1" thickBot="1" x14ac:dyDescent="0.25">
      <c r="A41" s="1143"/>
      <c r="B41" s="1143"/>
      <c r="C41" s="1143"/>
      <c r="D41" s="1143"/>
      <c r="E41" s="1143"/>
      <c r="F41" s="1143"/>
      <c r="G41" s="1143"/>
      <c r="H41" s="1143"/>
      <c r="I41" s="1143"/>
      <c r="J41" s="1143"/>
      <c r="K41" s="1143"/>
      <c r="L41" s="1143"/>
      <c r="M41" s="1143"/>
      <c r="N41" s="1143"/>
      <c r="O41" s="1143"/>
      <c r="P41" s="1143"/>
      <c r="Q41" s="1143"/>
      <c r="R41" s="1143"/>
      <c r="S41" s="1143"/>
      <c r="T41" s="1143"/>
      <c r="U41" s="1143"/>
      <c r="V41" s="1143"/>
      <c r="W41" s="1143"/>
      <c r="X41" s="1143"/>
      <c r="Y41" s="1143"/>
      <c r="Z41" s="1143"/>
      <c r="AA41" s="1143"/>
      <c r="AD41" s="452">
        <f>SUM(AD23:AD40)</f>
        <v>0</v>
      </c>
      <c r="AE41" s="453">
        <f>SUM(AE23:AE40)</f>
        <v>88</v>
      </c>
      <c r="AF41" s="453">
        <f>SUM(AF23:AF40)</f>
        <v>0</v>
      </c>
      <c r="AG41" s="453">
        <f>SUM(AG23:AG40)</f>
        <v>0</v>
      </c>
      <c r="AH41" s="454">
        <f>SUM(AH23:AH40)</f>
        <v>0</v>
      </c>
      <c r="CN41" s="246"/>
      <c r="CO41" s="246"/>
      <c r="DK41" s="455"/>
      <c r="EO41" s="1008"/>
      <c r="EP41" s="1008"/>
      <c r="FU41" s="455"/>
      <c r="FV41" s="455"/>
      <c r="GA41" s="455"/>
      <c r="GB41" s="455"/>
      <c r="GC41" s="455"/>
      <c r="GD41" s="455"/>
      <c r="GE41" s="455"/>
      <c r="GF41" s="455"/>
      <c r="HA41" s="117"/>
      <c r="HB41" s="117"/>
      <c r="HC41" s="117"/>
      <c r="HD41" s="242"/>
      <c r="HE41" s="248"/>
      <c r="HF41" s="117"/>
      <c r="HG41" s="117"/>
      <c r="HH41" s="117"/>
      <c r="HI41" s="117"/>
      <c r="HJ41" s="117"/>
      <c r="HK41" s="117"/>
      <c r="HL41" s="117"/>
      <c r="HM41" s="117"/>
      <c r="HN41" s="117"/>
      <c r="HO41" s="117"/>
      <c r="HP41" s="117"/>
      <c r="HQ41" s="117"/>
      <c r="HR41" s="117"/>
      <c r="HS41" s="117"/>
      <c r="HT41" s="117"/>
      <c r="HU41" s="117"/>
      <c r="HV41" s="117"/>
      <c r="HW41" s="117"/>
      <c r="HX41" s="117"/>
    </row>
    <row r="42" spans="1:240" ht="15" customHeight="1" x14ac:dyDescent="0.2">
      <c r="EB42" s="1028"/>
    </row>
    <row r="43" spans="1:240" ht="15" customHeight="1" x14ac:dyDescent="0.2">
      <c r="AZ43" s="633"/>
      <c r="CH43" s="504"/>
      <c r="EB43" s="1028"/>
      <c r="EF43" s="856" t="str">
        <f>IF(EE43="ERR","ERR",IF(EE43="","",IF(DB43*TAN(DS43)&lt;=(VLOOKUP(AU43,$DF$2:$DN$9,8,FALSE)-(VLOOKUP(AU43,$DF$2:$DN$9,7,FALSE)-0.0625)),CV43-(EE43-FH43)/IF(OR(CU43="C",AND(CU43="M",$DD$1="N")),1,COS(DS43))-IF(OR(MID(CW43,1,1)="R",CW43="Q"),0,DW43),(ABS(EE43-FH43)/IF(OR(CU43="C",AND(CU43="M",$DD$1="N")),1,COS(DS43))+CV43)-((DB43/2)*TAN(DS43))-IF(OR(MID(CW43,1,1)="R",CW43="Q"),0,DW43))))</f>
        <v/>
      </c>
      <c r="EG43" s="856"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47"/>
      <c r="DQ44" s="562"/>
      <c r="DR44" s="378"/>
      <c r="DS44" s="378"/>
    </row>
    <row r="45" spans="1:240" ht="15" customHeight="1" x14ac:dyDescent="0.2">
      <c r="BI45" s="1028"/>
      <c r="BP45" s="1028"/>
      <c r="BQ45" s="633"/>
    </row>
    <row r="46" spans="1:240" ht="15" customHeight="1" x14ac:dyDescent="0.2"/>
    <row r="47" spans="1:240" ht="15" customHeight="1" thickBot="1" x14ac:dyDescent="0.25">
      <c r="A47" s="907" t="s">
        <v>720</v>
      </c>
      <c r="AD47" s="906">
        <f>SUM(AD41:AH41)</f>
        <v>88</v>
      </c>
      <c r="EK47" s="2317" t="s">
        <v>1060</v>
      </c>
      <c r="EL47" s="2317"/>
      <c r="EM47" s="2317"/>
      <c r="EN47" s="2317"/>
      <c r="EO47" s="2317"/>
    </row>
    <row r="48" spans="1:240" s="1008" customFormat="1" ht="15" hidden="1" customHeight="1" x14ac:dyDescent="0.2">
      <c r="AA48" s="1194"/>
      <c r="AI48" s="1085"/>
      <c r="HD48" s="1195"/>
      <c r="HE48" s="1196"/>
    </row>
    <row r="49" spans="1:192" ht="15" hidden="1" customHeight="1" x14ac:dyDescent="0.2"/>
    <row r="50" spans="1:192" ht="11.25" hidden="1" customHeight="1" x14ac:dyDescent="0.2">
      <c r="A50" s="1320"/>
      <c r="B50" s="1320"/>
      <c r="C50" s="1320"/>
      <c r="D50" s="1320"/>
      <c r="E50" s="1320"/>
      <c r="F50" s="1320"/>
      <c r="G50" s="1320"/>
      <c r="H50" s="1320"/>
      <c r="I50" s="1320"/>
      <c r="J50" s="1320"/>
      <c r="K50" s="1320"/>
      <c r="L50" s="1320"/>
      <c r="M50" s="1320"/>
      <c r="N50" s="1320"/>
      <c r="O50" s="1320"/>
      <c r="P50" s="1320"/>
      <c r="Q50" s="1320"/>
      <c r="R50" s="1320"/>
      <c r="S50" s="1320"/>
      <c r="T50" s="1320"/>
      <c r="U50" s="1320"/>
      <c r="V50" s="1320"/>
      <c r="W50" s="1320"/>
      <c r="X50" s="1320"/>
      <c r="Y50" s="1320"/>
      <c r="Z50" s="1320"/>
      <c r="AA50" s="1320"/>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144"/>
    </row>
    <row r="57" spans="1:192" ht="15" hidden="1" customHeight="1" x14ac:dyDescent="0.25">
      <c r="A57" s="1001" t="e">
        <f>IF(#REF!="","",UPPER(#REF!))</f>
        <v>#REF!</v>
      </c>
      <c r="B57" s="1679" t="e">
        <f>IF(#REF!="","",#REF!)</f>
        <v>#REF!</v>
      </c>
      <c r="C57" s="1002" t="e">
        <f>IF(#REF!="","",UPPER(#REF!))</f>
        <v>#REF!</v>
      </c>
      <c r="D57" s="998" t="str">
        <f>IF(DP57="","",TRUNC(DP57/12))</f>
        <v/>
      </c>
      <c r="E57" s="1097" t="str">
        <f>IF(DP57="","",DP57-(D57*12))</f>
        <v/>
      </c>
      <c r="F57" s="1000" t="str">
        <f>IF(DX57=0,"",TRUNC(DX57/12))</f>
        <v/>
      </c>
      <c r="G57" s="999" t="str">
        <f>IF(DX57=0,"",DX57-(F57*12))</f>
        <v/>
      </c>
      <c r="H57" s="1003" t="str">
        <f>IF(DX57=0,"",CW57)</f>
        <v/>
      </c>
      <c r="I57" s="998" t="str">
        <f>IF(ED57=0,"",TRUNC(ED57/12))</f>
        <v/>
      </c>
      <c r="J57" s="999" t="str">
        <f>IF(ED57=0,"",ED57-(I57*12))</f>
        <v/>
      </c>
      <c r="K57" s="1098" t="str">
        <f>IF(ED57=0,"",DG57)</f>
        <v/>
      </c>
      <c r="L57" s="1045">
        <f>DQ57</f>
        <v>0</v>
      </c>
      <c r="M57" s="1047">
        <f>DR57</f>
        <v>0</v>
      </c>
      <c r="N57" s="1000" t="str">
        <f>IF(ES57="","",IF(AND(ES57&lt;0,ES57&gt;-12),TRUNC(ES57/12)-0.0000001,TRUNC(ES57/12)))</f>
        <v/>
      </c>
      <c r="O57" s="999" t="str">
        <f>IF(ES57="","",IF(AND(ES57-(N57*12)=0,ES57&lt;0),-0.000001,ES57-(N57*12)))</f>
        <v/>
      </c>
      <c r="P57" s="1317" t="str">
        <f>IF(ES57="","",IF(OR(CW57="Q",CW57="C"),3,CZ57))</f>
        <v/>
      </c>
      <c r="Q57" s="998" t="str">
        <f>IF(ET57="","",IF(AND(ET57&lt;0,ET57&gt;-12),TRUNC(ET57/12)-0.0000001,TRUNC(ET57/12)))</f>
        <v/>
      </c>
      <c r="R57" s="999" t="str">
        <f>IF(ET57="","",IF(AND(ET57-(Q57*12)=0,ET57&lt;0),-0.000001,ET57-(Q57*12)))</f>
        <v/>
      </c>
      <c r="S57" s="1318" t="str">
        <f>IF(ET57="","",IF(OR(DG57="Q",DG57="C"),3,DJ57))</f>
        <v/>
      </c>
      <c r="T57" s="1000" t="str">
        <f>IF(CH57="ERR","",IF(EK57="","",IF(EK57="ERR",TRUNC(EJ57/12),TRUNC(EK57/12))))</f>
        <v/>
      </c>
      <c r="U57" s="999" t="str">
        <f>IF(CH57="ERR","",IF(EK57="","",IF(EK57="ERR",EJ57-(T57*12),EK57-(T57*12))))</f>
        <v/>
      </c>
      <c r="V57" s="998" t="str">
        <f>IF(CI57="ERR","",IF(ER57="","",IF(ER57="ERR",TRUNC(EQ57/12),TRUNC(ER57/12))))</f>
        <v/>
      </c>
      <c r="W57" s="999" t="str">
        <f>IF(CI57="ERR","",IF(ER57="","",IF(ER57="ERR",EQ57-(V57*12),ER57-(V57*12))))</f>
        <v/>
      </c>
      <c r="X57" s="1095">
        <f>IF(EV57="",0,EV57)</f>
        <v>0</v>
      </c>
      <c r="Y57" s="1069">
        <f>FG57</f>
        <v>0</v>
      </c>
      <c r="Z57" s="1070">
        <f>FL57</f>
        <v>0</v>
      </c>
      <c r="AA57" s="1068" t="e">
        <f>CONCATENATE(IF(#REF!="","",CONCATENATE("[",SUBSTITUTE(#REF!," ",""),"]")),IF(#REF!="","",CONCATENATE("(",SUBSTITUTE(#REF!," ",""),") ")))</f>
        <v>#REF!</v>
      </c>
      <c r="GA57" s="599" t="str">
        <f t="shared" ref="GA57" si="124">IF(GF57="","",BE57)</f>
        <v/>
      </c>
      <c r="GB57" s="619" t="str">
        <f t="shared" ref="GB57" si="125">IF(GF57="","",BF57)</f>
        <v/>
      </c>
      <c r="GC57" s="621" t="str">
        <f t="shared" ref="GC57" si="126">IF(GF57="","",IF(CV57="",0,CV57))</f>
        <v/>
      </c>
      <c r="GD57" s="622" t="str">
        <f t="shared" ref="GD57" si="127">IF(GF57="","",IF(DF57="",0,DF57))</f>
        <v/>
      </c>
      <c r="GE57" s="620"/>
      <c r="GF57" s="600"/>
      <c r="GG57" s="1646"/>
      <c r="GH57" s="1647"/>
      <c r="GI57" s="1646"/>
      <c r="GJ57" s="1647"/>
    </row>
    <row r="58" spans="1:192" ht="15" hidden="1" customHeight="1" x14ac:dyDescent="0.2">
      <c r="AA58" s="1145"/>
    </row>
    <row r="59" spans="1:192" ht="15" hidden="1" customHeight="1" x14ac:dyDescent="0.2"/>
    <row r="60" spans="1:192" ht="15" hidden="1" customHeight="1" x14ac:dyDescent="0.2">
      <c r="A60" s="892" t="s">
        <v>1176</v>
      </c>
    </row>
    <row r="61" spans="1:192" ht="15" hidden="1" customHeight="1" x14ac:dyDescent="0.2">
      <c r="A61" s="894" t="s">
        <v>1642</v>
      </c>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45" t="s">
        <v>799</v>
      </c>
    </row>
    <row r="68" spans="1:213" ht="15" hidden="1" customHeight="1" x14ac:dyDescent="0.2">
      <c r="CA68" s="245" t="s">
        <v>800</v>
      </c>
      <c r="CB68" s="567">
        <f>IF(ISBLANK(BD68),0,IF(CX68&gt;VLOOKUP($DF$2:$DN$9,AU68,3,FALSE),"X",0))</f>
        <v>0</v>
      </c>
      <c r="CC68" s="568">
        <f>IF(FV68&gt;0.0625,CEILING(FV68-0.0625,0.125),FV68)</f>
        <v>0</v>
      </c>
    </row>
    <row r="69" spans="1:213" ht="15" hidden="1" customHeight="1" x14ac:dyDescent="0.25">
      <c r="CA69" s="245" t="s">
        <v>801</v>
      </c>
      <c r="CB69" s="569" t="e">
        <f>IF(FU69&gt;0.0625,CEILING(FU69-0.0625,0.125),FU69)</f>
        <v>#REF!</v>
      </c>
      <c r="CC69" s="570" t="e">
        <f>IF(FV69&gt;0.0625,CEILING(FV69-0.0625,0.125),FV69)</f>
        <v>#REF!</v>
      </c>
      <c r="CS69" s="2339">
        <v>40961</v>
      </c>
      <c r="CT69" s="2340"/>
      <c r="CU69" s="115" t="e">
        <f>IF(#REF!="","",IF(VLOOKUP(#REF!,SectInfo!$B:$N,5,FALSE)="","R",UPPER(VLOOKUP(#REF!,SectInfo!$B:$N,5,FALSE))))</f>
        <v>#REF!</v>
      </c>
      <c r="CV69" s="115" t="e">
        <f>IF(#REF!="","",VLOOKUP(#REF!,SectInfo!$B:$N,6,FALSE))</f>
        <v>#REF!</v>
      </c>
      <c r="CW69" s="115" t="e">
        <f>IF(#REF!="","",IF(VLOOKUP(#REF!,SectInfo!$B:$N,10,FALSE)="","",(VLOOKUP(#REF!,SectInfo!$B:$N,10,FALSE)*-1)))</f>
        <v>#REF!</v>
      </c>
      <c r="CX69" s="118" t="e">
        <f>IF(#REF!="","",IF(VLOOKUP(#REF!,SectInfo!$B:$N,11,FALSE)="","",(VLOOKUP(#REF!,SectInfo!$B:$N,11,FALSE))))</f>
        <v>#REF!</v>
      </c>
      <c r="CY69" s="115" t="e">
        <f>IF(#REF!="","",IF(VLOOKUP(#REF!,SectInfo!$B:$N,7,FALSE)="","",(VLOOKUP(#REF!,SectInfo!$B:$N,7,FALSE)*-1)))</f>
        <v>#REF!</v>
      </c>
      <c r="CZ69" s="115" t="e">
        <f>IF(#REF!="","",IF(VLOOKUP(#REF!,SectInfo!$B:$N,8,FALSE)="",IF(OR(DM69="K",DM69="KCS",DM69="JS"),$CZ$4,$CZ$5),(VLOOKUP(#REF!,SectInfo!$B:$N,8,FALSE))))</f>
        <v>#REF!</v>
      </c>
      <c r="DA69" s="115" t="e">
        <f>IF(#REF!="","",VLOOKUP(#REF!,SectInfo!$B:$N,9,FALSE))</f>
        <v>#REF!</v>
      </c>
      <c r="DB69" s="107" t="e">
        <f>#REF!</f>
        <v>#REF!</v>
      </c>
      <c r="DC69" s="114" t="e">
        <f>IF(#REF!="","",VLOOKUP(#REF!,SectInfo!$B:$N,12,FALSE))</f>
        <v>#REF!</v>
      </c>
      <c r="DD69" s="115" t="e">
        <f>IF(#REF!="","",IF(ISBLANK(#REF!),VLOOKUP(#REF!,SectInfo!$B:$N,13,FALSE),#REF!))</f>
        <v>#REF!</v>
      </c>
      <c r="DE69" s="115" t="e">
        <f>IF(#REF!="","",IF(VLOOKUP(#REF!,SectInfo!$B:$N,5,FALSE)="","R",UPPER(VLOOKUP(#REF!,SectInfo!$B:$N,5,FALSE))))</f>
        <v>#REF!</v>
      </c>
      <c r="DF69" s="115" t="e">
        <f>IF(#REF!="","",VLOOKUP(#REF!,SectInfo!$B:$N,6,FALSE))</f>
        <v>#REF!</v>
      </c>
      <c r="DG69" s="115" t="e">
        <f>IF(#REF!="","",IF(VLOOKUP(#REF!,SectInfo!$B:$N,10,FALSE)="","",(VLOOKUP(#REF!,SectInfo!$B:$N,10,FALSE)*-1)))</f>
        <v>#REF!</v>
      </c>
      <c r="DH69" s="118" t="e">
        <f>IF(#REF!="","",IF(VLOOKUP(#REF!,SectInfo!$B:$N,11,FALSE)="","",(VLOOKUP(#REF!,SectInfo!$B:$N,11,FALSE))))</f>
        <v>#REF!</v>
      </c>
      <c r="DI69" s="115" t="e">
        <f>IF(#REF!="","",IF(VLOOKUP(#REF!,SectInfo!$B:$N,7,FALSE)="","",(VLOOKUP(#REF!,SectInfo!$B:$N,7,FALSE)*-1)))</f>
        <v>#REF!</v>
      </c>
      <c r="DJ69" s="115" t="e">
        <f>IF(#REF!="","",IF(VLOOKUP(#REF!,SectInfo!$B:$N,8,FALSE)="",IF(OR(DM69="K",DM69="KCS",DM69="JS"),$CZ$4,$CZ$5),(VLOOKUP(#REF!,SectInfo!$B:$N,8,FALSE))))</f>
        <v>#REF!</v>
      </c>
      <c r="DK69" s="115" t="e">
        <f>IF(#REF!="","",VLOOKUP(#REF!,SectInfo!$B:$N,9,FALSE))</f>
        <v>#REF!</v>
      </c>
      <c r="DL69" s="107" t="e">
        <f>#REF!</f>
        <v>#REF!</v>
      </c>
      <c r="DM69" s="116">
        <f>IF(IF(AX62="",AW62,AX62)="SLH","DLH",IF(IF(AX62="",AW62,AX62)="CJ","LH",IF(AX62="",AW62,AX62)))</f>
        <v>0</v>
      </c>
      <c r="DN69" s="125" t="e">
        <f>IF(#REF!="",0,ATAN(#REF!/12))</f>
        <v>#REF!</v>
      </c>
      <c r="DO69" s="109" t="e">
        <f>IF(OR(CT69="",#REF!="",DD69=""),"",CEILING(IF(AND(#REF!="",#REF!=""),"",((#REF!*12+#REF!)+CT69+DD69)/COS(FO69))-0.0625,0.125))</f>
        <v>#REF!</v>
      </c>
      <c r="DP69" s="109" t="e">
        <f>IF(OR(CV69="",#REF!="",DF69=""),"",CEILING(IF(AND(#REF!="",#REF!=""),"",((#REF!*12+#REF!)+CV69+DF69)/COS(FN69))-0.0625,0.125))</f>
        <v>#REF!</v>
      </c>
      <c r="DQ69" s="109" t="str">
        <f>IF(AU54="","",IF(ABS(FF69)&lt;ABS($CX$2),CX69,IF(FF69=0,CX69,CEILING((CX69+((DW69-CV69)/12)*FF69)-0.0625,0.125))))</f>
        <v/>
      </c>
      <c r="DR69" s="109" t="str">
        <f>IF(AU54="","",IF(ABS(FK69)&lt;ABS($CX$2),DH69,IF(FK69=0,DH69,CEILING((DH69+((EC69-DF69)/12)*FK69)-0.0625,0.125))))</f>
        <v/>
      </c>
      <c r="DS69" s="110" t="e">
        <f>IF(#REF!="",0,RADIANS(ABS(#REF!)))</f>
        <v>#REF!</v>
      </c>
      <c r="DT69" s="110" t="e">
        <f>MIN(IF(#REF!&gt;0,#REF!/2,MAX(#REF!/2,DC69)),IF(#REF!&gt;0,#REF!/2,MAX(#REF!/2,DC69)),IF(DC69&gt;0,DC69,MAX(#REF!/2,#REF!/2)))/COS(DS69)</f>
        <v>#REF!</v>
      </c>
      <c r="DU69" s="110" t="e">
        <f>IF(CV69="","",IF(DC69&gt;=0,MAX(#REF!/2,#REF!/2,DC69),DC69)/COS(DS69))</f>
        <v>#REF!</v>
      </c>
      <c r="DV69" s="109" t="e">
        <f>IF(CV69="","",CV69+DU69+IF(OR(AU54="K",AU54="KCS"),$CV$4/2,$CV$5/2)*TAN(DS69))</f>
        <v>#REF!</v>
      </c>
      <c r="DW69" s="50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11" t="e">
        <f>IF(CV69="",0,IF(DW69/COS(FN69)&lt;0.0625,0,CEILING(DW69/COS(FN69)-0.0625,0.125)))</f>
        <v>#REF!</v>
      </c>
      <c r="DY69" s="109" t="e">
        <f>RADIANS(ABS(#REF!))</f>
        <v>#REF!</v>
      </c>
      <c r="DZ69" s="110" t="e">
        <f>MIN(IF(#REF!&gt;0,#REF!/2,MAX(#REF!/2,DM69)),IF(#REF!&gt;0,#REF!/2,MAX(#REF!/2,DM69)),IF(DM69&gt;0,DM69,MAX(#REF!/2,#REF!/2)))/COS(DY69)</f>
        <v>#REF!</v>
      </c>
      <c r="EA69" s="110" t="e">
        <f>IF(DF69="","",IF(DM69&gt;=0,MAX(#REF!/2,#REF!/2,DM69),DM69)/COS(DY69))</f>
        <v>#REF!</v>
      </c>
      <c r="EB69" s="109" t="e">
        <f>IF(DF69="","",DF69+EA69+IF(OR(AU54="K",AU54="KCS"),$CV$4/2,$CV$5/2)*TAN(DY69))</f>
        <v>#REF!</v>
      </c>
      <c r="EC69" s="50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11" t="e">
        <f>IF(DF69="",0,IF(EC69/COS(FN69)&lt;0.0625,0,CEILING(EC69/COS(FN69)-0.0625,0.125)))</f>
        <v>#REF!</v>
      </c>
      <c r="EE69" s="109" t="e">
        <f>IF(AND(EZ69="",DA69=""),"",IF(EZ69="ERR","ERR",IF(ISNUMBER(EZ69),(EZ69/2)*-1,DA69)))</f>
        <v>#REF!</v>
      </c>
      <c r="EF69" s="109" t="e">
        <f>IF(EE69="ERR","ERR",IF(EE69="","",IF(OR(AND(OR(AU54="K",AU54="KCS"),(DB69*TAN(DS69)&lt;=($DB$4-($DA$4-0.0625)))),AND(OR(AU54="LH",AU54="DLH"),(DB69*TAN(DS69)&lt;=($DB$5-($DA$5-0.0625))))),CV69-(EE69-FH69)/COS(DS69)-IF(MID(CW69,1,1)="R",0,DW69),(ABS(EE69-FH69)/COS(DS69)+CV69)-((DB69/2)*TAN(DS69))-IF(MID(CW69,1,1)="R",0,DW69))))</f>
        <v>#REF!</v>
      </c>
      <c r="EG69" s="109" t="e">
        <f>IF(EE69="ERR","ERR",IF(EE69="","",IF(OR(AND(OR(AU54="K",AU54="KCS"),(DB69*TAN(DS69)&lt;=($DB$4-($DA$4-0.0625)))),AND(OR(AU54="LH",AU54="DLH"),(DB69*TAN(DS69)&lt;=($DB$5-($DA$5-0.0625))))),CV69-(EE69-FH69)/COS(DS69)-IF(MID(CW69,1,1)="R",0,DW69),(ABS(EE69-FH69)/COS(DS69)+CV69)+((DB69/2)*TAN(DS69))-IF(MID(CW69,1,1)="R",0,DW69))))</f>
        <v>#REF!</v>
      </c>
      <c r="EH69" s="109"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09"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09" t="str">
        <f>IF(ISERROR(EF69),"ERR",IF(EF69="","",IF(EH69="ERR","ERR",CEILING(EH69-0.0625,0.125))))</f>
        <v>ERR</v>
      </c>
      <c r="EK69" s="109" t="str">
        <f>IF(ISERROR(EG69),"ERR",IF(EG69="","",IF(EI69="ERR","ERR",CEILING(EI69-0.0625,0.125))))</f>
        <v>ERR</v>
      </c>
      <c r="EL69" s="109" t="e">
        <f>IF(AND(FC69="",DK69=""),"",IF(FC69="ERR","ERR",IF(ISNUMBER(FC69),(FC69/2)*-1,DK69)))</f>
        <v>#REF!</v>
      </c>
      <c r="EM69" s="109" t="e">
        <f>IF(EL69="ERR","ERR",IF(EL69="","",IF(OR(AND(OR(AU54="K",AU54="KCS"),(DL69*TAN(DY69)&lt;=($DB$4-($DA$4-0.0625)))),AND(OR(AU54="LH",AU54="DLH"),(DL69*TAN(DY69)&lt;=($DB$5-($DA$5-0.0625))))),DF69-(EL69-FM69)/COS(DY69)-IF(MID(DG69,1,1)="R",0,EC69),(ABS(EL69-FM69)/COS(DY69)+DF69)-((DL69/2)*TAN(DY69))-IF(MID(DG69,1,1)="R",0,EC69))))</f>
        <v>#REF!</v>
      </c>
      <c r="EN69" s="109" t="e">
        <f>IF(EL69="ERR","ERR",IF(EL69="","",IF(OR(AND(OR(AU54="K",AU54="KCS"),(DL69*TAN(DY69)&lt;=($DB$4-($DA$4-0.0625)))),AND(OR(AU54="LH",AU54="DLH"),(DL69*TAN(DY69)&lt;=($DB$5-($DA$5-0.0625))))),DF69-(EL69-FM69)/COS(DY69)-IF(MID(DG69,1,1)="R",0,EC69),(ABS(EL69-FM69)/COS(DY69)+DF69)+((DL69/2)*TAN(DY69))-IF(MID(DG69,1,1)="R",0,EC69))))</f>
        <v>#REF!</v>
      </c>
      <c r="EO69" s="109"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09"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09" t="str">
        <f>IF(ISERROR(EM69),"ERR",IF(EM69="","",IF(EO69="ERR","ERR",CEILING(EO69-0.0625,0.125))))</f>
        <v>ERR</v>
      </c>
      <c r="ER69" s="109" t="str">
        <f>IF(ISERROR(EN69),"ERR",IF(EN69="","",IF(EP69="ERR","ERR",CEILING(EP69-0.0625,0.125))))</f>
        <v>ERR</v>
      </c>
      <c r="ES69" s="501" t="e">
        <f>IF(OR(CY69="",AU54="JS",AU54="HDR",#REF!=""),"",IF((CV69-CY69)/COS(DO69)-FS69&lt;=-0.0625,CEILING((CV69-CY69)/COS(DO69)-FS69+0.0625,-0.125),IF((CV69-CY69)/COS(DO69)-FS69&gt;=0.0625,CEILING((CV69-CY69)/COS(DO69)-FS69-0.0625,0.125),0)))</f>
        <v>#REF!</v>
      </c>
      <c r="ET69" s="501" t="e">
        <f>IF(OR(DI69="",AU54="JS",AU54="HDR",#REF!=""),"",IF((DF69-DI69)/COS(DO69)-FT69&lt;=-0.0625,CEILING((DF69-DI69)/COS(DO69)-FT69+0.0625,-0.125),IF((DF69-DI69)/COS(DO69)-FT69&gt;=0.0625,CEILING((DF69-DI69)/COS(DO69)-FT69-0.0625,0.125),0)))</f>
        <v>#REF!</v>
      </c>
      <c r="EU69" s="112" t="str">
        <f>IF(AU54="","",IF(OR(AU54="K",AU54="KCS",AU54="JS"),$CZ$4,$CZ$5))</f>
        <v/>
      </c>
      <c r="EV69" s="113" t="e">
        <f>IF(AND(EK69="",ER69=""),"",IF(OR(IF(ISBLANK(#REF!),FALSE,DB69=EU69),IF(ISBLANK(#REF!),FALSE,DL69=EU69)),EU69,DB69))</f>
        <v>#REF!</v>
      </c>
      <c r="EW69" s="112" t="e">
        <f>IF(#REF!="","",CEILING(IF(OR(AU54="K",AU54="KCS"),2.5/COS(DO69)+$CX$4/12*ABS(#REF!)+0.5,IF(OR(AU54="LH",AU54="DLH"),5/COS(DO69)+$CX$5/12*ABS(#REF!)+0.5,0)),0.125))</f>
        <v>#REF!</v>
      </c>
      <c r="EX69" s="112" t="e">
        <f>(IF(CU69="G",VLOOKUP(MIN(#REF!),TblJoistSize!$M$3:$N$10,2),IF(CU69="B",MIN(#REF!),"")))</f>
        <v>#REF!</v>
      </c>
      <c r="EY69" s="112" t="e">
        <f>(IF(CU69="G",VLOOKUP(MAX(#REF!),TblJoistSize!$M$3:$N$10,2),IF(CU69="B",MAX(#REF!),"")))</f>
        <v>#REF!</v>
      </c>
      <c r="EZ69" s="112" t="e">
        <f>IF(#REF!="X",IF((EY69-EX69)/2&lt;=IF(OR(AU54="K",AU54="KCS",AU54="JS"),($DB$4-($DA$4-0.0625)),($DB$5-($DA$5-0.0625))),(EX69+EY69)/2,"ERR"),"")</f>
        <v>#REF!</v>
      </c>
      <c r="FA69" s="112" t="e">
        <f>(IF(DE69="G",VLOOKUP(MIN(#REF!),TblJoistSize!$M$3:$N$10,2),IF(DE69="B",MIN(#REF!),"")))</f>
        <v>#REF!</v>
      </c>
      <c r="FB69" s="112" t="e">
        <f>(IF(DE69="G",VLOOKUP(MAX(#REF!),TblJoistSize!$M$3:$N$10,2),IF(DE69="B",MAX(#REF!),"")))</f>
        <v>#REF!</v>
      </c>
      <c r="FC69" s="112" t="e">
        <f>IF(#REF!="X",IF((FB69-FA69)/2&lt;=IF(OR(AU54="K",AU54="KCS",AU54="JS"),($DB$4-($DA$4-0.0625)),($DB$5-($DA$5-0.0625))),(FA69+FB69)/2,"ERR"),"")</f>
        <v>#REF!</v>
      </c>
      <c r="FD69" s="110" t="e">
        <f>IF(DD69="",0,ATAN(DD69/12))</f>
        <v>#REF!</v>
      </c>
      <c r="FE69" s="110" t="e">
        <f>DO69-FD69</f>
        <v>#REF!</v>
      </c>
      <c r="FF69" s="110" t="e">
        <f>TAN(FE69)*12</f>
        <v>#REF!</v>
      </c>
      <c r="FG69" s="110" t="e">
        <f>IF(FF69=0,"",IF(ABS(FF69)&lt;$CX$2,IF(AND(ABS(MIN(DV69,FQ69)/12*FF69)&gt;$DD$2,FF69&gt;0),IF(FF69&gt;0,CEILING(FF69-0.0625,0.125),CEILING(FF69+0.0625,-0.125)),""),IF(FF69&gt;0,CEILING(FF69-0.0625,0.125),CEILING(FF69+0.0625,-0.125))))</f>
        <v>#REF!</v>
      </c>
      <c r="FH69" s="109" t="e">
        <f>IF(CX69="","",CX69*TAN(FD69))</f>
        <v>#REF!</v>
      </c>
      <c r="FI69" s="110" t="e">
        <f>IF(DN69="",0,ATAN(DN69/12))</f>
        <v>#REF!</v>
      </c>
      <c r="FJ69" s="110" t="e">
        <f>DO69+FI69</f>
        <v>#REF!</v>
      </c>
      <c r="FK69" s="110" t="e">
        <f>TAN(FJ69)*-12</f>
        <v>#REF!</v>
      </c>
      <c r="FL69" s="110" t="e">
        <f>IF(FK69=0,"",IF(ABS(FK69)&lt;$CX$2,IF(AND(ABS(MIN(EB69,FR69)/12*FK69)&gt;$DD$2,FK69&gt;0),IF(FK69&gt;0,CEILING(FK69-0.0625,0.125),CEILING(FK69+0.0625,-0.125)),""),IF(FK69&gt;0,CEILING(FK69-0.0625,0.125),CEILING(FK69+0.0625,-0.125))))</f>
        <v>#REF!</v>
      </c>
      <c r="FM69" s="109" t="e">
        <f>IF(DH69="","",DH69*TAN(FI69))</f>
        <v>#REF!</v>
      </c>
      <c r="FN69" s="109" t="e">
        <f>IF((#REF!*12+#REF!)/COS(DO69)-(#REF!*12+#REF!)&lt;$DB$2,0,DO69)</f>
        <v>#REF!</v>
      </c>
      <c r="FO69" s="134" t="e">
        <f>CEILING(MIN(IF(#REF!&gt;0,#REF!/2,MAX(#REF!/2,DC69)),IF(#REF!&gt;0,#REF!/2,MAX(#REF!/2,DC69)),IF(DC69&gt;0,DC69,MAX(#REF!/2,#REF!/2)))/COS(DS69)+CV69-DW69-0.0625,0.125)</f>
        <v>#REF!</v>
      </c>
      <c r="FP69" s="134" t="e">
        <f>CEILING(MIN(IF(#REF!&gt;0,#REF!/2,MAX(#REF!/2,DM69)),IF(#REF!&gt;0,#REF!/2,MAX(#REF!/2,DM69)),IF(DM69&gt;0,DM69,MAX(#REF!/2,#REF!/2)))/COS(DY69)+DF69-EC69-0.0625,0.125)</f>
        <v>#REF!</v>
      </c>
      <c r="FQ69" s="238" t="e">
        <f>IF(OR(CU69="M", CU69="B",CU69="G"),MAX(#REF!,#REF!),DC69+CY69)</f>
        <v>#REF!</v>
      </c>
      <c r="FR69" s="449" t="e">
        <f>IF(OR(DE69="M", DE69="B",DE69="G"),MAX(#REF!,#REF!),DM69+DI69)</f>
        <v>#REF!</v>
      </c>
      <c r="FS69" s="558" t="e">
        <f>IF(CY69="","",IF(ABS(#REF!*((AJ54-IF(#REF!&gt;0,VLOOKUP(AU54,$DF$2:$DN$9,9,FALSE),0))/12))&gt;$CZ$2,#REF!*((AJ54-IF(#REF!&gt;0,VLOOKUP(AU54,$DF$2:$DN$9,9,FALSE),0))/12),0))</f>
        <v>#REF!</v>
      </c>
      <c r="FT69" s="559" t="e">
        <f>IF(DI69="","",IF(ABS(#REF!*((AJ54-IF(#REF!&lt;0,VLOOKUP(AU54,$DF$2:$DN$9,9,FALSE),0))/12))&gt;$CZ$2,#REF!*((AJ54-IF(#REF!&lt;0,VLOOKUP(AU54,$DF$2:$DN$9,9,FALSE),0))/12)*-1,0))</f>
        <v>#REF!</v>
      </c>
      <c r="FU69" s="560" t="e">
        <f>IF(CX69="",0,MAX(0,MIN(DV69-VLOOKUP(AU54,DF$2:DN$9,4,FALSE),(MAX(0,CX69-VLOOKUP(AU54,DF$2:DN$9,3,FALSE))+VLOOKUP(AU54,DF$2:DN$9,4,FALSE))*COS(DO69)+((MAX(0,CX69-VLOOKUP(AU54,DF$2:DN$9,3,FALSE))+VLOOKUP(AU54,DF$2:DN$9,4,FALSE))*COS(PI()/2-DO69))/TAN(PI()/2-(DO69+PI()/4))-VLOOKUP(AU54,DF$2:DN$9,4,FALSE))))</f>
        <v>#REF!</v>
      </c>
      <c r="FV69" s="561" t="e">
        <f>IF(DH69="",0,MAX(0,MIN(EB69-VLOOKUP(AU54,DF$2:DN$9,4,FALSE),(MAX(0,DH69-VLOOKUP(AU54,DF$2:DN$9,3,FALSE))+VLOOKUP(AU54,DF$2:DN$9,4,FALSE))*COS(DO69)+((MAX(0,DH69-VLOOKUP(AU54,DF$2:DN$9,3,FALSE))+VLOOKUP(AU54,DF$2:DN$9,4,FALSE))*COS(PI()/2-DO69))/TAN(PI()/2-(DO69+PI()/4))-VLOOKUP(AU54,DF$2:DN$9,4,FALSE))))</f>
        <v>#REF!</v>
      </c>
    </row>
    <row r="70" spans="1:213" s="1008" customFormat="1" ht="15" hidden="1" customHeight="1" thickBot="1" x14ac:dyDescent="0.25">
      <c r="AI70" s="1085"/>
      <c r="HD70" s="1195"/>
      <c r="HE70" s="1196"/>
    </row>
    <row r="71" spans="1:213" ht="15" customHeight="1" x14ac:dyDescent="0.2">
      <c r="A71" s="907" t="s">
        <v>721</v>
      </c>
      <c r="EL71" s="2342" t="s">
        <v>524</v>
      </c>
      <c r="EM71" s="2343"/>
      <c r="EN71" s="2343"/>
      <c r="EO71" s="2344"/>
    </row>
    <row r="73" spans="1:213" ht="12.75" customHeight="1" x14ac:dyDescent="0.2"/>
    <row r="74" spans="1:213" ht="12.75" customHeight="1" x14ac:dyDescent="0.2"/>
    <row r="75" spans="1:213" ht="12.75" customHeight="1" x14ac:dyDescent="0.2"/>
    <row r="76" spans="1:213" ht="13.5" customHeight="1" x14ac:dyDescent="0.2"/>
  </sheetData>
  <sheetProtection algorithmName="SHA-512" hashValue="O9fOhoYk+Q5YNo57JNhflsQEZeC5Xt8pqYqb+x6Me24TK0GyAbHiYckCAFVgnSTH6Qake55xKXAGO6CgwkaIJA==" saltValue="pYukp55WWp3D8OE6tkdblQ==" spinCount="100000" sheet="1" objects="1" scenarios="1" selectLockedCells="1"/>
  <dataConsolidate link="1"/>
  <mergeCells count="192">
    <mergeCell ref="GZ17:GZ18"/>
    <mergeCell ref="M7:S7"/>
    <mergeCell ref="C9:O9"/>
    <mergeCell ref="S9:AA9"/>
    <mergeCell ref="C10:O10"/>
    <mergeCell ref="S10:W10"/>
    <mergeCell ref="Z10:AA10"/>
    <mergeCell ref="P1:S1"/>
    <mergeCell ref="P2:S3"/>
    <mergeCell ref="P4:S4"/>
    <mergeCell ref="A5:M5"/>
    <mergeCell ref="M6:T6"/>
    <mergeCell ref="Y6:Z6"/>
    <mergeCell ref="BB21:BB22"/>
    <mergeCell ref="BC21:BC22"/>
    <mergeCell ref="BD21:BD22"/>
    <mergeCell ref="BE21:BF22"/>
    <mergeCell ref="EQ13:EQ14"/>
    <mergeCell ref="EU13:EU14"/>
    <mergeCell ref="EV13:EV14"/>
    <mergeCell ref="EW13:EW14"/>
    <mergeCell ref="CC15:CF15"/>
    <mergeCell ref="BO21:BO22"/>
    <mergeCell ref="BP21:BR21"/>
    <mergeCell ref="BS21:BS22"/>
    <mergeCell ref="BT21:BU22"/>
    <mergeCell ref="BV21:BV22"/>
    <mergeCell ref="BW21:BX22"/>
    <mergeCell ref="BG21:BG22"/>
    <mergeCell ref="BH21:BI22"/>
    <mergeCell ref="BJ21:BJ22"/>
    <mergeCell ref="BK21:BL22"/>
    <mergeCell ref="BM21:BM22"/>
    <mergeCell ref="BN21:BN22"/>
    <mergeCell ref="CL21:CM21"/>
    <mergeCell ref="CU21:CU22"/>
    <mergeCell ref="CV21:CV22"/>
    <mergeCell ref="A21:A22"/>
    <mergeCell ref="B21:B22"/>
    <mergeCell ref="C21:C22"/>
    <mergeCell ref="D21:E22"/>
    <mergeCell ref="F21:H21"/>
    <mergeCell ref="I21:K21"/>
    <mergeCell ref="FN19:FN22"/>
    <mergeCell ref="FQ19:FR20"/>
    <mergeCell ref="HA19:IF20"/>
    <mergeCell ref="AU20:AU22"/>
    <mergeCell ref="AV20:AW22"/>
    <mergeCell ref="BB20:BF20"/>
    <mergeCell ref="BG20:BR20"/>
    <mergeCell ref="BS20:CD20"/>
    <mergeCell ref="CE20:CE22"/>
    <mergeCell ref="CF20:CG21"/>
    <mergeCell ref="FH19:FH22"/>
    <mergeCell ref="FI19:FI22"/>
    <mergeCell ref="FJ19:FJ22"/>
    <mergeCell ref="FK19:FK22"/>
    <mergeCell ref="FL19:FL22"/>
    <mergeCell ref="FM19:FM22"/>
    <mergeCell ref="FB19:FB22"/>
    <mergeCell ref="FC19:FC22"/>
    <mergeCell ref="L21:M21"/>
    <mergeCell ref="N21:P21"/>
    <mergeCell ref="Q21:S21"/>
    <mergeCell ref="T21:X21"/>
    <mergeCell ref="Y21:Z21"/>
    <mergeCell ref="AZ21:AZ22"/>
    <mergeCell ref="CU20:DD20"/>
    <mergeCell ref="DE20:DN20"/>
    <mergeCell ref="GA20:GJ20"/>
    <mergeCell ref="FD19:FD22"/>
    <mergeCell ref="FE19:FE22"/>
    <mergeCell ref="FF19:FF22"/>
    <mergeCell ref="FG19:FG22"/>
    <mergeCell ref="EV19:EV22"/>
    <mergeCell ref="EW19:EW22"/>
    <mergeCell ref="EX19:EX22"/>
    <mergeCell ref="EY19:EY22"/>
    <mergeCell ref="EZ19:EZ22"/>
    <mergeCell ref="FA19:FA22"/>
    <mergeCell ref="BB18:CB19"/>
    <mergeCell ref="CD18:CG19"/>
    <mergeCell ref="CN19:CO21"/>
    <mergeCell ref="CP19:CQ21"/>
    <mergeCell ref="CR19:CR22"/>
    <mergeCell ref="CW21:CW22"/>
    <mergeCell ref="CX21:CX22"/>
    <mergeCell ref="CY21:CY22"/>
    <mergeCell ref="BY21:BY22"/>
    <mergeCell ref="BZ21:BZ22"/>
    <mergeCell ref="CA21:CA22"/>
    <mergeCell ref="CB21:CD21"/>
    <mergeCell ref="CH21:CJ21"/>
    <mergeCell ref="CK21:CK22"/>
    <mergeCell ref="CS19:CS22"/>
    <mergeCell ref="DF21:DF22"/>
    <mergeCell ref="DG21:DG22"/>
    <mergeCell ref="DH21:DH22"/>
    <mergeCell ref="DI21:DI22"/>
    <mergeCell ref="DJ21:DJ22"/>
    <mergeCell ref="DK21:DK22"/>
    <mergeCell ref="CZ21:CZ22"/>
    <mergeCell ref="DA21:DA22"/>
    <mergeCell ref="DB21:DB22"/>
    <mergeCell ref="DC21:DC22"/>
    <mergeCell ref="DD21:DD22"/>
    <mergeCell ref="DE21:DE22"/>
    <mergeCell ref="DR21:DR22"/>
    <mergeCell ref="DS21:DS22"/>
    <mergeCell ref="DT21:DU21"/>
    <mergeCell ref="DV21:DV22"/>
    <mergeCell ref="DW21:DW22"/>
    <mergeCell ref="DX21:DX22"/>
    <mergeCell ref="DL21:DL22"/>
    <mergeCell ref="DM21:DM22"/>
    <mergeCell ref="DN21:DN22"/>
    <mergeCell ref="DO21:DO22"/>
    <mergeCell ref="DP21:DP22"/>
    <mergeCell ref="DQ21:DQ22"/>
    <mergeCell ref="EF21:EG21"/>
    <mergeCell ref="EH21:EI21"/>
    <mergeCell ref="EJ21:EK21"/>
    <mergeCell ref="EL21:EL22"/>
    <mergeCell ref="EM21:EN21"/>
    <mergeCell ref="EO21:EP21"/>
    <mergeCell ref="DY21:DY22"/>
    <mergeCell ref="DZ21:EA21"/>
    <mergeCell ref="EB21:EB22"/>
    <mergeCell ref="EC21:EC22"/>
    <mergeCell ref="ED21:ED22"/>
    <mergeCell ref="EE21:EE22"/>
    <mergeCell ref="FQ21:FQ22"/>
    <mergeCell ref="FR21:FR22"/>
    <mergeCell ref="FS21:FS22"/>
    <mergeCell ref="FT21:FT22"/>
    <mergeCell ref="FU21:FV21"/>
    <mergeCell ref="GA21:GB21"/>
    <mergeCell ref="EQ21:ER21"/>
    <mergeCell ref="ES21:ES22"/>
    <mergeCell ref="ET21:ET22"/>
    <mergeCell ref="EU21:EU22"/>
    <mergeCell ref="FO21:FO22"/>
    <mergeCell ref="FP21:FP22"/>
    <mergeCell ref="GL21:GL22"/>
    <mergeCell ref="GM21:GM22"/>
    <mergeCell ref="HA21:HA22"/>
    <mergeCell ref="HB21:HB22"/>
    <mergeCell ref="HC21:HC22"/>
    <mergeCell ref="HD21:HE22"/>
    <mergeCell ref="GC21:GD21"/>
    <mergeCell ref="GE21:GE22"/>
    <mergeCell ref="GF21:GF22"/>
    <mergeCell ref="GG21:GH21"/>
    <mergeCell ref="GI21:GJ21"/>
    <mergeCell ref="GK21:GK22"/>
    <mergeCell ref="GZ20:GZ22"/>
    <mergeCell ref="HL21:HL22"/>
    <mergeCell ref="HM21:HM22"/>
    <mergeCell ref="HN21:HN22"/>
    <mergeCell ref="HO21:HO22"/>
    <mergeCell ref="HP21:HP22"/>
    <mergeCell ref="HQ21:HQ22"/>
    <mergeCell ref="HF21:HF22"/>
    <mergeCell ref="HG21:HG22"/>
    <mergeCell ref="HH21:HH22"/>
    <mergeCell ref="HI21:HI22"/>
    <mergeCell ref="HJ21:HJ22"/>
    <mergeCell ref="HK21:HK22"/>
    <mergeCell ref="EK47:EO47"/>
    <mergeCell ref="CS69:CT69"/>
    <mergeCell ref="EL71:EO71"/>
    <mergeCell ref="ID21:ID22"/>
    <mergeCell ref="IE21:IE22"/>
    <mergeCell ref="IF21:IF22"/>
    <mergeCell ref="F22:G22"/>
    <mergeCell ref="I22:J22"/>
    <mergeCell ref="N22:O22"/>
    <mergeCell ref="Q22:R22"/>
    <mergeCell ref="T22:U22"/>
    <mergeCell ref="V22:W22"/>
    <mergeCell ref="HX21:HX22"/>
    <mergeCell ref="HY21:HY22"/>
    <mergeCell ref="HZ21:HZ22"/>
    <mergeCell ref="IA21:IA22"/>
    <mergeCell ref="IB21:IB22"/>
    <mergeCell ref="IC21:IC22"/>
    <mergeCell ref="HR21:HR22"/>
    <mergeCell ref="HS21:HS22"/>
    <mergeCell ref="HT21:HT22"/>
    <mergeCell ref="HU21:HU22"/>
    <mergeCell ref="HV21:HV22"/>
    <mergeCell ref="HW21:HW22"/>
  </mergeCells>
  <conditionalFormatting sqref="BD23:BD40">
    <cfRule type="expression" dxfId="405" priority="32">
      <formula>AND(NOT($AY23),NOT($AP23))</formula>
    </cfRule>
  </conditionalFormatting>
  <conditionalFormatting sqref="EF69 EF23:EF40">
    <cfRule type="cellIs" dxfId="404" priority="33" stopIfTrue="1" operator="notEqual">
      <formula>$EG23</formula>
    </cfRule>
  </conditionalFormatting>
  <conditionalFormatting sqref="EM69 EM23:EM40">
    <cfRule type="cellIs" dxfId="403" priority="34" stopIfTrue="1" operator="notEqual">
      <formula>$EN23</formula>
    </cfRule>
  </conditionalFormatting>
  <conditionalFormatting sqref="CB69:CC69">
    <cfRule type="cellIs" dxfId="402" priority="35" stopIfTrue="1" operator="equal">
      <formula>0</formula>
    </cfRule>
    <cfRule type="expression" dxfId="401" priority="36" stopIfTrue="1">
      <formula>OR(CB69&lt;0,CB69&gt;FU69)</formula>
    </cfRule>
  </conditionalFormatting>
  <conditionalFormatting sqref="P2:S4">
    <cfRule type="cellIs" dxfId="400" priority="37" stopIfTrue="1" operator="equal">
      <formula>""</formula>
    </cfRule>
  </conditionalFormatting>
  <conditionalFormatting sqref="CC16">
    <cfRule type="expression" dxfId="399" priority="38" stopIfTrue="1">
      <formula>ISBLANK($CC$16)</formula>
    </cfRule>
  </conditionalFormatting>
  <conditionalFormatting sqref="CC15">
    <cfRule type="expression" dxfId="398" priority="39" stopIfTrue="1">
      <formula>ISBLANK($CC$15)</formula>
    </cfRule>
  </conditionalFormatting>
  <conditionalFormatting sqref="M7">
    <cfRule type="expression" dxfId="397" priority="40" stopIfTrue="1">
      <formula>NOT(OR(COUNTIF(masterFinishList, $M$7) &gt; 0, COUNTIF($M$7, "Other:*") &gt; 0))</formula>
    </cfRule>
  </conditionalFormatting>
  <conditionalFormatting sqref="U23:U40">
    <cfRule type="expression" dxfId="396" priority="29">
      <formula>AND(NOT($AY23),NOT(AR23),$P23&lt;&gt;3)</formula>
    </cfRule>
  </conditionalFormatting>
  <conditionalFormatting sqref="W23:W40">
    <cfRule type="expression" dxfId="395" priority="31">
      <formula>AND(NOT($AY23),NOT(AT23),$S23&lt;&gt;3)</formula>
    </cfRule>
  </conditionalFormatting>
  <conditionalFormatting sqref="A23:B40">
    <cfRule type="expression" dxfId="394" priority="16">
      <formula>AND(NOT($AE$1),$B23=0,$AD$1="M")</formula>
    </cfRule>
  </conditionalFormatting>
  <conditionalFormatting sqref="T23:T40">
    <cfRule type="expression" dxfId="393" priority="28">
      <formula>AND(NOT($AY23),NOT(AR23),$P23&lt;&gt;3)</formula>
    </cfRule>
  </conditionalFormatting>
  <conditionalFormatting sqref="V23:V40">
    <cfRule type="expression" dxfId="392" priority="30">
      <formula>AND(NOT($AY23),NOT(AT23),$S23&lt;&gt;3)</formula>
    </cfRule>
  </conditionalFormatting>
  <conditionalFormatting sqref="C23:C40">
    <cfRule type="expression" dxfId="391" priority="17">
      <formula>AND(NOT($AY23),NOT($AP23))</formula>
    </cfRule>
  </conditionalFormatting>
  <conditionalFormatting sqref="M7:S7">
    <cfRule type="expression" dxfId="390" priority="27">
      <formula>OR(ISBLANK($M$7),$M$7="")</formula>
    </cfRule>
  </conditionalFormatting>
  <conditionalFormatting sqref="X23:X40">
    <cfRule type="expression" dxfId="389" priority="14">
      <formula>$X23=0</formula>
    </cfRule>
  </conditionalFormatting>
  <conditionalFormatting sqref="BO23:BO40">
    <cfRule type="expression" dxfId="388" priority="23">
      <formula>AND(BO23="X",CY23="")</formula>
    </cfRule>
    <cfRule type="expression" dxfId="387" priority="24">
      <formula>AND(BO23="",CY23&lt;&gt;"")</formula>
    </cfRule>
  </conditionalFormatting>
  <conditionalFormatting sqref="CA23:CA40">
    <cfRule type="expression" dxfId="386" priority="25">
      <formula>AND(CA23="X",DI23="")</formula>
    </cfRule>
    <cfRule type="expression" dxfId="385" priority="26">
      <formula>AND(CA23="",DI23&lt;&gt;"")</formula>
    </cfRule>
  </conditionalFormatting>
  <conditionalFormatting sqref="BQ23:BQ40">
    <cfRule type="expression" dxfId="384" priority="22">
      <formula>CP23&lt;&gt;""</formula>
    </cfRule>
  </conditionalFormatting>
  <conditionalFormatting sqref="CC23:CC40">
    <cfRule type="expression" dxfId="383" priority="21">
      <formula>CQ23&lt;&gt;""</formula>
    </cfRule>
  </conditionalFormatting>
  <conditionalFormatting sqref="CG23:CG40">
    <cfRule type="expression" dxfId="382" priority="41">
      <formula>OR(CH23&lt;&gt;"",CI23&lt;&gt;"",CJ23&lt;&gt;"",CK23&lt;&gt;"",CL23&lt;&gt;"",CM23&lt;&gt;"",CP23&lt;&gt;"",CQ23&lt;&gt;"")</formula>
    </cfRule>
  </conditionalFormatting>
  <conditionalFormatting sqref="BE23:BF40">
    <cfRule type="expression" dxfId="381" priority="42">
      <formula>AND(NOT($AY23),AND($AZ23,AND($AK23&lt;&gt;"HDR",$AK23&lt;&gt;"JS",$AJ23&gt;=8)))</formula>
    </cfRule>
  </conditionalFormatting>
  <conditionalFormatting sqref="D23:E40">
    <cfRule type="expression" dxfId="380" priority="20">
      <formula>AND(NOT($AY23),AND($AZ23,AND($AK23&lt;&gt;"HDR",$AK23&lt;&gt;"JS",$AJ23&gt;=8)))</formula>
    </cfRule>
  </conditionalFormatting>
  <conditionalFormatting sqref="CF23:CG40">
    <cfRule type="expression" dxfId="379" priority="19">
      <formula>LEN($AA23)&gt;31</formula>
    </cfRule>
  </conditionalFormatting>
  <conditionalFormatting sqref="AA12">
    <cfRule type="expression" dxfId="378" priority="18">
      <formula>OR(ISBLANK(AA12),AA12="")</formula>
    </cfRule>
  </conditionalFormatting>
  <conditionalFormatting sqref="A23:AA40">
    <cfRule type="expression" dxfId="377" priority="43">
      <formula>$AC23</formula>
    </cfRule>
  </conditionalFormatting>
  <conditionalFormatting sqref="AA23:AA40">
    <cfRule type="expression" dxfId="376" priority="15">
      <formula>AND(NOT($AY23),LEN(AA23)&gt;31)</formula>
    </cfRule>
  </conditionalFormatting>
  <conditionalFormatting sqref="GA23:GB40">
    <cfRule type="expression" dxfId="375" priority="13" stopIfTrue="1">
      <formula>$GM23&gt;=0.125</formula>
    </cfRule>
  </conditionalFormatting>
  <conditionalFormatting sqref="EF43">
    <cfRule type="cellIs" dxfId="374" priority="12" stopIfTrue="1" operator="notEqual">
      <formula>$EG43</formula>
    </cfRule>
  </conditionalFormatting>
  <conditionalFormatting sqref="U57">
    <cfRule type="expression" dxfId="373" priority="8">
      <formula>AND(NOT($AY57),NOT(AR57),$P57&lt;&gt;3)</formula>
    </cfRule>
  </conditionalFormatting>
  <conditionalFormatting sqref="W57">
    <cfRule type="expression" dxfId="372" priority="10">
      <formula>AND(NOT($AY57),NOT(AT57),$S57&lt;&gt;3)</formula>
    </cfRule>
  </conditionalFormatting>
  <conditionalFormatting sqref="A57:B57">
    <cfRule type="expression" dxfId="371" priority="4">
      <formula>AND(NOT($AE$1),$B57=0,$AD$1="M")</formula>
    </cfRule>
  </conditionalFormatting>
  <conditionalFormatting sqref="T57">
    <cfRule type="expression" dxfId="370" priority="7">
      <formula>AND(NOT($AY57),NOT(AR57),$P57&lt;&gt;3)</formula>
    </cfRule>
  </conditionalFormatting>
  <conditionalFormatting sqref="V57">
    <cfRule type="expression" dxfId="369" priority="9">
      <formula>AND(NOT($AY57),NOT(AT57),$S57&lt;&gt;3)</formula>
    </cfRule>
  </conditionalFormatting>
  <conditionalFormatting sqref="C57">
    <cfRule type="expression" dxfId="368" priority="5">
      <formula>AND(NOT($AY57),NOT($AP57))</formula>
    </cfRule>
  </conditionalFormatting>
  <conditionalFormatting sqref="X57">
    <cfRule type="expression" dxfId="367" priority="2">
      <formula>$X57=0</formula>
    </cfRule>
  </conditionalFormatting>
  <conditionalFormatting sqref="D57:E57">
    <cfRule type="expression" dxfId="366" priority="6">
      <formula>AND(NOT($AY57),AND($AZ57,AND($AK57&lt;&gt;"HDR",$AK57&lt;&gt;"JS",$AJ57&gt;=8)))</formula>
    </cfRule>
  </conditionalFormatting>
  <conditionalFormatting sqref="A57:AA57">
    <cfRule type="expression" dxfId="365" priority="11">
      <formula>$AC57</formula>
    </cfRule>
  </conditionalFormatting>
  <conditionalFormatting sqref="AA57">
    <cfRule type="expression" dxfId="364" priority="3">
      <formula>AND(NOT($AY57),LEN(AA57)&gt;31)</formula>
    </cfRule>
  </conditionalFormatting>
  <conditionalFormatting sqref="BB23:BC40">
    <cfRule type="expression" dxfId="363" priority="44">
      <formula>AND(NOT($AE$1),$B23=0,$AD$1="M")</formula>
    </cfRule>
  </conditionalFormatting>
  <conditionalFormatting sqref="CE23:CG40">
    <cfRule type="expression" dxfId="362" priority="45">
      <formula>$AC23</formula>
    </cfRule>
  </conditionalFormatting>
  <conditionalFormatting sqref="BB23:CD40">
    <cfRule type="expression" dxfId="361" priority="46">
      <formula>$AC23</formula>
    </cfRule>
  </conditionalFormatting>
  <conditionalFormatting sqref="BS23:BS40">
    <cfRule type="expression" dxfId="360" priority="47">
      <formula>AND(NOT($AY23),ISERROR(DE23))</formula>
    </cfRule>
    <cfRule type="expression" dxfId="359" priority="48">
      <formula>AND(NOT($AY23),OR(DE23="", CQ23&lt;&gt;""))</formula>
    </cfRule>
  </conditionalFormatting>
  <conditionalFormatting sqref="BG23:BG40">
    <cfRule type="expression" dxfId="358" priority="49">
      <formula>AND(NOT($AY23),ISERROR(CU23))</formula>
    </cfRule>
    <cfRule type="expression" dxfId="357" priority="50">
      <formula>AND(NOT($AY23),OR(CP23&lt;&gt;"", CU23=""))</formula>
    </cfRule>
  </conditionalFormatting>
  <conditionalFormatting sqref="BH23:BH40">
    <cfRule type="expression" dxfId="356" priority="51">
      <formula>AND(NOT($AY23),OR($CU23="M",$CU23="C",AND($CU23="B",$DC23&gt;0)))</formula>
    </cfRule>
    <cfRule type="expression" dxfId="355" priority="52">
      <formula>AND(NOT($AY23),AND(BH23="",BI23="",OR($CU23="B",$CU23="G")))</formula>
    </cfRule>
    <cfRule type="expression" dxfId="354" priority="53">
      <formula>AND(NOT($AY23),(BH23/2)/COS(RADIANS(BM23))+CV23-DW23&lt;VLOOKUP(AU23,$DF$2:$DJ$9,5,FALSE))</formula>
    </cfRule>
  </conditionalFormatting>
  <conditionalFormatting sqref="BI23:BI40">
    <cfRule type="expression" dxfId="353" priority="54">
      <formula>AND(NOT($AY23),OR($CU23="M",$CU23="C",AND($CU23="B",$DC23&gt;0)))</formula>
    </cfRule>
    <cfRule type="expression" dxfId="352" priority="55">
      <formula>AND(NOT($AY23),AND(BH23="",BI23="",OR($CU23="B",$CU23="G")))</formula>
    </cfRule>
    <cfRule type="expression" dxfId="351" priority="56">
      <formula>AND(NOT($AY23),(BI23/2)/COS(RADIANS(BM23))+CV23-DW23&lt;VLOOKUP(AU23,$DF$2:$DJ$9,5,FALSE))</formula>
    </cfRule>
  </conditionalFormatting>
  <conditionalFormatting sqref="BK23:BK40">
    <cfRule type="expression" dxfId="350" priority="57">
      <formula>AND(NOT($AY23),OR($CU23="M",$CU23="C",AND($CU23="B",$DA23&lt;&gt;"")))</formula>
    </cfRule>
    <cfRule type="expression" dxfId="349" priority="58">
      <formula>AND(NOT($AY23),AND(BJ23="X",BK23="",BL23=""))</formula>
    </cfRule>
    <cfRule type="expression" dxfId="348" priority="59">
      <formula>AND(NOT($AY23),EZ23="ERR")</formula>
    </cfRule>
  </conditionalFormatting>
  <conditionalFormatting sqref="BL23:BL40">
    <cfRule type="expression" dxfId="347" priority="60">
      <formula>AND(NOT($AY23),OR($CU23="M",$CU23="C",AND($CU23="B",$DA23&lt;&gt;"")))</formula>
    </cfRule>
    <cfRule type="expression" dxfId="346" priority="61">
      <formula>AND(NOT($AY23),AND(BJ23="X",BK23="",BL23=""))</formula>
    </cfRule>
    <cfRule type="expression" dxfId="345" priority="62">
      <formula>AND(NOT($AY23),EZ23="ERR")</formula>
    </cfRule>
  </conditionalFormatting>
  <conditionalFormatting sqref="BW23:BW40">
    <cfRule type="expression" dxfId="344" priority="63">
      <formula>AND(NOT($AY23),OR($DE23="M",$DE23="C",AND($DE23="B",$DK23&lt;&gt;"")))</formula>
    </cfRule>
    <cfRule type="expression" dxfId="343" priority="64">
      <formula>AND(NOT($AY23),AND(BV23="X",BW23="",BX23=""))</formula>
    </cfRule>
    <cfRule type="expression" dxfId="342" priority="65">
      <formula>AND(NOT($AY23),FC23="ERR")</formula>
    </cfRule>
  </conditionalFormatting>
  <conditionalFormatting sqref="BX23:BX40">
    <cfRule type="expression" dxfId="341" priority="66">
      <formula>AND(NOT($AY23),OR($DE23="M",$DE23="C",AND($DE23="B",$DK23&lt;&gt;"")))</formula>
    </cfRule>
    <cfRule type="expression" dxfId="340" priority="67">
      <formula>AND(NOT($AY23),AND(BV23="X",BW23="",BX23=""))</formula>
    </cfRule>
    <cfRule type="expression" dxfId="339" priority="68">
      <formula>AND(NOT($AY23),FC23="ERR")</formula>
    </cfRule>
  </conditionalFormatting>
  <conditionalFormatting sqref="BT23:BT40">
    <cfRule type="expression" dxfId="338" priority="69">
      <formula>AND(NOT($AY23),OR($DE23="M",$DE23="C",AND($DE23="B",$DM23&gt;0)))</formula>
    </cfRule>
    <cfRule type="expression" dxfId="337" priority="70">
      <formula>AND(NOT($AY23),AND(BT23="",BU23="",OR($DE23="B",$DE23="G")))</formula>
    </cfRule>
    <cfRule type="expression" dxfId="336" priority="71">
      <formula>AND(NOT($AY23),(BT23/2)/COS(RADIANS(BY23))+DF23-EC23&lt;VLOOKUP(AU23,$DF$2:$DJ$9,5,FALSE))</formula>
    </cfRule>
  </conditionalFormatting>
  <conditionalFormatting sqref="BU23:BU40">
    <cfRule type="expression" dxfId="335" priority="72">
      <formula>AND(NOT($AY23),OR($DE23="M",$DE23="C",AND($DE23="B",$DM23&gt;0)))</formula>
    </cfRule>
    <cfRule type="expression" dxfId="334" priority="73">
      <formula>AND(NOT($AY23),AND(BT23="",BU23="",OR($DE23="B",$DE23="G")))</formula>
    </cfRule>
    <cfRule type="expression" dxfId="333" priority="74">
      <formula>AND(NOT($AY23),(BU23/2)/COS(RADIANS(BY23))+DF23-EC23&lt;VLOOKUP(AU23,$DF$2:$DJ$9,5,FALSE))</formula>
    </cfRule>
  </conditionalFormatting>
  <conditionalFormatting sqref="BZ23:BZ40 BN23:BN40">
    <cfRule type="expression" dxfId="332" priority="75">
      <formula>AND(NOT($AY23),AND(ISBLANK(BN23),AND(NOT(ISBLANK(BM23)),$CE23&lt;&gt;0)))</formula>
    </cfRule>
  </conditionalFormatting>
  <conditionalFormatting sqref="BJ23:BJ40">
    <cfRule type="expression" dxfId="331" priority="76">
      <formula>AND(NOT($AY23),OR($CU23="C",AND($CU23="M",$DA23&gt;0)))</formula>
    </cfRule>
    <cfRule type="expression" dxfId="330" priority="77">
      <formula>AND(NOT($AY23),OR(NOT(IF(AND(OR(MID($BB23,1,1)="T",($BE23+$BF23/12)/IF(ABS($CE23)&gt;$DQ$1,COS($DO23),1)&gt;=40),OR($CU23="B",$CU23="G")),"X","")="X"),$EZ23="ERR"))</formula>
    </cfRule>
    <cfRule type="expression" dxfId="329" priority="78">
      <formula>AND(NOT($AY23),$BJ23&lt;&gt;"X",$BJ23&lt;&gt;IF(AND(OR(MID(BB23,1,1)="T",($BE23+$BF23/12)/IF(ABS($CE23)&gt;$DQ$1,COS($DO23),1)&gt;=40),OR($CU23="B",$CU23="G")),"X",""))</formula>
    </cfRule>
  </conditionalFormatting>
  <conditionalFormatting sqref="BV23:BV40">
    <cfRule type="expression" dxfId="328" priority="79">
      <formula>AND(NOT($AY23),OR($DE23="C",AND($DE23="M",$DK23&gt;0)))</formula>
    </cfRule>
    <cfRule type="expression" dxfId="327" priority="80">
      <formula>AND(NOT($AY23),OR(NOT(IF(AND(OR(MID($BB23,1,1)="T",($BE23+$BF23/12)/IF(ABS($CE23)&gt;$DQ$1,COS($DO23),1)&gt;=40),OR($DE23="B",$DE23="G")),"X","")="X"),$FC23="ERR"))</formula>
    </cfRule>
    <cfRule type="expression" dxfId="326" priority="81">
      <formula>AND(NOT($AY23),$BV23&lt;&gt;"X",$BV23&lt;&gt;IF(AND(OR(MID(BB23,1,1)="T",($BE23+$BF23/12)/IF(ABS($CE23)&gt;$DQ$1,COS($DO23),1)&gt;=40),OR($DE23="B",$DE23="G")),"X",""))</formula>
    </cfRule>
  </conditionalFormatting>
  <conditionalFormatting sqref="GA57:GB57">
    <cfRule type="expression" dxfId="325" priority="1" stopIfTrue="1">
      <formula>$GM57&gt;=0.125</formula>
    </cfRule>
  </conditionalFormatting>
  <conditionalFormatting sqref="D23:E40">
    <cfRule type="expression" dxfId="324" priority="82" stopIfTrue="1">
      <formula xml:space="preserve"> AND($GM23 &gt;= 0.125, $GL23 &gt; 0)</formula>
    </cfRule>
  </conditionalFormatting>
  <dataValidations count="15">
    <dataValidation type="whole" operator="greaterThan" allowBlank="1" showInputMessage="1" showErrorMessage="1" errorTitle="Quantity Error" error="Value must be an integer greater than -1000." sqref="B23:B40 BC23:BC40" xr:uid="{8837CED9-84CF-4C35-9EDD-83F6206D8B9E}">
      <formula1>-1001</formula1>
    </dataValidation>
    <dataValidation type="decimal" operator="greaterThan" allowBlank="1" showInputMessage="1" showErrorMessage="1" errorTitle="Input Error" error="Positive Numeric Values Only!" sqref="BR23:BR40 CD23:CD40" xr:uid="{FA8A8DEF-6724-4FA0-B57D-02EBFF5506DF}">
      <formula1>0</formula1>
    </dataValidation>
    <dataValidation type="whole" operator="greaterThanOrEqual" allowBlank="1" showInputMessage="1" showErrorMessage="1" errorTitle="Input Error" error="Positive Integers Only!" sqref="GA23:GA40 GA57" xr:uid="{0DE0C9B8-401B-48BD-9F5A-FC9B77C429D2}">
      <formula1>0</formula1>
    </dataValidation>
    <dataValidation type="decimal" allowBlank="1" showInputMessage="1" showErrorMessage="1" errorTitle="Input Error" error="Numbers from 0&quot; to 11 7/8&quot; only!" sqref="GB23:GB40 GB57" xr:uid="{EFA0BC3C-D3CE-45A5-90A4-300F27473067}">
      <formula1>0</formula1>
      <formula2>11.875</formula2>
    </dataValidation>
    <dataValidation type="decimal" allowBlank="1" showInputMessage="1" showErrorMessage="1" errorTitle="Input Error" error="Numeric Values Only!" sqref="GC23:GD40 GC57:GD57 BP23:BP40 CB23:CB40" xr:uid="{42A4FD48-4B4F-4AA0-ACC6-386F033DA903}">
      <formula1>-1200</formula1>
      <formula2>1200</formula2>
    </dataValidation>
    <dataValidation type="custom" allowBlank="1" showInputMessage="1" showErrorMessage="1" errorTitle="Input Error:" error="Value must be &quot;X&quot; or a Number that Over-rides the BCX Dimension in the Section." sqref="BO23:BO40 CA23:CA40" xr:uid="{46CAFEA3-73E7-4FAF-9ADF-0BD00E239183}">
      <formula1>IF(ISTEXT(BO23),BO23="X",ISNUMBER(BO23))</formula1>
    </dataValidation>
    <dataValidation type="decimal" operator="lessThanOrEqual" allowBlank="1" showInputMessage="1" errorTitle="BL Over-Ride Error!" error="Base Length can't be past Joist Overall Length!  See section for Maximum Over-Ride Dimension." sqref="CC23:CC40" xr:uid="{CB077563-EC2C-44B1-AB81-2EA7019AF1F2}">
      <formula1>$DF23</formula1>
    </dataValidation>
    <dataValidation type="decimal" operator="lessThanOrEqual" allowBlank="1" showInputMessage="1" errorTitle="BL Over-Ride Error!" error="Base Length can't be past Joist Overall Length!  See section for Maximum Over-Ride Dimension." sqref="BQ23:BQ40" xr:uid="{8DC2DD95-038C-4FE0-B385-FB11085D08C1}">
      <formula1>$CV23</formula1>
    </dataValidation>
    <dataValidation type="decimal" operator="greaterThan" allowBlank="1" showInputMessage="1" showErrorMessage="1" errorTitle="Dimensional Error" error="Only positive numeric values permitted here." sqref="L23:M40 L57:M57" xr:uid="{DD3B2D01-F922-46C0-AA46-DAC00C9A8E2C}">
      <formula1>0</formula1>
    </dataValidation>
    <dataValidation type="whole" operator="notBetween" allowBlank="1" showInputMessage="1" showErrorMessage="1" sqref="B57" xr:uid="{FCB9AC24-7B0F-4938-8678-3258666CA0EF}">
      <formula1>-10001</formula1>
      <formula2>-10000</formula2>
    </dataValidation>
    <dataValidation type="decimal" operator="notEqual" allowBlank="1" showInputMessage="1" showErrorMessage="1" errorTitle="Input Error" error="Enter + or - Numbers Only._x000a_Do NOT use &quot;&lt;&quot; or &quot;&gt;&quot;." sqref="Y23:Z40 Y57:Z57" xr:uid="{602BB548-F276-4255-B9E4-A30ADA12A25E}">
      <formula1>0</formula1>
    </dataValidation>
    <dataValidation type="decimal" operator="greaterThanOrEqual" allowBlank="1" showInputMessage="1" showErrorMessage="1" errorTitle="Dimensional Error" error="&quot;Inches&quot; must be a number." sqref="BH23:BI40 BK23:BL40 BT23:BU40 BW23:BX40" xr:uid="{E38B7667-DC1A-4E7A-9C1B-162160AB81C5}">
      <formula1>0</formula1>
    </dataValidation>
    <dataValidation type="decimal" allowBlank="1" showInputMessage="1" showErrorMessage="1" errorTitle="Dimensional Error" error="&quot;Inches&quot; must be a number from 0 to 11.875." sqref="BF23:BF40 E23:E40 W23:W40 G23:G40 J23:J40 U23:U40 E57 W57 G57 J57 U57" xr:uid="{8917C1CF-7011-4E70-BABD-A6D33C5BC4EF}">
      <formula1>0</formula1>
      <formula2>11.875</formula2>
    </dataValidation>
    <dataValidation type="whole" operator="greaterThanOrEqual" allowBlank="1" showErrorMessage="1" errorTitle="Dimensional Error" error="&quot;Feet&quot; can only be whole numbers." sqref="D23:D40 F23:F40 I23:I40 T23:T40 V23:V40 BE23:BE40 D57 F57 I57 T57 V57" xr:uid="{FFEA9D27-E231-4F66-9664-553D4ECE3C94}">
      <formula1>0</formula1>
    </dataValidation>
    <dataValidation type="list" allowBlank="1" showInputMessage="1" sqref="M7:S7 CC15:CF15" xr:uid="{EB731A14-B24C-487D-BFA2-CB0795A3C1F3}">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85" max="39" man="1"/>
  </colBreaks>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F66D5-30CE-4DA0-9090-6900AA046CD0}">
  <sheetPr codeName="Sheet33">
    <tabColor indexed="43"/>
  </sheetPr>
  <dimension ref="A1:IG104"/>
  <sheetViews>
    <sheetView showGridLines="0" zoomScaleNormal="100" zoomScaleSheetLayoutView="75" workbookViewId="0">
      <selection activeCell="GA16" sqref="G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48" t="str">
        <f>IF(AD1="","",VLOOKUP(AD1,'Job Info.'!X:AA,4,FALSE))</f>
        <v>Master</v>
      </c>
      <c r="Q1" s="1848"/>
      <c r="R1" s="1848"/>
      <c r="S1" s="1848"/>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53" t="str">
        <f>IF(AD1="","",IF(VLOOKUP(AD1,'Job Info.'!X:Z,2,FALSE),"Released for Fabrication",""))</f>
        <v/>
      </c>
      <c r="Q2" s="1854"/>
      <c r="R2" s="1854"/>
      <c r="S2" s="1855"/>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56"/>
      <c r="Q3" s="1857"/>
      <c r="R3" s="1857"/>
      <c r="S3" s="1858"/>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59" t="str">
        <f>IF(AD1="","",IF(VLOOKUP(AD1,'Job Info.'!X:Z,2,FALSE),VLOOKUP(AD1,'Job Info.'!X:Z,3,FALSE),""))</f>
        <v/>
      </c>
      <c r="Q4" s="1860"/>
      <c r="R4" s="1860"/>
      <c r="S4" s="1861"/>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00" t="str">
        <f ca="1">'Job Info.'!D11</f>
        <v>8200 Woolery Way | Fallon, NV 89406 | www.newmill.com</v>
      </c>
      <c r="B5" s="2423"/>
      <c r="C5" s="2423"/>
      <c r="D5" s="2423"/>
      <c r="E5" s="2423"/>
      <c r="F5" s="2423"/>
      <c r="G5" s="2423"/>
      <c r="H5" s="2423"/>
      <c r="I5" s="2423"/>
      <c r="J5" s="2423"/>
      <c r="K5" s="2423"/>
      <c r="L5" s="2423"/>
      <c r="M5" s="2423"/>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082" t="str">
        <f>IF(NOT(ISERROR(FIND("galv",LOWER($M$7)))),"**USE STEEL TAGS**  **NO A490 BOLTS**","")</f>
        <v/>
      </c>
      <c r="N6" s="1947"/>
      <c r="O6" s="1947"/>
      <c r="P6" s="1947"/>
      <c r="Q6" s="1947"/>
      <c r="R6" s="1947"/>
      <c r="S6" s="1947"/>
      <c r="T6" s="1947"/>
      <c r="U6" s="1092"/>
      <c r="V6" s="374"/>
      <c r="W6" s="374"/>
      <c r="X6" s="460" t="s">
        <v>20</v>
      </c>
      <c r="Y6" s="1832">
        <f>IF(ISBLANK('Job Info.'!D8),"",'Job Info.'!D8)</f>
        <v>45048</v>
      </c>
      <c r="Z6" s="1832"/>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22"/>
      <c r="CD6" s="1940"/>
      <c r="CE6" s="1940"/>
      <c r="CF6" s="1940"/>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437" t="s">
        <v>1389</v>
      </c>
      <c r="N7" s="1940"/>
      <c r="O7" s="1940"/>
      <c r="P7" s="1940"/>
      <c r="Q7" s="1940"/>
      <c r="R7" s="1940"/>
      <c r="S7" s="1940"/>
      <c r="T7"/>
      <c r="U7" s="1092"/>
      <c r="V7" s="374"/>
      <c r="W7" s="374"/>
      <c r="X7" s="460" t="s">
        <v>21</v>
      </c>
      <c r="Y7" s="1175" t="str">
        <f>CONCATENATE(AC7, " of ",IF(ISBLANK('Job Info.'!D9),"",'Job Info.'!D9))</f>
        <v>16 of 19</v>
      </c>
      <c r="Z7" s="658"/>
      <c r="AA7" s="374"/>
      <c r="AC7" s="1083">
        <v>16</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24" t="str">
        <f>IF(ISBLANK('Job Info.'!D3),"",'Job Info.'!D3)</f>
        <v>MINDEN UPS BLDG 1</v>
      </c>
      <c r="D9" s="1824"/>
      <c r="E9" s="1824"/>
      <c r="F9" s="1824"/>
      <c r="G9" s="1824"/>
      <c r="H9" s="1824"/>
      <c r="I9" s="1824"/>
      <c r="J9" s="1824"/>
      <c r="K9" s="1824"/>
      <c r="L9" s="1824"/>
      <c r="M9" s="1824"/>
      <c r="N9" s="1824"/>
      <c r="O9" s="1825"/>
      <c r="P9" s="397"/>
      <c r="Q9" s="398"/>
      <c r="R9" s="458" t="s">
        <v>2</v>
      </c>
      <c r="S9" s="1825" t="str">
        <f>IF(ISBLANK('Job Info.'!D5),"",'Job Info.'!D5)</f>
        <v>NN22-0071</v>
      </c>
      <c r="T9" s="2101"/>
      <c r="U9" s="2101"/>
      <c r="V9" s="2101"/>
      <c r="W9" s="2101"/>
      <c r="X9" s="2101"/>
      <c r="Y9" s="2101"/>
      <c r="Z9" s="2101"/>
      <c r="AA9" s="2101"/>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24" t="str">
        <f>IF(ISBLANK('Job Info.'!D4),"",'Job Info.'!D4)</f>
        <v>MINDEN, NV</v>
      </c>
      <c r="D10" s="1824"/>
      <c r="E10" s="1824"/>
      <c r="F10" s="1824"/>
      <c r="G10" s="1824"/>
      <c r="H10" s="1824"/>
      <c r="I10" s="1824"/>
      <c r="J10" s="1824"/>
      <c r="K10" s="1824"/>
      <c r="L10" s="1824"/>
      <c r="M10" s="1824"/>
      <c r="N10" s="1824"/>
      <c r="O10" s="1825"/>
      <c r="P10" s="402"/>
      <c r="Q10" s="403"/>
      <c r="R10" s="459" t="s">
        <v>22</v>
      </c>
      <c r="S10" s="1824" t="str">
        <f>IF(ISBLANK('Job Info.'!D6),"",'Job Info.'!D6)</f>
        <v>JMM</v>
      </c>
      <c r="T10" s="1824"/>
      <c r="U10" s="1824"/>
      <c r="V10" s="1824"/>
      <c r="W10" s="1825"/>
      <c r="X10" s="403"/>
      <c r="Y10" s="459" t="s">
        <v>23</v>
      </c>
      <c r="Z10" s="1825" t="str">
        <f>IF(ISBLANK('Job Info.'!D7),"",'Job Info.'!D7)</f>
        <v>NR</v>
      </c>
      <c r="AA10" s="2101"/>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375" t="s">
        <v>592</v>
      </c>
      <c r="BC11" s="2376"/>
      <c r="BD11" s="2376"/>
      <c r="BE11" s="2376"/>
      <c r="BF11" s="2376"/>
      <c r="BG11" s="2376"/>
      <c r="BH11" s="2376"/>
      <c r="BI11" s="2376"/>
      <c r="BJ11" s="2376"/>
      <c r="BK11" s="2376"/>
      <c r="BL11" s="2376"/>
      <c r="BM11" s="2376"/>
      <c r="BN11" s="2376"/>
      <c r="BO11" s="2376"/>
      <c r="BP11" s="2376"/>
      <c r="BQ11" s="2376"/>
      <c r="BR11" s="2376"/>
      <c r="BS11" s="2376"/>
      <c r="BT11" s="2376"/>
      <c r="BU11" s="2376"/>
      <c r="BV11" s="2376"/>
      <c r="BW11" s="2376"/>
      <c r="BX11" s="2376"/>
      <c r="BY11" s="2376"/>
      <c r="BZ11" s="2376"/>
      <c r="CA11" s="2376"/>
      <c r="CB11" s="2376"/>
      <c r="CC11" s="1557"/>
      <c r="CD11" s="2379"/>
      <c r="CE11" s="2379"/>
      <c r="CF11" s="2379"/>
      <c r="CG11" s="2380"/>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377"/>
      <c r="BC12" s="2378"/>
      <c r="BD12" s="2378"/>
      <c r="BE12" s="2378"/>
      <c r="BF12" s="2378"/>
      <c r="BG12" s="2378"/>
      <c r="BH12" s="2378"/>
      <c r="BI12" s="2378"/>
      <c r="BJ12" s="2378"/>
      <c r="BK12" s="2378"/>
      <c r="BL12" s="2378"/>
      <c r="BM12" s="2378"/>
      <c r="BN12" s="2378"/>
      <c r="BO12" s="2378"/>
      <c r="BP12" s="2378"/>
      <c r="BQ12" s="2378"/>
      <c r="BR12" s="2378"/>
      <c r="BS12" s="2378"/>
      <c r="BT12" s="2378"/>
      <c r="BU12" s="2378"/>
      <c r="BV12" s="2378"/>
      <c r="BW12" s="2378"/>
      <c r="BX12" s="2378"/>
      <c r="BY12" s="2378"/>
      <c r="BZ12" s="2378"/>
      <c r="CA12" s="2378"/>
      <c r="CB12" s="2378"/>
      <c r="CC12" s="1556"/>
      <c r="CD12" s="2381"/>
      <c r="CE12" s="2382"/>
      <c r="CF12" s="2382"/>
      <c r="CG12" s="2383"/>
      <c r="CH12" s="244"/>
      <c r="CI12" s="244"/>
      <c r="CJ12" s="244"/>
      <c r="CK12" s="244"/>
      <c r="CL12" s="244"/>
      <c r="CM12" s="933"/>
      <c r="CN12" s="2448" t="s">
        <v>679</v>
      </c>
      <c r="CO12" s="2449"/>
      <c r="CP12" s="2120" t="s">
        <v>615</v>
      </c>
      <c r="CQ12" s="2443"/>
      <c r="CR12" s="2410" t="s">
        <v>482</v>
      </c>
      <c r="CS12" s="2402"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364" t="s">
        <v>581</v>
      </c>
      <c r="EW12" s="2362" t="s">
        <v>472</v>
      </c>
      <c r="EX12" s="2362" t="s">
        <v>525</v>
      </c>
      <c r="EY12" s="2362" t="s">
        <v>526</v>
      </c>
      <c r="EZ12" s="2362" t="s">
        <v>527</v>
      </c>
      <c r="FA12" s="2362" t="s">
        <v>528</v>
      </c>
      <c r="FB12" s="2362" t="s">
        <v>529</v>
      </c>
      <c r="FC12" s="2362" t="s">
        <v>530</v>
      </c>
      <c r="FD12" s="2362" t="s">
        <v>531</v>
      </c>
      <c r="FE12" s="2362" t="s">
        <v>473</v>
      </c>
      <c r="FF12" s="2362" t="s">
        <v>532</v>
      </c>
      <c r="FG12" s="2362" t="s">
        <v>583</v>
      </c>
      <c r="FH12" s="2362" t="s">
        <v>474</v>
      </c>
      <c r="FI12" s="2362" t="s">
        <v>533</v>
      </c>
      <c r="FJ12" s="2362" t="s">
        <v>475</v>
      </c>
      <c r="FK12" s="2362" t="s">
        <v>534</v>
      </c>
      <c r="FL12" s="2362" t="s">
        <v>584</v>
      </c>
      <c r="FM12" s="2362" t="s">
        <v>476</v>
      </c>
      <c r="FN12" s="2362" t="s">
        <v>477</v>
      </c>
      <c r="FQ12" s="2335" t="s">
        <v>656</v>
      </c>
      <c r="FR12" s="2336"/>
      <c r="GA12" s="374"/>
      <c r="GB12" s="374"/>
      <c r="GC12" s="374"/>
      <c r="GD12" s="374"/>
      <c r="GE12" s="374"/>
      <c r="GF12" s="374"/>
      <c r="GG12" s="374"/>
      <c r="GH12" s="374"/>
      <c r="GI12" s="374"/>
      <c r="GJ12" s="374"/>
      <c r="HA12" s="2470" t="s">
        <v>621</v>
      </c>
      <c r="HB12" s="2471"/>
      <c r="HC12" s="2471"/>
      <c r="HD12" s="2471"/>
      <c r="HE12" s="2471"/>
      <c r="HF12" s="2471"/>
      <c r="HG12" s="2471"/>
      <c r="HH12" s="2471"/>
      <c r="HI12" s="2471"/>
      <c r="HJ12" s="2471"/>
      <c r="HK12" s="2471"/>
      <c r="HL12" s="2471"/>
      <c r="HM12" s="2471"/>
      <c r="HN12" s="2471"/>
      <c r="HO12" s="2471"/>
      <c r="HP12" s="2471"/>
      <c r="HQ12" s="2471"/>
      <c r="HR12" s="2471"/>
      <c r="HS12" s="2471"/>
      <c r="HT12" s="2471"/>
      <c r="HU12" s="2471"/>
      <c r="HV12" s="2472"/>
      <c r="HW12" s="2472"/>
      <c r="HX12" s="2472"/>
      <c r="HY12" s="2473"/>
      <c r="HZ12" s="2473"/>
      <c r="IA12" s="2473"/>
      <c r="IB12" s="2473"/>
      <c r="IC12" s="2473"/>
      <c r="ID12" s="2473"/>
      <c r="IE12" s="2473"/>
      <c r="IF12" s="2474"/>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82" t="s">
        <v>450</v>
      </c>
      <c r="AV13" s="2335" t="s">
        <v>451</v>
      </c>
      <c r="AW13" s="2336"/>
      <c r="AX13" s="465"/>
      <c r="BA13" s="246"/>
      <c r="BB13" s="2493"/>
      <c r="BC13" s="2494"/>
      <c r="BD13" s="2494"/>
      <c r="BE13" s="2494"/>
      <c r="BF13" s="1966"/>
      <c r="BG13" s="2430" t="s">
        <v>469</v>
      </c>
      <c r="BH13" s="2431"/>
      <c r="BI13" s="2431"/>
      <c r="BJ13" s="2431"/>
      <c r="BK13" s="2431"/>
      <c r="BL13" s="2432"/>
      <c r="BM13" s="2433"/>
      <c r="BN13" s="2433"/>
      <c r="BO13" s="2434"/>
      <c r="BP13" s="2434"/>
      <c r="BQ13" s="2434"/>
      <c r="BR13" s="2435"/>
      <c r="BS13" s="2430" t="s">
        <v>470</v>
      </c>
      <c r="BT13" s="2432"/>
      <c r="BU13" s="2432"/>
      <c r="BV13" s="2432"/>
      <c r="BW13" s="2432"/>
      <c r="BX13" s="2432"/>
      <c r="BY13" s="2433"/>
      <c r="BZ13" s="2433"/>
      <c r="CA13" s="2434"/>
      <c r="CB13" s="2434"/>
      <c r="CC13" s="2434"/>
      <c r="CD13" s="2435"/>
      <c r="CE13" s="2484" t="s">
        <v>804</v>
      </c>
      <c r="CF13" s="2463"/>
      <c r="CG13" s="2464"/>
      <c r="CH13" s="244"/>
      <c r="CI13" s="244"/>
      <c r="CJ13" s="244"/>
      <c r="CK13" s="244"/>
      <c r="CL13" s="934"/>
      <c r="CM13" s="935"/>
      <c r="CN13" s="2450"/>
      <c r="CO13" s="2451"/>
      <c r="CP13" s="2444"/>
      <c r="CQ13" s="2445"/>
      <c r="CR13" s="2411"/>
      <c r="CS13" s="2403"/>
      <c r="CU13" s="2413" t="s">
        <v>471</v>
      </c>
      <c r="CV13" s="2414"/>
      <c r="CW13" s="2414"/>
      <c r="CX13" s="2414"/>
      <c r="CY13" s="2414"/>
      <c r="CZ13" s="2414"/>
      <c r="DA13" s="2414"/>
      <c r="DB13" s="2414"/>
      <c r="DC13" s="2414"/>
      <c r="DD13" s="2415"/>
      <c r="DE13" s="2413" t="s">
        <v>470</v>
      </c>
      <c r="DF13" s="2414"/>
      <c r="DG13" s="2414"/>
      <c r="DH13" s="2414"/>
      <c r="DI13" s="2414"/>
      <c r="DJ13" s="2414"/>
      <c r="DK13" s="2414"/>
      <c r="DL13" s="2414"/>
      <c r="DM13" s="2414"/>
      <c r="DN13" s="2415"/>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365"/>
      <c r="EW13" s="2323"/>
      <c r="EX13" s="2363"/>
      <c r="EY13" s="2363"/>
      <c r="EZ13" s="2438"/>
      <c r="FA13" s="2363"/>
      <c r="FB13" s="2363"/>
      <c r="FC13" s="2363"/>
      <c r="FD13" s="2439"/>
      <c r="FE13" s="2439"/>
      <c r="FF13" s="2439"/>
      <c r="FG13" s="2439"/>
      <c r="FH13" s="2439"/>
      <c r="FI13" s="2439"/>
      <c r="FJ13" s="2439"/>
      <c r="FK13" s="2439"/>
      <c r="FL13" s="2439"/>
      <c r="FM13" s="2439"/>
      <c r="FN13" s="2439"/>
      <c r="FQ13" s="2337"/>
      <c r="FR13" s="2338"/>
      <c r="GA13" s="2334" t="s">
        <v>1140</v>
      </c>
      <c r="GB13" s="2334"/>
      <c r="GC13" s="2334"/>
      <c r="GD13" s="2334"/>
      <c r="GE13" s="2334"/>
      <c r="GF13" s="2334"/>
      <c r="GG13" s="1951"/>
      <c r="GH13" s="1951"/>
      <c r="GI13" s="1951"/>
      <c r="GJ13" s="1951"/>
      <c r="HA13" s="2475"/>
      <c r="HB13" s="2476"/>
      <c r="HC13" s="2476"/>
      <c r="HD13" s="2476"/>
      <c r="HE13" s="2476"/>
      <c r="HF13" s="2476"/>
      <c r="HG13" s="2476"/>
      <c r="HH13" s="2476"/>
      <c r="HI13" s="2476"/>
      <c r="HJ13" s="2476"/>
      <c r="HK13" s="2476"/>
      <c r="HL13" s="2476"/>
      <c r="HM13" s="2476"/>
      <c r="HN13" s="2476"/>
      <c r="HO13" s="2476"/>
      <c r="HP13" s="2476"/>
      <c r="HQ13" s="2476"/>
      <c r="HR13" s="2476"/>
      <c r="HS13" s="2476"/>
      <c r="HT13" s="2476"/>
      <c r="HU13" s="2476"/>
      <c r="HV13" s="2477"/>
      <c r="HW13" s="2477"/>
      <c r="HX13" s="2477"/>
      <c r="HY13" s="2478"/>
      <c r="HZ13" s="2478"/>
      <c r="IA13" s="2478"/>
      <c r="IB13" s="2478"/>
      <c r="IC13" s="2478"/>
      <c r="ID13" s="2478"/>
      <c r="IE13" s="2478"/>
      <c r="IF13" s="2479"/>
    </row>
    <row r="14" spans="1:241" ht="12.6" customHeight="1" thickTop="1" thickBot="1" x14ac:dyDescent="0.25">
      <c r="A14" s="2426" t="s">
        <v>40</v>
      </c>
      <c r="B14" s="2400" t="s">
        <v>28</v>
      </c>
      <c r="C14" s="2400" t="s">
        <v>24</v>
      </c>
      <c r="D14" s="2400" t="s">
        <v>25</v>
      </c>
      <c r="E14" s="2480"/>
      <c r="F14" s="2092" t="s">
        <v>9</v>
      </c>
      <c r="G14" s="2093"/>
      <c r="H14" s="2093"/>
      <c r="I14" s="2093" t="s">
        <v>10</v>
      </c>
      <c r="J14" s="2093"/>
      <c r="K14" s="2094"/>
      <c r="L14" s="2092" t="s">
        <v>11</v>
      </c>
      <c r="M14" s="2094"/>
      <c r="N14" s="1985" t="s">
        <v>12</v>
      </c>
      <c r="O14" s="2093"/>
      <c r="P14" s="2093"/>
      <c r="Q14" s="2093" t="s">
        <v>13</v>
      </c>
      <c r="R14" s="2093"/>
      <c r="S14" s="1983"/>
      <c r="T14" s="2092" t="s">
        <v>14</v>
      </c>
      <c r="U14" s="2093"/>
      <c r="V14" s="2093"/>
      <c r="W14" s="2093"/>
      <c r="X14" s="2094"/>
      <c r="Y14" s="2087" t="s">
        <v>111</v>
      </c>
      <c r="Z14" s="2088"/>
      <c r="AA14" s="1059" t="s">
        <v>15</v>
      </c>
      <c r="AB14" s="1411"/>
      <c r="AD14" s="426"/>
      <c r="AE14" s="426"/>
      <c r="AF14" s="426"/>
      <c r="AG14" s="426"/>
      <c r="AH14" s="426"/>
      <c r="AI14" s="426"/>
      <c r="AJ14" s="426"/>
      <c r="AK14" s="426"/>
      <c r="AL14" s="426"/>
      <c r="AM14" s="426"/>
      <c r="AN14" s="426"/>
      <c r="AO14" s="426"/>
      <c r="AP14" s="426"/>
      <c r="AQ14" s="426"/>
      <c r="AR14" s="426"/>
      <c r="AS14" s="426"/>
      <c r="AT14" s="426"/>
      <c r="AU14" s="1913"/>
      <c r="AV14" s="2337"/>
      <c r="AW14" s="2338"/>
      <c r="AX14" s="502"/>
      <c r="AY14" s="426"/>
      <c r="AZ14" s="2353" t="s">
        <v>1059</v>
      </c>
      <c r="BA14" s="246"/>
      <c r="BB14" s="2436" t="s">
        <v>539</v>
      </c>
      <c r="BC14" s="2416" t="s">
        <v>130</v>
      </c>
      <c r="BD14" s="2417" t="s">
        <v>540</v>
      </c>
      <c r="BE14" s="2418" t="s">
        <v>1290</v>
      </c>
      <c r="BF14" s="2419"/>
      <c r="BG14" s="2242" t="s">
        <v>1282</v>
      </c>
      <c r="BH14" s="2417" t="s">
        <v>803</v>
      </c>
      <c r="BI14" s="2245"/>
      <c r="BJ14" s="2384" t="s">
        <v>541</v>
      </c>
      <c r="BK14" s="2417" t="s">
        <v>1072</v>
      </c>
      <c r="BL14" s="2245"/>
      <c r="BM14" s="2416" t="s">
        <v>488</v>
      </c>
      <c r="BN14" s="2504" t="s">
        <v>793</v>
      </c>
      <c r="BO14" s="2491" t="s">
        <v>1275</v>
      </c>
      <c r="BP14" s="1953" t="s">
        <v>1276</v>
      </c>
      <c r="BQ14" s="1954"/>
      <c r="BR14" s="1955"/>
      <c r="BS14" s="2242" t="s">
        <v>1282</v>
      </c>
      <c r="BT14" s="2417" t="s">
        <v>803</v>
      </c>
      <c r="BU14" s="2245"/>
      <c r="BV14" s="2384" t="s">
        <v>541</v>
      </c>
      <c r="BW14" s="2417" t="s">
        <v>1072</v>
      </c>
      <c r="BX14" s="2245"/>
      <c r="BY14" s="2416" t="s">
        <v>488</v>
      </c>
      <c r="BZ14" s="2489" t="s">
        <v>793</v>
      </c>
      <c r="CA14" s="2491" t="s">
        <v>1275</v>
      </c>
      <c r="CB14" s="1953" t="s">
        <v>1276</v>
      </c>
      <c r="CC14" s="1954"/>
      <c r="CD14" s="1955"/>
      <c r="CE14" s="2485"/>
      <c r="CF14" s="2465"/>
      <c r="CG14" s="2464"/>
      <c r="CH14" s="2405" t="s">
        <v>588</v>
      </c>
      <c r="CI14" s="2406"/>
      <c r="CJ14" s="2406"/>
      <c r="CK14" s="2405" t="s">
        <v>589</v>
      </c>
      <c r="CL14" s="2452" t="s">
        <v>786</v>
      </c>
      <c r="CM14" s="2452"/>
      <c r="CN14" s="2450"/>
      <c r="CO14" s="2451"/>
      <c r="CP14" s="2446"/>
      <c r="CQ14" s="2447"/>
      <c r="CR14" s="2411"/>
      <c r="CS14" s="2403"/>
      <c r="CT14" s="426"/>
      <c r="CU14" s="2358" t="s">
        <v>498</v>
      </c>
      <c r="CV14" s="2318" t="s">
        <v>499</v>
      </c>
      <c r="CW14" s="2318" t="s">
        <v>500</v>
      </c>
      <c r="CX14" s="2318" t="s">
        <v>501</v>
      </c>
      <c r="CY14" s="2318" t="s">
        <v>560</v>
      </c>
      <c r="CZ14" s="2318" t="s">
        <v>578</v>
      </c>
      <c r="DA14" s="2318" t="s">
        <v>502</v>
      </c>
      <c r="DB14" s="2318" t="s">
        <v>579</v>
      </c>
      <c r="DC14" s="2318" t="s">
        <v>503</v>
      </c>
      <c r="DD14" s="2318" t="s">
        <v>504</v>
      </c>
      <c r="DE14" s="2358" t="s">
        <v>498</v>
      </c>
      <c r="DF14" s="2318" t="s">
        <v>499</v>
      </c>
      <c r="DG14" s="2318" t="s">
        <v>505</v>
      </c>
      <c r="DH14" s="2318" t="s">
        <v>501</v>
      </c>
      <c r="DI14" s="2318" t="s">
        <v>560</v>
      </c>
      <c r="DJ14" s="2318" t="s">
        <v>578</v>
      </c>
      <c r="DK14" s="2318" t="s">
        <v>502</v>
      </c>
      <c r="DL14" s="2318" t="s">
        <v>579</v>
      </c>
      <c r="DM14" s="2318" t="s">
        <v>503</v>
      </c>
      <c r="DN14" s="2360" t="s">
        <v>504</v>
      </c>
      <c r="DO14" s="2355" t="s">
        <v>491</v>
      </c>
      <c r="DP14" s="2453" t="s">
        <v>506</v>
      </c>
      <c r="DQ14" s="2349" t="s">
        <v>507</v>
      </c>
      <c r="DR14" s="2320" t="s">
        <v>508</v>
      </c>
      <c r="DS14" s="2322" t="s">
        <v>543</v>
      </c>
      <c r="DT14" s="2347" t="s">
        <v>509</v>
      </c>
      <c r="DU14" s="2348"/>
      <c r="DV14" s="2324" t="s">
        <v>1103</v>
      </c>
      <c r="DW14" s="2351" t="s">
        <v>1104</v>
      </c>
      <c r="DX14" s="2353" t="s">
        <v>514</v>
      </c>
      <c r="DY14" s="2322" t="s">
        <v>544</v>
      </c>
      <c r="DZ14" s="2347" t="s">
        <v>511</v>
      </c>
      <c r="EA14" s="2348"/>
      <c r="EB14" s="2351" t="s">
        <v>1105</v>
      </c>
      <c r="EC14" s="2351" t="s">
        <v>1106</v>
      </c>
      <c r="ED14" s="2353" t="s">
        <v>516</v>
      </c>
      <c r="EE14" s="2349" t="s">
        <v>545</v>
      </c>
      <c r="EF14" s="2367" t="s">
        <v>546</v>
      </c>
      <c r="EG14" s="2368"/>
      <c r="EH14" s="2367" t="s">
        <v>547</v>
      </c>
      <c r="EI14" s="2369"/>
      <c r="EJ14" s="2320" t="s">
        <v>548</v>
      </c>
      <c r="EK14" s="2357"/>
      <c r="EL14" s="2349" t="s">
        <v>568</v>
      </c>
      <c r="EM14" s="2367" t="s">
        <v>549</v>
      </c>
      <c r="EN14" s="2368"/>
      <c r="EO14" s="2367" t="s">
        <v>550</v>
      </c>
      <c r="EP14" s="2369"/>
      <c r="EQ14" s="2320" t="s">
        <v>551</v>
      </c>
      <c r="ER14" s="2357"/>
      <c r="ES14" s="2349" t="s">
        <v>12</v>
      </c>
      <c r="ET14" s="2349" t="s">
        <v>13</v>
      </c>
      <c r="EU14" s="2320" t="s">
        <v>582</v>
      </c>
      <c r="EV14" s="2365"/>
      <c r="EW14" s="2323"/>
      <c r="EX14" s="2363"/>
      <c r="EY14" s="2363"/>
      <c r="EZ14" s="2438"/>
      <c r="FA14" s="2363"/>
      <c r="FB14" s="2363"/>
      <c r="FC14" s="2363"/>
      <c r="FD14" s="2439"/>
      <c r="FE14" s="2439"/>
      <c r="FF14" s="2439"/>
      <c r="FG14" s="2439"/>
      <c r="FH14" s="2439"/>
      <c r="FI14" s="2439"/>
      <c r="FJ14" s="2439"/>
      <c r="FK14" s="2439"/>
      <c r="FL14" s="2439"/>
      <c r="FM14" s="2439"/>
      <c r="FN14" s="2439"/>
      <c r="FO14" s="2349" t="s">
        <v>590</v>
      </c>
      <c r="FP14" s="2349" t="s">
        <v>591</v>
      </c>
      <c r="FQ14" s="2455" t="s">
        <v>654</v>
      </c>
      <c r="FR14" s="2458" t="s">
        <v>655</v>
      </c>
      <c r="FS14" s="2453" t="s">
        <v>682</v>
      </c>
      <c r="FT14" s="2466" t="s">
        <v>683</v>
      </c>
      <c r="FU14" s="2175" t="s">
        <v>787</v>
      </c>
      <c r="FV14" s="2176"/>
      <c r="FW14" s="426"/>
      <c r="FX14" s="426"/>
      <c r="FY14" s="426"/>
      <c r="FZ14" s="426"/>
      <c r="GA14" s="2134" t="s">
        <v>708</v>
      </c>
      <c r="GB14" s="2135"/>
      <c r="GC14" s="2134" t="s">
        <v>558</v>
      </c>
      <c r="GD14" s="2135"/>
      <c r="GE14" s="2136" t="s">
        <v>711</v>
      </c>
      <c r="GF14" s="2138" t="s">
        <v>40</v>
      </c>
      <c r="GG14" s="2332" t="s">
        <v>1142</v>
      </c>
      <c r="GH14" s="2333"/>
      <c r="GI14" s="2332" t="s">
        <v>1141</v>
      </c>
      <c r="GJ14" s="2333"/>
      <c r="GK14" s="2139" t="s">
        <v>712</v>
      </c>
      <c r="GL14" s="2139" t="s">
        <v>713</v>
      </c>
      <c r="GM14" s="2139" t="s">
        <v>714</v>
      </c>
      <c r="HA14" s="2456" t="s">
        <v>539</v>
      </c>
      <c r="HB14" s="2330" t="s">
        <v>130</v>
      </c>
      <c r="HC14" s="2330" t="s">
        <v>540</v>
      </c>
      <c r="HD14" s="2440" t="str">
        <f>IF($HA$1,"Joist ""BayLength""","Overall Length")</f>
        <v>Overall Length</v>
      </c>
      <c r="HE14" s="2330"/>
      <c r="HF14" s="2328" t="str">
        <f>IF($HA$1,"Left Sect. #","TCXL Feet")</f>
        <v>TCXL Feet</v>
      </c>
      <c r="HG14" s="2328" t="str">
        <f>IF($HA$1,"L Min Sup Width","TCXL Inch")</f>
        <v>TCXL Inch</v>
      </c>
      <c r="HH14" s="2328" t="str">
        <f>IF($HA$1,"L Max Sup Width","TCXL Type")</f>
        <v>TCXL Type</v>
      </c>
      <c r="HI14" s="2328" t="str">
        <f>IF($HA$1,"Left Bolt ""X""","TCXR Feet")</f>
        <v>TCXR Feet</v>
      </c>
      <c r="HJ14" s="2328" t="str">
        <f>IF($HA$1,"L Min Flg Ga","TCXR Inch")</f>
        <v>TCXR Inch</v>
      </c>
      <c r="HK14" s="2328" t="str">
        <f>IF($HA$1,"L Max Flg Ga","TCXR Type")</f>
        <v>TCXR Type</v>
      </c>
      <c r="HL14" s="2328" t="str">
        <f>IF($HA$1,"Left Skew","BDL")</f>
        <v>BDL</v>
      </c>
      <c r="HM14" s="2328" t="str">
        <f>IF($HA$1,"Left Brg Slp","BDR")</f>
        <v>BDR</v>
      </c>
      <c r="HN14" s="2328" t="str">
        <f>IF($HA$1,"Right Sect. #","BCXL Feet")</f>
        <v>BCXL Feet</v>
      </c>
      <c r="HO14" s="2328" t="str">
        <f>IF($HA$1,"R Min Sup Width","BCXL Inch")</f>
        <v>BCXL Inch</v>
      </c>
      <c r="HP14" s="2328" t="str">
        <f>IF($HA$1,"R Max Sup Width","BCXL Type")</f>
        <v>BCXL Type</v>
      </c>
      <c r="HQ14" s="2328" t="str">
        <f>IF($HA$1,"Right Bolt ""X""","BCXR Feet")</f>
        <v>BCXR Feet</v>
      </c>
      <c r="HR14" s="2328" t="str">
        <f>IF($HA$1,"R Min Flg Ga","BCXR Inch")</f>
        <v>BCXR Inch</v>
      </c>
      <c r="HS14" s="2328" t="str">
        <f>IF($HA$1,"R Max Flg Ga","BCXR Type")</f>
        <v>BCXR Type</v>
      </c>
      <c r="HT14" s="2328" t="str">
        <f>IF($HA$1,"Right Skew","HL Feet")</f>
        <v>HL Feet</v>
      </c>
      <c r="HU14" s="2328" t="str">
        <f>IF($HA$1,"Right Brg Slp","HL Inch")</f>
        <v>HL Inch</v>
      </c>
      <c r="HV14" s="2328" t="str">
        <f>IF($HA$1,"TC Slope","HR Feet")</f>
        <v>HR Feet</v>
      </c>
      <c r="HW14" s="2328" t="str">
        <f>IF($HA$1,"Load Notes","HR Inch")</f>
        <v>HR Inch</v>
      </c>
      <c r="HX14" s="2328" t="str">
        <f>IF($HA$1,"Spcl Notes","Slot Ga")</f>
        <v>Slot Ga</v>
      </c>
      <c r="HY14" s="2328" t="str">
        <f>IF($HA$1,"TC L Override","L Seat Slp")</f>
        <v>L Seat Slp</v>
      </c>
      <c r="HZ14" s="2328" t="str">
        <f>IF($HA$1,"TCR Override","R Seat Slp")</f>
        <v>R Seat Slp</v>
      </c>
      <c r="IA14" s="2328" t="str">
        <f>IF($HA$1,"L-BL Override","Sp Notes")</f>
        <v>Sp Notes</v>
      </c>
      <c r="IB14" s="2328" t="str">
        <f>IF($HA$1,"R-BL Override","Ld Notes")</f>
        <v>Ld Notes</v>
      </c>
      <c r="IC14" s="2328" t="str">
        <f>IF($HA$1,"BCXL ""X""","-")</f>
        <v>-</v>
      </c>
      <c r="ID14" s="2328" t="str">
        <f>IF($HA$1,"BCXR ""X""","-")</f>
        <v>-</v>
      </c>
      <c r="IE14" s="2328" t="str">
        <f>IF($HA$1,"BDL Override","-")</f>
        <v>-</v>
      </c>
      <c r="IF14" s="2468" t="str">
        <f>IF($HA$1,"BDR Override","-")</f>
        <v>-</v>
      </c>
    </row>
    <row r="15" spans="1:241" ht="12.6" customHeight="1" thickTop="1" thickBot="1" x14ac:dyDescent="0.25">
      <c r="A15" s="2427"/>
      <c r="B15" s="2401"/>
      <c r="C15" s="2401"/>
      <c r="D15" s="2401"/>
      <c r="E15" s="2481"/>
      <c r="F15" s="1996" t="s">
        <v>16</v>
      </c>
      <c r="G15" s="2086"/>
      <c r="H15" s="1102" t="s">
        <v>732</v>
      </c>
      <c r="I15" s="2086" t="s">
        <v>16</v>
      </c>
      <c r="J15" s="2086"/>
      <c r="K15" s="461" t="s">
        <v>732</v>
      </c>
      <c r="L15" s="1106" t="s">
        <v>18</v>
      </c>
      <c r="M15" s="461" t="s">
        <v>19</v>
      </c>
      <c r="N15" s="1993" t="s">
        <v>16</v>
      </c>
      <c r="O15" s="2086"/>
      <c r="P15" s="1102" t="s">
        <v>732</v>
      </c>
      <c r="Q15" s="2086" t="s">
        <v>16</v>
      </c>
      <c r="R15" s="2086"/>
      <c r="S15" s="1065" t="s">
        <v>732</v>
      </c>
      <c r="T15" s="1996" t="s">
        <v>80</v>
      </c>
      <c r="U15" s="2086"/>
      <c r="V15" s="2086" t="s">
        <v>81</v>
      </c>
      <c r="W15" s="2086"/>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914"/>
      <c r="AV15" s="2408"/>
      <c r="AW15" s="2409"/>
      <c r="AX15" s="503" t="s">
        <v>632</v>
      </c>
      <c r="AY15" s="503" t="s">
        <v>133</v>
      </c>
      <c r="AZ15" s="2483"/>
      <c r="BA15" s="246"/>
      <c r="BB15" s="2144"/>
      <c r="BC15" s="2073"/>
      <c r="BD15" s="2146"/>
      <c r="BE15" s="2420"/>
      <c r="BF15" s="2421"/>
      <c r="BG15" s="2243"/>
      <c r="BH15" s="2487"/>
      <c r="BI15" s="2488"/>
      <c r="BJ15" s="2385"/>
      <c r="BK15" s="2487"/>
      <c r="BL15" s="2488"/>
      <c r="BM15" s="2073"/>
      <c r="BN15" s="2505"/>
      <c r="BO15" s="2492"/>
      <c r="BP15" s="1546" t="s">
        <v>1277</v>
      </c>
      <c r="BQ15" s="1547" t="s">
        <v>1278</v>
      </c>
      <c r="BR15" s="1548" t="s">
        <v>501</v>
      </c>
      <c r="BS15" s="2243"/>
      <c r="BT15" s="2487"/>
      <c r="BU15" s="2488"/>
      <c r="BV15" s="2385"/>
      <c r="BW15" s="2487"/>
      <c r="BX15" s="2488"/>
      <c r="BY15" s="2073"/>
      <c r="BZ15" s="2490"/>
      <c r="CA15" s="2492"/>
      <c r="CB15" s="1546" t="s">
        <v>1277</v>
      </c>
      <c r="CC15" s="1547" t="s">
        <v>1278</v>
      </c>
      <c r="CD15" s="1548" t="s">
        <v>501</v>
      </c>
      <c r="CE15" s="2486"/>
      <c r="CF15" s="1554" t="s">
        <v>418</v>
      </c>
      <c r="CG15" s="1549" t="s">
        <v>553</v>
      </c>
      <c r="CH15" s="498" t="s">
        <v>585</v>
      </c>
      <c r="CI15" s="433" t="s">
        <v>586</v>
      </c>
      <c r="CJ15" s="434" t="s">
        <v>587</v>
      </c>
      <c r="CK15" s="2407"/>
      <c r="CL15" s="499" t="s">
        <v>606</v>
      </c>
      <c r="CM15" s="500" t="s">
        <v>607</v>
      </c>
      <c r="CN15" s="932" t="s">
        <v>606</v>
      </c>
      <c r="CO15" s="435" t="s">
        <v>607</v>
      </c>
      <c r="CP15" s="436" t="s">
        <v>520</v>
      </c>
      <c r="CQ15" s="437" t="s">
        <v>169</v>
      </c>
      <c r="CR15" s="2412"/>
      <c r="CS15" s="2404"/>
      <c r="CT15" s="426"/>
      <c r="CU15" s="2359"/>
      <c r="CV15" s="2341"/>
      <c r="CW15" s="2341"/>
      <c r="CX15" s="2319"/>
      <c r="CY15" s="2319"/>
      <c r="CZ15" s="2319"/>
      <c r="DA15" s="2319"/>
      <c r="DB15" s="2319"/>
      <c r="DC15" s="2319"/>
      <c r="DD15" s="2319"/>
      <c r="DE15" s="2359"/>
      <c r="DF15" s="2341"/>
      <c r="DG15" s="2341"/>
      <c r="DH15" s="2319"/>
      <c r="DI15" s="2319"/>
      <c r="DJ15" s="2319"/>
      <c r="DK15" s="2319"/>
      <c r="DL15" s="2319"/>
      <c r="DM15" s="2319"/>
      <c r="DN15" s="2361"/>
      <c r="DO15" s="2356"/>
      <c r="DP15" s="2467"/>
      <c r="DQ15" s="2350"/>
      <c r="DR15" s="2321"/>
      <c r="DS15" s="2323"/>
      <c r="DT15" s="438" t="s">
        <v>554</v>
      </c>
      <c r="DU15" s="438" t="s">
        <v>555</v>
      </c>
      <c r="DV15" s="2325"/>
      <c r="DW15" s="2352"/>
      <c r="DX15" s="2354"/>
      <c r="DY15" s="2323"/>
      <c r="DZ15" s="438" t="s">
        <v>554</v>
      </c>
      <c r="EA15" s="438" t="s">
        <v>555</v>
      </c>
      <c r="EB15" s="2352"/>
      <c r="EC15" s="2352"/>
      <c r="ED15" s="2354"/>
      <c r="EE15" s="2370"/>
      <c r="EF15" s="439" t="s">
        <v>521</v>
      </c>
      <c r="EG15" s="440" t="s">
        <v>522</v>
      </c>
      <c r="EH15" s="439" t="s">
        <v>521</v>
      </c>
      <c r="EI15" s="440" t="s">
        <v>522</v>
      </c>
      <c r="EJ15" s="439" t="s">
        <v>521</v>
      </c>
      <c r="EK15" s="440" t="s">
        <v>522</v>
      </c>
      <c r="EL15" s="2370"/>
      <c r="EM15" s="439" t="s">
        <v>521</v>
      </c>
      <c r="EN15" s="440" t="s">
        <v>522</v>
      </c>
      <c r="EO15" s="439" t="s">
        <v>521</v>
      </c>
      <c r="EP15" s="440" t="s">
        <v>522</v>
      </c>
      <c r="EQ15" s="439" t="s">
        <v>521</v>
      </c>
      <c r="ER15" s="440" t="s">
        <v>522</v>
      </c>
      <c r="ES15" s="2373"/>
      <c r="ET15" s="2373"/>
      <c r="EU15" s="2374"/>
      <c r="EV15" s="2366"/>
      <c r="EW15" s="2323"/>
      <c r="EX15" s="2363"/>
      <c r="EY15" s="2363"/>
      <c r="EZ15" s="2438"/>
      <c r="FA15" s="2363"/>
      <c r="FB15" s="2363"/>
      <c r="FC15" s="2363"/>
      <c r="FD15" s="2439"/>
      <c r="FE15" s="2439"/>
      <c r="FF15" s="2439"/>
      <c r="FG15" s="2439"/>
      <c r="FH15" s="2439"/>
      <c r="FI15" s="2439"/>
      <c r="FJ15" s="2439"/>
      <c r="FK15" s="2439"/>
      <c r="FL15" s="2439"/>
      <c r="FM15" s="2439"/>
      <c r="FN15" s="2439"/>
      <c r="FO15" s="2373"/>
      <c r="FP15" s="2373"/>
      <c r="FQ15" s="2373"/>
      <c r="FR15" s="2459"/>
      <c r="FS15" s="2454"/>
      <c r="FT15" s="2459"/>
      <c r="FU15" s="508" t="s">
        <v>606</v>
      </c>
      <c r="FV15" s="509" t="s">
        <v>607</v>
      </c>
      <c r="FW15" s="426"/>
      <c r="FX15" s="426"/>
      <c r="FY15" s="426"/>
      <c r="FZ15" s="426"/>
      <c r="GA15" s="1035" t="s">
        <v>1112</v>
      </c>
      <c r="GB15" s="1036" t="s">
        <v>710</v>
      </c>
      <c r="GC15" s="1031" t="s">
        <v>606</v>
      </c>
      <c r="GD15" s="1032" t="s">
        <v>607</v>
      </c>
      <c r="GE15" s="2137"/>
      <c r="GF15" s="2137"/>
      <c r="GG15" s="1033" t="s">
        <v>1112</v>
      </c>
      <c r="GH15" s="1034" t="s">
        <v>710</v>
      </c>
      <c r="GI15" s="1033" t="s">
        <v>1112</v>
      </c>
      <c r="GJ15" s="1034" t="s">
        <v>710</v>
      </c>
      <c r="GK15" s="2140"/>
      <c r="GL15" s="2140"/>
      <c r="GM15" s="2140"/>
      <c r="HA15" s="2457"/>
      <c r="HB15" s="2331"/>
      <c r="HC15" s="2331"/>
      <c r="HD15" s="2331"/>
      <c r="HE15" s="2331"/>
      <c r="HF15" s="2329"/>
      <c r="HG15" s="2329"/>
      <c r="HH15" s="2329"/>
      <c r="HI15" s="2329"/>
      <c r="HJ15" s="2329"/>
      <c r="HK15" s="2329"/>
      <c r="HL15" s="2329"/>
      <c r="HM15" s="2329"/>
      <c r="HN15" s="2329"/>
      <c r="HO15" s="2329"/>
      <c r="HP15" s="2329"/>
      <c r="HQ15" s="2329"/>
      <c r="HR15" s="2329"/>
      <c r="HS15" s="2329"/>
      <c r="HT15" s="2329"/>
      <c r="HU15" s="2329"/>
      <c r="HV15" s="2329"/>
      <c r="HW15" s="2329"/>
      <c r="HX15" s="2329"/>
      <c r="HY15" s="2329"/>
      <c r="HZ15" s="2329"/>
      <c r="IA15" s="2329"/>
      <c r="IB15" s="2329"/>
      <c r="IC15" s="2329"/>
      <c r="ID15" s="2329"/>
      <c r="IE15" s="2329"/>
      <c r="IF15" s="2469"/>
    </row>
    <row r="16" spans="1:241" ht="12.6" customHeight="1" thickTop="1" x14ac:dyDescent="0.25">
      <c r="A16" s="1448" t="s">
        <v>1447</v>
      </c>
      <c r="B16" s="1681">
        <v>1</v>
      </c>
      <c r="C16" s="1449" t="s">
        <v>1592</v>
      </c>
      <c r="D16" s="1705">
        <v>40</v>
      </c>
      <c r="E16" s="1706">
        <v>0</v>
      </c>
      <c r="F16" s="1714" t="str">
        <f t="shared" ref="F16:F44" si="1">IF(DX16=0,"",TRUNC(DX16/12))</f>
        <v/>
      </c>
      <c r="G16" s="1709" t="str">
        <f t="shared" ref="G16:G44" si="2">IF(DX16=0,"",DX16-(F16*12))</f>
        <v/>
      </c>
      <c r="H16" s="1779" t="str">
        <f t="shared" ref="H16:H44" si="3">IF(DX16=0,"",CW16)</f>
        <v/>
      </c>
      <c r="I16" s="1705" t="str">
        <f t="shared" ref="I16:I44" si="4">IF(ED16=0,"",TRUNC(ED16/12))</f>
        <v/>
      </c>
      <c r="J16" s="1709" t="str">
        <f t="shared" ref="J16:J44" si="5">IF(ED16=0,"",ED16-(I16*12))</f>
        <v/>
      </c>
      <c r="K16" s="1796" t="str">
        <f t="shared" ref="K16:K44" si="6">IF(ED16=0,"",DG16)</f>
        <v/>
      </c>
      <c r="L16" s="1712">
        <v>5</v>
      </c>
      <c r="M16" s="1713">
        <v>5</v>
      </c>
      <c r="N16" s="1708">
        <v>0</v>
      </c>
      <c r="O16" s="1709">
        <v>6.75</v>
      </c>
      <c r="P16" s="1710">
        <v>2</v>
      </c>
      <c r="Q16" s="1705" t="str">
        <f t="shared" ref="Q16:Q45" si="7">IF(ET16="","",IF(AND(ET16&lt;0,ET16&gt;-12),TRUNC(ET16/12)-0.0000001,TRUNC(ET16/12)))</f>
        <v/>
      </c>
      <c r="R16" s="1709" t="str">
        <f t="shared" ref="R16:R45" si="8">IF(ET16="","",IF(AND(ET16-(Q16*12)=0,ET16&lt;0),-0.000001,ET16-(Q16*12)))</f>
        <v/>
      </c>
      <c r="S16" s="1711" t="str">
        <f t="shared" ref="S16:S45" si="9">IF(ET16="","",IF(OR(DG16="Q",DG16="C"),3,DJ16))</f>
        <v/>
      </c>
      <c r="T16" s="1714">
        <v>0</v>
      </c>
      <c r="U16" s="1709">
        <v>2.25</v>
      </c>
      <c r="V16" s="1705">
        <v>0</v>
      </c>
      <c r="W16" s="1709">
        <v>2</v>
      </c>
      <c r="X16" s="1713">
        <v>4</v>
      </c>
      <c r="Y16" s="1781" t="str">
        <f t="shared" ref="Y16:Y44" si="10">FG16</f>
        <v/>
      </c>
      <c r="Z16" s="1782" t="str">
        <f t="shared" ref="Z16:Z44" si="11">FL16</f>
        <v/>
      </c>
      <c r="AA16" s="1783" t="s">
        <v>1718</v>
      </c>
      <c r="AB16" s="1413"/>
      <c r="AC16" s="964" t="b">
        <v>0</v>
      </c>
      <c r="AD16" s="441">
        <f t="shared" ref="AD16:AD45" si="12">IF($C16="",0,IF(SUM(AE16:AG16)&gt;0,0,IF(ISERROR(SEARCH("K",$C16,1))=TRUE,0,$B16)))</f>
        <v>0</v>
      </c>
      <c r="AE16" s="442">
        <f t="shared" ref="AE16:AE45" si="13">IF(ISERROR(SEARCH("LH",$C16,1))=TRUE,0,$B16)</f>
        <v>1</v>
      </c>
      <c r="AF16" s="442">
        <f t="shared" ref="AF16:AF45" si="14">IF(ISERROR(SEARCH("JS",$C16))=TRUE,IF(ISERROR(SEARCH("2.5K",$C16))=TRUE,0,$B16),$B16)</f>
        <v>0</v>
      </c>
      <c r="AG16" s="442">
        <f t="shared" ref="AG16:AG45" si="15">IF(ISERROR(SEARCH("HDR",$C16,1))=TRUE,0,$B16)</f>
        <v>0</v>
      </c>
      <c r="AH16" s="443">
        <f t="shared" ref="AH16:AH45" si="16">IF(ISERROR(SEARCH("CJ",$C16,1))=TRUE,0,$B16)</f>
        <v>0</v>
      </c>
      <c r="AI16" s="444" t="b">
        <v>0</v>
      </c>
      <c r="AJ16" s="238">
        <f t="shared" ref="AJ16:AJ45" si="17">IF(OR(ISERROR(VALUE(LEFT(C16,SEARCH(AK16,C16)-1))),AK16=""),0,VALUE(LEFT(C16,SEARCH(AK16,C16)-1)))</f>
        <v>32</v>
      </c>
      <c r="AK16" s="830" t="str">
        <f t="shared" ref="AK16:AK45" si="18">IF(AV16="",AW16,AV16)</f>
        <v>LH</v>
      </c>
      <c r="AL16" s="945" t="str">
        <f t="shared" ref="AL16:AL45" si="19">IF(AK16="","",IF(ISERROR(SEARCH("/",C16)),IF(VALUE(MID(C16,SEARCH(AK16,C16)+LEN(AK16),LEN(C16)))&gt;25,"",VALUE(MID(C16,SEARCH(AK16,C16)+LEN(AK16),LEN(C16)))),""))</f>
        <v/>
      </c>
      <c r="AM16" s="830">
        <f t="shared" ref="AM16:AM45" si="20">IF(AK16="","",IF(ISERROR(SEARCH("/",C16)),IF(VALUE(MID(C16,SEARCH(AK16,C16)+LEN(AK16),LEN(C16)))&lt;26,"",VALUE(MID(C16,SEARCH(AK16,C16)+LEN(AK16),LEN(C16)))),VALUE(MID(C16,SEARCH(AK16,C16)+LEN(AK16),SEARCH("/",C16)-SEARCH(AK16,C16)-LEN(AK16)))))</f>
        <v>305</v>
      </c>
      <c r="AN16" s="830">
        <f t="shared" ref="AN16:AN45" si="21">IF(AK16="","",IF(AK16="CJ",MID(MID(C16,SEARCH("/",C16)+1,LEN(C16)),1,SEARCH("/",MID(C16,SEARCH("/",C16)+1,LEN(C16)))-1),IF(ISERROR(SEARCH("/",C16)),"",VALUE(MID(C16,SEARCH("/",C16)+1,LEN(C16))))))</f>
        <v>180</v>
      </c>
      <c r="AO16" s="830" t="str">
        <f t="shared" ref="AO16:AO45" si="22">IF(AK16="CJ",VALUE(MID(MID(C16,SEARCH("/",C16)+1,LEN(C16)),SEARCH("/",MID(C16,SEARCH("/",C16)+1,LEN(C16)))+1,LEN(MID(C16,SEARCH("/",C16)+1,LEN(C16))))),"")</f>
        <v/>
      </c>
      <c r="AP16" s="830" t="b">
        <f>IF(ISERROR(AJ16),FALSE,IF(OR(AJ16=0,ISERROR(AL16),ISERROR(AM16),ISERROR(AN16),ISERROR(AO16)),FALSE,IF(AL16&lt;&gt;"",IF(ISERROR(VLOOKUP(SUBSTITUTE(SUBSTITUTE(C16,"R",""),"A",""),TblJoistSize!$A:$A,1,FALSE)),FALSE,TRUE),TRUE)))</f>
        <v>1</v>
      </c>
      <c r="AQ16" s="1038">
        <f t="shared" ref="AQ16:AQ45" si="23">VLOOKUP(AK16,$DF$2:$DN$9,4,FALSE)+IF(LEFT(H16,1)="R",IF(ISNUMBER(F16),F16*12,0)+IF(ISNUMBER(G16),G16,0),0)</f>
        <v>6</v>
      </c>
      <c r="AR16" s="945" t="b">
        <f t="shared" ref="AR16:AR45" si="24">IF(IF(ISNUMBER(T16),T16*12,0)+IF(ISNUMBER(U16),U16,0)&gt;0,IF(AND(IF(ISNUMBER(T16),T16*12,0)+IF(ISNUMBER(U16),U16,0)&gt;=VLOOKUP(AU16,$DF$2:$DN$9,8,FALSE)/2+$DQ$2,IF(ISNUMBER(T16),T16*12,0)+IF(ISNUMBER(U16),U16,0)&lt;=(AQ16-(VLOOKUP(AU16,$DF$2:$DN$9,8,FALSE)/2+$DQ$2))+IF(H16="X",2,0)),TRUE,FALSE),FALSE)</f>
        <v>1</v>
      </c>
      <c r="AS16" s="1038">
        <f t="shared" ref="AS16:AS45" si="25">VLOOKUP(AK16,$DF$2:$DN$9,4,FALSE)+IF(LEFT(K16,1)="R",(IF(ISNUMBER(I16),I16*12,0)+IF(ISNUMBER(J16),J16,0)),0)</f>
        <v>6</v>
      </c>
      <c r="AT16" s="945" t="b">
        <f t="shared" ref="AT16:AT45" si="26">IF(IF(ISNUMBER(V16),V16*12,0)+IF(ISNUMBER(W16),W16,0)&gt;0,IF(AND((IF(ISNUMBER(V16),V16*12,0)+IF(ISNUMBER(W16),W16,0))&gt;=VLOOKUP(AU16,$DF$2:$DN$9,8,FALSE)/2+$DQ$2,(IF(ISNUMBER(V16),V16*12,0)+IF(ISNUMBER(W16),W16,0))&lt;=(AS16-(VLOOKUP(AU16,$DF$2:$DN$9,8,FALSE)/2+$DQ$2))+IF(K16="X",2,0)),TRUE,FALSE),FALSE)</f>
        <v>1</v>
      </c>
      <c r="AU16" s="946" t="str">
        <f t="shared" ref="AU16:AU45" si="27">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830" t="str">
        <f t="shared" ref="AV16:AV45" si="28">IF(NOT(ISERROR(SEARCH("KCSR",C16))),"KCSR",IF(NOT(ISERROR(SEARCH("KCSA",C16))),"KCSA",IF(NOT(ISERROR(SEARCH("KCS",C16))),"KCS",IF(NOT(ISERROR(SEARCH("KR",C16))),"KR",IF(NOT(ISERROR(SEARCH("KA",C16))),"KA",IF(NOT(ISERROR(SEARCH("K",C16))),"K",IF(NOT(ISERROR(SEARCH("CJ",C16))),"CJ","")))))))</f>
        <v/>
      </c>
      <c r="AW16" s="830" t="str">
        <f t="shared" ref="AW16:AW45" si="29">IF(NOT(ISERROR(SEARCH("HDR",C16))),"HDR",IF(NOT(ISERROR(SEARCH("JS",C16))),"JS",IF(NOT(ISERROR(SEARCH("SLH",C16))),"SLH",IF(NOT(ISERROR(SEARCH("DLH",C16))),"DLH",IF(NOT(ISERROR(SEARCH("LH",C16))),"LH","")))))</f>
        <v>LH</v>
      </c>
      <c r="AX16" s="830" t="str">
        <f>IF(OR(ISBLANK(A16),A16=""),"",A16)</f>
        <v>TJ17</v>
      </c>
      <c r="AY16" s="1039" t="b">
        <f t="shared" ref="AY16:AY45" si="30">IF($AE$1,IF(AX16=AX15,AY15,IF(AND(AX16&lt;&gt;"",OR(B16=0,B16="")),TRUE,FALSE)),FALSE)</f>
        <v>0</v>
      </c>
      <c r="AZ16" s="856" t="b">
        <f t="shared" ref="AZ16:AZ45" si="31">IF(AND(NOT(ISERROR(AJ16)),AJ16&gt;0),((IF(D16="",0,D16)*12+IF(E16="",0,E16))-(IF(F16="",0,F16)*12+IF(G16="",0,G16))-(IF(I16="",0,I16)*12+IF(J16="",0,J16)))&gt;AJ16*24,"")</f>
        <v>0</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32">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33">IF(ISERROR(DE16),"",IF(DG16="","",IF(DG16="C",DF16,IF(DG16="Q",2,""))))</f>
        <v/>
      </c>
      <c r="CD16" s="909"/>
      <c r="CE16" s="729"/>
      <c r="CF16" s="730"/>
      <c r="CG16" s="731"/>
      <c r="CH16" s="583" t="str">
        <f t="shared" ref="CH16:CH45" si="34">IF(EJ16=EK16,IF(EK16="ERR","ERR",""),CONCATENATE(IF(BM16&lt;0,"NS ","FS "),IF(EK16="ERR","Slot Only",CONCATENATE("Slot @ ",EJ16))))</f>
        <v/>
      </c>
      <c r="CI16" s="584" t="str">
        <f t="shared" ref="CI16:CI45" si="35">IF(EQ16=ER16,IF(ER16="ERR","ERR",""),CONCATENATE(IF(BY16&lt;0,"FS ","NS "),IF(ER16="ERR","Slot Only",CONCATENATE("Slot @ ",EQ16))))</f>
        <v/>
      </c>
      <c r="CJ16" s="585" t="str">
        <f t="shared" ref="CJ16:CJ45" si="36">IF(EV16="","",IF(AND(DB16&lt;&gt;EV16,OR(NOT(ISBLANK(BJ16)),CU16="C")),CONCATENATE("LE slots @ ",DB16," Ga."),IF(AND(DL16&lt;&gt;EV16,OR(NOT(ISBLANK(BV16)),DE16="C")),CONCATENATE("RE slots @ ",DL16," Ga."),"")))</f>
        <v/>
      </c>
      <c r="CK16" s="586" t="str">
        <f t="shared" ref="CK16:CK45" si="37">IF(AND(CP16&lt;&gt;"",BM16&lt;&gt;"",CQ16&lt;&gt;"",BY16&lt;&gt;""),"BE",IF(AND(CP16&lt;&gt;"",BM16&lt;&gt;""),"LE",IF(AND(CQ16&lt;&gt;"",BY16&lt;&gt;""),"RE","")))</f>
        <v/>
      </c>
      <c r="CL16" s="587" t="str">
        <f t="shared" ref="CL16:CL45" si="38">IF(BQ16="","",IF(CEILING(DV16,0.125)&lt;=DW16+VLOOKUP(AU16,$DF$2:$DI$9,4,FALSE),"",CEILING(DV16,0.125)))</f>
        <v/>
      </c>
      <c r="CM16" s="588" t="str">
        <f t="shared" ref="CM16:CM45" si="39">IF(CC16="","",IF(CEILING(EB16,0.125)&lt;=EC16+VLOOKUP(AU16,$DF$2:$DI$9,4,FALSE),"",CEILING(EB16,0.125)))</f>
        <v/>
      </c>
      <c r="CN16" s="589" t="str">
        <f t="shared" ref="CN16:CN45" si="40">IF(AND(CE16&lt;&gt;0,BM16&lt;&gt;0),CE16*COS(RADIANS(90-BM16))/(1/COS(RADIANS(90-BM16)))*-1,"")</f>
        <v/>
      </c>
      <c r="CO16" s="590" t="str">
        <f t="shared" ref="CO16:CO45" si="41">IF(AND(CE16&lt;&gt;0,BY16&lt;&gt;0),CE16*COS(RADIANS(90-BY16))/(1/COS(RADIANS(90-BY16))),"")</f>
        <v/>
      </c>
      <c r="CP16" s="613" t="str">
        <f t="shared" ref="CP16:CP45" si="42">IF(BG16="","",IF(AU16="JS","",IF(VLOOKUP(AU16,$DF$2:$DN$9,5,FALSE)&gt;FO16,IF(FO16&gt;=0.0625,CEILING(FO16-0.0625,0.125),FO16),"")))</f>
        <v/>
      </c>
      <c r="CQ16" s="614" t="str">
        <f t="shared" ref="CQ16:CQ45" si="43">IF(BS16="","",IF(AU16="JS","",IF(VLOOKUP(AU16,$DF$2:$DN$9,5,FALSE)&gt;FP16,IF(FP16&gt;=0.0625,CEILING(FP16-0.0625,0.125),FP16),"")))</f>
        <v/>
      </c>
      <c r="CR16" s="748">
        <f t="shared" ref="CR16:CR45" si="44">IF(AU16="","",IF(ABS(FF16)&lt;ABS($CX$2),VLOOKUP(AU16,$DF$2:$DN$9,3,FALSE),CEILING(VLOOKUP(AU16,$DF$2:$DN$9,3,FALSE)/COS(FE16)+0.375+IF(CU16="M",IF(FE16&gt;0,(DV16-DW16)/12,0),IF(FE16&gt;0,0,(DV16-CV16)/12))*ABS(FF16),0.125)))</f>
        <v>5</v>
      </c>
      <c r="CS16" s="749">
        <f t="shared" ref="CS16:CS45" si="45">IF(AU16="","",IF(ABS(FK16)&lt;ABS($CX$2),VLOOKUP(AU16,$DF$2:$DN$9,3,FALSE),CEILING(VLOOKUP(AU16,$DF$2:$DN$9,3,FALSE)/COS(FJ16)+0.375+IF(DE16="M",IF(FJ16&lt;0,(EB16-EC16)/12,0),IF(FJ16&lt;0,0,(EB16-DF16)/12))*ABS(FK16),0.125)))</f>
        <v>5</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46">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47">BZ16*-1</f>
        <v>0</v>
      </c>
      <c r="DO16" s="860">
        <f t="shared" ref="DO16:DO45" si="48">IF(CE16="",0,ATAN(CE16/12))</f>
        <v>0</v>
      </c>
      <c r="DP16" s="861" t="str">
        <f t="shared" ref="DP16:DP45" si="49">IF(OR(CV16="",BE16="",DF16=""),"",CEILING(IF(AND(BE16="",BF16=""),"",((BE16*12+BF16)+CV16+DF16)/COS(FN16))-0.0625,0.125))</f>
        <v/>
      </c>
      <c r="DQ16" s="861" t="str">
        <f t="shared" ref="DQ16:DQ45" si="50">IF(AU16="","",IF(ABS(FF16)&lt;ABS($CX$2),CX16,IF(FF16=0,CX16,CEILING((CX16+((DW16-CV16)/12)*FF16)-0.0625,0.125))))</f>
        <v/>
      </c>
      <c r="DR16" s="861" t="str">
        <f t="shared" ref="DR16:DR45" si="51">IF(AU16="","",IF(ABS(FK16)&lt;ABS($CX$2),DH16,IF(FK16=0,DH16,CEILING((DH16+((EC16-DF16)/12)*FK16)-0.0625,0.125))))</f>
        <v/>
      </c>
      <c r="DS16" s="862">
        <f t="shared" ref="DS16:DS45" si="52">IF(BM16="",0,RADIANS(ABS(BM16)))</f>
        <v>0</v>
      </c>
      <c r="DT16" s="821">
        <f t="shared" ref="DT16:DT45" si="53">MIN(IF(BH16&gt;0,BH16/2,MAX(BI16/2,DC16)),IF(BI16&gt;0,BI16/2,MAX(BH16/2,DC16)),IF(DC16&gt;0,DC16,MAX(BI16/2,BH16/2)))/IF(OR(CU16="C",AND(CU16="M",$DD$1="N")),1,COS(DS16))</f>
        <v>0</v>
      </c>
      <c r="DU16" s="821" t="str">
        <f t="shared" ref="DU16:DU45" si="54">IF(CV16="","",IF(DC16&gt;=0,MAX(BH16/2,BI16/2,DC16),DC16)/IF(OR(CU16="C",AND(CU16="M",$DD$1="N")),1,COS(DS16)))</f>
        <v/>
      </c>
      <c r="DV16" s="861" t="str">
        <f t="shared" ref="DV16:DV45" si="55">IF(CV16="","",(CV16+DU16+(VLOOKUP(IF(AU16="HDR","K",AU16),$DF$2:$DN$9,2,FALSE))*TAN(DS16))/COS(FD16)-FH16)</f>
        <v/>
      </c>
      <c r="DW16" s="872" t="str">
        <f t="shared" ref="DW16:DW45" si="56">IF(CV16="","",MAX(0,IF(NOT(BQ16=""),CV16-BQ16,DV16-VLOOKUP(IF(AU16="HDR","K",AU16),$DF$2:$DN$9,4,FALSE))))</f>
        <v/>
      </c>
      <c r="DX16" s="1129">
        <f t="shared" ref="DX16:DX45" si="57">IF(CV16="",0,IF(DW16/COS(FN16-FD16)&lt;0.0625,0,CEILING(DW16/COS(FN16-FD16)-0.03125,0.125)))</f>
        <v>0</v>
      </c>
      <c r="DY16" s="861">
        <f t="shared" ref="DY16:DY45" si="58">RADIANS(ABS(BY16))</f>
        <v>0</v>
      </c>
      <c r="DZ16" s="821">
        <f t="shared" ref="DZ16:DZ45" si="59">MIN(IF(BT16&gt;0,BT16/2,MAX(BU16/2,DM16)),IF(BU16&gt;0,BU16/2,MAX(BT16/2,DM16)),IF(DM16&gt;0,DM16,MAX(BU16/2,BT16/2)))/IF(OR(DE16="C",AND(DE16="M",$DD$1="N")),1,COS(DY16))</f>
        <v>0</v>
      </c>
      <c r="EA16" s="821" t="str">
        <f t="shared" ref="EA16:EA45" si="60">IF(DF16="","",IF(DM16&gt;=0,MAX(BT16/2,BU16/2,DM16),DM16)/IF(OR(DE16="C",AND(DE16="M",$DD$1="N")),1,COS(DY16)))</f>
        <v/>
      </c>
      <c r="EB16" s="861" t="str">
        <f t="shared" ref="EB16:EB45" si="61">IF(DF16="","",(DF16+EA16+(VLOOKUP(IF(AU16="HDR","K",AU16),$DF$2:$DN$9,2,FALSE))*TAN(DY16))/COS(FI16)-FM16)</f>
        <v/>
      </c>
      <c r="EC16" s="872" t="str">
        <f t="shared" ref="EC16:EC45" si="62">IF(DF16="","",MAX(0,IF(NOT(CC16=""),DF16-CC16,EB16-VLOOKUP(IF(AU16="HDR","K",AU16),$DF$2:$DN$9,4,FALSE))))</f>
        <v/>
      </c>
      <c r="ED16" s="1129">
        <f t="shared" ref="ED16:ED45" si="63">IF(DF16="",0,IF(EC16/COS(FN16+FI16)&lt;0.0625,0,CEILING(EC16/COS(FN16+FI16)-0.03125,0.125)))</f>
        <v>0</v>
      </c>
      <c r="EE16" s="1339" t="str">
        <f t="shared" ref="EE16:EE45" si="64">IF(AND(EZ16="",DA16=""),"",IF(EZ16="ERR","ERR",IF(CU16="C",DA16,IF(BJ16="","",IF(DA16="",(EZ16/2)*-1,DA16)))))</f>
        <v/>
      </c>
      <c r="EF16" s="1339" t="str">
        <f t="shared" ref="EF16:EF45" si="65">IF(EE16="ERR","ERR",IF(EE16="","",IF(DB16*TAN(DS16)&lt;=(VLOOKUP(AU16,$DF$2:$DN$9,8,FALSE)-(VLOOKUP(AU16,$DF$2:$DN$9,7,FALSE)-0.0625)),CV16-(EE16-FH16)/IF(OR(CU16="C",AND(CU16="M",$DD$1="N")),1,COS(DS16))-IF(MID(CW16,1,1)="R",0,DW16),(ABS(EE16-FH16)/IF(OR(CU16="C",AND(CU16="M",$DD$1="N")),1,COS(DS16))+CV16)-((DB16/2)*TAN(DS16))-IF(MID(CW16,1,1)="R",0,DW16))))</f>
        <v/>
      </c>
      <c r="EG16" s="1339" t="str">
        <f t="shared" ref="EG16:EG45" si="66">IF(EE16="ERR","ERR",IF(EE16="","",IF(DB16*TAN(DS16)&lt;=(VLOOKUP(AU16,$DF$2:$DN$9,8,FALSE)-(VLOOKUP(AU16,$DF$2:$DN$9,7,FALSE)-0.0625)),CV16-(EE16-FH16)/IF(OR(CU16="C",AND(CU16="M",$DD$1="N")),1,COS(DS16))-IF(MID(CW16,1,1)="R",0,DW16),(ABS(EE16-FH16)/IF(OR(CU16="C",AND(CU16="M",$DD$1="N")),1,COS(DS16))+CV16)+((DB16/2)*TAN(DS16))-IF(MID(CW16,1,1)="R",0,DW16))))</f>
        <v/>
      </c>
      <c r="EH16" s="856" t="str">
        <f t="shared" ref="EH16:EH45" si="67">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ERR</v>
      </c>
      <c r="EI16" s="856" t="str">
        <f t="shared" ref="EI16:EI45" si="68">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ERR</v>
      </c>
      <c r="EJ16" s="822" t="str">
        <f t="shared" ref="EJ16:EK45" si="69">IF(ISERROR(EF16),"ERR",IF(EF16="","",IF(EH16="ERR","ERR",CEILING(EH16-0.0625,0.125))))</f>
        <v/>
      </c>
      <c r="EK16" s="822" t="str">
        <f t="shared" si="69"/>
        <v/>
      </c>
      <c r="EL16" s="1293" t="str">
        <f t="shared" ref="EL16:EL45" si="70">IF(AND(FC16="",DK16=""),"",IF(FC16="ERR","ERR",IF(DE16="C",DK16,IF(BV16="","",IF(DK16="",(FC16/2)*-1,DK16)))))</f>
        <v/>
      </c>
      <c r="EM16" s="822" t="str">
        <f t="shared" ref="EM16:EM45" si="71">IF(EL16="ERR","ERR",IF(EL16="","",IF(DL16*TAN(DY16)&lt;=(VLOOKUP(AU16,$DF$2:$DN$9,8,FALSE)-(VLOOKUP(AU16,$DF$2:$DN$9,7,FALSE)-0.0625)),DF16-(EL16-FM16)/IF(OR(DE16="C",AND(DE16="M",$DD$1="N")),1,COS(DY16))-IF(MID(DG16,1,1)="R",0,EC16),(ABS(EL16-FM16)/IF(OR(DE16="C",AND(DE16="M",$DD$1="N")),1,COS(DY16))+DF16)-((DL16/2)*TAN(DY16))-IF(MID(DG16,1,1)="R",0,EC16))))</f>
        <v/>
      </c>
      <c r="EN16" s="822" t="str">
        <f t="shared" ref="EN16:EN45" si="72">IF(EL16="ERR","ERR",IF(EL16="","",IF(DL16*TAN(DY16)&lt;=(VLOOKUP(AU16,$DF$2:$DN$9,8,FALSE)-(VLOOKUP(AU16,$DF$2:$DN$9,7,FALSE)-0.0625)),DF16-(EL16-FM16)/IF(OR(DE16="C",AND(DE16="M",$DD$1="N")),1,COS(DY16))-IF(MID(DG16,1,1)="R",0,EC16),(ABS(EL16-FM16)/IF(OR(DE16="C",AND(DE16="M",$DD$1="N")),1,COS(DY16))+DF16)+((DL16/2)*TAN(DY16))-IF(MID(DG16,1,1)="R",0,EC16))))</f>
        <v/>
      </c>
      <c r="EO16" s="856" t="str">
        <f t="shared" ref="EO16:EO45" si="73">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ERR</v>
      </c>
      <c r="EP16" s="856" t="str">
        <f t="shared" ref="EP16:EP45" si="74">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ERR</v>
      </c>
      <c r="EQ16" s="1339" t="str">
        <f t="shared" ref="EQ16:ER45" si="75">IF(ISERROR(EM16),"ERR",IF(EM16="","",IF(EO16="ERR","ERR",CEILING(EO16-0.0625,0.125))))</f>
        <v/>
      </c>
      <c r="ER16" s="861" t="str">
        <f t="shared" si="75"/>
        <v/>
      </c>
      <c r="ES16" s="822" t="str">
        <f t="shared" ref="ES16:ES45" si="76">IF(OR(CY16="",AU16="JS",AU16="HDR",BO16=""),"",IF((CV16-CY16)/COS(DO16)-FS16&lt;=-0.0625,CEILING((CV16-CY16)/COS(DO16)-FS16+0.0625,-0.125),IF((CV16-CY16)/COS(DO16)-FS16&gt;=0.0625,CEILING((CV16-CY16)/COS(DO16)-FS16-0.0625,0.125),0)))</f>
        <v/>
      </c>
      <c r="ET16" s="822" t="str">
        <f t="shared" ref="ET16:ET45" si="77">IF(OR(DI16="",AU16="JS",AU16="HDR",CA16=""),"",IF((DF16-DI16)/COS(DO16)-FT16&lt;=-0.0625,CEILING((DF16-DI16)/COS(DO16)-FT16+0.0625,-0.125),IF((DF16-DI16)/COS(DO16)-FT16&gt;=0.0625,CEILING((DF16-DI16)/COS(DO16)-FT16-0.0625,0.125),0)))</f>
        <v/>
      </c>
      <c r="EU16" s="863">
        <f t="shared" ref="EU16:EU45" si="78">IF(AU16="","",VLOOKUP(AU16,$DF$2:$DN$9,6,FALSE))</f>
        <v>4</v>
      </c>
      <c r="EV16" s="824" t="str">
        <f t="shared" ref="EV16:EV45" si="79">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80">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81">IF(BV16="X",IF(OR(DE16="M",DE16="C"),"",IF((FB16-FA16)/2&lt;=(VLOOKUP(AU16,$DF$2:$DN$9,8,FALSE)-(VLOOKUP(AU16,$DF$2:$DN$9,7,FALSE)-0.0625)),(FA16+FB16)/2,"ERR")),"")</f>
        <v/>
      </c>
      <c r="FD16" s="862">
        <f>IF(DD16="",0,ATAN(DD16/12))</f>
        <v>0</v>
      </c>
      <c r="FE16" s="862">
        <f t="shared" ref="FE16:FE45" si="82">DO16-FD16</f>
        <v>0</v>
      </c>
      <c r="FF16" s="862">
        <f t="shared" ref="FF16:FF45" si="83">TAN(FE16)*12</f>
        <v>0</v>
      </c>
      <c r="FG16" s="862" t="str">
        <f t="shared" ref="FG16:FG45" si="84">IF(FF16=0,"",IF(ABS(FF16)&lt;$CX$2,IF(AND(ABS(MIN(DV16,FQ16)/12*FF16)&gt;$DD$2,FF16&gt;0),IF(FF16&gt;0,CEILING(FF16-0.0625,0.125),CEILING(FF16+0.0625,-0.125)),""),IF(FF16&gt;0,CEILING(FF16-0.0625,0.125),CEILING(FF16+0.0625,-0.125))))</f>
        <v/>
      </c>
      <c r="FH16" s="861" t="str">
        <f t="shared" ref="FH16:FH45" si="85">IF(CX16="","",CX16*TAN(FD16))</f>
        <v/>
      </c>
      <c r="FI16" s="862">
        <f>IF(DN16="",0,ATAN(DN16/12))</f>
        <v>0</v>
      </c>
      <c r="FJ16" s="862">
        <f t="shared" ref="FJ16:FJ45" si="86">DO16+FI16</f>
        <v>0</v>
      </c>
      <c r="FK16" s="862">
        <f t="shared" ref="FK16:FK45" si="87">TAN(FJ16)*-12</f>
        <v>0</v>
      </c>
      <c r="FL16" s="862" t="str">
        <f t="shared" ref="FL16:FL45" si="88">IF(FK16=0,"",IF(ABS(FK16)&lt;$CX$2,IF(AND(ABS(MIN(EB16,FR16)/12*FK16)&gt;$DD$2,FK16&gt;0),IF(FK16&gt;0,CEILING(FK16-0.0625,0.125),CEILING(FK16+0.0625,-0.125)),""),IF(FK16&gt;0,CEILING(FK16-0.0625,0.125),CEILING(FK16+0.0625,-0.125))))</f>
        <v/>
      </c>
      <c r="FM16" s="861" t="str">
        <f t="shared" ref="FM16:FM45" si="89">IF(DH16="","",DH16*TAN(FI16))</f>
        <v/>
      </c>
      <c r="FN16" s="861" t="e">
        <f t="shared" ref="FN16:FN45" si="90">IF(((BE16*12+BF16)+CV16+DF16)/COS(DO16)-((BE16*12+BF16)+CV16+DF16)&lt;$DB$2,0,DO16)</f>
        <v>#VALUE!</v>
      </c>
      <c r="FO16" s="1388" t="e">
        <f t="shared" ref="FO16:FO45" si="91">MIN(IF(BH16&gt;0,BH16/2,MAX(BI16/2,DC16)),IF(BI16&gt;0,BI16/2,MAX(BH16/2,DC16)),IF(DC16&gt;0,DC16,MAX(BI16/2,BH16/2)))/COS(DS16)+CV16-DW16-FH16</f>
        <v>#VALUE!</v>
      </c>
      <c r="FP16" s="1388" t="e">
        <f t="shared" ref="FP16:FP45" si="92">MIN(IF(BT16&gt;0,BT16/2,MAX(BU16/2,DM16)),IF(BU16&gt;0,BU16/2,MAX(BT16/2,DM16)),IF(DM16&gt;0,DM16,MAX(BU16/2,BT16/2)))/COS(DY16)+DF16-EC16-FM16</f>
        <v>#VALUE!</v>
      </c>
      <c r="FQ16" s="864" t="e">
        <f t="shared" ref="FQ16:FQ45" si="93">IF(OR(CU16="B",CU16="G"),MAX(BH16,BI16),IF(CU16="M",12,DC16+CV16))</f>
        <v>#VALUE!</v>
      </c>
      <c r="FR16" s="865" t="e">
        <f t="shared" ref="FR16:FR45" si="94">IF(OR(DE16="B",DE16="G"),MAX(BT16,BU16),IF(DE16="M",12,DM16+DF16))</f>
        <v>#VALUE!</v>
      </c>
      <c r="FS16" s="866" t="str">
        <f t="shared" ref="FS16:FS45" si="95">IF(CY16="","",IF(ABS(CE16*((AJ16-IF(CE16&gt;0,VLOOKUP(AU16,$DF$2:$DN$9,9,FALSE),0))/12))&gt;$CZ$2,CE16*((AJ16-IF(CE16&gt;0,VLOOKUP(AU16,$DF$2:$DN$9,9,FALSE),0))/12),0))</f>
        <v/>
      </c>
      <c r="FT16" s="867" t="str">
        <f t="shared" ref="FT16:FT45" si="96">IF(DI16="","",IF(ABS(CE16*((AJ16-IF(CE16&lt;0,VLOOKUP(AU16,$DF$2:$DN$9,9,FALSE),0))/12))&gt;$CZ$2,CE16*((AJ16-IF(CE16&lt;0,VLOOKUP(AU16,$DF$2:$DN$9,9,FALSE),0))/12)*-1,0))</f>
        <v/>
      </c>
      <c r="FU16" s="868">
        <f t="shared" ref="FU16:FU45" si="97">IF(CX16="",0,MAX(0,MIN(DV16-VLOOKUP(AU16,DF$2:DN$9,4,FALSE),(MAX(0,CX16-VLOOKUP(AU16,DF$2:DN$9,3,FALSE))+VLOOKUP(AU16,DF$2:DN$9,4,FALSE))*COS(DO16)+((MAX(0,CX16-VLOOKUP(AU16,DF$2:DN$9,3,FALSE))+VLOOKUP(AU16,DF$2:DN$9,4,FALSE))*COS(PI()/2-DO16))/TAN(PI()/2-(DO16+PI()/4))-VLOOKUP(AU16,DF$2:DN$9,4,FALSE))))</f>
        <v>0</v>
      </c>
      <c r="FV16" s="869">
        <f t="shared" ref="FV16:FV45" si="98">IF(DH16="",0,MAX(0,MIN(EB16-VLOOKUP(AU16,DF$2:DN$9,4,FALSE),(MAX(0,DH16-VLOOKUP(AU16,DF$2:DN$9,3,FALSE))+VLOOKUP(AU16,DF$2:DN$9,4,FALSE))*COS(DO16)+((MAX(0,DH16-VLOOKUP(AU16,DF$2:DN$9,3,FALSE))+VLOOKUP(AU16,DF$2:DN$9,4,FALSE))*COS(PI()/2-DO16))/TAN(PI()/2-(DO16+PI()/4))-VLOOKUP(AU16,DF$2:DN$9,4,FALSE))))</f>
        <v>0</v>
      </c>
      <c r="GA16" s="1791">
        <v>40</v>
      </c>
      <c r="GB16" s="1792">
        <v>0.75</v>
      </c>
      <c r="GC16" s="1793">
        <v>-0.25</v>
      </c>
      <c r="GD16" s="1794">
        <v>-0.5</v>
      </c>
      <c r="GE16" s="1795">
        <f t="shared" ref="GE16:GE45" si="99">IF(GF16="","",IF(ISBLANK(CE16),IF(Y16=Z16,0,MAX(ABS(Y16),ABS(Z16))*IF(Y16&lt;0,-1,1)),CE16))</f>
        <v>0</v>
      </c>
      <c r="GF16" s="600" t="str">
        <f t="shared" ref="GF16:GF45" si="100">IF(A16=0,"",A16)</f>
        <v>TJ17</v>
      </c>
      <c r="GG16" s="1130">
        <v>0</v>
      </c>
      <c r="GH16" s="1131">
        <v>0</v>
      </c>
      <c r="GI16" s="1130"/>
      <c r="GJ16" s="1131"/>
      <c r="GK16" s="1638">
        <f t="shared" ref="GK16:GK45" si="101">IF(D16="",0,D16*12+E16)</f>
        <v>480</v>
      </c>
      <c r="GL16" s="1636">
        <f t="shared" ref="GL16:GL45" si="102">(GA16*12+GB16+GC16+GD16)/COS(ATAN(ABS(GE16/12)))</f>
        <v>480</v>
      </c>
      <c r="GM16" s="1637">
        <f>IF(ABS(GK16-GL16)&gt;='Job Info.'!$L$22,ABS(GK16-GL16),0)</f>
        <v>0</v>
      </c>
      <c r="HA16" s="1263" t="s">
        <v>1447</v>
      </c>
      <c r="HB16" s="1264">
        <v>1</v>
      </c>
      <c r="HC16" s="1264" t="s">
        <v>1592</v>
      </c>
      <c r="HD16" s="1265">
        <v>40</v>
      </c>
      <c r="HE16" s="1266">
        <v>0</v>
      </c>
      <c r="HF16" s="1264" t="s">
        <v>116</v>
      </c>
      <c r="HG16" s="1264" t="s">
        <v>116</v>
      </c>
      <c r="HH16" s="1264" t="s">
        <v>116</v>
      </c>
      <c r="HI16" s="1267" t="s">
        <v>116</v>
      </c>
      <c r="HJ16" s="1264" t="s">
        <v>116</v>
      </c>
      <c r="HK16" s="1264" t="s">
        <v>116</v>
      </c>
      <c r="HL16" s="1264">
        <v>5</v>
      </c>
      <c r="HM16" s="1264">
        <v>5</v>
      </c>
      <c r="HN16" s="1264">
        <v>0</v>
      </c>
      <c r="HO16" s="1264">
        <v>6.75</v>
      </c>
      <c r="HP16" s="1264">
        <v>2</v>
      </c>
      <c r="HQ16" s="1267" t="s">
        <v>116</v>
      </c>
      <c r="HR16" s="1264" t="s">
        <v>116</v>
      </c>
      <c r="HS16" s="1264" t="s">
        <v>116</v>
      </c>
      <c r="HT16" s="1264">
        <v>0</v>
      </c>
      <c r="HU16" s="1264">
        <v>2.25</v>
      </c>
      <c r="HV16" s="1264">
        <v>0</v>
      </c>
      <c r="HW16" s="1266">
        <v>2</v>
      </c>
      <c r="HX16" s="1266">
        <v>4</v>
      </c>
      <c r="HY16" s="1266" t="s">
        <v>116</v>
      </c>
      <c r="HZ16" s="1266" t="s">
        <v>116</v>
      </c>
      <c r="IA16" s="1266" t="s">
        <v>1649</v>
      </c>
      <c r="IB16" s="1266"/>
      <c r="IC16" s="1266"/>
      <c r="ID16" s="1266"/>
      <c r="IE16" s="1266"/>
      <c r="IF16" s="1268"/>
    </row>
    <row r="17" spans="1:240" ht="12.6" customHeight="1" x14ac:dyDescent="0.25">
      <c r="A17" s="1448" t="s">
        <v>1448</v>
      </c>
      <c r="B17" s="1681">
        <v>1</v>
      </c>
      <c r="C17" s="1449" t="s">
        <v>1592</v>
      </c>
      <c r="D17" s="1705">
        <v>40</v>
      </c>
      <c r="E17" s="1706">
        <v>0</v>
      </c>
      <c r="F17" s="1714" t="str">
        <f t="shared" si="1"/>
        <v/>
      </c>
      <c r="G17" s="1709" t="str">
        <f t="shared" si="2"/>
        <v/>
      </c>
      <c r="H17" s="1779" t="str">
        <f t="shared" si="3"/>
        <v/>
      </c>
      <c r="I17" s="1705" t="str">
        <f t="shared" si="4"/>
        <v/>
      </c>
      <c r="J17" s="1709" t="str">
        <f t="shared" si="5"/>
        <v/>
      </c>
      <c r="K17" s="1796" t="str">
        <f t="shared" si="6"/>
        <v/>
      </c>
      <c r="L17" s="1712">
        <v>5</v>
      </c>
      <c r="M17" s="1713">
        <v>5</v>
      </c>
      <c r="N17" s="1708" t="str">
        <f t="shared" ref="N17:N45" si="103">IF(ES17="","",IF(AND(ES17&lt;0,ES17&gt;-12),TRUNC(ES17/12)-0.0000001,TRUNC(ES17/12)))</f>
        <v/>
      </c>
      <c r="O17" s="1709" t="str">
        <f t="shared" ref="O17:O45" si="104">IF(ES17="","",IF(AND(ES17-(N17*12)=0,ES17&lt;0),-0.000001,ES17-(N17*12)))</f>
        <v/>
      </c>
      <c r="P17" s="1710" t="str">
        <f t="shared" ref="P17:P45" si="105">IF(ES17="","",IF(OR(CW17="Q",CW17="C"),3,CZ17))</f>
        <v/>
      </c>
      <c r="Q17" s="1705" t="str">
        <f t="shared" si="7"/>
        <v/>
      </c>
      <c r="R17" s="1709" t="str">
        <f t="shared" si="8"/>
        <v/>
      </c>
      <c r="S17" s="1711" t="str">
        <f t="shared" si="9"/>
        <v/>
      </c>
      <c r="T17" s="1714">
        <v>0</v>
      </c>
      <c r="U17" s="1709">
        <v>2.25</v>
      </c>
      <c r="V17" s="1705">
        <v>0</v>
      </c>
      <c r="W17" s="1709">
        <v>2</v>
      </c>
      <c r="X17" s="1713">
        <v>4</v>
      </c>
      <c r="Y17" s="1781" t="str">
        <f t="shared" si="10"/>
        <v/>
      </c>
      <c r="Z17" s="1782" t="str">
        <f t="shared" si="11"/>
        <v/>
      </c>
      <c r="AA17" s="1783" t="s">
        <v>1719</v>
      </c>
      <c r="AB17" s="1413"/>
      <c r="AC17" s="964" t="b">
        <v>0</v>
      </c>
      <c r="AD17" s="441">
        <f t="shared" si="12"/>
        <v>0</v>
      </c>
      <c r="AE17" s="442">
        <f t="shared" si="13"/>
        <v>1</v>
      </c>
      <c r="AF17" s="442">
        <f t="shared" si="14"/>
        <v>0</v>
      </c>
      <c r="AG17" s="442">
        <f t="shared" si="15"/>
        <v>0</v>
      </c>
      <c r="AH17" s="443">
        <f t="shared" si="16"/>
        <v>0</v>
      </c>
      <c r="AI17" s="444" t="b">
        <v>0</v>
      </c>
      <c r="AJ17" s="238">
        <f t="shared" si="17"/>
        <v>32</v>
      </c>
      <c r="AK17" s="830" t="str">
        <f t="shared" si="18"/>
        <v>LH</v>
      </c>
      <c r="AL17" s="945" t="str">
        <f t="shared" si="19"/>
        <v/>
      </c>
      <c r="AM17" s="830">
        <f t="shared" si="20"/>
        <v>305</v>
      </c>
      <c r="AN17" s="830">
        <f t="shared" si="21"/>
        <v>180</v>
      </c>
      <c r="AO17" s="830" t="str">
        <f t="shared" si="22"/>
        <v/>
      </c>
      <c r="AP17" s="830" t="b">
        <f>IF(ISERROR(AJ17),FALSE,IF(OR(AJ17=0,ISERROR(AL17),ISERROR(AM17),ISERROR(AN17),ISERROR(AO17)),FALSE,IF(AL17&lt;&gt;"",IF(ISERROR(VLOOKUP(SUBSTITUTE(SUBSTITUTE(C17,"R",""),"A",""),TblJoistSize!$A:$A,1,FALSE)),FALSE,TRUE),TRUE)))</f>
        <v>1</v>
      </c>
      <c r="AQ17" s="1038">
        <f t="shared" si="23"/>
        <v>6</v>
      </c>
      <c r="AR17" s="945" t="b">
        <f t="shared" si="24"/>
        <v>1</v>
      </c>
      <c r="AS17" s="1038">
        <f t="shared" si="25"/>
        <v>6</v>
      </c>
      <c r="AT17" s="945" t="b">
        <f t="shared" si="26"/>
        <v>1</v>
      </c>
      <c r="AU17" s="946" t="str">
        <f t="shared" si="27"/>
        <v>LH</v>
      </c>
      <c r="AV17" s="830" t="str">
        <f t="shared" si="28"/>
        <v/>
      </c>
      <c r="AW17" s="830" t="str">
        <f t="shared" si="29"/>
        <v>LH</v>
      </c>
      <c r="AX17" s="830" t="str">
        <f t="shared" ref="AX17:AX45" si="106">IF(AND(OR(ISBLANK(A17),A17=""),AA17&lt;&gt;""),AX16,IF(OR(ISBLANK(A17),A17=""),"",A17))</f>
        <v>J18</v>
      </c>
      <c r="AY17" s="1039" t="b">
        <f t="shared" si="30"/>
        <v>0</v>
      </c>
      <c r="AZ17" s="856" t="b">
        <f t="shared" si="31"/>
        <v>0</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32"/>
        <v/>
      </c>
      <c r="BR17" s="910"/>
      <c r="BS17" s="672"/>
      <c r="BT17" s="713"/>
      <c r="BU17" s="714"/>
      <c r="BV17" s="1625"/>
      <c r="BW17" s="713"/>
      <c r="BX17" s="714"/>
      <c r="BY17" s="715"/>
      <c r="BZ17" s="716"/>
      <c r="CA17" s="680" t="str">
        <f>IF(ISERROR(DE17),"",IF(DE17="","",IF(VLOOKUP(BS17,SectInfo!$B:$N,10,FALSE)="","","X")))</f>
        <v/>
      </c>
      <c r="CB17" s="738"/>
      <c r="CC17" s="1551" t="str">
        <f t="shared" si="33"/>
        <v/>
      </c>
      <c r="CD17" s="910"/>
      <c r="CE17" s="717"/>
      <c r="CF17" s="736"/>
      <c r="CG17" s="737"/>
      <c r="CH17" s="591" t="str">
        <f t="shared" si="34"/>
        <v/>
      </c>
      <c r="CI17" s="592" t="str">
        <f t="shared" si="35"/>
        <v/>
      </c>
      <c r="CJ17" s="593" t="str">
        <f t="shared" si="36"/>
        <v/>
      </c>
      <c r="CK17" s="594" t="str">
        <f t="shared" si="37"/>
        <v/>
      </c>
      <c r="CL17" s="595" t="str">
        <f t="shared" si="38"/>
        <v/>
      </c>
      <c r="CM17" s="596" t="str">
        <f t="shared" si="39"/>
        <v/>
      </c>
      <c r="CN17" s="597" t="str">
        <f t="shared" si="40"/>
        <v/>
      </c>
      <c r="CO17" s="598" t="str">
        <f t="shared" si="41"/>
        <v/>
      </c>
      <c r="CP17" s="615" t="str">
        <f t="shared" si="42"/>
        <v/>
      </c>
      <c r="CQ17" s="616" t="str">
        <f t="shared" si="43"/>
        <v/>
      </c>
      <c r="CR17" s="750">
        <f t="shared" si="44"/>
        <v>5</v>
      </c>
      <c r="CS17" s="751">
        <f t="shared" si="45"/>
        <v>5</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46"/>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47"/>
        <v>0</v>
      </c>
      <c r="DO17" s="818">
        <f t="shared" si="48"/>
        <v>0</v>
      </c>
      <c r="DP17" s="822" t="str">
        <f t="shared" si="49"/>
        <v/>
      </c>
      <c r="DQ17" s="822" t="str">
        <f t="shared" si="50"/>
        <v/>
      </c>
      <c r="DR17" s="822" t="str">
        <f t="shared" si="51"/>
        <v/>
      </c>
      <c r="DS17" s="821">
        <f t="shared" si="52"/>
        <v>0</v>
      </c>
      <c r="DT17" s="821">
        <f t="shared" si="53"/>
        <v>0</v>
      </c>
      <c r="DU17" s="821" t="str">
        <f t="shared" si="54"/>
        <v/>
      </c>
      <c r="DV17" s="822" t="str">
        <f t="shared" si="55"/>
        <v/>
      </c>
      <c r="DW17" s="856" t="str">
        <f t="shared" si="56"/>
        <v/>
      </c>
      <c r="DX17" s="1006">
        <f t="shared" si="57"/>
        <v>0</v>
      </c>
      <c r="DY17" s="822">
        <f t="shared" si="58"/>
        <v>0</v>
      </c>
      <c r="DZ17" s="821">
        <f t="shared" si="59"/>
        <v>0</v>
      </c>
      <c r="EA17" s="821" t="str">
        <f t="shared" si="60"/>
        <v/>
      </c>
      <c r="EB17" s="822" t="str">
        <f t="shared" si="61"/>
        <v/>
      </c>
      <c r="EC17" s="856" t="str">
        <f t="shared" si="62"/>
        <v/>
      </c>
      <c r="ED17" s="1006">
        <f t="shared" si="63"/>
        <v>0</v>
      </c>
      <c r="EE17" s="1293" t="str">
        <f t="shared" si="64"/>
        <v/>
      </c>
      <c r="EF17" s="1293" t="str">
        <f t="shared" si="65"/>
        <v/>
      </c>
      <c r="EG17" s="1293" t="str">
        <f t="shared" si="66"/>
        <v/>
      </c>
      <c r="EH17" s="856" t="str">
        <f t="shared" si="67"/>
        <v>ERR</v>
      </c>
      <c r="EI17" s="856" t="str">
        <f t="shared" si="68"/>
        <v>ERR</v>
      </c>
      <c r="EJ17" s="822" t="str">
        <f t="shared" si="69"/>
        <v/>
      </c>
      <c r="EK17" s="822" t="str">
        <f t="shared" si="69"/>
        <v/>
      </c>
      <c r="EL17" s="1293" t="str">
        <f t="shared" si="70"/>
        <v/>
      </c>
      <c r="EM17" s="822" t="str">
        <f t="shared" si="71"/>
        <v/>
      </c>
      <c r="EN17" s="822" t="str">
        <f t="shared" si="72"/>
        <v/>
      </c>
      <c r="EO17" s="856" t="str">
        <f t="shared" si="73"/>
        <v>ERR</v>
      </c>
      <c r="EP17" s="856" t="str">
        <f t="shared" si="74"/>
        <v>ERR</v>
      </c>
      <c r="EQ17" s="1293" t="str">
        <f t="shared" si="75"/>
        <v/>
      </c>
      <c r="ER17" s="822" t="str">
        <f t="shared" si="75"/>
        <v/>
      </c>
      <c r="ES17" s="822" t="str">
        <f t="shared" si="76"/>
        <v/>
      </c>
      <c r="ET17" s="822" t="str">
        <f t="shared" si="77"/>
        <v/>
      </c>
      <c r="EU17" s="829">
        <f t="shared" si="78"/>
        <v>4</v>
      </c>
      <c r="EV17" s="824" t="str">
        <f t="shared" si="79"/>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80"/>
        <v/>
      </c>
      <c r="FA17" s="829" t="str">
        <f>IF(AND(DE17="G", ISBLANK(BW17), ISBLANK(BX17)),VLOOKUP(MIN(BT17:BU17),TblJoistSize!$M$3:$N$10,2),IF(OR(DE17="B", DE17="G"),MIN(BW17:BX17),""))</f>
        <v/>
      </c>
      <c r="FB17" s="829" t="str">
        <f>IF(AND(DE17="G", ISBLANK(BW17), ISBLANK(BX17)),VLOOKUP(MAX(BT17:BU17),TblJoistSize!$M$3:$N$10,2),IF(OR(DE17="B", DE17="G"),MAX(BW17:BX17),""))</f>
        <v/>
      </c>
      <c r="FC17" s="829" t="str">
        <f t="shared" si="81"/>
        <v/>
      </c>
      <c r="FD17" s="821">
        <f t="shared" ref="FD17:FD45" si="107">IF(DD17="",0,ATAN(DD17/12))</f>
        <v>0</v>
      </c>
      <c r="FE17" s="821">
        <f t="shared" si="82"/>
        <v>0</v>
      </c>
      <c r="FF17" s="821">
        <f t="shared" si="83"/>
        <v>0</v>
      </c>
      <c r="FG17" s="821" t="str">
        <f t="shared" si="84"/>
        <v/>
      </c>
      <c r="FH17" s="822" t="str">
        <f t="shared" si="85"/>
        <v/>
      </c>
      <c r="FI17" s="821">
        <f t="shared" ref="FI17:FI45" si="108">IF(DN17="",0,ATAN(DN17/12))</f>
        <v>0</v>
      </c>
      <c r="FJ17" s="821">
        <f t="shared" si="86"/>
        <v>0</v>
      </c>
      <c r="FK17" s="821">
        <f t="shared" si="87"/>
        <v>0</v>
      </c>
      <c r="FL17" s="821" t="str">
        <f t="shared" si="88"/>
        <v/>
      </c>
      <c r="FM17" s="822" t="str">
        <f t="shared" si="89"/>
        <v/>
      </c>
      <c r="FN17" s="822" t="e">
        <f t="shared" si="90"/>
        <v>#VALUE!</v>
      </c>
      <c r="FO17" s="940" t="e">
        <f t="shared" si="91"/>
        <v>#VALUE!</v>
      </c>
      <c r="FP17" s="940" t="e">
        <f t="shared" si="92"/>
        <v>#VALUE!</v>
      </c>
      <c r="FQ17" s="830" t="e">
        <f t="shared" si="93"/>
        <v>#VALUE!</v>
      </c>
      <c r="FR17" s="831" t="e">
        <f t="shared" si="94"/>
        <v>#VALUE!</v>
      </c>
      <c r="FS17" s="832" t="str">
        <f t="shared" si="95"/>
        <v/>
      </c>
      <c r="FT17" s="833" t="str">
        <f t="shared" si="96"/>
        <v/>
      </c>
      <c r="FU17" s="870">
        <f t="shared" si="97"/>
        <v>0</v>
      </c>
      <c r="FV17" s="871">
        <f t="shared" si="98"/>
        <v>0</v>
      </c>
      <c r="GA17" s="1791">
        <v>40</v>
      </c>
      <c r="GB17" s="1792">
        <v>0.75</v>
      </c>
      <c r="GC17" s="1793">
        <v>-0.25</v>
      </c>
      <c r="GD17" s="1794">
        <v>-0.5</v>
      </c>
      <c r="GE17" s="1795">
        <f t="shared" si="99"/>
        <v>0</v>
      </c>
      <c r="GF17" s="600" t="str">
        <f t="shared" si="100"/>
        <v>J18</v>
      </c>
      <c r="GG17" s="1130">
        <v>0</v>
      </c>
      <c r="GH17" s="1131">
        <v>0</v>
      </c>
      <c r="GI17" s="1130"/>
      <c r="GJ17" s="1131"/>
      <c r="GK17" s="1638">
        <f t="shared" si="101"/>
        <v>480</v>
      </c>
      <c r="GL17" s="1636">
        <f t="shared" si="102"/>
        <v>480</v>
      </c>
      <c r="GM17" s="1637">
        <f>IF(ABS(GK17-GL17)&gt;='Job Info.'!$L$22,ABS(GK17-GL17),0)</f>
        <v>0</v>
      </c>
      <c r="HA17" s="1269" t="s">
        <v>1448</v>
      </c>
      <c r="HB17" s="1270">
        <v>1</v>
      </c>
      <c r="HC17" s="1270" t="s">
        <v>1592</v>
      </c>
      <c r="HD17" s="1271">
        <v>40</v>
      </c>
      <c r="HE17" s="1272">
        <v>0</v>
      </c>
      <c r="HF17" s="1270" t="s">
        <v>116</v>
      </c>
      <c r="HG17" s="1270" t="s">
        <v>116</v>
      </c>
      <c r="HH17" s="1270" t="s">
        <v>116</v>
      </c>
      <c r="HI17" s="1273" t="s">
        <v>116</v>
      </c>
      <c r="HJ17" s="1270" t="s">
        <v>116</v>
      </c>
      <c r="HK17" s="1270" t="s">
        <v>116</v>
      </c>
      <c r="HL17" s="1270">
        <v>5</v>
      </c>
      <c r="HM17" s="1270">
        <v>5</v>
      </c>
      <c r="HN17" s="1270" t="s">
        <v>116</v>
      </c>
      <c r="HO17" s="1270" t="s">
        <v>116</v>
      </c>
      <c r="HP17" s="1270" t="s">
        <v>116</v>
      </c>
      <c r="HQ17" s="1273" t="s">
        <v>116</v>
      </c>
      <c r="HR17" s="1270" t="s">
        <v>116</v>
      </c>
      <c r="HS17" s="1270" t="s">
        <v>116</v>
      </c>
      <c r="HT17" s="1270">
        <v>0</v>
      </c>
      <c r="HU17" s="1270">
        <v>2.25</v>
      </c>
      <c r="HV17" s="1270">
        <v>0</v>
      </c>
      <c r="HW17" s="1272">
        <v>2</v>
      </c>
      <c r="HX17" s="1272">
        <v>4</v>
      </c>
      <c r="HY17" s="1272" t="s">
        <v>116</v>
      </c>
      <c r="HZ17" s="1272" t="s">
        <v>116</v>
      </c>
      <c r="IA17" s="1272" t="s">
        <v>1658</v>
      </c>
      <c r="IB17" s="1272"/>
      <c r="IC17" s="1272"/>
      <c r="ID17" s="1272"/>
      <c r="IE17" s="1272"/>
      <c r="IF17" s="1274"/>
    </row>
    <row r="18" spans="1:240" ht="12.6" customHeight="1" x14ac:dyDescent="0.25">
      <c r="A18" s="1448" t="s">
        <v>1449</v>
      </c>
      <c r="B18" s="1681">
        <v>1</v>
      </c>
      <c r="C18" s="1449" t="s">
        <v>1592</v>
      </c>
      <c r="D18" s="1705">
        <v>40</v>
      </c>
      <c r="E18" s="1706">
        <v>0</v>
      </c>
      <c r="F18" s="1714" t="str">
        <f t="shared" si="1"/>
        <v/>
      </c>
      <c r="G18" s="1709" t="str">
        <f t="shared" si="2"/>
        <v/>
      </c>
      <c r="H18" s="1779" t="str">
        <f t="shared" si="3"/>
        <v/>
      </c>
      <c r="I18" s="1705" t="str">
        <f t="shared" si="4"/>
        <v/>
      </c>
      <c r="J18" s="1709" t="str">
        <f t="shared" si="5"/>
        <v/>
      </c>
      <c r="K18" s="1796" t="str">
        <f t="shared" si="6"/>
        <v/>
      </c>
      <c r="L18" s="1712">
        <v>5</v>
      </c>
      <c r="M18" s="1713">
        <v>5</v>
      </c>
      <c r="N18" s="1708">
        <v>0</v>
      </c>
      <c r="O18" s="1709">
        <v>6.75</v>
      </c>
      <c r="P18" s="1710">
        <v>2</v>
      </c>
      <c r="Q18" s="1705" t="str">
        <f t="shared" si="7"/>
        <v/>
      </c>
      <c r="R18" s="1709" t="str">
        <f t="shared" si="8"/>
        <v/>
      </c>
      <c r="S18" s="1711" t="str">
        <f t="shared" si="9"/>
        <v/>
      </c>
      <c r="T18" s="1714">
        <v>0</v>
      </c>
      <c r="U18" s="1709">
        <v>2.25</v>
      </c>
      <c r="V18" s="1705">
        <v>0</v>
      </c>
      <c r="W18" s="1709">
        <v>2</v>
      </c>
      <c r="X18" s="1713">
        <v>4</v>
      </c>
      <c r="Y18" s="1781" t="str">
        <f t="shared" si="10"/>
        <v/>
      </c>
      <c r="Z18" s="1782" t="str">
        <f t="shared" si="11"/>
        <v/>
      </c>
      <c r="AA18" s="1783" t="s">
        <v>1720</v>
      </c>
      <c r="AB18" s="1413"/>
      <c r="AC18" s="964" t="b">
        <v>0</v>
      </c>
      <c r="AD18" s="441">
        <f t="shared" si="12"/>
        <v>0</v>
      </c>
      <c r="AE18" s="442">
        <f t="shared" si="13"/>
        <v>1</v>
      </c>
      <c r="AF18" s="442">
        <f t="shared" si="14"/>
        <v>0</v>
      </c>
      <c r="AG18" s="442">
        <f t="shared" si="15"/>
        <v>0</v>
      </c>
      <c r="AH18" s="443">
        <f t="shared" si="16"/>
        <v>0</v>
      </c>
      <c r="AI18" s="444" t="b">
        <v>0</v>
      </c>
      <c r="AJ18" s="238">
        <f t="shared" si="17"/>
        <v>32</v>
      </c>
      <c r="AK18" s="830" t="str">
        <f t="shared" si="18"/>
        <v>LH</v>
      </c>
      <c r="AL18" s="945" t="str">
        <f t="shared" si="19"/>
        <v/>
      </c>
      <c r="AM18" s="830">
        <f t="shared" si="20"/>
        <v>305</v>
      </c>
      <c r="AN18" s="830">
        <f t="shared" si="21"/>
        <v>180</v>
      </c>
      <c r="AO18" s="830" t="str">
        <f t="shared" si="22"/>
        <v/>
      </c>
      <c r="AP18" s="830" t="b">
        <f>IF(ISERROR(AJ18),FALSE,IF(OR(AJ18=0,ISERROR(AL18),ISERROR(AM18),ISERROR(AN18),ISERROR(AO18)),FALSE,IF(AL18&lt;&gt;"",IF(ISERROR(VLOOKUP(SUBSTITUTE(SUBSTITUTE(C18,"R",""),"A",""),TblJoistSize!$A:$A,1,FALSE)),FALSE,TRUE),TRUE)))</f>
        <v>1</v>
      </c>
      <c r="AQ18" s="1038">
        <f t="shared" si="23"/>
        <v>6</v>
      </c>
      <c r="AR18" s="945" t="b">
        <f t="shared" si="24"/>
        <v>1</v>
      </c>
      <c r="AS18" s="1038">
        <f t="shared" si="25"/>
        <v>6</v>
      </c>
      <c r="AT18" s="945" t="b">
        <f t="shared" si="26"/>
        <v>1</v>
      </c>
      <c r="AU18" s="946" t="str">
        <f t="shared" si="27"/>
        <v>LH</v>
      </c>
      <c r="AV18" s="830" t="str">
        <f t="shared" si="28"/>
        <v/>
      </c>
      <c r="AW18" s="830" t="str">
        <f t="shared" si="29"/>
        <v>LH</v>
      </c>
      <c r="AX18" s="830" t="str">
        <f t="shared" si="106"/>
        <v>TJ19</v>
      </c>
      <c r="AY18" s="1039" t="b">
        <f t="shared" si="30"/>
        <v>0</v>
      </c>
      <c r="AZ18" s="856" t="b">
        <f t="shared" si="31"/>
        <v>0</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32"/>
        <v/>
      </c>
      <c r="BR18" s="910"/>
      <c r="BS18" s="672"/>
      <c r="BT18" s="713"/>
      <c r="BU18" s="714"/>
      <c r="BV18" s="1625"/>
      <c r="BW18" s="713"/>
      <c r="BX18" s="714"/>
      <c r="BY18" s="715"/>
      <c r="BZ18" s="716"/>
      <c r="CA18" s="680" t="str">
        <f>IF(ISERROR(DE18),"",IF(DE18="","",IF(VLOOKUP(BS18,SectInfo!$B:$N,10,FALSE)="","","X")))</f>
        <v/>
      </c>
      <c r="CB18" s="738"/>
      <c r="CC18" s="1551" t="str">
        <f t="shared" si="33"/>
        <v/>
      </c>
      <c r="CD18" s="910"/>
      <c r="CE18" s="717"/>
      <c r="CF18" s="736"/>
      <c r="CG18" s="737"/>
      <c r="CH18" s="591" t="str">
        <f t="shared" si="34"/>
        <v/>
      </c>
      <c r="CI18" s="592" t="str">
        <f t="shared" si="35"/>
        <v/>
      </c>
      <c r="CJ18" s="593" t="str">
        <f t="shared" si="36"/>
        <v/>
      </c>
      <c r="CK18" s="594" t="str">
        <f t="shared" si="37"/>
        <v/>
      </c>
      <c r="CL18" s="595" t="str">
        <f t="shared" si="38"/>
        <v/>
      </c>
      <c r="CM18" s="596" t="str">
        <f t="shared" si="39"/>
        <v/>
      </c>
      <c r="CN18" s="597" t="str">
        <f t="shared" si="40"/>
        <v/>
      </c>
      <c r="CO18" s="598" t="str">
        <f t="shared" si="41"/>
        <v/>
      </c>
      <c r="CP18" s="615" t="str">
        <f t="shared" si="42"/>
        <v/>
      </c>
      <c r="CQ18" s="616" t="str">
        <f t="shared" si="43"/>
        <v/>
      </c>
      <c r="CR18" s="750">
        <f t="shared" si="44"/>
        <v>5</v>
      </c>
      <c r="CS18" s="751">
        <f t="shared" si="45"/>
        <v>5</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46"/>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47"/>
        <v>0</v>
      </c>
      <c r="DO18" s="818">
        <f t="shared" si="48"/>
        <v>0</v>
      </c>
      <c r="DP18" s="822" t="str">
        <f t="shared" si="49"/>
        <v/>
      </c>
      <c r="DQ18" s="822" t="str">
        <f t="shared" si="50"/>
        <v/>
      </c>
      <c r="DR18" s="822" t="str">
        <f t="shared" si="51"/>
        <v/>
      </c>
      <c r="DS18" s="821">
        <f t="shared" si="52"/>
        <v>0</v>
      </c>
      <c r="DT18" s="821">
        <f t="shared" si="53"/>
        <v>0</v>
      </c>
      <c r="DU18" s="821" t="str">
        <f t="shared" si="54"/>
        <v/>
      </c>
      <c r="DV18" s="822" t="str">
        <f t="shared" si="55"/>
        <v/>
      </c>
      <c r="DW18" s="856" t="str">
        <f t="shared" si="56"/>
        <v/>
      </c>
      <c r="DX18" s="1006">
        <f t="shared" si="57"/>
        <v>0</v>
      </c>
      <c r="DY18" s="822">
        <f t="shared" si="58"/>
        <v>0</v>
      </c>
      <c r="DZ18" s="821">
        <f t="shared" si="59"/>
        <v>0</v>
      </c>
      <c r="EA18" s="821" t="str">
        <f t="shared" si="60"/>
        <v/>
      </c>
      <c r="EB18" s="822" t="str">
        <f t="shared" si="61"/>
        <v/>
      </c>
      <c r="EC18" s="856" t="str">
        <f t="shared" si="62"/>
        <v/>
      </c>
      <c r="ED18" s="1006">
        <f t="shared" si="63"/>
        <v>0</v>
      </c>
      <c r="EE18" s="1293" t="str">
        <f t="shared" si="64"/>
        <v/>
      </c>
      <c r="EF18" s="1293" t="str">
        <f t="shared" si="65"/>
        <v/>
      </c>
      <c r="EG18" s="1293" t="str">
        <f t="shared" si="66"/>
        <v/>
      </c>
      <c r="EH18" s="856" t="str">
        <f t="shared" si="67"/>
        <v>ERR</v>
      </c>
      <c r="EI18" s="856" t="str">
        <f t="shared" si="68"/>
        <v>ERR</v>
      </c>
      <c r="EJ18" s="822" t="str">
        <f t="shared" si="69"/>
        <v/>
      </c>
      <c r="EK18" s="822" t="str">
        <f t="shared" si="69"/>
        <v/>
      </c>
      <c r="EL18" s="1293" t="str">
        <f t="shared" si="70"/>
        <v/>
      </c>
      <c r="EM18" s="822" t="str">
        <f t="shared" si="71"/>
        <v/>
      </c>
      <c r="EN18" s="822" t="str">
        <f t="shared" si="72"/>
        <v/>
      </c>
      <c r="EO18" s="856" t="str">
        <f t="shared" si="73"/>
        <v>ERR</v>
      </c>
      <c r="EP18" s="856" t="str">
        <f t="shared" si="74"/>
        <v>ERR</v>
      </c>
      <c r="EQ18" s="1293" t="str">
        <f t="shared" si="75"/>
        <v/>
      </c>
      <c r="ER18" s="822" t="str">
        <f t="shared" si="75"/>
        <v/>
      </c>
      <c r="ES18" s="822" t="str">
        <f t="shared" si="76"/>
        <v/>
      </c>
      <c r="ET18" s="822" t="str">
        <f t="shared" si="77"/>
        <v/>
      </c>
      <c r="EU18" s="829">
        <f t="shared" si="78"/>
        <v>4</v>
      </c>
      <c r="EV18" s="824" t="str">
        <f t="shared" si="79"/>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80"/>
        <v/>
      </c>
      <c r="FA18" s="829" t="str">
        <f>IF(AND(DE18="G", ISBLANK(BW18), ISBLANK(BX18)),VLOOKUP(MIN(BT18:BU18),TblJoistSize!$M$3:$N$10,2),IF(OR(DE18="B", DE18="G"),MIN(BW18:BX18),""))</f>
        <v/>
      </c>
      <c r="FB18" s="829" t="str">
        <f>IF(AND(DE18="G", ISBLANK(BW18), ISBLANK(BX18)),VLOOKUP(MAX(BT18:BU18),TblJoistSize!$M$3:$N$10,2),IF(OR(DE18="B", DE18="G"),MAX(BW18:BX18),""))</f>
        <v/>
      </c>
      <c r="FC18" s="829" t="str">
        <f t="shared" si="81"/>
        <v/>
      </c>
      <c r="FD18" s="821">
        <f t="shared" si="107"/>
        <v>0</v>
      </c>
      <c r="FE18" s="821">
        <f t="shared" si="82"/>
        <v>0</v>
      </c>
      <c r="FF18" s="821">
        <f t="shared" si="83"/>
        <v>0</v>
      </c>
      <c r="FG18" s="821" t="str">
        <f t="shared" si="84"/>
        <v/>
      </c>
      <c r="FH18" s="822" t="str">
        <f t="shared" si="85"/>
        <v/>
      </c>
      <c r="FI18" s="821">
        <f t="shared" si="108"/>
        <v>0</v>
      </c>
      <c r="FJ18" s="821">
        <f t="shared" si="86"/>
        <v>0</v>
      </c>
      <c r="FK18" s="821">
        <f t="shared" si="87"/>
        <v>0</v>
      </c>
      <c r="FL18" s="821" t="str">
        <f t="shared" si="88"/>
        <v/>
      </c>
      <c r="FM18" s="822" t="str">
        <f t="shared" si="89"/>
        <v/>
      </c>
      <c r="FN18" s="822" t="e">
        <f t="shared" si="90"/>
        <v>#VALUE!</v>
      </c>
      <c r="FO18" s="940" t="e">
        <f t="shared" si="91"/>
        <v>#VALUE!</v>
      </c>
      <c r="FP18" s="940" t="e">
        <f t="shared" si="92"/>
        <v>#VALUE!</v>
      </c>
      <c r="FQ18" s="830" t="e">
        <f t="shared" si="93"/>
        <v>#VALUE!</v>
      </c>
      <c r="FR18" s="831" t="e">
        <f t="shared" si="94"/>
        <v>#VALUE!</v>
      </c>
      <c r="FS18" s="832" t="str">
        <f t="shared" si="95"/>
        <v/>
      </c>
      <c r="FT18" s="833" t="str">
        <f t="shared" si="96"/>
        <v/>
      </c>
      <c r="FU18" s="870">
        <f t="shared" si="97"/>
        <v>0</v>
      </c>
      <c r="FV18" s="871">
        <f t="shared" si="98"/>
        <v>0</v>
      </c>
      <c r="GA18" s="1791">
        <v>40</v>
      </c>
      <c r="GB18" s="1792">
        <v>0.75</v>
      </c>
      <c r="GC18" s="1793">
        <v>-0.25</v>
      </c>
      <c r="GD18" s="1794">
        <v>-0.5</v>
      </c>
      <c r="GE18" s="1795">
        <f t="shared" si="99"/>
        <v>0</v>
      </c>
      <c r="GF18" s="600" t="str">
        <f t="shared" si="100"/>
        <v>TJ19</v>
      </c>
      <c r="GG18" s="1130">
        <v>0</v>
      </c>
      <c r="GH18" s="1131">
        <v>0</v>
      </c>
      <c r="GI18" s="1130"/>
      <c r="GJ18" s="1131"/>
      <c r="GK18" s="1638">
        <f t="shared" si="101"/>
        <v>480</v>
      </c>
      <c r="GL18" s="1636">
        <f t="shared" si="102"/>
        <v>480</v>
      </c>
      <c r="GM18" s="1637">
        <f>IF(ABS(GK18-GL18)&gt;='Job Info.'!$L$22,ABS(GK18-GL18),0)</f>
        <v>0</v>
      </c>
      <c r="HA18" s="1269" t="s">
        <v>1449</v>
      </c>
      <c r="HB18" s="1270">
        <v>1</v>
      </c>
      <c r="HC18" s="1270" t="s">
        <v>1592</v>
      </c>
      <c r="HD18" s="1271">
        <v>40</v>
      </c>
      <c r="HE18" s="1272">
        <v>0</v>
      </c>
      <c r="HF18" s="1270" t="s">
        <v>116</v>
      </c>
      <c r="HG18" s="1270" t="s">
        <v>116</v>
      </c>
      <c r="HH18" s="1270" t="s">
        <v>116</v>
      </c>
      <c r="HI18" s="1273" t="s">
        <v>116</v>
      </c>
      <c r="HJ18" s="1270" t="s">
        <v>116</v>
      </c>
      <c r="HK18" s="1270" t="s">
        <v>116</v>
      </c>
      <c r="HL18" s="1270">
        <v>5</v>
      </c>
      <c r="HM18" s="1270">
        <v>5</v>
      </c>
      <c r="HN18" s="1270">
        <v>0</v>
      </c>
      <c r="HO18" s="1270">
        <v>6.75</v>
      </c>
      <c r="HP18" s="1270">
        <v>2</v>
      </c>
      <c r="HQ18" s="1273" t="s">
        <v>116</v>
      </c>
      <c r="HR18" s="1270" t="s">
        <v>116</v>
      </c>
      <c r="HS18" s="1270" t="s">
        <v>116</v>
      </c>
      <c r="HT18" s="1270">
        <v>0</v>
      </c>
      <c r="HU18" s="1270">
        <v>2.25</v>
      </c>
      <c r="HV18" s="1270">
        <v>0</v>
      </c>
      <c r="HW18" s="1272">
        <v>2</v>
      </c>
      <c r="HX18" s="1272">
        <v>4</v>
      </c>
      <c r="HY18" s="1272" t="s">
        <v>116</v>
      </c>
      <c r="HZ18" s="1272" t="s">
        <v>116</v>
      </c>
      <c r="IA18" s="1272" t="s">
        <v>1648</v>
      </c>
      <c r="IB18" s="1272"/>
      <c r="IC18" s="1272"/>
      <c r="ID18" s="1272"/>
      <c r="IE18" s="1272"/>
      <c r="IF18" s="1274"/>
    </row>
    <row r="19" spans="1:240" ht="12.6" customHeight="1" x14ac:dyDescent="0.25">
      <c r="A19" s="1448" t="s">
        <v>1450</v>
      </c>
      <c r="B19" s="1681">
        <v>2</v>
      </c>
      <c r="C19" s="1449" t="s">
        <v>1592</v>
      </c>
      <c r="D19" s="1705">
        <v>49</v>
      </c>
      <c r="E19" s="1706">
        <v>11.5</v>
      </c>
      <c r="F19" s="1714" t="str">
        <f t="shared" si="1"/>
        <v/>
      </c>
      <c r="G19" s="1709" t="str">
        <f t="shared" si="2"/>
        <v/>
      </c>
      <c r="H19" s="1779" t="str">
        <f t="shared" si="3"/>
        <v/>
      </c>
      <c r="I19" s="1705" t="str">
        <f t="shared" si="4"/>
        <v/>
      </c>
      <c r="J19" s="1709" t="str">
        <f t="shared" si="5"/>
        <v/>
      </c>
      <c r="K19" s="1796" t="str">
        <f t="shared" si="6"/>
        <v/>
      </c>
      <c r="L19" s="1712">
        <v>5</v>
      </c>
      <c r="M19" s="1713">
        <v>5</v>
      </c>
      <c r="N19" s="1708" t="str">
        <f t="shared" si="103"/>
        <v/>
      </c>
      <c r="O19" s="1709" t="str">
        <f t="shared" si="104"/>
        <v/>
      </c>
      <c r="P19" s="1710" t="str">
        <f t="shared" si="105"/>
        <v/>
      </c>
      <c r="Q19" s="1705" t="str">
        <f t="shared" si="7"/>
        <v/>
      </c>
      <c r="R19" s="1709" t="str">
        <f t="shared" si="8"/>
        <v/>
      </c>
      <c r="S19" s="1711" t="str">
        <f t="shared" si="9"/>
        <v/>
      </c>
      <c r="T19" s="1714">
        <v>0</v>
      </c>
      <c r="U19" s="1709">
        <v>2.25</v>
      </c>
      <c r="V19" s="1705">
        <v>0</v>
      </c>
      <c r="W19" s="1709">
        <v>2.25</v>
      </c>
      <c r="X19" s="1713">
        <v>4</v>
      </c>
      <c r="Y19" s="1781" t="str">
        <f t="shared" si="10"/>
        <v/>
      </c>
      <c r="Z19" s="1782" t="str">
        <f t="shared" si="11"/>
        <v/>
      </c>
      <c r="AA19" s="1783" t="s">
        <v>1721</v>
      </c>
      <c r="AB19" s="1413"/>
      <c r="AC19" s="964" t="b">
        <v>0</v>
      </c>
      <c r="AD19" s="441">
        <f t="shared" si="12"/>
        <v>0</v>
      </c>
      <c r="AE19" s="442">
        <f t="shared" si="13"/>
        <v>2</v>
      </c>
      <c r="AF19" s="442">
        <f t="shared" si="14"/>
        <v>0</v>
      </c>
      <c r="AG19" s="442">
        <f t="shared" si="15"/>
        <v>0</v>
      </c>
      <c r="AH19" s="443">
        <f t="shared" si="16"/>
        <v>0</v>
      </c>
      <c r="AI19" s="444" t="b">
        <v>0</v>
      </c>
      <c r="AJ19" s="238">
        <f t="shared" si="17"/>
        <v>32</v>
      </c>
      <c r="AK19" s="830" t="str">
        <f t="shared" si="18"/>
        <v>LH</v>
      </c>
      <c r="AL19" s="945" t="str">
        <f t="shared" si="19"/>
        <v/>
      </c>
      <c r="AM19" s="830">
        <f t="shared" si="20"/>
        <v>305</v>
      </c>
      <c r="AN19" s="830">
        <f t="shared" si="21"/>
        <v>180</v>
      </c>
      <c r="AO19" s="830" t="str">
        <f t="shared" si="22"/>
        <v/>
      </c>
      <c r="AP19" s="830" t="b">
        <f>IF(ISERROR(AJ19),FALSE,IF(OR(AJ19=0,ISERROR(AL19),ISERROR(AM19),ISERROR(AN19),ISERROR(AO19)),FALSE,IF(AL19&lt;&gt;"",IF(ISERROR(VLOOKUP(SUBSTITUTE(SUBSTITUTE(C19,"R",""),"A",""),TblJoistSize!$A:$A,1,FALSE)),FALSE,TRUE),TRUE)))</f>
        <v>1</v>
      </c>
      <c r="AQ19" s="1038">
        <f t="shared" si="23"/>
        <v>6</v>
      </c>
      <c r="AR19" s="945" t="b">
        <f t="shared" si="24"/>
        <v>1</v>
      </c>
      <c r="AS19" s="1038">
        <f t="shared" si="25"/>
        <v>6</v>
      </c>
      <c r="AT19" s="945" t="b">
        <f t="shared" si="26"/>
        <v>1</v>
      </c>
      <c r="AU19" s="946" t="str">
        <f t="shared" si="27"/>
        <v>LH</v>
      </c>
      <c r="AV19" s="830" t="str">
        <f t="shared" si="28"/>
        <v/>
      </c>
      <c r="AW19" s="830" t="str">
        <f t="shared" si="29"/>
        <v>LH</v>
      </c>
      <c r="AX19" s="830" t="str">
        <f t="shared" si="106"/>
        <v>J20</v>
      </c>
      <c r="AY19" s="1039" t="b">
        <f t="shared" si="30"/>
        <v>0</v>
      </c>
      <c r="AZ19" s="856" t="b">
        <f t="shared" si="31"/>
        <v>0</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32"/>
        <v/>
      </c>
      <c r="BR19" s="910"/>
      <c r="BS19" s="672"/>
      <c r="BT19" s="713"/>
      <c r="BU19" s="714"/>
      <c r="BV19" s="1625"/>
      <c r="BW19" s="713"/>
      <c r="BX19" s="714"/>
      <c r="BY19" s="715"/>
      <c r="BZ19" s="716"/>
      <c r="CA19" s="680" t="str">
        <f>IF(ISERROR(DE19),"",IF(DE19="","",IF(VLOOKUP(BS19,SectInfo!$B:$N,10,FALSE)="","","X")))</f>
        <v/>
      </c>
      <c r="CB19" s="738"/>
      <c r="CC19" s="1551" t="str">
        <f t="shared" si="33"/>
        <v/>
      </c>
      <c r="CD19" s="910"/>
      <c r="CE19" s="717"/>
      <c r="CF19" s="736"/>
      <c r="CG19" s="737"/>
      <c r="CH19" s="591" t="str">
        <f t="shared" si="34"/>
        <v/>
      </c>
      <c r="CI19" s="592" t="str">
        <f t="shared" si="35"/>
        <v/>
      </c>
      <c r="CJ19" s="593" t="str">
        <f t="shared" si="36"/>
        <v/>
      </c>
      <c r="CK19" s="594" t="str">
        <f t="shared" si="37"/>
        <v/>
      </c>
      <c r="CL19" s="595" t="str">
        <f t="shared" si="38"/>
        <v/>
      </c>
      <c r="CM19" s="596" t="str">
        <f t="shared" si="39"/>
        <v/>
      </c>
      <c r="CN19" s="597" t="str">
        <f t="shared" si="40"/>
        <v/>
      </c>
      <c r="CO19" s="598" t="str">
        <f t="shared" si="41"/>
        <v/>
      </c>
      <c r="CP19" s="615" t="str">
        <f t="shared" si="42"/>
        <v/>
      </c>
      <c r="CQ19" s="616" t="str">
        <f t="shared" si="43"/>
        <v/>
      </c>
      <c r="CR19" s="750">
        <f t="shared" si="44"/>
        <v>5</v>
      </c>
      <c r="CS19" s="751">
        <f t="shared" si="45"/>
        <v>5</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46"/>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47"/>
        <v>0</v>
      </c>
      <c r="DO19" s="818">
        <f t="shared" si="48"/>
        <v>0</v>
      </c>
      <c r="DP19" s="822" t="str">
        <f t="shared" si="49"/>
        <v/>
      </c>
      <c r="DQ19" s="822" t="str">
        <f t="shared" si="50"/>
        <v/>
      </c>
      <c r="DR19" s="822" t="str">
        <f t="shared" si="51"/>
        <v/>
      </c>
      <c r="DS19" s="821">
        <f t="shared" si="52"/>
        <v>0</v>
      </c>
      <c r="DT19" s="821">
        <f t="shared" si="53"/>
        <v>0</v>
      </c>
      <c r="DU19" s="821" t="str">
        <f t="shared" si="54"/>
        <v/>
      </c>
      <c r="DV19" s="822" t="str">
        <f t="shared" si="55"/>
        <v/>
      </c>
      <c r="DW19" s="856" t="str">
        <f t="shared" si="56"/>
        <v/>
      </c>
      <c r="DX19" s="1006">
        <f t="shared" si="57"/>
        <v>0</v>
      </c>
      <c r="DY19" s="822">
        <f t="shared" si="58"/>
        <v>0</v>
      </c>
      <c r="DZ19" s="821">
        <f t="shared" si="59"/>
        <v>0</v>
      </c>
      <c r="EA19" s="821" t="str">
        <f t="shared" si="60"/>
        <v/>
      </c>
      <c r="EB19" s="822" t="str">
        <f t="shared" si="61"/>
        <v/>
      </c>
      <c r="EC19" s="856" t="str">
        <f t="shared" si="62"/>
        <v/>
      </c>
      <c r="ED19" s="1006">
        <f t="shared" si="63"/>
        <v>0</v>
      </c>
      <c r="EE19" s="1293" t="str">
        <f t="shared" si="64"/>
        <v/>
      </c>
      <c r="EF19" s="1293" t="str">
        <f t="shared" si="65"/>
        <v/>
      </c>
      <c r="EG19" s="1293" t="str">
        <f t="shared" si="66"/>
        <v/>
      </c>
      <c r="EH19" s="856" t="str">
        <f t="shared" si="67"/>
        <v>ERR</v>
      </c>
      <c r="EI19" s="856" t="str">
        <f t="shared" si="68"/>
        <v>ERR</v>
      </c>
      <c r="EJ19" s="822" t="str">
        <f t="shared" si="69"/>
        <v/>
      </c>
      <c r="EK19" s="822" t="str">
        <f t="shared" si="69"/>
        <v/>
      </c>
      <c r="EL19" s="1293" t="str">
        <f t="shared" si="70"/>
        <v/>
      </c>
      <c r="EM19" s="822" t="str">
        <f t="shared" si="71"/>
        <v/>
      </c>
      <c r="EN19" s="822" t="str">
        <f t="shared" si="72"/>
        <v/>
      </c>
      <c r="EO19" s="856" t="str">
        <f t="shared" si="73"/>
        <v>ERR</v>
      </c>
      <c r="EP19" s="856" t="str">
        <f t="shared" si="74"/>
        <v>ERR</v>
      </c>
      <c r="EQ19" s="1293" t="str">
        <f t="shared" si="75"/>
        <v/>
      </c>
      <c r="ER19" s="822" t="str">
        <f t="shared" si="75"/>
        <v/>
      </c>
      <c r="ES19" s="822" t="str">
        <f t="shared" si="76"/>
        <v/>
      </c>
      <c r="ET19" s="822" t="str">
        <f t="shared" si="77"/>
        <v/>
      </c>
      <c r="EU19" s="829">
        <f t="shared" si="78"/>
        <v>4</v>
      </c>
      <c r="EV19" s="824" t="str">
        <f t="shared" si="79"/>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80"/>
        <v/>
      </c>
      <c r="FA19" s="829" t="str">
        <f>IF(AND(DE19="G", ISBLANK(BW19), ISBLANK(BX19)),VLOOKUP(MIN(BT19:BU19),TblJoistSize!$M$3:$N$10,2),IF(OR(DE19="B", DE19="G"),MIN(BW19:BX19),""))</f>
        <v/>
      </c>
      <c r="FB19" s="829" t="str">
        <f>IF(AND(DE19="G", ISBLANK(BW19), ISBLANK(BX19)),VLOOKUP(MAX(BT19:BU19),TblJoistSize!$M$3:$N$10,2),IF(OR(DE19="B", DE19="G"),MAX(BW19:BX19),""))</f>
        <v/>
      </c>
      <c r="FC19" s="829" t="str">
        <f t="shared" si="81"/>
        <v/>
      </c>
      <c r="FD19" s="821">
        <f t="shared" si="107"/>
        <v>0</v>
      </c>
      <c r="FE19" s="821">
        <f t="shared" si="82"/>
        <v>0</v>
      </c>
      <c r="FF19" s="821">
        <f t="shared" si="83"/>
        <v>0</v>
      </c>
      <c r="FG19" s="821" t="str">
        <f t="shared" si="84"/>
        <v/>
      </c>
      <c r="FH19" s="822" t="str">
        <f t="shared" si="85"/>
        <v/>
      </c>
      <c r="FI19" s="821">
        <f t="shared" si="108"/>
        <v>0</v>
      </c>
      <c r="FJ19" s="821">
        <f t="shared" si="86"/>
        <v>0</v>
      </c>
      <c r="FK19" s="821">
        <f t="shared" si="87"/>
        <v>0</v>
      </c>
      <c r="FL19" s="821" t="str">
        <f t="shared" si="88"/>
        <v/>
      </c>
      <c r="FM19" s="822" t="str">
        <f t="shared" si="89"/>
        <v/>
      </c>
      <c r="FN19" s="822" t="e">
        <f t="shared" si="90"/>
        <v>#VALUE!</v>
      </c>
      <c r="FO19" s="940" t="e">
        <f t="shared" si="91"/>
        <v>#VALUE!</v>
      </c>
      <c r="FP19" s="940" t="e">
        <f t="shared" si="92"/>
        <v>#VALUE!</v>
      </c>
      <c r="FQ19" s="830" t="e">
        <f t="shared" si="93"/>
        <v>#VALUE!</v>
      </c>
      <c r="FR19" s="831" t="e">
        <f t="shared" si="94"/>
        <v>#VALUE!</v>
      </c>
      <c r="FS19" s="832" t="str">
        <f t="shared" si="95"/>
        <v/>
      </c>
      <c r="FT19" s="833" t="str">
        <f t="shared" si="96"/>
        <v/>
      </c>
      <c r="FU19" s="870">
        <f t="shared" si="97"/>
        <v>0</v>
      </c>
      <c r="FV19" s="871">
        <f t="shared" si="98"/>
        <v>0</v>
      </c>
      <c r="GA19" s="1791">
        <v>50</v>
      </c>
      <c r="GB19" s="1792">
        <v>0</v>
      </c>
      <c r="GC19" s="1793">
        <v>-0.25</v>
      </c>
      <c r="GD19" s="1794">
        <v>-0.25</v>
      </c>
      <c r="GE19" s="1795">
        <f t="shared" si="99"/>
        <v>0</v>
      </c>
      <c r="GF19" s="600" t="str">
        <f t="shared" si="100"/>
        <v>J20</v>
      </c>
      <c r="GG19" s="1130">
        <v>0</v>
      </c>
      <c r="GH19" s="1131">
        <v>0</v>
      </c>
      <c r="GI19" s="1130"/>
      <c r="GJ19" s="1131"/>
      <c r="GK19" s="1638">
        <f t="shared" si="101"/>
        <v>599.5</v>
      </c>
      <c r="GL19" s="1636">
        <f t="shared" si="102"/>
        <v>599.5</v>
      </c>
      <c r="GM19" s="1637">
        <f>IF(ABS(GK19-GL19)&gt;='Job Info.'!$L$22,ABS(GK19-GL19),0)</f>
        <v>0</v>
      </c>
      <c r="HA19" s="1269" t="s">
        <v>1450</v>
      </c>
      <c r="HB19" s="1270">
        <v>2</v>
      </c>
      <c r="HC19" s="1270" t="s">
        <v>1592</v>
      </c>
      <c r="HD19" s="1271">
        <v>49</v>
      </c>
      <c r="HE19" s="1272">
        <v>11.5</v>
      </c>
      <c r="HF19" s="1270" t="s">
        <v>116</v>
      </c>
      <c r="HG19" s="1270" t="s">
        <v>116</v>
      </c>
      <c r="HH19" s="1270" t="s">
        <v>116</v>
      </c>
      <c r="HI19" s="1273" t="s">
        <v>116</v>
      </c>
      <c r="HJ19" s="1270" t="s">
        <v>116</v>
      </c>
      <c r="HK19" s="1270" t="s">
        <v>116</v>
      </c>
      <c r="HL19" s="1270">
        <v>5</v>
      </c>
      <c r="HM19" s="1270">
        <v>5</v>
      </c>
      <c r="HN19" s="1270" t="s">
        <v>116</v>
      </c>
      <c r="HO19" s="1270" t="s">
        <v>116</v>
      </c>
      <c r="HP19" s="1270" t="s">
        <v>116</v>
      </c>
      <c r="HQ19" s="1273" t="s">
        <v>116</v>
      </c>
      <c r="HR19" s="1270" t="s">
        <v>116</v>
      </c>
      <c r="HS19" s="1270" t="s">
        <v>116</v>
      </c>
      <c r="HT19" s="1270">
        <v>0</v>
      </c>
      <c r="HU19" s="1270">
        <v>2.25</v>
      </c>
      <c r="HV19" s="1270">
        <v>0</v>
      </c>
      <c r="HW19" s="1272">
        <v>2.25</v>
      </c>
      <c r="HX19" s="1272">
        <v>4</v>
      </c>
      <c r="HY19" s="1272" t="s">
        <v>116</v>
      </c>
      <c r="HZ19" s="1272" t="s">
        <v>116</v>
      </c>
      <c r="IA19" s="1272" t="s">
        <v>1659</v>
      </c>
      <c r="IB19" s="1272"/>
      <c r="IC19" s="1272"/>
      <c r="ID19" s="1272"/>
      <c r="IE19" s="1272"/>
      <c r="IF19" s="1274"/>
    </row>
    <row r="20" spans="1:240" ht="12.6" customHeight="1" x14ac:dyDescent="0.25">
      <c r="A20" s="1448" t="s">
        <v>1451</v>
      </c>
      <c r="B20" s="1681">
        <v>2</v>
      </c>
      <c r="C20" s="1449" t="s">
        <v>1592</v>
      </c>
      <c r="D20" s="1705">
        <v>49</v>
      </c>
      <c r="E20" s="1706">
        <v>11.5</v>
      </c>
      <c r="F20" s="1714" t="str">
        <f t="shared" si="1"/>
        <v/>
      </c>
      <c r="G20" s="1709" t="str">
        <f t="shared" si="2"/>
        <v/>
      </c>
      <c r="H20" s="1779" t="str">
        <f t="shared" si="3"/>
        <v/>
      </c>
      <c r="I20" s="1705" t="str">
        <f t="shared" si="4"/>
        <v/>
      </c>
      <c r="J20" s="1709" t="str">
        <f t="shared" si="5"/>
        <v/>
      </c>
      <c r="K20" s="1796" t="str">
        <f t="shared" si="6"/>
        <v/>
      </c>
      <c r="L20" s="1712">
        <v>5</v>
      </c>
      <c r="M20" s="1713">
        <v>5</v>
      </c>
      <c r="N20" s="1708" t="str">
        <f t="shared" si="103"/>
        <v/>
      </c>
      <c r="O20" s="1709" t="str">
        <f t="shared" si="104"/>
        <v/>
      </c>
      <c r="P20" s="1710" t="str">
        <f t="shared" si="105"/>
        <v/>
      </c>
      <c r="Q20" s="1705" t="str">
        <f t="shared" si="7"/>
        <v/>
      </c>
      <c r="R20" s="1709" t="str">
        <f t="shared" si="8"/>
        <v/>
      </c>
      <c r="S20" s="1711" t="str">
        <f t="shared" si="9"/>
        <v/>
      </c>
      <c r="T20" s="1714">
        <v>0</v>
      </c>
      <c r="U20" s="1709">
        <v>2.25</v>
      </c>
      <c r="V20" s="1705">
        <v>0</v>
      </c>
      <c r="W20" s="1709">
        <v>2.25</v>
      </c>
      <c r="X20" s="1713">
        <v>4</v>
      </c>
      <c r="Y20" s="1781" t="str">
        <f t="shared" si="10"/>
        <v/>
      </c>
      <c r="Z20" s="1782" t="str">
        <f t="shared" si="11"/>
        <v/>
      </c>
      <c r="AA20" s="1783" t="s">
        <v>1722</v>
      </c>
      <c r="AB20" s="1413"/>
      <c r="AC20" s="964" t="b">
        <v>0</v>
      </c>
      <c r="AD20" s="441">
        <f t="shared" si="12"/>
        <v>0</v>
      </c>
      <c r="AE20" s="442">
        <f t="shared" si="13"/>
        <v>2</v>
      </c>
      <c r="AF20" s="442">
        <f t="shared" si="14"/>
        <v>0</v>
      </c>
      <c r="AG20" s="442">
        <f t="shared" si="15"/>
        <v>0</v>
      </c>
      <c r="AH20" s="443">
        <f t="shared" si="16"/>
        <v>0</v>
      </c>
      <c r="AI20" s="444" t="b">
        <v>0</v>
      </c>
      <c r="AJ20" s="238">
        <f t="shared" si="17"/>
        <v>32</v>
      </c>
      <c r="AK20" s="830" t="str">
        <f t="shared" si="18"/>
        <v>LH</v>
      </c>
      <c r="AL20" s="945" t="str">
        <f t="shared" si="19"/>
        <v/>
      </c>
      <c r="AM20" s="830">
        <f t="shared" si="20"/>
        <v>305</v>
      </c>
      <c r="AN20" s="830">
        <f t="shared" si="21"/>
        <v>180</v>
      </c>
      <c r="AO20" s="830" t="str">
        <f t="shared" si="22"/>
        <v/>
      </c>
      <c r="AP20" s="830" t="b">
        <f>IF(ISERROR(AJ20),FALSE,IF(OR(AJ20=0,ISERROR(AL20),ISERROR(AM20),ISERROR(AN20),ISERROR(AO20)),FALSE,IF(AL20&lt;&gt;"",IF(ISERROR(VLOOKUP(SUBSTITUTE(SUBSTITUTE(C20,"R",""),"A",""),TblJoistSize!$A:$A,1,FALSE)),FALSE,TRUE),TRUE)))</f>
        <v>1</v>
      </c>
      <c r="AQ20" s="1038">
        <f t="shared" si="23"/>
        <v>6</v>
      </c>
      <c r="AR20" s="945" t="b">
        <f t="shared" si="24"/>
        <v>1</v>
      </c>
      <c r="AS20" s="1038">
        <f t="shared" si="25"/>
        <v>6</v>
      </c>
      <c r="AT20" s="945" t="b">
        <f t="shared" si="26"/>
        <v>1</v>
      </c>
      <c r="AU20" s="946" t="str">
        <f t="shared" si="27"/>
        <v>LH</v>
      </c>
      <c r="AV20" s="830" t="str">
        <f t="shared" si="28"/>
        <v/>
      </c>
      <c r="AW20" s="830" t="str">
        <f t="shared" si="29"/>
        <v>LH</v>
      </c>
      <c r="AX20" s="830" t="str">
        <f t="shared" si="106"/>
        <v>J21</v>
      </c>
      <c r="AY20" s="1039" t="b">
        <f t="shared" si="30"/>
        <v>0</v>
      </c>
      <c r="AZ20" s="856" t="b">
        <f t="shared" si="31"/>
        <v>0</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32"/>
        <v/>
      </c>
      <c r="BR20" s="910"/>
      <c r="BS20" s="672"/>
      <c r="BT20" s="713"/>
      <c r="BU20" s="714"/>
      <c r="BV20" s="1625"/>
      <c r="BW20" s="713"/>
      <c r="BX20" s="714"/>
      <c r="BY20" s="715"/>
      <c r="BZ20" s="716"/>
      <c r="CA20" s="680" t="str">
        <f>IF(ISERROR(DE20),"",IF(DE20="","",IF(VLOOKUP(BS20,SectInfo!$B:$N,10,FALSE)="","","X")))</f>
        <v/>
      </c>
      <c r="CB20" s="738"/>
      <c r="CC20" s="1551" t="str">
        <f t="shared" si="33"/>
        <v/>
      </c>
      <c r="CD20" s="910"/>
      <c r="CE20" s="717"/>
      <c r="CF20" s="736"/>
      <c r="CG20" s="737"/>
      <c r="CH20" s="591" t="str">
        <f t="shared" si="34"/>
        <v/>
      </c>
      <c r="CI20" s="592" t="str">
        <f t="shared" si="35"/>
        <v/>
      </c>
      <c r="CJ20" s="593" t="str">
        <f t="shared" si="36"/>
        <v/>
      </c>
      <c r="CK20" s="594" t="str">
        <f t="shared" si="37"/>
        <v/>
      </c>
      <c r="CL20" s="595" t="str">
        <f t="shared" si="38"/>
        <v/>
      </c>
      <c r="CM20" s="596" t="str">
        <f t="shared" si="39"/>
        <v/>
      </c>
      <c r="CN20" s="597" t="str">
        <f t="shared" si="40"/>
        <v/>
      </c>
      <c r="CO20" s="598" t="str">
        <f t="shared" si="41"/>
        <v/>
      </c>
      <c r="CP20" s="615" t="str">
        <f t="shared" si="42"/>
        <v/>
      </c>
      <c r="CQ20" s="616" t="str">
        <f t="shared" si="43"/>
        <v/>
      </c>
      <c r="CR20" s="750">
        <f t="shared" si="44"/>
        <v>5</v>
      </c>
      <c r="CS20" s="751">
        <f t="shared" si="45"/>
        <v>5</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46"/>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47"/>
        <v>0</v>
      </c>
      <c r="DO20" s="818">
        <f t="shared" si="48"/>
        <v>0</v>
      </c>
      <c r="DP20" s="822" t="str">
        <f t="shared" si="49"/>
        <v/>
      </c>
      <c r="DQ20" s="822" t="str">
        <f t="shared" si="50"/>
        <v/>
      </c>
      <c r="DR20" s="822" t="str">
        <f t="shared" si="51"/>
        <v/>
      </c>
      <c r="DS20" s="821">
        <f t="shared" si="52"/>
        <v>0</v>
      </c>
      <c r="DT20" s="821">
        <f t="shared" si="53"/>
        <v>0</v>
      </c>
      <c r="DU20" s="821" t="str">
        <f t="shared" si="54"/>
        <v/>
      </c>
      <c r="DV20" s="822" t="str">
        <f t="shared" si="55"/>
        <v/>
      </c>
      <c r="DW20" s="856" t="str">
        <f t="shared" si="56"/>
        <v/>
      </c>
      <c r="DX20" s="1006">
        <f t="shared" si="57"/>
        <v>0</v>
      </c>
      <c r="DY20" s="822">
        <f t="shared" si="58"/>
        <v>0</v>
      </c>
      <c r="DZ20" s="821">
        <f t="shared" si="59"/>
        <v>0</v>
      </c>
      <c r="EA20" s="821" t="str">
        <f t="shared" si="60"/>
        <v/>
      </c>
      <c r="EB20" s="822" t="str">
        <f t="shared" si="61"/>
        <v/>
      </c>
      <c r="EC20" s="856" t="str">
        <f t="shared" si="62"/>
        <v/>
      </c>
      <c r="ED20" s="1006">
        <f t="shared" si="63"/>
        <v>0</v>
      </c>
      <c r="EE20" s="1293" t="str">
        <f t="shared" si="64"/>
        <v/>
      </c>
      <c r="EF20" s="1293" t="str">
        <f t="shared" si="65"/>
        <v/>
      </c>
      <c r="EG20" s="1293" t="str">
        <f t="shared" si="66"/>
        <v/>
      </c>
      <c r="EH20" s="856" t="str">
        <f t="shared" si="67"/>
        <v>ERR</v>
      </c>
      <c r="EI20" s="856" t="str">
        <f t="shared" si="68"/>
        <v>ERR</v>
      </c>
      <c r="EJ20" s="822" t="str">
        <f t="shared" si="69"/>
        <v/>
      </c>
      <c r="EK20" s="822" t="str">
        <f t="shared" si="69"/>
        <v/>
      </c>
      <c r="EL20" s="1293" t="str">
        <f t="shared" si="70"/>
        <v/>
      </c>
      <c r="EM20" s="822" t="str">
        <f t="shared" si="71"/>
        <v/>
      </c>
      <c r="EN20" s="822" t="str">
        <f t="shared" si="72"/>
        <v/>
      </c>
      <c r="EO20" s="856" t="str">
        <f t="shared" si="73"/>
        <v>ERR</v>
      </c>
      <c r="EP20" s="856" t="str">
        <f t="shared" si="74"/>
        <v>ERR</v>
      </c>
      <c r="EQ20" s="1293" t="str">
        <f t="shared" si="75"/>
        <v/>
      </c>
      <c r="ER20" s="822" t="str">
        <f t="shared" si="75"/>
        <v/>
      </c>
      <c r="ES20" s="822" t="str">
        <f t="shared" si="76"/>
        <v/>
      </c>
      <c r="ET20" s="822" t="str">
        <f t="shared" si="77"/>
        <v/>
      </c>
      <c r="EU20" s="829">
        <f t="shared" si="78"/>
        <v>4</v>
      </c>
      <c r="EV20" s="824" t="str">
        <f t="shared" si="79"/>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80"/>
        <v/>
      </c>
      <c r="FA20" s="829" t="str">
        <f>IF(AND(DE20="G", ISBLANK(BW20), ISBLANK(BX20)),VLOOKUP(MIN(BT20:BU20),TblJoistSize!$M$3:$N$10,2),IF(OR(DE20="B", DE20="G"),MIN(BW20:BX20),""))</f>
        <v/>
      </c>
      <c r="FB20" s="829" t="str">
        <f>IF(AND(DE20="G", ISBLANK(BW20), ISBLANK(BX20)),VLOOKUP(MAX(BT20:BU20),TblJoistSize!$M$3:$N$10,2),IF(OR(DE20="B", DE20="G"),MAX(BW20:BX20),""))</f>
        <v/>
      </c>
      <c r="FC20" s="829" t="str">
        <f t="shared" si="81"/>
        <v/>
      </c>
      <c r="FD20" s="821">
        <f t="shared" si="107"/>
        <v>0</v>
      </c>
      <c r="FE20" s="821">
        <f t="shared" si="82"/>
        <v>0</v>
      </c>
      <c r="FF20" s="821">
        <f t="shared" si="83"/>
        <v>0</v>
      </c>
      <c r="FG20" s="821" t="str">
        <f t="shared" si="84"/>
        <v/>
      </c>
      <c r="FH20" s="822" t="str">
        <f t="shared" si="85"/>
        <v/>
      </c>
      <c r="FI20" s="821">
        <f t="shared" si="108"/>
        <v>0</v>
      </c>
      <c r="FJ20" s="821">
        <f t="shared" si="86"/>
        <v>0</v>
      </c>
      <c r="FK20" s="821">
        <f t="shared" si="87"/>
        <v>0</v>
      </c>
      <c r="FL20" s="821" t="str">
        <f t="shared" si="88"/>
        <v/>
      </c>
      <c r="FM20" s="822" t="str">
        <f t="shared" si="89"/>
        <v/>
      </c>
      <c r="FN20" s="822" t="e">
        <f t="shared" si="90"/>
        <v>#VALUE!</v>
      </c>
      <c r="FO20" s="940" t="e">
        <f t="shared" si="91"/>
        <v>#VALUE!</v>
      </c>
      <c r="FP20" s="940" t="e">
        <f t="shared" si="92"/>
        <v>#VALUE!</v>
      </c>
      <c r="FQ20" s="830" t="e">
        <f t="shared" si="93"/>
        <v>#VALUE!</v>
      </c>
      <c r="FR20" s="831" t="e">
        <f t="shared" si="94"/>
        <v>#VALUE!</v>
      </c>
      <c r="FS20" s="832" t="str">
        <f t="shared" si="95"/>
        <v/>
      </c>
      <c r="FT20" s="833" t="str">
        <f t="shared" si="96"/>
        <v/>
      </c>
      <c r="FU20" s="870">
        <f t="shared" si="97"/>
        <v>0</v>
      </c>
      <c r="FV20" s="871">
        <f t="shared" si="98"/>
        <v>0</v>
      </c>
      <c r="GA20" s="1791">
        <v>50</v>
      </c>
      <c r="GB20" s="1792">
        <v>0</v>
      </c>
      <c r="GC20" s="1793">
        <v>-0.25</v>
      </c>
      <c r="GD20" s="1794">
        <v>-0.25</v>
      </c>
      <c r="GE20" s="1795">
        <f t="shared" si="99"/>
        <v>0</v>
      </c>
      <c r="GF20" s="600" t="str">
        <f t="shared" si="100"/>
        <v>J21</v>
      </c>
      <c r="GG20" s="1130">
        <v>0</v>
      </c>
      <c r="GH20" s="1131">
        <v>0</v>
      </c>
      <c r="GI20" s="1130"/>
      <c r="GJ20" s="1131"/>
      <c r="GK20" s="1638">
        <f t="shared" si="101"/>
        <v>599.5</v>
      </c>
      <c r="GL20" s="1636">
        <f t="shared" si="102"/>
        <v>599.5</v>
      </c>
      <c r="GM20" s="1637">
        <f>IF(ABS(GK20-GL20)&gt;='Job Info.'!$L$22,ABS(GK20-GL20),0)</f>
        <v>0</v>
      </c>
      <c r="HA20" s="1269" t="s">
        <v>1451</v>
      </c>
      <c r="HB20" s="1270">
        <v>2</v>
      </c>
      <c r="HC20" s="1270" t="s">
        <v>1592</v>
      </c>
      <c r="HD20" s="1271">
        <v>49</v>
      </c>
      <c r="HE20" s="1272">
        <v>11.5</v>
      </c>
      <c r="HF20" s="1270" t="s">
        <v>116</v>
      </c>
      <c r="HG20" s="1270" t="s">
        <v>116</v>
      </c>
      <c r="HH20" s="1270" t="s">
        <v>116</v>
      </c>
      <c r="HI20" s="1273" t="s">
        <v>116</v>
      </c>
      <c r="HJ20" s="1270" t="s">
        <v>116</v>
      </c>
      <c r="HK20" s="1270" t="s">
        <v>116</v>
      </c>
      <c r="HL20" s="1270">
        <v>5</v>
      </c>
      <c r="HM20" s="1270">
        <v>5</v>
      </c>
      <c r="HN20" s="1270" t="s">
        <v>116</v>
      </c>
      <c r="HO20" s="1270" t="s">
        <v>116</v>
      </c>
      <c r="HP20" s="1270" t="s">
        <v>116</v>
      </c>
      <c r="HQ20" s="1273" t="s">
        <v>116</v>
      </c>
      <c r="HR20" s="1270" t="s">
        <v>116</v>
      </c>
      <c r="HS20" s="1270" t="s">
        <v>116</v>
      </c>
      <c r="HT20" s="1270">
        <v>0</v>
      </c>
      <c r="HU20" s="1270">
        <v>2.25</v>
      </c>
      <c r="HV20" s="1270">
        <v>0</v>
      </c>
      <c r="HW20" s="1272">
        <v>2.25</v>
      </c>
      <c r="HX20" s="1272">
        <v>4</v>
      </c>
      <c r="HY20" s="1272" t="s">
        <v>116</v>
      </c>
      <c r="HZ20" s="1272" t="s">
        <v>116</v>
      </c>
      <c r="IA20" s="1272" t="s">
        <v>1660</v>
      </c>
      <c r="IB20" s="1272"/>
      <c r="IC20" s="1272"/>
      <c r="ID20" s="1272"/>
      <c r="IE20" s="1272"/>
      <c r="IF20" s="1274"/>
    </row>
    <row r="21" spans="1:240" ht="12.6" customHeight="1" x14ac:dyDescent="0.25">
      <c r="A21" s="1448" t="s">
        <v>1452</v>
      </c>
      <c r="B21" s="1681">
        <v>2</v>
      </c>
      <c r="C21" s="1449" t="s">
        <v>1592</v>
      </c>
      <c r="D21" s="1705">
        <v>49</v>
      </c>
      <c r="E21" s="1706">
        <v>11.5</v>
      </c>
      <c r="F21" s="1714" t="str">
        <f t="shared" si="1"/>
        <v/>
      </c>
      <c r="G21" s="1709" t="str">
        <f t="shared" si="2"/>
        <v/>
      </c>
      <c r="H21" s="1779" t="str">
        <f t="shared" si="3"/>
        <v/>
      </c>
      <c r="I21" s="1705" t="str">
        <f t="shared" si="4"/>
        <v/>
      </c>
      <c r="J21" s="1709" t="str">
        <f t="shared" si="5"/>
        <v/>
      </c>
      <c r="K21" s="1796" t="str">
        <f t="shared" si="6"/>
        <v/>
      </c>
      <c r="L21" s="1712">
        <v>5</v>
      </c>
      <c r="M21" s="1713">
        <v>5</v>
      </c>
      <c r="N21" s="1708" t="str">
        <f t="shared" si="103"/>
        <v/>
      </c>
      <c r="O21" s="1709" t="str">
        <f t="shared" si="104"/>
        <v/>
      </c>
      <c r="P21" s="1710" t="str">
        <f t="shared" si="105"/>
        <v/>
      </c>
      <c r="Q21" s="1705" t="str">
        <f t="shared" si="7"/>
        <v/>
      </c>
      <c r="R21" s="1709" t="str">
        <f t="shared" si="8"/>
        <v/>
      </c>
      <c r="S21" s="1711" t="str">
        <f t="shared" si="9"/>
        <v/>
      </c>
      <c r="T21" s="1714">
        <v>0</v>
      </c>
      <c r="U21" s="1709">
        <v>2.25</v>
      </c>
      <c r="V21" s="1705">
        <v>0</v>
      </c>
      <c r="W21" s="1709">
        <v>2.25</v>
      </c>
      <c r="X21" s="1713">
        <v>4</v>
      </c>
      <c r="Y21" s="1781" t="str">
        <f t="shared" si="10"/>
        <v/>
      </c>
      <c r="Z21" s="1782" t="str">
        <f t="shared" si="11"/>
        <v/>
      </c>
      <c r="AA21" s="1783" t="s">
        <v>1723</v>
      </c>
      <c r="AB21" s="1413"/>
      <c r="AC21" s="964" t="b">
        <v>0</v>
      </c>
      <c r="AD21" s="441">
        <f t="shared" si="12"/>
        <v>0</v>
      </c>
      <c r="AE21" s="442">
        <f t="shared" si="13"/>
        <v>2</v>
      </c>
      <c r="AF21" s="442">
        <f t="shared" si="14"/>
        <v>0</v>
      </c>
      <c r="AG21" s="442">
        <f t="shared" si="15"/>
        <v>0</v>
      </c>
      <c r="AH21" s="443">
        <f t="shared" si="16"/>
        <v>0</v>
      </c>
      <c r="AI21" s="444" t="b">
        <v>0</v>
      </c>
      <c r="AJ21" s="238">
        <f t="shared" si="17"/>
        <v>32</v>
      </c>
      <c r="AK21" s="830" t="str">
        <f t="shared" si="18"/>
        <v>LH</v>
      </c>
      <c r="AL21" s="945" t="str">
        <f t="shared" si="19"/>
        <v/>
      </c>
      <c r="AM21" s="830">
        <f t="shared" si="20"/>
        <v>305</v>
      </c>
      <c r="AN21" s="830">
        <f t="shared" si="21"/>
        <v>180</v>
      </c>
      <c r="AO21" s="830" t="str">
        <f t="shared" si="22"/>
        <v/>
      </c>
      <c r="AP21" s="830" t="b">
        <f>IF(ISERROR(AJ21),FALSE,IF(OR(AJ21=0,ISERROR(AL21),ISERROR(AM21),ISERROR(AN21),ISERROR(AO21)),FALSE,IF(AL21&lt;&gt;"",IF(ISERROR(VLOOKUP(SUBSTITUTE(SUBSTITUTE(C21,"R",""),"A",""),TblJoistSize!$A:$A,1,FALSE)),FALSE,TRUE),TRUE)))</f>
        <v>1</v>
      </c>
      <c r="AQ21" s="1038">
        <f t="shared" si="23"/>
        <v>6</v>
      </c>
      <c r="AR21" s="945" t="b">
        <f t="shared" si="24"/>
        <v>1</v>
      </c>
      <c r="AS21" s="1038">
        <f t="shared" si="25"/>
        <v>6</v>
      </c>
      <c r="AT21" s="945" t="b">
        <f t="shared" si="26"/>
        <v>1</v>
      </c>
      <c r="AU21" s="946" t="str">
        <f t="shared" si="27"/>
        <v>LH</v>
      </c>
      <c r="AV21" s="830" t="str">
        <f t="shared" si="28"/>
        <v/>
      </c>
      <c r="AW21" s="830" t="str">
        <f t="shared" si="29"/>
        <v>LH</v>
      </c>
      <c r="AX21" s="830" t="str">
        <f t="shared" si="106"/>
        <v>J22</v>
      </c>
      <c r="AY21" s="1039" t="b">
        <f t="shared" si="30"/>
        <v>0</v>
      </c>
      <c r="AZ21" s="856" t="b">
        <f t="shared" si="31"/>
        <v>0</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32"/>
        <v/>
      </c>
      <c r="BR21" s="910"/>
      <c r="BS21" s="672"/>
      <c r="BT21" s="713"/>
      <c r="BU21" s="714"/>
      <c r="BV21" s="1625"/>
      <c r="BW21" s="713"/>
      <c r="BX21" s="714"/>
      <c r="BY21" s="715"/>
      <c r="BZ21" s="716"/>
      <c r="CA21" s="680" t="str">
        <f>IF(ISERROR(DE21),"",IF(DE21="","",IF(VLOOKUP(BS21,SectInfo!$B:$N,10,FALSE)="","","X")))</f>
        <v/>
      </c>
      <c r="CB21" s="738"/>
      <c r="CC21" s="1551" t="str">
        <f t="shared" si="33"/>
        <v/>
      </c>
      <c r="CD21" s="910"/>
      <c r="CE21" s="717"/>
      <c r="CF21" s="736"/>
      <c r="CG21" s="737"/>
      <c r="CH21" s="591" t="str">
        <f t="shared" si="34"/>
        <v/>
      </c>
      <c r="CI21" s="592" t="str">
        <f t="shared" si="35"/>
        <v/>
      </c>
      <c r="CJ21" s="593" t="str">
        <f t="shared" si="36"/>
        <v/>
      </c>
      <c r="CK21" s="594" t="str">
        <f t="shared" si="37"/>
        <v/>
      </c>
      <c r="CL21" s="595" t="str">
        <f t="shared" si="38"/>
        <v/>
      </c>
      <c r="CM21" s="596" t="str">
        <f t="shared" si="39"/>
        <v/>
      </c>
      <c r="CN21" s="597" t="str">
        <f t="shared" si="40"/>
        <v/>
      </c>
      <c r="CO21" s="598" t="str">
        <f t="shared" si="41"/>
        <v/>
      </c>
      <c r="CP21" s="615" t="str">
        <f t="shared" si="42"/>
        <v/>
      </c>
      <c r="CQ21" s="616" t="str">
        <f t="shared" si="43"/>
        <v/>
      </c>
      <c r="CR21" s="750">
        <f t="shared" si="44"/>
        <v>5</v>
      </c>
      <c r="CS21" s="751">
        <f t="shared" si="45"/>
        <v>5</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46"/>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47"/>
        <v>0</v>
      </c>
      <c r="DO21" s="818">
        <f t="shared" si="48"/>
        <v>0</v>
      </c>
      <c r="DP21" s="822" t="str">
        <f t="shared" si="49"/>
        <v/>
      </c>
      <c r="DQ21" s="822" t="str">
        <f t="shared" si="50"/>
        <v/>
      </c>
      <c r="DR21" s="822" t="str">
        <f t="shared" si="51"/>
        <v/>
      </c>
      <c r="DS21" s="821">
        <f t="shared" si="52"/>
        <v>0</v>
      </c>
      <c r="DT21" s="821">
        <f t="shared" si="53"/>
        <v>0</v>
      </c>
      <c r="DU21" s="821" t="str">
        <f t="shared" si="54"/>
        <v/>
      </c>
      <c r="DV21" s="822" t="str">
        <f t="shared" si="55"/>
        <v/>
      </c>
      <c r="DW21" s="856" t="str">
        <f t="shared" si="56"/>
        <v/>
      </c>
      <c r="DX21" s="1006">
        <f t="shared" si="57"/>
        <v>0</v>
      </c>
      <c r="DY21" s="822">
        <f t="shared" si="58"/>
        <v>0</v>
      </c>
      <c r="DZ21" s="821">
        <f t="shared" si="59"/>
        <v>0</v>
      </c>
      <c r="EA21" s="821" t="str">
        <f t="shared" si="60"/>
        <v/>
      </c>
      <c r="EB21" s="822" t="str">
        <f t="shared" si="61"/>
        <v/>
      </c>
      <c r="EC21" s="856" t="str">
        <f t="shared" si="62"/>
        <v/>
      </c>
      <c r="ED21" s="1006">
        <f t="shared" si="63"/>
        <v>0</v>
      </c>
      <c r="EE21" s="1293" t="str">
        <f t="shared" si="64"/>
        <v/>
      </c>
      <c r="EF21" s="1293" t="str">
        <f t="shared" si="65"/>
        <v/>
      </c>
      <c r="EG21" s="1293" t="str">
        <f t="shared" si="66"/>
        <v/>
      </c>
      <c r="EH21" s="856" t="str">
        <f t="shared" si="67"/>
        <v>ERR</v>
      </c>
      <c r="EI21" s="856" t="str">
        <f t="shared" si="68"/>
        <v>ERR</v>
      </c>
      <c r="EJ21" s="822" t="str">
        <f t="shared" si="69"/>
        <v/>
      </c>
      <c r="EK21" s="822" t="str">
        <f t="shared" si="69"/>
        <v/>
      </c>
      <c r="EL21" s="1293" t="str">
        <f t="shared" si="70"/>
        <v/>
      </c>
      <c r="EM21" s="822" t="str">
        <f t="shared" si="71"/>
        <v/>
      </c>
      <c r="EN21" s="822" t="str">
        <f t="shared" si="72"/>
        <v/>
      </c>
      <c r="EO21" s="856" t="str">
        <f t="shared" si="73"/>
        <v>ERR</v>
      </c>
      <c r="EP21" s="856" t="str">
        <f t="shared" si="74"/>
        <v>ERR</v>
      </c>
      <c r="EQ21" s="1293" t="str">
        <f t="shared" si="75"/>
        <v/>
      </c>
      <c r="ER21" s="822" t="str">
        <f t="shared" si="75"/>
        <v/>
      </c>
      <c r="ES21" s="822" t="str">
        <f t="shared" si="76"/>
        <v/>
      </c>
      <c r="ET21" s="822" t="str">
        <f t="shared" si="77"/>
        <v/>
      </c>
      <c r="EU21" s="829">
        <f t="shared" si="78"/>
        <v>4</v>
      </c>
      <c r="EV21" s="824" t="str">
        <f t="shared" si="79"/>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80"/>
        <v/>
      </c>
      <c r="FA21" s="829" t="str">
        <f>IF(AND(DE21="G", ISBLANK(BW21), ISBLANK(BX21)),VLOOKUP(MIN(BT21:BU21),TblJoistSize!$M$3:$N$10,2),IF(OR(DE21="B", DE21="G"),MIN(BW21:BX21),""))</f>
        <v/>
      </c>
      <c r="FB21" s="829" t="str">
        <f>IF(AND(DE21="G", ISBLANK(BW21), ISBLANK(BX21)),VLOOKUP(MAX(BT21:BU21),TblJoistSize!$M$3:$N$10,2),IF(OR(DE21="B", DE21="G"),MAX(BW21:BX21),""))</f>
        <v/>
      </c>
      <c r="FC21" s="829" t="str">
        <f t="shared" si="81"/>
        <v/>
      </c>
      <c r="FD21" s="821">
        <f t="shared" si="107"/>
        <v>0</v>
      </c>
      <c r="FE21" s="821">
        <f t="shared" si="82"/>
        <v>0</v>
      </c>
      <c r="FF21" s="821">
        <f t="shared" si="83"/>
        <v>0</v>
      </c>
      <c r="FG21" s="821" t="str">
        <f t="shared" si="84"/>
        <v/>
      </c>
      <c r="FH21" s="822" t="str">
        <f t="shared" si="85"/>
        <v/>
      </c>
      <c r="FI21" s="821">
        <f t="shared" si="108"/>
        <v>0</v>
      </c>
      <c r="FJ21" s="821">
        <f t="shared" si="86"/>
        <v>0</v>
      </c>
      <c r="FK21" s="821">
        <f t="shared" si="87"/>
        <v>0</v>
      </c>
      <c r="FL21" s="821" t="str">
        <f t="shared" si="88"/>
        <v/>
      </c>
      <c r="FM21" s="822" t="str">
        <f t="shared" si="89"/>
        <v/>
      </c>
      <c r="FN21" s="822" t="e">
        <f t="shared" si="90"/>
        <v>#VALUE!</v>
      </c>
      <c r="FO21" s="940" t="e">
        <f t="shared" si="91"/>
        <v>#VALUE!</v>
      </c>
      <c r="FP21" s="940" t="e">
        <f t="shared" si="92"/>
        <v>#VALUE!</v>
      </c>
      <c r="FQ21" s="830" t="e">
        <f t="shared" si="93"/>
        <v>#VALUE!</v>
      </c>
      <c r="FR21" s="831" t="e">
        <f t="shared" si="94"/>
        <v>#VALUE!</v>
      </c>
      <c r="FS21" s="832" t="str">
        <f t="shared" si="95"/>
        <v/>
      </c>
      <c r="FT21" s="833" t="str">
        <f t="shared" si="96"/>
        <v/>
      </c>
      <c r="FU21" s="870">
        <f t="shared" si="97"/>
        <v>0</v>
      </c>
      <c r="FV21" s="871">
        <f t="shared" si="98"/>
        <v>0</v>
      </c>
      <c r="GA21" s="1791">
        <v>50</v>
      </c>
      <c r="GB21" s="1792">
        <v>0</v>
      </c>
      <c r="GC21" s="1793">
        <v>-0.25</v>
      </c>
      <c r="GD21" s="1794">
        <v>-0.25</v>
      </c>
      <c r="GE21" s="1795">
        <f t="shared" si="99"/>
        <v>0</v>
      </c>
      <c r="GF21" s="600" t="str">
        <f t="shared" si="100"/>
        <v>J22</v>
      </c>
      <c r="GG21" s="1130">
        <v>0</v>
      </c>
      <c r="GH21" s="1131">
        <v>0</v>
      </c>
      <c r="GI21" s="1130"/>
      <c r="GJ21" s="1131"/>
      <c r="GK21" s="1638">
        <f t="shared" si="101"/>
        <v>599.5</v>
      </c>
      <c r="GL21" s="1636">
        <f t="shared" si="102"/>
        <v>599.5</v>
      </c>
      <c r="GM21" s="1637">
        <f>IF(ABS(GK21-GL21)&gt;='Job Info.'!$L$22,ABS(GK21-GL21),0)</f>
        <v>0</v>
      </c>
      <c r="HA21" s="1269" t="s">
        <v>1452</v>
      </c>
      <c r="HB21" s="1270">
        <v>2</v>
      </c>
      <c r="HC21" s="1270" t="s">
        <v>1592</v>
      </c>
      <c r="HD21" s="1271">
        <v>49</v>
      </c>
      <c r="HE21" s="1272">
        <v>11.5</v>
      </c>
      <c r="HF21" s="1270" t="s">
        <v>116</v>
      </c>
      <c r="HG21" s="1270" t="s">
        <v>116</v>
      </c>
      <c r="HH21" s="1270" t="s">
        <v>116</v>
      </c>
      <c r="HI21" s="1273" t="s">
        <v>116</v>
      </c>
      <c r="HJ21" s="1270" t="s">
        <v>116</v>
      </c>
      <c r="HK21" s="1270" t="s">
        <v>116</v>
      </c>
      <c r="HL21" s="1270">
        <v>5</v>
      </c>
      <c r="HM21" s="1270">
        <v>5</v>
      </c>
      <c r="HN21" s="1270" t="s">
        <v>116</v>
      </c>
      <c r="HO21" s="1270" t="s">
        <v>116</v>
      </c>
      <c r="HP21" s="1270" t="s">
        <v>116</v>
      </c>
      <c r="HQ21" s="1273" t="s">
        <v>116</v>
      </c>
      <c r="HR21" s="1270" t="s">
        <v>116</v>
      </c>
      <c r="HS21" s="1270" t="s">
        <v>116</v>
      </c>
      <c r="HT21" s="1270">
        <v>0</v>
      </c>
      <c r="HU21" s="1270">
        <v>2.25</v>
      </c>
      <c r="HV21" s="1270">
        <v>0</v>
      </c>
      <c r="HW21" s="1272">
        <v>2.25</v>
      </c>
      <c r="HX21" s="1272">
        <v>4</v>
      </c>
      <c r="HY21" s="1272" t="s">
        <v>116</v>
      </c>
      <c r="HZ21" s="1272" t="s">
        <v>116</v>
      </c>
      <c r="IA21" s="1272" t="s">
        <v>1661</v>
      </c>
      <c r="IB21" s="1272"/>
      <c r="IC21" s="1272"/>
      <c r="ID21" s="1272"/>
      <c r="IE21" s="1272"/>
      <c r="IF21" s="1274"/>
    </row>
    <row r="22" spans="1:240" ht="12.6" customHeight="1" x14ac:dyDescent="0.25">
      <c r="A22" s="1448" t="s">
        <v>1453</v>
      </c>
      <c r="B22" s="1681">
        <v>2</v>
      </c>
      <c r="C22" s="1449" t="s">
        <v>1592</v>
      </c>
      <c r="D22" s="1705">
        <v>49</v>
      </c>
      <c r="E22" s="1706">
        <v>11.5</v>
      </c>
      <c r="F22" s="1714" t="str">
        <f t="shared" si="1"/>
        <v/>
      </c>
      <c r="G22" s="1709" t="str">
        <f t="shared" si="2"/>
        <v/>
      </c>
      <c r="H22" s="1779" t="str">
        <f t="shared" si="3"/>
        <v/>
      </c>
      <c r="I22" s="1705" t="str">
        <f t="shared" si="4"/>
        <v/>
      </c>
      <c r="J22" s="1709" t="str">
        <f t="shared" si="5"/>
        <v/>
      </c>
      <c r="K22" s="1796" t="str">
        <f t="shared" si="6"/>
        <v/>
      </c>
      <c r="L22" s="1712">
        <v>5</v>
      </c>
      <c r="M22" s="1713">
        <v>5</v>
      </c>
      <c r="N22" s="1708" t="str">
        <f t="shared" si="103"/>
        <v/>
      </c>
      <c r="O22" s="1709" t="str">
        <f t="shared" si="104"/>
        <v/>
      </c>
      <c r="P22" s="1710" t="str">
        <f t="shared" si="105"/>
        <v/>
      </c>
      <c r="Q22" s="1705" t="str">
        <f t="shared" si="7"/>
        <v/>
      </c>
      <c r="R22" s="1709" t="str">
        <f t="shared" si="8"/>
        <v/>
      </c>
      <c r="S22" s="1711" t="str">
        <f t="shared" si="9"/>
        <v/>
      </c>
      <c r="T22" s="1714">
        <v>0</v>
      </c>
      <c r="U22" s="1709">
        <v>2.25</v>
      </c>
      <c r="V22" s="1705">
        <v>0</v>
      </c>
      <c r="W22" s="1709">
        <v>2.25</v>
      </c>
      <c r="X22" s="1713">
        <v>4</v>
      </c>
      <c r="Y22" s="1781" t="str">
        <f t="shared" si="10"/>
        <v/>
      </c>
      <c r="Z22" s="1782" t="str">
        <f t="shared" si="11"/>
        <v/>
      </c>
      <c r="AA22" s="1783" t="s">
        <v>1724</v>
      </c>
      <c r="AB22" s="1413"/>
      <c r="AC22" s="964" t="b">
        <v>0</v>
      </c>
      <c r="AD22" s="441">
        <f t="shared" si="12"/>
        <v>0</v>
      </c>
      <c r="AE22" s="442">
        <f t="shared" si="13"/>
        <v>2</v>
      </c>
      <c r="AF22" s="442">
        <f t="shared" si="14"/>
        <v>0</v>
      </c>
      <c r="AG22" s="442">
        <f t="shared" si="15"/>
        <v>0</v>
      </c>
      <c r="AH22" s="443">
        <f t="shared" si="16"/>
        <v>0</v>
      </c>
      <c r="AI22" s="444" t="b">
        <v>0</v>
      </c>
      <c r="AJ22" s="238">
        <f t="shared" si="17"/>
        <v>32</v>
      </c>
      <c r="AK22" s="830" t="str">
        <f t="shared" si="18"/>
        <v>LH</v>
      </c>
      <c r="AL22" s="945" t="str">
        <f t="shared" si="19"/>
        <v/>
      </c>
      <c r="AM22" s="830">
        <f t="shared" si="20"/>
        <v>305</v>
      </c>
      <c r="AN22" s="830">
        <f t="shared" si="21"/>
        <v>180</v>
      </c>
      <c r="AO22" s="830" t="str">
        <f t="shared" si="22"/>
        <v/>
      </c>
      <c r="AP22" s="830" t="b">
        <f>IF(ISERROR(AJ22),FALSE,IF(OR(AJ22=0,ISERROR(AL22),ISERROR(AM22),ISERROR(AN22),ISERROR(AO22)),FALSE,IF(AL22&lt;&gt;"",IF(ISERROR(VLOOKUP(SUBSTITUTE(SUBSTITUTE(C22,"R",""),"A",""),TblJoistSize!$A:$A,1,FALSE)),FALSE,TRUE),TRUE)))</f>
        <v>1</v>
      </c>
      <c r="AQ22" s="1038">
        <f t="shared" si="23"/>
        <v>6</v>
      </c>
      <c r="AR22" s="945" t="b">
        <f t="shared" si="24"/>
        <v>1</v>
      </c>
      <c r="AS22" s="1038">
        <f t="shared" si="25"/>
        <v>6</v>
      </c>
      <c r="AT22" s="945" t="b">
        <f t="shared" si="26"/>
        <v>1</v>
      </c>
      <c r="AU22" s="946" t="str">
        <f t="shared" si="27"/>
        <v>LH</v>
      </c>
      <c r="AV22" s="830" t="str">
        <f t="shared" si="28"/>
        <v/>
      </c>
      <c r="AW22" s="830" t="str">
        <f t="shared" si="29"/>
        <v>LH</v>
      </c>
      <c r="AX22" s="830" t="str">
        <f t="shared" si="106"/>
        <v>J23</v>
      </c>
      <c r="AY22" s="1039" t="b">
        <f t="shared" si="30"/>
        <v>0</v>
      </c>
      <c r="AZ22" s="856" t="b">
        <f t="shared" si="31"/>
        <v>0</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32"/>
        <v/>
      </c>
      <c r="BR22" s="910"/>
      <c r="BS22" s="672"/>
      <c r="BT22" s="713"/>
      <c r="BU22" s="714"/>
      <c r="BV22" s="1625"/>
      <c r="BW22" s="713"/>
      <c r="BX22" s="714"/>
      <c r="BY22" s="715"/>
      <c r="BZ22" s="716"/>
      <c r="CA22" s="680" t="str">
        <f>IF(ISERROR(DE22),"",IF(DE22="","",IF(VLOOKUP(BS22,SectInfo!$B:$N,10,FALSE)="","","X")))</f>
        <v/>
      </c>
      <c r="CB22" s="738"/>
      <c r="CC22" s="1551" t="str">
        <f t="shared" si="33"/>
        <v/>
      </c>
      <c r="CD22" s="910"/>
      <c r="CE22" s="717"/>
      <c r="CF22" s="736"/>
      <c r="CG22" s="737"/>
      <c r="CH22" s="591" t="str">
        <f t="shared" si="34"/>
        <v/>
      </c>
      <c r="CI22" s="592" t="str">
        <f t="shared" si="35"/>
        <v/>
      </c>
      <c r="CJ22" s="593" t="str">
        <f t="shared" si="36"/>
        <v/>
      </c>
      <c r="CK22" s="594" t="str">
        <f t="shared" si="37"/>
        <v/>
      </c>
      <c r="CL22" s="595" t="str">
        <f t="shared" si="38"/>
        <v/>
      </c>
      <c r="CM22" s="596" t="str">
        <f t="shared" si="39"/>
        <v/>
      </c>
      <c r="CN22" s="597" t="str">
        <f t="shared" si="40"/>
        <v/>
      </c>
      <c r="CO22" s="598" t="str">
        <f t="shared" si="41"/>
        <v/>
      </c>
      <c r="CP22" s="615" t="str">
        <f t="shared" si="42"/>
        <v/>
      </c>
      <c r="CQ22" s="616" t="str">
        <f t="shared" si="43"/>
        <v/>
      </c>
      <c r="CR22" s="750">
        <f t="shared" si="44"/>
        <v>5</v>
      </c>
      <c r="CS22" s="751">
        <f t="shared" si="45"/>
        <v>5</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46"/>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47"/>
        <v>0</v>
      </c>
      <c r="DO22" s="818">
        <f t="shared" si="48"/>
        <v>0</v>
      </c>
      <c r="DP22" s="822" t="str">
        <f t="shared" si="49"/>
        <v/>
      </c>
      <c r="DQ22" s="822" t="str">
        <f t="shared" si="50"/>
        <v/>
      </c>
      <c r="DR22" s="822" t="str">
        <f t="shared" si="51"/>
        <v/>
      </c>
      <c r="DS22" s="821">
        <f t="shared" si="52"/>
        <v>0</v>
      </c>
      <c r="DT22" s="821">
        <f t="shared" si="53"/>
        <v>0</v>
      </c>
      <c r="DU22" s="821" t="str">
        <f t="shared" si="54"/>
        <v/>
      </c>
      <c r="DV22" s="822" t="str">
        <f t="shared" si="55"/>
        <v/>
      </c>
      <c r="DW22" s="856" t="str">
        <f t="shared" si="56"/>
        <v/>
      </c>
      <c r="DX22" s="1006">
        <f t="shared" si="57"/>
        <v>0</v>
      </c>
      <c r="DY22" s="822">
        <f t="shared" si="58"/>
        <v>0</v>
      </c>
      <c r="DZ22" s="821">
        <f t="shared" si="59"/>
        <v>0</v>
      </c>
      <c r="EA22" s="821" t="str">
        <f t="shared" si="60"/>
        <v/>
      </c>
      <c r="EB22" s="822" t="str">
        <f t="shared" si="61"/>
        <v/>
      </c>
      <c r="EC22" s="856" t="str">
        <f t="shared" si="62"/>
        <v/>
      </c>
      <c r="ED22" s="1006">
        <f t="shared" si="63"/>
        <v>0</v>
      </c>
      <c r="EE22" s="1293" t="str">
        <f t="shared" si="64"/>
        <v/>
      </c>
      <c r="EF22" s="1293" t="str">
        <f t="shared" si="65"/>
        <v/>
      </c>
      <c r="EG22" s="1293" t="str">
        <f t="shared" si="66"/>
        <v/>
      </c>
      <c r="EH22" s="856" t="str">
        <f t="shared" si="67"/>
        <v>ERR</v>
      </c>
      <c r="EI22" s="856" t="str">
        <f t="shared" si="68"/>
        <v>ERR</v>
      </c>
      <c r="EJ22" s="822" t="str">
        <f t="shared" si="69"/>
        <v/>
      </c>
      <c r="EK22" s="822" t="str">
        <f t="shared" si="69"/>
        <v/>
      </c>
      <c r="EL22" s="1293" t="str">
        <f t="shared" si="70"/>
        <v/>
      </c>
      <c r="EM22" s="822" t="str">
        <f t="shared" si="71"/>
        <v/>
      </c>
      <c r="EN22" s="822" t="str">
        <f t="shared" si="72"/>
        <v/>
      </c>
      <c r="EO22" s="856" t="str">
        <f t="shared" si="73"/>
        <v>ERR</v>
      </c>
      <c r="EP22" s="856" t="str">
        <f t="shared" si="74"/>
        <v>ERR</v>
      </c>
      <c r="EQ22" s="1293" t="str">
        <f t="shared" si="75"/>
        <v/>
      </c>
      <c r="ER22" s="822" t="str">
        <f t="shared" si="75"/>
        <v/>
      </c>
      <c r="ES22" s="822" t="str">
        <f t="shared" si="76"/>
        <v/>
      </c>
      <c r="ET22" s="822" t="str">
        <f t="shared" si="77"/>
        <v/>
      </c>
      <c r="EU22" s="829">
        <f t="shared" si="78"/>
        <v>4</v>
      </c>
      <c r="EV22" s="824" t="str">
        <f t="shared" si="79"/>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80"/>
        <v/>
      </c>
      <c r="FA22" s="829" t="str">
        <f>IF(AND(DE22="G", ISBLANK(BW22), ISBLANK(BX22)),VLOOKUP(MIN(BT22:BU22),TblJoistSize!$M$3:$N$10,2),IF(OR(DE22="B", DE22="G"),MIN(BW22:BX22),""))</f>
        <v/>
      </c>
      <c r="FB22" s="829" t="str">
        <f>IF(AND(DE22="G", ISBLANK(BW22), ISBLANK(BX22)),VLOOKUP(MAX(BT22:BU22),TblJoistSize!$M$3:$N$10,2),IF(OR(DE22="B", DE22="G"),MAX(BW22:BX22),""))</f>
        <v/>
      </c>
      <c r="FC22" s="829" t="str">
        <f t="shared" si="81"/>
        <v/>
      </c>
      <c r="FD22" s="821">
        <f t="shared" si="107"/>
        <v>0</v>
      </c>
      <c r="FE22" s="821">
        <f t="shared" si="82"/>
        <v>0</v>
      </c>
      <c r="FF22" s="821">
        <f t="shared" si="83"/>
        <v>0</v>
      </c>
      <c r="FG22" s="821" t="str">
        <f t="shared" si="84"/>
        <v/>
      </c>
      <c r="FH22" s="822" t="str">
        <f t="shared" si="85"/>
        <v/>
      </c>
      <c r="FI22" s="821">
        <f t="shared" si="108"/>
        <v>0</v>
      </c>
      <c r="FJ22" s="821">
        <f t="shared" si="86"/>
        <v>0</v>
      </c>
      <c r="FK22" s="821">
        <f t="shared" si="87"/>
        <v>0</v>
      </c>
      <c r="FL22" s="821" t="str">
        <f t="shared" si="88"/>
        <v/>
      </c>
      <c r="FM22" s="822" t="str">
        <f t="shared" si="89"/>
        <v/>
      </c>
      <c r="FN22" s="822" t="e">
        <f t="shared" si="90"/>
        <v>#VALUE!</v>
      </c>
      <c r="FO22" s="940" t="e">
        <f t="shared" si="91"/>
        <v>#VALUE!</v>
      </c>
      <c r="FP22" s="940" t="e">
        <f t="shared" si="92"/>
        <v>#VALUE!</v>
      </c>
      <c r="FQ22" s="830" t="e">
        <f t="shared" si="93"/>
        <v>#VALUE!</v>
      </c>
      <c r="FR22" s="831" t="e">
        <f t="shared" si="94"/>
        <v>#VALUE!</v>
      </c>
      <c r="FS22" s="832" t="str">
        <f t="shared" si="95"/>
        <v/>
      </c>
      <c r="FT22" s="833" t="str">
        <f t="shared" si="96"/>
        <v/>
      </c>
      <c r="FU22" s="870">
        <f t="shared" si="97"/>
        <v>0</v>
      </c>
      <c r="FV22" s="871">
        <f t="shared" si="98"/>
        <v>0</v>
      </c>
      <c r="GA22" s="1791">
        <v>50</v>
      </c>
      <c r="GB22" s="1792">
        <v>0</v>
      </c>
      <c r="GC22" s="1793">
        <v>-0.25</v>
      </c>
      <c r="GD22" s="1794">
        <v>-0.25</v>
      </c>
      <c r="GE22" s="1795">
        <f t="shared" si="99"/>
        <v>0</v>
      </c>
      <c r="GF22" s="600" t="str">
        <f t="shared" si="100"/>
        <v>J23</v>
      </c>
      <c r="GG22" s="1130">
        <v>0</v>
      </c>
      <c r="GH22" s="1131">
        <v>0</v>
      </c>
      <c r="GI22" s="1130"/>
      <c r="GJ22" s="1131"/>
      <c r="GK22" s="1638">
        <f t="shared" si="101"/>
        <v>599.5</v>
      </c>
      <c r="GL22" s="1636">
        <f t="shared" si="102"/>
        <v>599.5</v>
      </c>
      <c r="GM22" s="1637">
        <f>IF(ABS(GK22-GL22)&gt;='Job Info.'!$L$22,ABS(GK22-GL22),0)</f>
        <v>0</v>
      </c>
      <c r="HA22" s="1269" t="s">
        <v>1453</v>
      </c>
      <c r="HB22" s="1270">
        <v>2</v>
      </c>
      <c r="HC22" s="1270" t="s">
        <v>1592</v>
      </c>
      <c r="HD22" s="1271">
        <v>49</v>
      </c>
      <c r="HE22" s="1272">
        <v>11.5</v>
      </c>
      <c r="HF22" s="1270" t="s">
        <v>116</v>
      </c>
      <c r="HG22" s="1270" t="s">
        <v>116</v>
      </c>
      <c r="HH22" s="1270" t="s">
        <v>116</v>
      </c>
      <c r="HI22" s="1273" t="s">
        <v>116</v>
      </c>
      <c r="HJ22" s="1270" t="s">
        <v>116</v>
      </c>
      <c r="HK22" s="1270" t="s">
        <v>116</v>
      </c>
      <c r="HL22" s="1270">
        <v>5</v>
      </c>
      <c r="HM22" s="1270">
        <v>5</v>
      </c>
      <c r="HN22" s="1270" t="s">
        <v>116</v>
      </c>
      <c r="HO22" s="1270" t="s">
        <v>116</v>
      </c>
      <c r="HP22" s="1270" t="s">
        <v>116</v>
      </c>
      <c r="HQ22" s="1273" t="s">
        <v>116</v>
      </c>
      <c r="HR22" s="1270" t="s">
        <v>116</v>
      </c>
      <c r="HS22" s="1270" t="s">
        <v>116</v>
      </c>
      <c r="HT22" s="1270">
        <v>0</v>
      </c>
      <c r="HU22" s="1270">
        <v>2.25</v>
      </c>
      <c r="HV22" s="1270">
        <v>0</v>
      </c>
      <c r="HW22" s="1272">
        <v>2.25</v>
      </c>
      <c r="HX22" s="1272">
        <v>4</v>
      </c>
      <c r="HY22" s="1272" t="s">
        <v>116</v>
      </c>
      <c r="HZ22" s="1272" t="s">
        <v>116</v>
      </c>
      <c r="IA22" s="1272" t="s">
        <v>1662</v>
      </c>
      <c r="IB22" s="1272"/>
      <c r="IC22" s="1272"/>
      <c r="ID22" s="1272"/>
      <c r="IE22" s="1272"/>
      <c r="IF22" s="1274"/>
    </row>
    <row r="23" spans="1:240" ht="12.6" customHeight="1" x14ac:dyDescent="0.25">
      <c r="A23" s="1448" t="s">
        <v>1454</v>
      </c>
      <c r="B23" s="1681">
        <v>2</v>
      </c>
      <c r="C23" s="1449" t="s">
        <v>1592</v>
      </c>
      <c r="D23" s="1705">
        <v>49</v>
      </c>
      <c r="E23" s="1706">
        <v>11.5</v>
      </c>
      <c r="F23" s="1714" t="str">
        <f t="shared" si="1"/>
        <v/>
      </c>
      <c r="G23" s="1709" t="str">
        <f t="shared" si="2"/>
        <v/>
      </c>
      <c r="H23" s="1779" t="str">
        <f t="shared" si="3"/>
        <v/>
      </c>
      <c r="I23" s="1705" t="str">
        <f t="shared" si="4"/>
        <v/>
      </c>
      <c r="J23" s="1709" t="str">
        <f t="shared" si="5"/>
        <v/>
      </c>
      <c r="K23" s="1796" t="str">
        <f t="shared" si="6"/>
        <v/>
      </c>
      <c r="L23" s="1712">
        <v>5</v>
      </c>
      <c r="M23" s="1713">
        <v>5</v>
      </c>
      <c r="N23" s="1708" t="str">
        <f t="shared" si="103"/>
        <v/>
      </c>
      <c r="O23" s="1709" t="str">
        <f t="shared" si="104"/>
        <v/>
      </c>
      <c r="P23" s="1710" t="str">
        <f t="shared" si="105"/>
        <v/>
      </c>
      <c r="Q23" s="1705" t="str">
        <f t="shared" si="7"/>
        <v/>
      </c>
      <c r="R23" s="1709" t="str">
        <f t="shared" si="8"/>
        <v/>
      </c>
      <c r="S23" s="1711" t="str">
        <f t="shared" si="9"/>
        <v/>
      </c>
      <c r="T23" s="1714">
        <v>0</v>
      </c>
      <c r="U23" s="1709">
        <v>2.25</v>
      </c>
      <c r="V23" s="1705">
        <v>0</v>
      </c>
      <c r="W23" s="1709">
        <v>2.25</v>
      </c>
      <c r="X23" s="1713">
        <v>4</v>
      </c>
      <c r="Y23" s="1781" t="str">
        <f t="shared" si="10"/>
        <v/>
      </c>
      <c r="Z23" s="1782" t="str">
        <f t="shared" si="11"/>
        <v/>
      </c>
      <c r="AA23" s="1783" t="s">
        <v>1725</v>
      </c>
      <c r="AB23" s="1413"/>
      <c r="AC23" s="964" t="b">
        <v>0</v>
      </c>
      <c r="AD23" s="441">
        <f t="shared" si="12"/>
        <v>0</v>
      </c>
      <c r="AE23" s="442">
        <f t="shared" si="13"/>
        <v>2</v>
      </c>
      <c r="AF23" s="442">
        <f t="shared" si="14"/>
        <v>0</v>
      </c>
      <c r="AG23" s="442">
        <f t="shared" si="15"/>
        <v>0</v>
      </c>
      <c r="AH23" s="443">
        <f t="shared" si="16"/>
        <v>0</v>
      </c>
      <c r="AI23" s="444" t="b">
        <v>0</v>
      </c>
      <c r="AJ23" s="238">
        <f t="shared" si="17"/>
        <v>32</v>
      </c>
      <c r="AK23" s="830" t="str">
        <f t="shared" si="18"/>
        <v>LH</v>
      </c>
      <c r="AL23" s="945" t="str">
        <f t="shared" si="19"/>
        <v/>
      </c>
      <c r="AM23" s="830">
        <f t="shared" si="20"/>
        <v>305</v>
      </c>
      <c r="AN23" s="830">
        <f t="shared" si="21"/>
        <v>180</v>
      </c>
      <c r="AO23" s="830" t="str">
        <f t="shared" si="22"/>
        <v/>
      </c>
      <c r="AP23" s="830" t="b">
        <f>IF(ISERROR(AJ23),FALSE,IF(OR(AJ23=0,ISERROR(AL23),ISERROR(AM23),ISERROR(AN23),ISERROR(AO23)),FALSE,IF(AL23&lt;&gt;"",IF(ISERROR(VLOOKUP(SUBSTITUTE(SUBSTITUTE(C23,"R",""),"A",""),TblJoistSize!$A:$A,1,FALSE)),FALSE,TRUE),TRUE)))</f>
        <v>1</v>
      </c>
      <c r="AQ23" s="1038">
        <f t="shared" si="23"/>
        <v>6</v>
      </c>
      <c r="AR23" s="945" t="b">
        <f t="shared" si="24"/>
        <v>1</v>
      </c>
      <c r="AS23" s="1038">
        <f t="shared" si="25"/>
        <v>6</v>
      </c>
      <c r="AT23" s="945" t="b">
        <f t="shared" si="26"/>
        <v>1</v>
      </c>
      <c r="AU23" s="946" t="str">
        <f t="shared" si="27"/>
        <v>LH</v>
      </c>
      <c r="AV23" s="830" t="str">
        <f t="shared" si="28"/>
        <v/>
      </c>
      <c r="AW23" s="830" t="str">
        <f t="shared" si="29"/>
        <v>LH</v>
      </c>
      <c r="AX23" s="830" t="str">
        <f t="shared" si="106"/>
        <v>J24</v>
      </c>
      <c r="AY23" s="1039" t="b">
        <f t="shared" si="30"/>
        <v>0</v>
      </c>
      <c r="AZ23" s="856" t="b">
        <f t="shared" si="31"/>
        <v>0</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32"/>
        <v/>
      </c>
      <c r="BR23" s="910"/>
      <c r="BS23" s="672"/>
      <c r="BT23" s="713"/>
      <c r="BU23" s="714"/>
      <c r="BV23" s="1625"/>
      <c r="BW23" s="713"/>
      <c r="BX23" s="714"/>
      <c r="BY23" s="715"/>
      <c r="BZ23" s="716"/>
      <c r="CA23" s="680" t="str">
        <f>IF(ISERROR(DE23),"",IF(DE23="","",IF(VLOOKUP(BS23,SectInfo!$B:$N,10,FALSE)="","","X")))</f>
        <v/>
      </c>
      <c r="CB23" s="738"/>
      <c r="CC23" s="1551" t="str">
        <f t="shared" si="33"/>
        <v/>
      </c>
      <c r="CD23" s="910"/>
      <c r="CE23" s="717"/>
      <c r="CF23" s="736"/>
      <c r="CG23" s="737"/>
      <c r="CH23" s="591" t="str">
        <f t="shared" si="34"/>
        <v/>
      </c>
      <c r="CI23" s="592" t="str">
        <f t="shared" si="35"/>
        <v/>
      </c>
      <c r="CJ23" s="593" t="str">
        <f t="shared" si="36"/>
        <v/>
      </c>
      <c r="CK23" s="594" t="str">
        <f t="shared" si="37"/>
        <v/>
      </c>
      <c r="CL23" s="595" t="str">
        <f t="shared" si="38"/>
        <v/>
      </c>
      <c r="CM23" s="596" t="str">
        <f t="shared" si="39"/>
        <v/>
      </c>
      <c r="CN23" s="597" t="str">
        <f t="shared" si="40"/>
        <v/>
      </c>
      <c r="CO23" s="598" t="str">
        <f t="shared" si="41"/>
        <v/>
      </c>
      <c r="CP23" s="615" t="str">
        <f t="shared" si="42"/>
        <v/>
      </c>
      <c r="CQ23" s="616" t="str">
        <f t="shared" si="43"/>
        <v/>
      </c>
      <c r="CR23" s="750">
        <f t="shared" si="44"/>
        <v>5</v>
      </c>
      <c r="CS23" s="751">
        <f t="shared" si="45"/>
        <v>5</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46"/>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47"/>
        <v>0</v>
      </c>
      <c r="DO23" s="818">
        <f t="shared" si="48"/>
        <v>0</v>
      </c>
      <c r="DP23" s="822" t="str">
        <f t="shared" si="49"/>
        <v/>
      </c>
      <c r="DQ23" s="822" t="str">
        <f t="shared" si="50"/>
        <v/>
      </c>
      <c r="DR23" s="822" t="str">
        <f t="shared" si="51"/>
        <v/>
      </c>
      <c r="DS23" s="821">
        <f t="shared" si="52"/>
        <v>0</v>
      </c>
      <c r="DT23" s="821">
        <f t="shared" si="53"/>
        <v>0</v>
      </c>
      <c r="DU23" s="821" t="str">
        <f t="shared" si="54"/>
        <v/>
      </c>
      <c r="DV23" s="822" t="str">
        <f t="shared" si="55"/>
        <v/>
      </c>
      <c r="DW23" s="856" t="str">
        <f t="shared" si="56"/>
        <v/>
      </c>
      <c r="DX23" s="1006">
        <f t="shared" si="57"/>
        <v>0</v>
      </c>
      <c r="DY23" s="822">
        <f t="shared" si="58"/>
        <v>0</v>
      </c>
      <c r="DZ23" s="821">
        <f t="shared" si="59"/>
        <v>0</v>
      </c>
      <c r="EA23" s="821" t="str">
        <f t="shared" si="60"/>
        <v/>
      </c>
      <c r="EB23" s="822" t="str">
        <f t="shared" si="61"/>
        <v/>
      </c>
      <c r="EC23" s="856" t="str">
        <f t="shared" si="62"/>
        <v/>
      </c>
      <c r="ED23" s="1006">
        <f t="shared" si="63"/>
        <v>0</v>
      </c>
      <c r="EE23" s="1293" t="str">
        <f t="shared" si="64"/>
        <v/>
      </c>
      <c r="EF23" s="1293" t="str">
        <f t="shared" si="65"/>
        <v/>
      </c>
      <c r="EG23" s="1293" t="str">
        <f t="shared" si="66"/>
        <v/>
      </c>
      <c r="EH23" s="856" t="str">
        <f t="shared" si="67"/>
        <v>ERR</v>
      </c>
      <c r="EI23" s="856" t="str">
        <f t="shared" si="68"/>
        <v>ERR</v>
      </c>
      <c r="EJ23" s="822" t="str">
        <f t="shared" si="69"/>
        <v/>
      </c>
      <c r="EK23" s="822" t="str">
        <f t="shared" si="69"/>
        <v/>
      </c>
      <c r="EL23" s="1293" t="str">
        <f t="shared" si="70"/>
        <v/>
      </c>
      <c r="EM23" s="822" t="str">
        <f t="shared" si="71"/>
        <v/>
      </c>
      <c r="EN23" s="822" t="str">
        <f t="shared" si="72"/>
        <v/>
      </c>
      <c r="EO23" s="856" t="str">
        <f t="shared" si="73"/>
        <v>ERR</v>
      </c>
      <c r="EP23" s="856" t="str">
        <f t="shared" si="74"/>
        <v>ERR</v>
      </c>
      <c r="EQ23" s="1293" t="str">
        <f t="shared" si="75"/>
        <v/>
      </c>
      <c r="ER23" s="822" t="str">
        <f t="shared" si="75"/>
        <v/>
      </c>
      <c r="ES23" s="822" t="str">
        <f t="shared" si="76"/>
        <v/>
      </c>
      <c r="ET23" s="822" t="str">
        <f t="shared" si="77"/>
        <v/>
      </c>
      <c r="EU23" s="829">
        <f t="shared" si="78"/>
        <v>4</v>
      </c>
      <c r="EV23" s="824" t="str">
        <f t="shared" si="79"/>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80"/>
        <v/>
      </c>
      <c r="FA23" s="829" t="str">
        <f>IF(AND(DE23="G", ISBLANK(BW23), ISBLANK(BX23)),VLOOKUP(MIN(BT23:BU23),TblJoistSize!$M$3:$N$10,2),IF(OR(DE23="B", DE23="G"),MIN(BW23:BX23),""))</f>
        <v/>
      </c>
      <c r="FB23" s="829" t="str">
        <f>IF(AND(DE23="G", ISBLANK(BW23), ISBLANK(BX23)),VLOOKUP(MAX(BT23:BU23),TblJoistSize!$M$3:$N$10,2),IF(OR(DE23="B", DE23="G"),MAX(BW23:BX23),""))</f>
        <v/>
      </c>
      <c r="FC23" s="829" t="str">
        <f t="shared" si="81"/>
        <v/>
      </c>
      <c r="FD23" s="821">
        <f t="shared" si="107"/>
        <v>0</v>
      </c>
      <c r="FE23" s="821">
        <f t="shared" si="82"/>
        <v>0</v>
      </c>
      <c r="FF23" s="821">
        <f t="shared" si="83"/>
        <v>0</v>
      </c>
      <c r="FG23" s="821" t="str">
        <f t="shared" si="84"/>
        <v/>
      </c>
      <c r="FH23" s="822" t="str">
        <f t="shared" si="85"/>
        <v/>
      </c>
      <c r="FI23" s="821">
        <f t="shared" si="108"/>
        <v>0</v>
      </c>
      <c r="FJ23" s="821">
        <f t="shared" si="86"/>
        <v>0</v>
      </c>
      <c r="FK23" s="821">
        <f t="shared" si="87"/>
        <v>0</v>
      </c>
      <c r="FL23" s="821" t="str">
        <f t="shared" si="88"/>
        <v/>
      </c>
      <c r="FM23" s="822" t="str">
        <f t="shared" si="89"/>
        <v/>
      </c>
      <c r="FN23" s="822" t="e">
        <f t="shared" si="90"/>
        <v>#VALUE!</v>
      </c>
      <c r="FO23" s="940" t="e">
        <f t="shared" si="91"/>
        <v>#VALUE!</v>
      </c>
      <c r="FP23" s="940" t="e">
        <f t="shared" si="92"/>
        <v>#VALUE!</v>
      </c>
      <c r="FQ23" s="830" t="e">
        <f t="shared" si="93"/>
        <v>#VALUE!</v>
      </c>
      <c r="FR23" s="831" t="e">
        <f t="shared" si="94"/>
        <v>#VALUE!</v>
      </c>
      <c r="FS23" s="832" t="str">
        <f t="shared" si="95"/>
        <v/>
      </c>
      <c r="FT23" s="833" t="str">
        <f t="shared" si="96"/>
        <v/>
      </c>
      <c r="FU23" s="870">
        <f t="shared" si="97"/>
        <v>0</v>
      </c>
      <c r="FV23" s="871">
        <f t="shared" si="98"/>
        <v>0</v>
      </c>
      <c r="GA23" s="1791">
        <v>50</v>
      </c>
      <c r="GB23" s="1792">
        <v>0</v>
      </c>
      <c r="GC23" s="1793">
        <v>-0.25</v>
      </c>
      <c r="GD23" s="1794">
        <v>-0.25</v>
      </c>
      <c r="GE23" s="1795">
        <f t="shared" si="99"/>
        <v>0</v>
      </c>
      <c r="GF23" s="600" t="str">
        <f t="shared" si="100"/>
        <v>J24</v>
      </c>
      <c r="GG23" s="1130">
        <v>0</v>
      </c>
      <c r="GH23" s="1131">
        <v>0</v>
      </c>
      <c r="GI23" s="1130"/>
      <c r="GJ23" s="1131"/>
      <c r="GK23" s="1638">
        <f t="shared" si="101"/>
        <v>599.5</v>
      </c>
      <c r="GL23" s="1636">
        <f t="shared" si="102"/>
        <v>599.5</v>
      </c>
      <c r="GM23" s="1637">
        <f>IF(ABS(GK23-GL23)&gt;='Job Info.'!$L$22,ABS(GK23-GL23),0)</f>
        <v>0</v>
      </c>
      <c r="HA23" s="1269" t="s">
        <v>1454</v>
      </c>
      <c r="HB23" s="1270">
        <v>2</v>
      </c>
      <c r="HC23" s="1270" t="s">
        <v>1592</v>
      </c>
      <c r="HD23" s="1271">
        <v>49</v>
      </c>
      <c r="HE23" s="1272">
        <v>11.5</v>
      </c>
      <c r="HF23" s="1270" t="s">
        <v>116</v>
      </c>
      <c r="HG23" s="1270" t="s">
        <v>116</v>
      </c>
      <c r="HH23" s="1270" t="s">
        <v>116</v>
      </c>
      <c r="HI23" s="1273" t="s">
        <v>116</v>
      </c>
      <c r="HJ23" s="1270" t="s">
        <v>116</v>
      </c>
      <c r="HK23" s="1270" t="s">
        <v>116</v>
      </c>
      <c r="HL23" s="1270">
        <v>5</v>
      </c>
      <c r="HM23" s="1270">
        <v>5</v>
      </c>
      <c r="HN23" s="1270" t="s">
        <v>116</v>
      </c>
      <c r="HO23" s="1270" t="s">
        <v>116</v>
      </c>
      <c r="HP23" s="1270" t="s">
        <v>116</v>
      </c>
      <c r="HQ23" s="1273" t="s">
        <v>116</v>
      </c>
      <c r="HR23" s="1270" t="s">
        <v>116</v>
      </c>
      <c r="HS23" s="1270" t="s">
        <v>116</v>
      </c>
      <c r="HT23" s="1270">
        <v>0</v>
      </c>
      <c r="HU23" s="1270">
        <v>2.25</v>
      </c>
      <c r="HV23" s="1270">
        <v>0</v>
      </c>
      <c r="HW23" s="1272">
        <v>2.25</v>
      </c>
      <c r="HX23" s="1272">
        <v>4</v>
      </c>
      <c r="HY23" s="1272" t="s">
        <v>116</v>
      </c>
      <c r="HZ23" s="1272" t="s">
        <v>116</v>
      </c>
      <c r="IA23" s="1272" t="s">
        <v>1663</v>
      </c>
      <c r="IB23" s="1272"/>
      <c r="IC23" s="1272"/>
      <c r="ID23" s="1272"/>
      <c r="IE23" s="1272"/>
      <c r="IF23" s="1274"/>
    </row>
    <row r="24" spans="1:240" ht="12.6" customHeight="1" x14ac:dyDescent="0.25">
      <c r="A24" s="1448" t="s">
        <v>1455</v>
      </c>
      <c r="B24" s="1681">
        <v>136</v>
      </c>
      <c r="C24" s="1449" t="s">
        <v>1592</v>
      </c>
      <c r="D24" s="1705">
        <v>49</v>
      </c>
      <c r="E24" s="1706">
        <v>11.5</v>
      </c>
      <c r="F24" s="1714" t="str">
        <f t="shared" si="1"/>
        <v/>
      </c>
      <c r="G24" s="1709" t="str">
        <f t="shared" si="2"/>
        <v/>
      </c>
      <c r="H24" s="1779" t="str">
        <f t="shared" si="3"/>
        <v/>
      </c>
      <c r="I24" s="1705" t="str">
        <f t="shared" si="4"/>
        <v/>
      </c>
      <c r="J24" s="1709" t="str">
        <f t="shared" si="5"/>
        <v/>
      </c>
      <c r="K24" s="1796" t="str">
        <f t="shared" si="6"/>
        <v/>
      </c>
      <c r="L24" s="1712">
        <v>5</v>
      </c>
      <c r="M24" s="1713">
        <v>5</v>
      </c>
      <c r="N24" s="1708" t="str">
        <f t="shared" si="103"/>
        <v/>
      </c>
      <c r="O24" s="1709" t="str">
        <f t="shared" si="104"/>
        <v/>
      </c>
      <c r="P24" s="1710" t="str">
        <f t="shared" si="105"/>
        <v/>
      </c>
      <c r="Q24" s="1705" t="str">
        <f t="shared" si="7"/>
        <v/>
      </c>
      <c r="R24" s="1709" t="str">
        <f t="shared" si="8"/>
        <v/>
      </c>
      <c r="S24" s="1711" t="str">
        <f t="shared" si="9"/>
        <v/>
      </c>
      <c r="T24" s="1714">
        <v>0</v>
      </c>
      <c r="U24" s="1709">
        <v>2.25</v>
      </c>
      <c r="V24" s="1705">
        <v>0</v>
      </c>
      <c r="W24" s="1709">
        <v>2.25</v>
      </c>
      <c r="X24" s="1713">
        <v>4</v>
      </c>
      <c r="Y24" s="1781" t="str">
        <f t="shared" si="10"/>
        <v/>
      </c>
      <c r="Z24" s="1782" t="str">
        <f t="shared" si="11"/>
        <v/>
      </c>
      <c r="AA24" s="1783" t="s">
        <v>1726</v>
      </c>
      <c r="AB24" s="1413"/>
      <c r="AC24" s="964" t="b">
        <v>0</v>
      </c>
      <c r="AD24" s="441">
        <f t="shared" si="12"/>
        <v>0</v>
      </c>
      <c r="AE24" s="442">
        <f t="shared" si="13"/>
        <v>136</v>
      </c>
      <c r="AF24" s="442">
        <f t="shared" si="14"/>
        <v>0</v>
      </c>
      <c r="AG24" s="442">
        <f t="shared" si="15"/>
        <v>0</v>
      </c>
      <c r="AH24" s="443">
        <f t="shared" si="16"/>
        <v>0</v>
      </c>
      <c r="AI24" s="444" t="b">
        <v>0</v>
      </c>
      <c r="AJ24" s="238">
        <f t="shared" si="17"/>
        <v>32</v>
      </c>
      <c r="AK24" s="830" t="str">
        <f t="shared" si="18"/>
        <v>LH</v>
      </c>
      <c r="AL24" s="945" t="str">
        <f t="shared" si="19"/>
        <v/>
      </c>
      <c r="AM24" s="830">
        <f t="shared" si="20"/>
        <v>305</v>
      </c>
      <c r="AN24" s="830">
        <f t="shared" si="21"/>
        <v>180</v>
      </c>
      <c r="AO24" s="830" t="str">
        <f t="shared" si="22"/>
        <v/>
      </c>
      <c r="AP24" s="830" t="b">
        <f>IF(ISERROR(AJ24),FALSE,IF(OR(AJ24=0,ISERROR(AL24),ISERROR(AM24),ISERROR(AN24),ISERROR(AO24)),FALSE,IF(AL24&lt;&gt;"",IF(ISERROR(VLOOKUP(SUBSTITUTE(SUBSTITUTE(C24,"R",""),"A",""),TblJoistSize!$A:$A,1,FALSE)),FALSE,TRUE),TRUE)))</f>
        <v>1</v>
      </c>
      <c r="AQ24" s="1038">
        <f t="shared" si="23"/>
        <v>6</v>
      </c>
      <c r="AR24" s="945" t="b">
        <f t="shared" si="24"/>
        <v>1</v>
      </c>
      <c r="AS24" s="1038">
        <f t="shared" si="25"/>
        <v>6</v>
      </c>
      <c r="AT24" s="945" t="b">
        <f t="shared" si="26"/>
        <v>1</v>
      </c>
      <c r="AU24" s="946" t="str">
        <f t="shared" si="27"/>
        <v>LH</v>
      </c>
      <c r="AV24" s="830" t="str">
        <f t="shared" si="28"/>
        <v/>
      </c>
      <c r="AW24" s="830" t="str">
        <f t="shared" si="29"/>
        <v>LH</v>
      </c>
      <c r="AX24" s="830" t="str">
        <f t="shared" si="106"/>
        <v>J25</v>
      </c>
      <c r="AY24" s="1039" t="b">
        <f t="shared" si="30"/>
        <v>0</v>
      </c>
      <c r="AZ24" s="856" t="b">
        <f t="shared" si="31"/>
        <v>0</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32"/>
        <v/>
      </c>
      <c r="BR24" s="910"/>
      <c r="BS24" s="672"/>
      <c r="BT24" s="713"/>
      <c r="BU24" s="714"/>
      <c r="BV24" s="1625"/>
      <c r="BW24" s="713"/>
      <c r="BX24" s="714"/>
      <c r="BY24" s="715"/>
      <c r="BZ24" s="716"/>
      <c r="CA24" s="680" t="str">
        <f>IF(ISERROR(DE24),"",IF(DE24="","",IF(VLOOKUP(BS24,SectInfo!$B:$N,10,FALSE)="","","X")))</f>
        <v/>
      </c>
      <c r="CB24" s="738"/>
      <c r="CC24" s="1551" t="str">
        <f t="shared" si="33"/>
        <v/>
      </c>
      <c r="CD24" s="910"/>
      <c r="CE24" s="717"/>
      <c r="CF24" s="736"/>
      <c r="CG24" s="737"/>
      <c r="CH24" s="591" t="str">
        <f t="shared" si="34"/>
        <v/>
      </c>
      <c r="CI24" s="592" t="str">
        <f t="shared" si="35"/>
        <v/>
      </c>
      <c r="CJ24" s="593" t="str">
        <f t="shared" si="36"/>
        <v/>
      </c>
      <c r="CK24" s="594" t="str">
        <f t="shared" si="37"/>
        <v/>
      </c>
      <c r="CL24" s="595" t="str">
        <f t="shared" si="38"/>
        <v/>
      </c>
      <c r="CM24" s="596" t="str">
        <f t="shared" si="39"/>
        <v/>
      </c>
      <c r="CN24" s="597" t="str">
        <f t="shared" si="40"/>
        <v/>
      </c>
      <c r="CO24" s="598" t="str">
        <f t="shared" si="41"/>
        <v/>
      </c>
      <c r="CP24" s="615" t="str">
        <f t="shared" si="42"/>
        <v/>
      </c>
      <c r="CQ24" s="616" t="str">
        <f t="shared" si="43"/>
        <v/>
      </c>
      <c r="CR24" s="750">
        <f t="shared" si="44"/>
        <v>5</v>
      </c>
      <c r="CS24" s="751">
        <f t="shared" si="45"/>
        <v>5</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46"/>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47"/>
        <v>0</v>
      </c>
      <c r="DO24" s="818">
        <f t="shared" si="48"/>
        <v>0</v>
      </c>
      <c r="DP24" s="822" t="str">
        <f t="shared" si="49"/>
        <v/>
      </c>
      <c r="DQ24" s="822" t="str">
        <f t="shared" si="50"/>
        <v/>
      </c>
      <c r="DR24" s="822" t="str">
        <f t="shared" si="51"/>
        <v/>
      </c>
      <c r="DS24" s="821">
        <f t="shared" si="52"/>
        <v>0</v>
      </c>
      <c r="DT24" s="821">
        <f t="shared" si="53"/>
        <v>0</v>
      </c>
      <c r="DU24" s="821" t="str">
        <f t="shared" si="54"/>
        <v/>
      </c>
      <c r="DV24" s="822" t="str">
        <f t="shared" si="55"/>
        <v/>
      </c>
      <c r="DW24" s="856" t="str">
        <f t="shared" si="56"/>
        <v/>
      </c>
      <c r="DX24" s="1006">
        <f t="shared" si="57"/>
        <v>0</v>
      </c>
      <c r="DY24" s="822">
        <f t="shared" si="58"/>
        <v>0</v>
      </c>
      <c r="DZ24" s="821">
        <f t="shared" si="59"/>
        <v>0</v>
      </c>
      <c r="EA24" s="821" t="str">
        <f t="shared" si="60"/>
        <v/>
      </c>
      <c r="EB24" s="822" t="str">
        <f t="shared" si="61"/>
        <v/>
      </c>
      <c r="EC24" s="856" t="str">
        <f t="shared" si="62"/>
        <v/>
      </c>
      <c r="ED24" s="1006">
        <f t="shared" si="63"/>
        <v>0</v>
      </c>
      <c r="EE24" s="1293" t="str">
        <f t="shared" si="64"/>
        <v/>
      </c>
      <c r="EF24" s="1293" t="str">
        <f t="shared" si="65"/>
        <v/>
      </c>
      <c r="EG24" s="1293" t="str">
        <f t="shared" si="66"/>
        <v/>
      </c>
      <c r="EH24" s="856" t="str">
        <f t="shared" si="67"/>
        <v>ERR</v>
      </c>
      <c r="EI24" s="856" t="str">
        <f t="shared" si="68"/>
        <v>ERR</v>
      </c>
      <c r="EJ24" s="822" t="str">
        <f t="shared" si="69"/>
        <v/>
      </c>
      <c r="EK24" s="822" t="str">
        <f t="shared" si="69"/>
        <v/>
      </c>
      <c r="EL24" s="1293" t="str">
        <f t="shared" si="70"/>
        <v/>
      </c>
      <c r="EM24" s="822" t="str">
        <f t="shared" si="71"/>
        <v/>
      </c>
      <c r="EN24" s="822" t="str">
        <f t="shared" si="72"/>
        <v/>
      </c>
      <c r="EO24" s="856" t="str">
        <f t="shared" si="73"/>
        <v>ERR</v>
      </c>
      <c r="EP24" s="856" t="str">
        <f t="shared" si="74"/>
        <v>ERR</v>
      </c>
      <c r="EQ24" s="1293" t="str">
        <f t="shared" si="75"/>
        <v/>
      </c>
      <c r="ER24" s="822" t="str">
        <f t="shared" si="75"/>
        <v/>
      </c>
      <c r="ES24" s="822" t="str">
        <f t="shared" si="76"/>
        <v/>
      </c>
      <c r="ET24" s="822" t="str">
        <f t="shared" si="77"/>
        <v/>
      </c>
      <c r="EU24" s="829">
        <f t="shared" si="78"/>
        <v>4</v>
      </c>
      <c r="EV24" s="824" t="str">
        <f t="shared" si="79"/>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80"/>
        <v/>
      </c>
      <c r="FA24" s="829" t="str">
        <f>IF(AND(DE24="G", ISBLANK(BW24), ISBLANK(BX24)),VLOOKUP(MIN(BT24:BU24),TblJoistSize!$M$3:$N$10,2),IF(OR(DE24="B", DE24="G"),MIN(BW24:BX24),""))</f>
        <v/>
      </c>
      <c r="FB24" s="829" t="str">
        <f>IF(AND(DE24="G", ISBLANK(BW24), ISBLANK(BX24)),VLOOKUP(MAX(BT24:BU24),TblJoistSize!$M$3:$N$10,2),IF(OR(DE24="B", DE24="G"),MAX(BW24:BX24),""))</f>
        <v/>
      </c>
      <c r="FC24" s="829" t="str">
        <f t="shared" si="81"/>
        <v/>
      </c>
      <c r="FD24" s="821">
        <f t="shared" si="107"/>
        <v>0</v>
      </c>
      <c r="FE24" s="821">
        <f t="shared" si="82"/>
        <v>0</v>
      </c>
      <c r="FF24" s="821">
        <f t="shared" si="83"/>
        <v>0</v>
      </c>
      <c r="FG24" s="821" t="str">
        <f t="shared" si="84"/>
        <v/>
      </c>
      <c r="FH24" s="822" t="str">
        <f t="shared" si="85"/>
        <v/>
      </c>
      <c r="FI24" s="821">
        <f t="shared" si="108"/>
        <v>0</v>
      </c>
      <c r="FJ24" s="821">
        <f t="shared" si="86"/>
        <v>0</v>
      </c>
      <c r="FK24" s="821">
        <f t="shared" si="87"/>
        <v>0</v>
      </c>
      <c r="FL24" s="821" t="str">
        <f t="shared" si="88"/>
        <v/>
      </c>
      <c r="FM24" s="822" t="str">
        <f t="shared" si="89"/>
        <v/>
      </c>
      <c r="FN24" s="822" t="e">
        <f t="shared" si="90"/>
        <v>#VALUE!</v>
      </c>
      <c r="FO24" s="940" t="e">
        <f t="shared" si="91"/>
        <v>#VALUE!</v>
      </c>
      <c r="FP24" s="940" t="e">
        <f t="shared" si="92"/>
        <v>#VALUE!</v>
      </c>
      <c r="FQ24" s="830" t="e">
        <f t="shared" si="93"/>
        <v>#VALUE!</v>
      </c>
      <c r="FR24" s="831" t="e">
        <f t="shared" si="94"/>
        <v>#VALUE!</v>
      </c>
      <c r="FS24" s="832" t="str">
        <f t="shared" si="95"/>
        <v/>
      </c>
      <c r="FT24" s="833" t="str">
        <f t="shared" si="96"/>
        <v/>
      </c>
      <c r="FU24" s="870">
        <f t="shared" si="97"/>
        <v>0</v>
      </c>
      <c r="FV24" s="871">
        <f t="shared" si="98"/>
        <v>0</v>
      </c>
      <c r="GA24" s="1791">
        <v>50</v>
      </c>
      <c r="GB24" s="1792">
        <v>0</v>
      </c>
      <c r="GC24" s="1793">
        <v>-0.25</v>
      </c>
      <c r="GD24" s="1794">
        <v>-0.25</v>
      </c>
      <c r="GE24" s="1795">
        <f t="shared" si="99"/>
        <v>0</v>
      </c>
      <c r="GF24" s="600" t="str">
        <f t="shared" si="100"/>
        <v>J25</v>
      </c>
      <c r="GG24" s="1130">
        <v>0</v>
      </c>
      <c r="GH24" s="1131">
        <v>0</v>
      </c>
      <c r="GI24" s="1130"/>
      <c r="GJ24" s="1131"/>
      <c r="GK24" s="1638">
        <f t="shared" si="101"/>
        <v>599.5</v>
      </c>
      <c r="GL24" s="1636">
        <f t="shared" si="102"/>
        <v>599.5</v>
      </c>
      <c r="GM24" s="1637">
        <f>IF(ABS(GK24-GL24)&gt;='Job Info.'!$L$22,ABS(GK24-GL24),0)</f>
        <v>0</v>
      </c>
      <c r="HA24" s="1269" t="s">
        <v>1455</v>
      </c>
      <c r="HB24" s="1270">
        <v>136</v>
      </c>
      <c r="HC24" s="1270" t="s">
        <v>1592</v>
      </c>
      <c r="HD24" s="1271">
        <v>49</v>
      </c>
      <c r="HE24" s="1272">
        <v>11.5</v>
      </c>
      <c r="HF24" s="1270" t="s">
        <v>116</v>
      </c>
      <c r="HG24" s="1270" t="s">
        <v>116</v>
      </c>
      <c r="HH24" s="1270" t="s">
        <v>116</v>
      </c>
      <c r="HI24" s="1273" t="s">
        <v>116</v>
      </c>
      <c r="HJ24" s="1270" t="s">
        <v>116</v>
      </c>
      <c r="HK24" s="1270" t="s">
        <v>116</v>
      </c>
      <c r="HL24" s="1270">
        <v>5</v>
      </c>
      <c r="HM24" s="1270">
        <v>5</v>
      </c>
      <c r="HN24" s="1270" t="s">
        <v>116</v>
      </c>
      <c r="HO24" s="1270" t="s">
        <v>116</v>
      </c>
      <c r="HP24" s="1270" t="s">
        <v>116</v>
      </c>
      <c r="HQ24" s="1273" t="s">
        <v>116</v>
      </c>
      <c r="HR24" s="1270" t="s">
        <v>116</v>
      </c>
      <c r="HS24" s="1270" t="s">
        <v>116</v>
      </c>
      <c r="HT24" s="1270">
        <v>0</v>
      </c>
      <c r="HU24" s="1270">
        <v>2.25</v>
      </c>
      <c r="HV24" s="1270">
        <v>0</v>
      </c>
      <c r="HW24" s="1272">
        <v>2.25</v>
      </c>
      <c r="HX24" s="1272">
        <v>4</v>
      </c>
      <c r="HY24" s="1272" t="s">
        <v>116</v>
      </c>
      <c r="HZ24" s="1272" t="s">
        <v>116</v>
      </c>
      <c r="IA24" s="1272" t="s">
        <v>1664</v>
      </c>
      <c r="IB24" s="1272"/>
      <c r="IC24" s="1272"/>
      <c r="ID24" s="1272"/>
      <c r="IE24" s="1272"/>
      <c r="IF24" s="1274"/>
    </row>
    <row r="25" spans="1:240" ht="12.6" customHeight="1" x14ac:dyDescent="0.25">
      <c r="A25" s="1448" t="s">
        <v>1456</v>
      </c>
      <c r="B25" s="1681">
        <v>16</v>
      </c>
      <c r="C25" s="1449" t="s">
        <v>1592</v>
      </c>
      <c r="D25" s="1705">
        <v>49</v>
      </c>
      <c r="E25" s="1706">
        <v>11.5</v>
      </c>
      <c r="F25" s="1714" t="str">
        <f t="shared" si="1"/>
        <v/>
      </c>
      <c r="G25" s="1709" t="str">
        <f t="shared" si="2"/>
        <v/>
      </c>
      <c r="H25" s="1779" t="str">
        <f t="shared" si="3"/>
        <v/>
      </c>
      <c r="I25" s="1705" t="str">
        <f t="shared" si="4"/>
        <v/>
      </c>
      <c r="J25" s="1709" t="str">
        <f t="shared" si="5"/>
        <v/>
      </c>
      <c r="K25" s="1796" t="str">
        <f t="shared" si="6"/>
        <v/>
      </c>
      <c r="L25" s="1712">
        <v>5</v>
      </c>
      <c r="M25" s="1713">
        <v>5</v>
      </c>
      <c r="N25" s="1708">
        <v>0</v>
      </c>
      <c r="O25" s="1709">
        <v>6.75</v>
      </c>
      <c r="P25" s="1710">
        <v>2</v>
      </c>
      <c r="Q25" s="1705">
        <v>0</v>
      </c>
      <c r="R25" s="1709">
        <v>6.75</v>
      </c>
      <c r="S25" s="1711">
        <v>2</v>
      </c>
      <c r="T25" s="1714">
        <v>0</v>
      </c>
      <c r="U25" s="1709">
        <v>2.25</v>
      </c>
      <c r="V25" s="1705">
        <v>0</v>
      </c>
      <c r="W25" s="1709">
        <v>2.25</v>
      </c>
      <c r="X25" s="1713">
        <v>4</v>
      </c>
      <c r="Y25" s="1781" t="str">
        <f t="shared" si="10"/>
        <v/>
      </c>
      <c r="Z25" s="1782" t="str">
        <f t="shared" si="11"/>
        <v/>
      </c>
      <c r="AA25" s="1783" t="s">
        <v>1727</v>
      </c>
      <c r="AB25" s="1413"/>
      <c r="AC25" s="964" t="b">
        <v>0</v>
      </c>
      <c r="AD25" s="441">
        <f t="shared" si="12"/>
        <v>0</v>
      </c>
      <c r="AE25" s="442">
        <f t="shared" si="13"/>
        <v>16</v>
      </c>
      <c r="AF25" s="442">
        <f t="shared" si="14"/>
        <v>0</v>
      </c>
      <c r="AG25" s="442">
        <f t="shared" si="15"/>
        <v>0</v>
      </c>
      <c r="AH25" s="443">
        <f t="shared" si="16"/>
        <v>0</v>
      </c>
      <c r="AI25" s="444" t="b">
        <v>0</v>
      </c>
      <c r="AJ25" s="238">
        <f t="shared" si="17"/>
        <v>32</v>
      </c>
      <c r="AK25" s="830" t="str">
        <f t="shared" si="18"/>
        <v>LH</v>
      </c>
      <c r="AL25" s="945" t="str">
        <f t="shared" si="19"/>
        <v/>
      </c>
      <c r="AM25" s="830">
        <f t="shared" si="20"/>
        <v>305</v>
      </c>
      <c r="AN25" s="830">
        <f t="shared" si="21"/>
        <v>180</v>
      </c>
      <c r="AO25" s="830" t="str">
        <f t="shared" si="22"/>
        <v/>
      </c>
      <c r="AP25" s="830" t="b">
        <f>IF(ISERROR(AJ25),FALSE,IF(OR(AJ25=0,ISERROR(AL25),ISERROR(AM25),ISERROR(AN25),ISERROR(AO25)),FALSE,IF(AL25&lt;&gt;"",IF(ISERROR(VLOOKUP(SUBSTITUTE(SUBSTITUTE(C25,"R",""),"A",""),TblJoistSize!$A:$A,1,FALSE)),FALSE,TRUE),TRUE)))</f>
        <v>1</v>
      </c>
      <c r="AQ25" s="1038">
        <f t="shared" si="23"/>
        <v>6</v>
      </c>
      <c r="AR25" s="945" t="b">
        <f t="shared" si="24"/>
        <v>1</v>
      </c>
      <c r="AS25" s="1038">
        <f t="shared" si="25"/>
        <v>6</v>
      </c>
      <c r="AT25" s="945" t="b">
        <f t="shared" si="26"/>
        <v>1</v>
      </c>
      <c r="AU25" s="946" t="str">
        <f t="shared" si="27"/>
        <v>LH</v>
      </c>
      <c r="AV25" s="830" t="str">
        <f t="shared" si="28"/>
        <v/>
      </c>
      <c r="AW25" s="830" t="str">
        <f t="shared" si="29"/>
        <v>LH</v>
      </c>
      <c r="AX25" s="830" t="str">
        <f t="shared" si="106"/>
        <v>TJ26</v>
      </c>
      <c r="AY25" s="1039" t="b">
        <f t="shared" si="30"/>
        <v>0</v>
      </c>
      <c r="AZ25" s="856" t="b">
        <f t="shared" si="31"/>
        <v>0</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32"/>
        <v/>
      </c>
      <c r="BR25" s="910"/>
      <c r="BS25" s="672"/>
      <c r="BT25" s="713"/>
      <c r="BU25" s="714"/>
      <c r="BV25" s="1625"/>
      <c r="BW25" s="713"/>
      <c r="BX25" s="714"/>
      <c r="BY25" s="715"/>
      <c r="BZ25" s="716"/>
      <c r="CA25" s="680" t="str">
        <f>IF(ISERROR(DE25),"",IF(DE25="","",IF(VLOOKUP(BS25,SectInfo!$B:$N,10,FALSE)="","","X")))</f>
        <v/>
      </c>
      <c r="CB25" s="738"/>
      <c r="CC25" s="1551" t="str">
        <f t="shared" si="33"/>
        <v/>
      </c>
      <c r="CD25" s="910"/>
      <c r="CE25" s="717"/>
      <c r="CF25" s="736"/>
      <c r="CG25" s="737"/>
      <c r="CH25" s="591" t="str">
        <f t="shared" si="34"/>
        <v/>
      </c>
      <c r="CI25" s="592" t="str">
        <f t="shared" si="35"/>
        <v/>
      </c>
      <c r="CJ25" s="593" t="str">
        <f t="shared" si="36"/>
        <v/>
      </c>
      <c r="CK25" s="594" t="str">
        <f t="shared" si="37"/>
        <v/>
      </c>
      <c r="CL25" s="595" t="str">
        <f t="shared" si="38"/>
        <v/>
      </c>
      <c r="CM25" s="596" t="str">
        <f t="shared" si="39"/>
        <v/>
      </c>
      <c r="CN25" s="597" t="str">
        <f t="shared" si="40"/>
        <v/>
      </c>
      <c r="CO25" s="598" t="str">
        <f t="shared" si="41"/>
        <v/>
      </c>
      <c r="CP25" s="615" t="str">
        <f t="shared" si="42"/>
        <v/>
      </c>
      <c r="CQ25" s="616" t="str">
        <f t="shared" si="43"/>
        <v/>
      </c>
      <c r="CR25" s="750">
        <f t="shared" si="44"/>
        <v>5</v>
      </c>
      <c r="CS25" s="751">
        <f t="shared" si="45"/>
        <v>5</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46"/>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47"/>
        <v>0</v>
      </c>
      <c r="DO25" s="818">
        <f t="shared" si="48"/>
        <v>0</v>
      </c>
      <c r="DP25" s="822" t="str">
        <f t="shared" si="49"/>
        <v/>
      </c>
      <c r="DQ25" s="822" t="str">
        <f t="shared" si="50"/>
        <v/>
      </c>
      <c r="DR25" s="822" t="str">
        <f t="shared" si="51"/>
        <v/>
      </c>
      <c r="DS25" s="821">
        <f t="shared" si="52"/>
        <v>0</v>
      </c>
      <c r="DT25" s="821">
        <f t="shared" si="53"/>
        <v>0</v>
      </c>
      <c r="DU25" s="821" t="str">
        <f t="shared" si="54"/>
        <v/>
      </c>
      <c r="DV25" s="822" t="str">
        <f t="shared" si="55"/>
        <v/>
      </c>
      <c r="DW25" s="856" t="str">
        <f t="shared" si="56"/>
        <v/>
      </c>
      <c r="DX25" s="1006">
        <f t="shared" si="57"/>
        <v>0</v>
      </c>
      <c r="DY25" s="822">
        <f t="shared" si="58"/>
        <v>0</v>
      </c>
      <c r="DZ25" s="821">
        <f t="shared" si="59"/>
        <v>0</v>
      </c>
      <c r="EA25" s="821" t="str">
        <f t="shared" si="60"/>
        <v/>
      </c>
      <c r="EB25" s="822" t="str">
        <f t="shared" si="61"/>
        <v/>
      </c>
      <c r="EC25" s="856" t="str">
        <f t="shared" si="62"/>
        <v/>
      </c>
      <c r="ED25" s="1006">
        <f t="shared" si="63"/>
        <v>0</v>
      </c>
      <c r="EE25" s="1293" t="str">
        <f t="shared" si="64"/>
        <v/>
      </c>
      <c r="EF25" s="1293" t="str">
        <f t="shared" si="65"/>
        <v/>
      </c>
      <c r="EG25" s="1293" t="str">
        <f t="shared" si="66"/>
        <v/>
      </c>
      <c r="EH25" s="856" t="str">
        <f t="shared" si="67"/>
        <v>ERR</v>
      </c>
      <c r="EI25" s="856" t="str">
        <f t="shared" si="68"/>
        <v>ERR</v>
      </c>
      <c r="EJ25" s="822" t="str">
        <f t="shared" si="69"/>
        <v/>
      </c>
      <c r="EK25" s="822" t="str">
        <f t="shared" si="69"/>
        <v/>
      </c>
      <c r="EL25" s="1293" t="str">
        <f t="shared" si="70"/>
        <v/>
      </c>
      <c r="EM25" s="822" t="str">
        <f t="shared" si="71"/>
        <v/>
      </c>
      <c r="EN25" s="822" t="str">
        <f t="shared" si="72"/>
        <v/>
      </c>
      <c r="EO25" s="856" t="str">
        <f t="shared" si="73"/>
        <v>ERR</v>
      </c>
      <c r="EP25" s="856" t="str">
        <f t="shared" si="74"/>
        <v>ERR</v>
      </c>
      <c r="EQ25" s="1293" t="str">
        <f t="shared" si="75"/>
        <v/>
      </c>
      <c r="ER25" s="822" t="str">
        <f t="shared" si="75"/>
        <v/>
      </c>
      <c r="ES25" s="822" t="str">
        <f t="shared" si="76"/>
        <v/>
      </c>
      <c r="ET25" s="822" t="str">
        <f t="shared" si="77"/>
        <v/>
      </c>
      <c r="EU25" s="829">
        <f t="shared" si="78"/>
        <v>4</v>
      </c>
      <c r="EV25" s="824" t="str">
        <f t="shared" si="79"/>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80"/>
        <v/>
      </c>
      <c r="FA25" s="829" t="str">
        <f>IF(AND(DE25="G", ISBLANK(BW25), ISBLANK(BX25)),VLOOKUP(MIN(BT25:BU25),TblJoistSize!$M$3:$N$10,2),IF(OR(DE25="B", DE25="G"),MIN(BW25:BX25),""))</f>
        <v/>
      </c>
      <c r="FB25" s="829" t="str">
        <f>IF(AND(DE25="G", ISBLANK(BW25), ISBLANK(BX25)),VLOOKUP(MAX(BT25:BU25),TblJoistSize!$M$3:$N$10,2),IF(OR(DE25="B", DE25="G"),MAX(BW25:BX25),""))</f>
        <v/>
      </c>
      <c r="FC25" s="829" t="str">
        <f t="shared" si="81"/>
        <v/>
      </c>
      <c r="FD25" s="821">
        <f t="shared" si="107"/>
        <v>0</v>
      </c>
      <c r="FE25" s="821">
        <f t="shared" si="82"/>
        <v>0</v>
      </c>
      <c r="FF25" s="821">
        <f t="shared" si="83"/>
        <v>0</v>
      </c>
      <c r="FG25" s="821" t="str">
        <f t="shared" si="84"/>
        <v/>
      </c>
      <c r="FH25" s="822" t="str">
        <f t="shared" si="85"/>
        <v/>
      </c>
      <c r="FI25" s="821">
        <f t="shared" si="108"/>
        <v>0</v>
      </c>
      <c r="FJ25" s="821">
        <f t="shared" si="86"/>
        <v>0</v>
      </c>
      <c r="FK25" s="821">
        <f t="shared" si="87"/>
        <v>0</v>
      </c>
      <c r="FL25" s="821" t="str">
        <f t="shared" si="88"/>
        <v/>
      </c>
      <c r="FM25" s="822" t="str">
        <f t="shared" si="89"/>
        <v/>
      </c>
      <c r="FN25" s="822" t="e">
        <f t="shared" si="90"/>
        <v>#VALUE!</v>
      </c>
      <c r="FO25" s="940" t="e">
        <f t="shared" si="91"/>
        <v>#VALUE!</v>
      </c>
      <c r="FP25" s="940" t="e">
        <f t="shared" si="92"/>
        <v>#VALUE!</v>
      </c>
      <c r="FQ25" s="830" t="e">
        <f t="shared" si="93"/>
        <v>#VALUE!</v>
      </c>
      <c r="FR25" s="831" t="e">
        <f t="shared" si="94"/>
        <v>#VALUE!</v>
      </c>
      <c r="FS25" s="832" t="str">
        <f t="shared" si="95"/>
        <v/>
      </c>
      <c r="FT25" s="833" t="str">
        <f t="shared" si="96"/>
        <v/>
      </c>
      <c r="FU25" s="870">
        <f t="shared" si="97"/>
        <v>0</v>
      </c>
      <c r="FV25" s="871">
        <f t="shared" si="98"/>
        <v>0</v>
      </c>
      <c r="GA25" s="1791">
        <v>50</v>
      </c>
      <c r="GB25" s="1792">
        <v>0</v>
      </c>
      <c r="GC25" s="1793">
        <v>-0.25</v>
      </c>
      <c r="GD25" s="1794">
        <v>-0.25</v>
      </c>
      <c r="GE25" s="1795">
        <f t="shared" si="99"/>
        <v>0</v>
      </c>
      <c r="GF25" s="600" t="str">
        <f t="shared" si="100"/>
        <v>TJ26</v>
      </c>
      <c r="GG25" s="1130">
        <v>0</v>
      </c>
      <c r="GH25" s="1131">
        <v>0</v>
      </c>
      <c r="GI25" s="1130"/>
      <c r="GJ25" s="1131"/>
      <c r="GK25" s="1638">
        <f t="shared" si="101"/>
        <v>599.5</v>
      </c>
      <c r="GL25" s="1636">
        <f t="shared" si="102"/>
        <v>599.5</v>
      </c>
      <c r="GM25" s="1637">
        <f>IF(ABS(GK25-GL25)&gt;='Job Info.'!$L$22,ABS(GK25-GL25),0)</f>
        <v>0</v>
      </c>
      <c r="HA25" s="1269" t="s">
        <v>1456</v>
      </c>
      <c r="HB25" s="1270">
        <v>16</v>
      </c>
      <c r="HC25" s="1270" t="s">
        <v>1592</v>
      </c>
      <c r="HD25" s="1271">
        <v>49</v>
      </c>
      <c r="HE25" s="1272">
        <v>11.5</v>
      </c>
      <c r="HF25" s="1270" t="s">
        <v>116</v>
      </c>
      <c r="HG25" s="1270" t="s">
        <v>116</v>
      </c>
      <c r="HH25" s="1270" t="s">
        <v>116</v>
      </c>
      <c r="HI25" s="1273" t="s">
        <v>116</v>
      </c>
      <c r="HJ25" s="1270" t="s">
        <v>116</v>
      </c>
      <c r="HK25" s="1270" t="s">
        <v>116</v>
      </c>
      <c r="HL25" s="1270">
        <v>5</v>
      </c>
      <c r="HM25" s="1270">
        <v>5</v>
      </c>
      <c r="HN25" s="1270">
        <v>0</v>
      </c>
      <c r="HO25" s="1270">
        <v>6.75</v>
      </c>
      <c r="HP25" s="1270">
        <v>2</v>
      </c>
      <c r="HQ25" s="1273">
        <v>0</v>
      </c>
      <c r="HR25" s="1270">
        <v>6.75</v>
      </c>
      <c r="HS25" s="1270">
        <v>2</v>
      </c>
      <c r="HT25" s="1270">
        <v>0</v>
      </c>
      <c r="HU25" s="1270">
        <v>2.25</v>
      </c>
      <c r="HV25" s="1270">
        <v>0</v>
      </c>
      <c r="HW25" s="1272">
        <v>2.25</v>
      </c>
      <c r="HX25" s="1272">
        <v>4</v>
      </c>
      <c r="HY25" s="1272" t="s">
        <v>116</v>
      </c>
      <c r="HZ25" s="1272" t="s">
        <v>116</v>
      </c>
      <c r="IA25" s="1272" t="s">
        <v>1664</v>
      </c>
      <c r="IB25" s="1272"/>
      <c r="IC25" s="1272"/>
      <c r="ID25" s="1272"/>
      <c r="IE25" s="1272"/>
      <c r="IF25" s="1274"/>
    </row>
    <row r="26" spans="1:240" ht="12.6" customHeight="1" x14ac:dyDescent="0.25">
      <c r="A26" s="1448" t="s">
        <v>1457</v>
      </c>
      <c r="B26" s="1681">
        <v>3</v>
      </c>
      <c r="C26" s="1449" t="s">
        <v>1592</v>
      </c>
      <c r="D26" s="1705">
        <v>49</v>
      </c>
      <c r="E26" s="1706">
        <v>11.5</v>
      </c>
      <c r="F26" s="1714" t="str">
        <f t="shared" si="1"/>
        <v/>
      </c>
      <c r="G26" s="1709" t="str">
        <f t="shared" si="2"/>
        <v/>
      </c>
      <c r="H26" s="1779" t="str">
        <f t="shared" si="3"/>
        <v/>
      </c>
      <c r="I26" s="1705" t="str">
        <f t="shared" si="4"/>
        <v/>
      </c>
      <c r="J26" s="1709" t="str">
        <f t="shared" si="5"/>
        <v/>
      </c>
      <c r="K26" s="1796" t="str">
        <f t="shared" si="6"/>
        <v/>
      </c>
      <c r="L26" s="1712">
        <v>5</v>
      </c>
      <c r="M26" s="1713">
        <v>5</v>
      </c>
      <c r="N26" s="1708" t="str">
        <f t="shared" si="103"/>
        <v/>
      </c>
      <c r="O26" s="1709" t="str">
        <f t="shared" si="104"/>
        <v/>
      </c>
      <c r="P26" s="1710" t="str">
        <f t="shared" si="105"/>
        <v/>
      </c>
      <c r="Q26" s="1705" t="str">
        <f t="shared" si="7"/>
        <v/>
      </c>
      <c r="R26" s="1709" t="str">
        <f t="shared" si="8"/>
        <v/>
      </c>
      <c r="S26" s="1711" t="str">
        <f t="shared" si="9"/>
        <v/>
      </c>
      <c r="T26" s="1714">
        <v>0</v>
      </c>
      <c r="U26" s="1709">
        <v>2.25</v>
      </c>
      <c r="V26" s="1705">
        <v>0</v>
      </c>
      <c r="W26" s="1709">
        <v>2.25</v>
      </c>
      <c r="X26" s="1713">
        <v>4</v>
      </c>
      <c r="Y26" s="1781" t="str">
        <f t="shared" si="10"/>
        <v/>
      </c>
      <c r="Z26" s="1782" t="str">
        <f t="shared" si="11"/>
        <v/>
      </c>
      <c r="AA26" s="1783" t="s">
        <v>1728</v>
      </c>
      <c r="AB26" s="1413"/>
      <c r="AC26" s="964" t="b">
        <v>0</v>
      </c>
      <c r="AD26" s="441">
        <f t="shared" si="12"/>
        <v>0</v>
      </c>
      <c r="AE26" s="442">
        <f t="shared" si="13"/>
        <v>3</v>
      </c>
      <c r="AF26" s="442">
        <f t="shared" si="14"/>
        <v>0</v>
      </c>
      <c r="AG26" s="442">
        <f t="shared" si="15"/>
        <v>0</v>
      </c>
      <c r="AH26" s="443">
        <f t="shared" si="16"/>
        <v>0</v>
      </c>
      <c r="AI26" s="444" t="b">
        <v>0</v>
      </c>
      <c r="AJ26" s="238">
        <f t="shared" si="17"/>
        <v>32</v>
      </c>
      <c r="AK26" s="830" t="str">
        <f t="shared" si="18"/>
        <v>LH</v>
      </c>
      <c r="AL26" s="945" t="str">
        <f t="shared" si="19"/>
        <v/>
      </c>
      <c r="AM26" s="830">
        <f t="shared" si="20"/>
        <v>305</v>
      </c>
      <c r="AN26" s="830">
        <f t="shared" si="21"/>
        <v>180</v>
      </c>
      <c r="AO26" s="830" t="str">
        <f t="shared" si="22"/>
        <v/>
      </c>
      <c r="AP26" s="830" t="b">
        <f>IF(ISERROR(AJ26),FALSE,IF(OR(AJ26=0,ISERROR(AL26),ISERROR(AM26),ISERROR(AN26),ISERROR(AO26)),FALSE,IF(AL26&lt;&gt;"",IF(ISERROR(VLOOKUP(SUBSTITUTE(SUBSTITUTE(C26,"R",""),"A",""),TblJoistSize!$A:$A,1,FALSE)),FALSE,TRUE),TRUE)))</f>
        <v>1</v>
      </c>
      <c r="AQ26" s="1038">
        <f t="shared" si="23"/>
        <v>6</v>
      </c>
      <c r="AR26" s="945" t="b">
        <f t="shared" si="24"/>
        <v>1</v>
      </c>
      <c r="AS26" s="1038">
        <f t="shared" si="25"/>
        <v>6</v>
      </c>
      <c r="AT26" s="945" t="b">
        <f t="shared" si="26"/>
        <v>1</v>
      </c>
      <c r="AU26" s="946" t="str">
        <f t="shared" si="27"/>
        <v>LH</v>
      </c>
      <c r="AV26" s="830" t="str">
        <f t="shared" si="28"/>
        <v/>
      </c>
      <c r="AW26" s="830" t="str">
        <f t="shared" si="29"/>
        <v>LH</v>
      </c>
      <c r="AX26" s="830" t="str">
        <f t="shared" si="106"/>
        <v>J27</v>
      </c>
      <c r="AY26" s="1039" t="b">
        <f t="shared" si="30"/>
        <v>0</v>
      </c>
      <c r="AZ26" s="856" t="b">
        <f t="shared" si="31"/>
        <v>0</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32"/>
        <v/>
      </c>
      <c r="BR26" s="910"/>
      <c r="BS26" s="672"/>
      <c r="BT26" s="713"/>
      <c r="BU26" s="714"/>
      <c r="BV26" s="1625"/>
      <c r="BW26" s="713"/>
      <c r="BX26" s="714"/>
      <c r="BY26" s="715"/>
      <c r="BZ26" s="716"/>
      <c r="CA26" s="680" t="str">
        <f>IF(ISERROR(DE26),"",IF(DE26="","",IF(VLOOKUP(BS26,SectInfo!$B:$N,10,FALSE)="","","X")))</f>
        <v/>
      </c>
      <c r="CB26" s="738"/>
      <c r="CC26" s="1551" t="str">
        <f t="shared" si="33"/>
        <v/>
      </c>
      <c r="CD26" s="910"/>
      <c r="CE26" s="717"/>
      <c r="CF26" s="736"/>
      <c r="CG26" s="737"/>
      <c r="CH26" s="591" t="str">
        <f t="shared" si="34"/>
        <v/>
      </c>
      <c r="CI26" s="592" t="str">
        <f t="shared" si="35"/>
        <v/>
      </c>
      <c r="CJ26" s="593" t="str">
        <f t="shared" si="36"/>
        <v/>
      </c>
      <c r="CK26" s="594" t="str">
        <f t="shared" si="37"/>
        <v/>
      </c>
      <c r="CL26" s="595" t="str">
        <f t="shared" si="38"/>
        <v/>
      </c>
      <c r="CM26" s="596" t="str">
        <f t="shared" si="39"/>
        <v/>
      </c>
      <c r="CN26" s="597" t="str">
        <f t="shared" si="40"/>
        <v/>
      </c>
      <c r="CO26" s="598" t="str">
        <f t="shared" si="41"/>
        <v/>
      </c>
      <c r="CP26" s="615" t="str">
        <f t="shared" si="42"/>
        <v/>
      </c>
      <c r="CQ26" s="616" t="str">
        <f t="shared" si="43"/>
        <v/>
      </c>
      <c r="CR26" s="750">
        <f t="shared" si="44"/>
        <v>5</v>
      </c>
      <c r="CS26" s="751">
        <f t="shared" si="45"/>
        <v>5</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46"/>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47"/>
        <v>0</v>
      </c>
      <c r="DO26" s="818">
        <f t="shared" si="48"/>
        <v>0</v>
      </c>
      <c r="DP26" s="822" t="str">
        <f t="shared" si="49"/>
        <v/>
      </c>
      <c r="DQ26" s="822" t="str">
        <f t="shared" si="50"/>
        <v/>
      </c>
      <c r="DR26" s="822" t="str">
        <f t="shared" si="51"/>
        <v/>
      </c>
      <c r="DS26" s="821">
        <f t="shared" si="52"/>
        <v>0</v>
      </c>
      <c r="DT26" s="821">
        <f t="shared" si="53"/>
        <v>0</v>
      </c>
      <c r="DU26" s="821" t="str">
        <f t="shared" si="54"/>
        <v/>
      </c>
      <c r="DV26" s="822" t="str">
        <f t="shared" si="55"/>
        <v/>
      </c>
      <c r="DW26" s="856" t="str">
        <f t="shared" si="56"/>
        <v/>
      </c>
      <c r="DX26" s="1006">
        <f t="shared" si="57"/>
        <v>0</v>
      </c>
      <c r="DY26" s="822">
        <f t="shared" si="58"/>
        <v>0</v>
      </c>
      <c r="DZ26" s="821">
        <f t="shared" si="59"/>
        <v>0</v>
      </c>
      <c r="EA26" s="821" t="str">
        <f t="shared" si="60"/>
        <v/>
      </c>
      <c r="EB26" s="822" t="str">
        <f t="shared" si="61"/>
        <v/>
      </c>
      <c r="EC26" s="856" t="str">
        <f t="shared" si="62"/>
        <v/>
      </c>
      <c r="ED26" s="1006">
        <f t="shared" si="63"/>
        <v>0</v>
      </c>
      <c r="EE26" s="1293" t="str">
        <f t="shared" si="64"/>
        <v/>
      </c>
      <c r="EF26" s="1293" t="str">
        <f t="shared" si="65"/>
        <v/>
      </c>
      <c r="EG26" s="1293" t="str">
        <f t="shared" si="66"/>
        <v/>
      </c>
      <c r="EH26" s="856" t="str">
        <f t="shared" si="67"/>
        <v>ERR</v>
      </c>
      <c r="EI26" s="856" t="str">
        <f t="shared" si="68"/>
        <v>ERR</v>
      </c>
      <c r="EJ26" s="822" t="str">
        <f t="shared" si="69"/>
        <v/>
      </c>
      <c r="EK26" s="822" t="str">
        <f t="shared" si="69"/>
        <v/>
      </c>
      <c r="EL26" s="1293" t="str">
        <f t="shared" si="70"/>
        <v/>
      </c>
      <c r="EM26" s="822" t="str">
        <f t="shared" si="71"/>
        <v/>
      </c>
      <c r="EN26" s="822" t="str">
        <f t="shared" si="72"/>
        <v/>
      </c>
      <c r="EO26" s="856" t="str">
        <f t="shared" si="73"/>
        <v>ERR</v>
      </c>
      <c r="EP26" s="856" t="str">
        <f t="shared" si="74"/>
        <v>ERR</v>
      </c>
      <c r="EQ26" s="1293" t="str">
        <f t="shared" si="75"/>
        <v/>
      </c>
      <c r="ER26" s="822" t="str">
        <f t="shared" si="75"/>
        <v/>
      </c>
      <c r="ES26" s="822" t="str">
        <f t="shared" si="76"/>
        <v/>
      </c>
      <c r="ET26" s="822" t="str">
        <f t="shared" si="77"/>
        <v/>
      </c>
      <c r="EU26" s="829">
        <f t="shared" si="78"/>
        <v>4</v>
      </c>
      <c r="EV26" s="824" t="str">
        <f t="shared" si="79"/>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80"/>
        <v/>
      </c>
      <c r="FA26" s="829" t="str">
        <f>IF(AND(DE26="G", ISBLANK(BW26), ISBLANK(BX26)),VLOOKUP(MIN(BT26:BU26),TblJoistSize!$M$3:$N$10,2),IF(OR(DE26="B", DE26="G"),MIN(BW26:BX26),""))</f>
        <v/>
      </c>
      <c r="FB26" s="829" t="str">
        <f>IF(AND(DE26="G", ISBLANK(BW26), ISBLANK(BX26)),VLOOKUP(MAX(BT26:BU26),TblJoistSize!$M$3:$N$10,2),IF(OR(DE26="B", DE26="G"),MAX(BW26:BX26),""))</f>
        <v/>
      </c>
      <c r="FC26" s="829" t="str">
        <f t="shared" si="81"/>
        <v/>
      </c>
      <c r="FD26" s="821">
        <f t="shared" si="107"/>
        <v>0</v>
      </c>
      <c r="FE26" s="821">
        <f t="shared" si="82"/>
        <v>0</v>
      </c>
      <c r="FF26" s="821">
        <f t="shared" si="83"/>
        <v>0</v>
      </c>
      <c r="FG26" s="821" t="str">
        <f t="shared" si="84"/>
        <v/>
      </c>
      <c r="FH26" s="822" t="str">
        <f t="shared" si="85"/>
        <v/>
      </c>
      <c r="FI26" s="821">
        <f t="shared" si="108"/>
        <v>0</v>
      </c>
      <c r="FJ26" s="821">
        <f t="shared" si="86"/>
        <v>0</v>
      </c>
      <c r="FK26" s="821">
        <f t="shared" si="87"/>
        <v>0</v>
      </c>
      <c r="FL26" s="821" t="str">
        <f t="shared" si="88"/>
        <v/>
      </c>
      <c r="FM26" s="822" t="str">
        <f t="shared" si="89"/>
        <v/>
      </c>
      <c r="FN26" s="822" t="e">
        <f t="shared" si="90"/>
        <v>#VALUE!</v>
      </c>
      <c r="FO26" s="940" t="e">
        <f t="shared" si="91"/>
        <v>#VALUE!</v>
      </c>
      <c r="FP26" s="940" t="e">
        <f t="shared" si="92"/>
        <v>#VALUE!</v>
      </c>
      <c r="FQ26" s="830" t="e">
        <f t="shared" si="93"/>
        <v>#VALUE!</v>
      </c>
      <c r="FR26" s="831" t="e">
        <f t="shared" si="94"/>
        <v>#VALUE!</v>
      </c>
      <c r="FS26" s="832" t="str">
        <f t="shared" si="95"/>
        <v/>
      </c>
      <c r="FT26" s="833" t="str">
        <f t="shared" si="96"/>
        <v/>
      </c>
      <c r="FU26" s="870">
        <f t="shared" si="97"/>
        <v>0</v>
      </c>
      <c r="FV26" s="871">
        <f t="shared" si="98"/>
        <v>0</v>
      </c>
      <c r="GA26" s="1791">
        <v>50</v>
      </c>
      <c r="GB26" s="1792">
        <v>0</v>
      </c>
      <c r="GC26" s="1793">
        <v>-0.25</v>
      </c>
      <c r="GD26" s="1794">
        <v>-0.25</v>
      </c>
      <c r="GE26" s="1795">
        <f t="shared" si="99"/>
        <v>0</v>
      </c>
      <c r="GF26" s="600" t="str">
        <f t="shared" si="100"/>
        <v>J27</v>
      </c>
      <c r="GG26" s="1130">
        <v>0</v>
      </c>
      <c r="GH26" s="1131">
        <v>0</v>
      </c>
      <c r="GI26" s="1130"/>
      <c r="GJ26" s="1131"/>
      <c r="GK26" s="1638">
        <f t="shared" si="101"/>
        <v>599.5</v>
      </c>
      <c r="GL26" s="1636">
        <f t="shared" si="102"/>
        <v>599.5</v>
      </c>
      <c r="GM26" s="1637">
        <f>IF(ABS(GK26-GL26)&gt;='Job Info.'!$L$22,ABS(GK26-GL26),0)</f>
        <v>0</v>
      </c>
      <c r="HA26" s="1269" t="s">
        <v>1457</v>
      </c>
      <c r="HB26" s="1270">
        <v>3</v>
      </c>
      <c r="HC26" s="1270" t="s">
        <v>1592</v>
      </c>
      <c r="HD26" s="1271">
        <v>49</v>
      </c>
      <c r="HE26" s="1272">
        <v>11.5</v>
      </c>
      <c r="HF26" s="1270" t="s">
        <v>116</v>
      </c>
      <c r="HG26" s="1270" t="s">
        <v>116</v>
      </c>
      <c r="HH26" s="1270" t="s">
        <v>116</v>
      </c>
      <c r="HI26" s="1273" t="s">
        <v>116</v>
      </c>
      <c r="HJ26" s="1270" t="s">
        <v>116</v>
      </c>
      <c r="HK26" s="1270" t="s">
        <v>116</v>
      </c>
      <c r="HL26" s="1270">
        <v>5</v>
      </c>
      <c r="HM26" s="1270">
        <v>5</v>
      </c>
      <c r="HN26" s="1270" t="s">
        <v>116</v>
      </c>
      <c r="HO26" s="1270" t="s">
        <v>116</v>
      </c>
      <c r="HP26" s="1270" t="s">
        <v>116</v>
      </c>
      <c r="HQ26" s="1273" t="s">
        <v>116</v>
      </c>
      <c r="HR26" s="1270" t="s">
        <v>116</v>
      </c>
      <c r="HS26" s="1270" t="s">
        <v>116</v>
      </c>
      <c r="HT26" s="1270">
        <v>0</v>
      </c>
      <c r="HU26" s="1270">
        <v>2.25</v>
      </c>
      <c r="HV26" s="1270">
        <v>0</v>
      </c>
      <c r="HW26" s="1272">
        <v>2.25</v>
      </c>
      <c r="HX26" s="1272">
        <v>4</v>
      </c>
      <c r="HY26" s="1272" t="s">
        <v>116</v>
      </c>
      <c r="HZ26" s="1272" t="s">
        <v>116</v>
      </c>
      <c r="IA26" s="1272" t="s">
        <v>1665</v>
      </c>
      <c r="IB26" s="1272"/>
      <c r="IC26" s="1272"/>
      <c r="ID26" s="1272"/>
      <c r="IE26" s="1272"/>
      <c r="IF26" s="1274"/>
    </row>
    <row r="27" spans="1:240" ht="12.6" customHeight="1" x14ac:dyDescent="0.25">
      <c r="A27" s="1448" t="s">
        <v>1458</v>
      </c>
      <c r="B27" s="1681">
        <v>2</v>
      </c>
      <c r="C27" s="1449" t="s">
        <v>1592</v>
      </c>
      <c r="D27" s="1705">
        <v>49</v>
      </c>
      <c r="E27" s="1706">
        <v>11.5</v>
      </c>
      <c r="F27" s="1714" t="str">
        <f t="shared" si="1"/>
        <v/>
      </c>
      <c r="G27" s="1709" t="str">
        <f t="shared" si="2"/>
        <v/>
      </c>
      <c r="H27" s="1779" t="str">
        <f t="shared" si="3"/>
        <v/>
      </c>
      <c r="I27" s="1705" t="str">
        <f t="shared" si="4"/>
        <v/>
      </c>
      <c r="J27" s="1709" t="str">
        <f t="shared" si="5"/>
        <v/>
      </c>
      <c r="K27" s="1796" t="str">
        <f t="shared" si="6"/>
        <v/>
      </c>
      <c r="L27" s="1712">
        <v>5</v>
      </c>
      <c r="M27" s="1713">
        <v>5</v>
      </c>
      <c r="N27" s="1708" t="str">
        <f t="shared" si="103"/>
        <v/>
      </c>
      <c r="O27" s="1709" t="str">
        <f t="shared" si="104"/>
        <v/>
      </c>
      <c r="P27" s="1710" t="str">
        <f t="shared" si="105"/>
        <v/>
      </c>
      <c r="Q27" s="1705" t="str">
        <f t="shared" si="7"/>
        <v/>
      </c>
      <c r="R27" s="1709" t="str">
        <f t="shared" si="8"/>
        <v/>
      </c>
      <c r="S27" s="1711" t="str">
        <f t="shared" si="9"/>
        <v/>
      </c>
      <c r="T27" s="1714">
        <v>0</v>
      </c>
      <c r="U27" s="1709">
        <v>2.25</v>
      </c>
      <c r="V27" s="1705">
        <v>0</v>
      </c>
      <c r="W27" s="1709">
        <v>2.25</v>
      </c>
      <c r="X27" s="1713">
        <v>4</v>
      </c>
      <c r="Y27" s="1781" t="str">
        <f t="shared" si="10"/>
        <v/>
      </c>
      <c r="Z27" s="1782" t="str">
        <f t="shared" si="11"/>
        <v/>
      </c>
      <c r="AA27" s="1783" t="s">
        <v>1729</v>
      </c>
      <c r="AB27" s="1413"/>
      <c r="AC27" s="964" t="b">
        <v>0</v>
      </c>
      <c r="AD27" s="441">
        <f t="shared" si="12"/>
        <v>0</v>
      </c>
      <c r="AE27" s="442">
        <f t="shared" si="13"/>
        <v>2</v>
      </c>
      <c r="AF27" s="442">
        <f t="shared" si="14"/>
        <v>0</v>
      </c>
      <c r="AG27" s="442">
        <f t="shared" si="15"/>
        <v>0</v>
      </c>
      <c r="AH27" s="443">
        <f t="shared" si="16"/>
        <v>0</v>
      </c>
      <c r="AI27" s="444" t="b">
        <v>0</v>
      </c>
      <c r="AJ27" s="238">
        <f t="shared" si="17"/>
        <v>32</v>
      </c>
      <c r="AK27" s="830" t="str">
        <f t="shared" si="18"/>
        <v>LH</v>
      </c>
      <c r="AL27" s="945" t="str">
        <f t="shared" si="19"/>
        <v/>
      </c>
      <c r="AM27" s="830">
        <f t="shared" si="20"/>
        <v>305</v>
      </c>
      <c r="AN27" s="830">
        <f t="shared" si="21"/>
        <v>180</v>
      </c>
      <c r="AO27" s="830" t="str">
        <f t="shared" si="22"/>
        <v/>
      </c>
      <c r="AP27" s="830" t="b">
        <f>IF(ISERROR(AJ27),FALSE,IF(OR(AJ27=0,ISERROR(AL27),ISERROR(AM27),ISERROR(AN27),ISERROR(AO27)),FALSE,IF(AL27&lt;&gt;"",IF(ISERROR(VLOOKUP(SUBSTITUTE(SUBSTITUTE(C27,"R",""),"A",""),TblJoistSize!$A:$A,1,FALSE)),FALSE,TRUE),TRUE)))</f>
        <v>1</v>
      </c>
      <c r="AQ27" s="1038">
        <f t="shared" si="23"/>
        <v>6</v>
      </c>
      <c r="AR27" s="945" t="b">
        <f t="shared" si="24"/>
        <v>1</v>
      </c>
      <c r="AS27" s="1038">
        <f t="shared" si="25"/>
        <v>6</v>
      </c>
      <c r="AT27" s="945" t="b">
        <f t="shared" si="26"/>
        <v>1</v>
      </c>
      <c r="AU27" s="946" t="str">
        <f t="shared" si="27"/>
        <v>LH</v>
      </c>
      <c r="AV27" s="830" t="str">
        <f t="shared" si="28"/>
        <v/>
      </c>
      <c r="AW27" s="830" t="str">
        <f t="shared" si="29"/>
        <v>LH</v>
      </c>
      <c r="AX27" s="830" t="str">
        <f t="shared" si="106"/>
        <v>J28</v>
      </c>
      <c r="AY27" s="1039" t="b">
        <f t="shared" si="30"/>
        <v>0</v>
      </c>
      <c r="AZ27" s="856" t="b">
        <f t="shared" si="31"/>
        <v>0</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32"/>
        <v/>
      </c>
      <c r="BR27" s="910"/>
      <c r="BS27" s="672"/>
      <c r="BT27" s="713"/>
      <c r="BU27" s="714"/>
      <c r="BV27" s="1625"/>
      <c r="BW27" s="713"/>
      <c r="BX27" s="714"/>
      <c r="BY27" s="715"/>
      <c r="BZ27" s="716"/>
      <c r="CA27" s="680" t="str">
        <f>IF(ISERROR(DE27),"",IF(DE27="","",IF(VLOOKUP(BS27,SectInfo!$B:$N,10,FALSE)="","","X")))</f>
        <v/>
      </c>
      <c r="CB27" s="738"/>
      <c r="CC27" s="1551" t="str">
        <f t="shared" si="33"/>
        <v/>
      </c>
      <c r="CD27" s="910"/>
      <c r="CE27" s="717"/>
      <c r="CF27" s="736"/>
      <c r="CG27" s="737"/>
      <c r="CH27" s="591" t="str">
        <f t="shared" si="34"/>
        <v/>
      </c>
      <c r="CI27" s="592" t="str">
        <f t="shared" si="35"/>
        <v/>
      </c>
      <c r="CJ27" s="593" t="str">
        <f t="shared" si="36"/>
        <v/>
      </c>
      <c r="CK27" s="594" t="str">
        <f t="shared" si="37"/>
        <v/>
      </c>
      <c r="CL27" s="595" t="str">
        <f t="shared" si="38"/>
        <v/>
      </c>
      <c r="CM27" s="596" t="str">
        <f t="shared" si="39"/>
        <v/>
      </c>
      <c r="CN27" s="597" t="str">
        <f t="shared" si="40"/>
        <v/>
      </c>
      <c r="CO27" s="598" t="str">
        <f t="shared" si="41"/>
        <v/>
      </c>
      <c r="CP27" s="615" t="str">
        <f t="shared" si="42"/>
        <v/>
      </c>
      <c r="CQ27" s="616" t="str">
        <f t="shared" si="43"/>
        <v/>
      </c>
      <c r="CR27" s="750">
        <f t="shared" si="44"/>
        <v>5</v>
      </c>
      <c r="CS27" s="751">
        <f t="shared" si="45"/>
        <v>5</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46"/>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47"/>
        <v>0</v>
      </c>
      <c r="DO27" s="818">
        <f t="shared" si="48"/>
        <v>0</v>
      </c>
      <c r="DP27" s="822" t="str">
        <f t="shared" si="49"/>
        <v/>
      </c>
      <c r="DQ27" s="822" t="str">
        <f t="shared" si="50"/>
        <v/>
      </c>
      <c r="DR27" s="822" t="str">
        <f t="shared" si="51"/>
        <v/>
      </c>
      <c r="DS27" s="821">
        <f t="shared" si="52"/>
        <v>0</v>
      </c>
      <c r="DT27" s="821">
        <f t="shared" si="53"/>
        <v>0</v>
      </c>
      <c r="DU27" s="821" t="str">
        <f t="shared" si="54"/>
        <v/>
      </c>
      <c r="DV27" s="822" t="str">
        <f t="shared" si="55"/>
        <v/>
      </c>
      <c r="DW27" s="856" t="str">
        <f t="shared" si="56"/>
        <v/>
      </c>
      <c r="DX27" s="1006">
        <f t="shared" si="57"/>
        <v>0</v>
      </c>
      <c r="DY27" s="822">
        <f t="shared" si="58"/>
        <v>0</v>
      </c>
      <c r="DZ27" s="821">
        <f t="shared" si="59"/>
        <v>0</v>
      </c>
      <c r="EA27" s="821" t="str">
        <f t="shared" si="60"/>
        <v/>
      </c>
      <c r="EB27" s="822" t="str">
        <f t="shared" si="61"/>
        <v/>
      </c>
      <c r="EC27" s="856" t="str">
        <f t="shared" si="62"/>
        <v/>
      </c>
      <c r="ED27" s="1006">
        <f t="shared" si="63"/>
        <v>0</v>
      </c>
      <c r="EE27" s="1293" t="str">
        <f t="shared" si="64"/>
        <v/>
      </c>
      <c r="EF27" s="1293" t="str">
        <f t="shared" si="65"/>
        <v/>
      </c>
      <c r="EG27" s="1293" t="str">
        <f t="shared" si="66"/>
        <v/>
      </c>
      <c r="EH27" s="856" t="str">
        <f t="shared" si="67"/>
        <v>ERR</v>
      </c>
      <c r="EI27" s="856" t="str">
        <f t="shared" si="68"/>
        <v>ERR</v>
      </c>
      <c r="EJ27" s="822" t="str">
        <f t="shared" si="69"/>
        <v/>
      </c>
      <c r="EK27" s="822" t="str">
        <f t="shared" si="69"/>
        <v/>
      </c>
      <c r="EL27" s="1293" t="str">
        <f t="shared" si="70"/>
        <v/>
      </c>
      <c r="EM27" s="822" t="str">
        <f t="shared" si="71"/>
        <v/>
      </c>
      <c r="EN27" s="822" t="str">
        <f t="shared" si="72"/>
        <v/>
      </c>
      <c r="EO27" s="856" t="str">
        <f t="shared" si="73"/>
        <v>ERR</v>
      </c>
      <c r="EP27" s="856" t="str">
        <f t="shared" si="74"/>
        <v>ERR</v>
      </c>
      <c r="EQ27" s="1293" t="str">
        <f t="shared" si="75"/>
        <v/>
      </c>
      <c r="ER27" s="822" t="str">
        <f t="shared" si="75"/>
        <v/>
      </c>
      <c r="ES27" s="822" t="str">
        <f t="shared" si="76"/>
        <v/>
      </c>
      <c r="ET27" s="822" t="str">
        <f t="shared" si="77"/>
        <v/>
      </c>
      <c r="EU27" s="829">
        <f t="shared" si="78"/>
        <v>4</v>
      </c>
      <c r="EV27" s="824" t="str">
        <f t="shared" si="79"/>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80"/>
        <v/>
      </c>
      <c r="FA27" s="829" t="str">
        <f>IF(AND(DE27="G", ISBLANK(BW27), ISBLANK(BX27)),VLOOKUP(MIN(BT27:BU27),TblJoistSize!$M$3:$N$10,2),IF(OR(DE27="B", DE27="G"),MIN(BW27:BX27),""))</f>
        <v/>
      </c>
      <c r="FB27" s="829" t="str">
        <f>IF(AND(DE27="G", ISBLANK(BW27), ISBLANK(BX27)),VLOOKUP(MAX(BT27:BU27),TblJoistSize!$M$3:$N$10,2),IF(OR(DE27="B", DE27="G"),MAX(BW27:BX27),""))</f>
        <v/>
      </c>
      <c r="FC27" s="829" t="str">
        <f t="shared" si="81"/>
        <v/>
      </c>
      <c r="FD27" s="821">
        <f t="shared" si="107"/>
        <v>0</v>
      </c>
      <c r="FE27" s="821">
        <f t="shared" si="82"/>
        <v>0</v>
      </c>
      <c r="FF27" s="821">
        <f t="shared" si="83"/>
        <v>0</v>
      </c>
      <c r="FG27" s="821" t="str">
        <f t="shared" si="84"/>
        <v/>
      </c>
      <c r="FH27" s="822" t="str">
        <f t="shared" si="85"/>
        <v/>
      </c>
      <c r="FI27" s="821">
        <f t="shared" si="108"/>
        <v>0</v>
      </c>
      <c r="FJ27" s="821">
        <f t="shared" si="86"/>
        <v>0</v>
      </c>
      <c r="FK27" s="821">
        <f t="shared" si="87"/>
        <v>0</v>
      </c>
      <c r="FL27" s="821" t="str">
        <f t="shared" si="88"/>
        <v/>
      </c>
      <c r="FM27" s="822" t="str">
        <f t="shared" si="89"/>
        <v/>
      </c>
      <c r="FN27" s="822" t="e">
        <f t="shared" si="90"/>
        <v>#VALUE!</v>
      </c>
      <c r="FO27" s="940" t="e">
        <f t="shared" si="91"/>
        <v>#VALUE!</v>
      </c>
      <c r="FP27" s="940" t="e">
        <f t="shared" si="92"/>
        <v>#VALUE!</v>
      </c>
      <c r="FQ27" s="830" t="e">
        <f t="shared" si="93"/>
        <v>#VALUE!</v>
      </c>
      <c r="FR27" s="831" t="e">
        <f t="shared" si="94"/>
        <v>#VALUE!</v>
      </c>
      <c r="FS27" s="832" t="str">
        <f t="shared" si="95"/>
        <v/>
      </c>
      <c r="FT27" s="833" t="str">
        <f t="shared" si="96"/>
        <v/>
      </c>
      <c r="FU27" s="870">
        <f t="shared" si="97"/>
        <v>0</v>
      </c>
      <c r="FV27" s="871">
        <f t="shared" si="98"/>
        <v>0</v>
      </c>
      <c r="GA27" s="1791">
        <v>50</v>
      </c>
      <c r="GB27" s="1792">
        <v>0</v>
      </c>
      <c r="GC27" s="1793">
        <v>-0.25</v>
      </c>
      <c r="GD27" s="1794">
        <v>-0.25</v>
      </c>
      <c r="GE27" s="1795">
        <f t="shared" si="99"/>
        <v>0</v>
      </c>
      <c r="GF27" s="600" t="str">
        <f t="shared" si="100"/>
        <v>J28</v>
      </c>
      <c r="GG27" s="1130">
        <v>0</v>
      </c>
      <c r="GH27" s="1131">
        <v>0</v>
      </c>
      <c r="GI27" s="1130"/>
      <c r="GJ27" s="1131"/>
      <c r="GK27" s="1638">
        <f t="shared" si="101"/>
        <v>599.5</v>
      </c>
      <c r="GL27" s="1636">
        <f t="shared" si="102"/>
        <v>599.5</v>
      </c>
      <c r="GM27" s="1637">
        <f>IF(ABS(GK27-GL27)&gt;='Job Info.'!$L$22,ABS(GK27-GL27),0)</f>
        <v>0</v>
      </c>
      <c r="HA27" s="1269" t="s">
        <v>1458</v>
      </c>
      <c r="HB27" s="1270">
        <v>2</v>
      </c>
      <c r="HC27" s="1270" t="s">
        <v>1592</v>
      </c>
      <c r="HD27" s="1271">
        <v>49</v>
      </c>
      <c r="HE27" s="1272">
        <v>11.5</v>
      </c>
      <c r="HF27" s="1270" t="s">
        <v>116</v>
      </c>
      <c r="HG27" s="1270" t="s">
        <v>116</v>
      </c>
      <c r="HH27" s="1270" t="s">
        <v>116</v>
      </c>
      <c r="HI27" s="1273" t="s">
        <v>116</v>
      </c>
      <c r="HJ27" s="1270" t="s">
        <v>116</v>
      </c>
      <c r="HK27" s="1270" t="s">
        <v>116</v>
      </c>
      <c r="HL27" s="1270">
        <v>5</v>
      </c>
      <c r="HM27" s="1270">
        <v>5</v>
      </c>
      <c r="HN27" s="1270" t="s">
        <v>116</v>
      </c>
      <c r="HO27" s="1270" t="s">
        <v>116</v>
      </c>
      <c r="HP27" s="1270" t="s">
        <v>116</v>
      </c>
      <c r="HQ27" s="1273" t="s">
        <v>116</v>
      </c>
      <c r="HR27" s="1270" t="s">
        <v>116</v>
      </c>
      <c r="HS27" s="1270" t="s">
        <v>116</v>
      </c>
      <c r="HT27" s="1270">
        <v>0</v>
      </c>
      <c r="HU27" s="1270">
        <v>2.25</v>
      </c>
      <c r="HV27" s="1270">
        <v>0</v>
      </c>
      <c r="HW27" s="1272">
        <v>2.25</v>
      </c>
      <c r="HX27" s="1272">
        <v>4</v>
      </c>
      <c r="HY27" s="1272" t="s">
        <v>116</v>
      </c>
      <c r="HZ27" s="1272" t="s">
        <v>116</v>
      </c>
      <c r="IA27" s="1272" t="s">
        <v>1666</v>
      </c>
      <c r="IB27" s="1272"/>
      <c r="IC27" s="1272"/>
      <c r="ID27" s="1272"/>
      <c r="IE27" s="1272"/>
      <c r="IF27" s="1274"/>
    </row>
    <row r="28" spans="1:240" ht="12.6" customHeight="1" x14ac:dyDescent="0.25">
      <c r="A28" s="1448" t="s">
        <v>1459</v>
      </c>
      <c r="B28" s="1681">
        <v>6</v>
      </c>
      <c r="C28" s="1449" t="s">
        <v>1592</v>
      </c>
      <c r="D28" s="1705">
        <v>49</v>
      </c>
      <c r="E28" s="1706">
        <v>11.5</v>
      </c>
      <c r="F28" s="1714" t="str">
        <f t="shared" si="1"/>
        <v/>
      </c>
      <c r="G28" s="1709" t="str">
        <f t="shared" si="2"/>
        <v/>
      </c>
      <c r="H28" s="1779" t="str">
        <f t="shared" si="3"/>
        <v/>
      </c>
      <c r="I28" s="1705" t="str">
        <f t="shared" si="4"/>
        <v/>
      </c>
      <c r="J28" s="1709" t="str">
        <f t="shared" si="5"/>
        <v/>
      </c>
      <c r="K28" s="1796" t="str">
        <f t="shared" si="6"/>
        <v/>
      </c>
      <c r="L28" s="1712">
        <v>5</v>
      </c>
      <c r="M28" s="1713">
        <v>5</v>
      </c>
      <c r="N28" s="1708" t="str">
        <f t="shared" si="103"/>
        <v/>
      </c>
      <c r="O28" s="1709" t="str">
        <f t="shared" si="104"/>
        <v/>
      </c>
      <c r="P28" s="1710" t="str">
        <f t="shared" si="105"/>
        <v/>
      </c>
      <c r="Q28" s="1705" t="str">
        <f t="shared" si="7"/>
        <v/>
      </c>
      <c r="R28" s="1709" t="str">
        <f t="shared" si="8"/>
        <v/>
      </c>
      <c r="S28" s="1711" t="str">
        <f t="shared" si="9"/>
        <v/>
      </c>
      <c r="T28" s="1714">
        <v>0</v>
      </c>
      <c r="U28" s="1709">
        <v>2.25</v>
      </c>
      <c r="V28" s="1705">
        <v>0</v>
      </c>
      <c r="W28" s="1709">
        <v>2.25</v>
      </c>
      <c r="X28" s="1713">
        <v>4</v>
      </c>
      <c r="Y28" s="1781" t="str">
        <f t="shared" si="10"/>
        <v/>
      </c>
      <c r="Z28" s="1782" t="str">
        <f t="shared" si="11"/>
        <v/>
      </c>
      <c r="AA28" s="1783" t="s">
        <v>1730</v>
      </c>
      <c r="AB28" s="1413"/>
      <c r="AC28" s="964" t="b">
        <v>0</v>
      </c>
      <c r="AD28" s="441">
        <f t="shared" si="12"/>
        <v>0</v>
      </c>
      <c r="AE28" s="442">
        <f t="shared" si="13"/>
        <v>6</v>
      </c>
      <c r="AF28" s="442">
        <f t="shared" si="14"/>
        <v>0</v>
      </c>
      <c r="AG28" s="442">
        <f t="shared" si="15"/>
        <v>0</v>
      </c>
      <c r="AH28" s="443">
        <f t="shared" si="16"/>
        <v>0</v>
      </c>
      <c r="AI28" s="444" t="b">
        <v>0</v>
      </c>
      <c r="AJ28" s="238">
        <f t="shared" si="17"/>
        <v>32</v>
      </c>
      <c r="AK28" s="830" t="str">
        <f t="shared" si="18"/>
        <v>LH</v>
      </c>
      <c r="AL28" s="945" t="str">
        <f t="shared" si="19"/>
        <v/>
      </c>
      <c r="AM28" s="830">
        <f t="shared" si="20"/>
        <v>305</v>
      </c>
      <c r="AN28" s="830">
        <f t="shared" si="21"/>
        <v>180</v>
      </c>
      <c r="AO28" s="830" t="str">
        <f t="shared" si="22"/>
        <v/>
      </c>
      <c r="AP28" s="830" t="b">
        <f>IF(ISERROR(AJ28),FALSE,IF(OR(AJ28=0,ISERROR(AL28),ISERROR(AM28),ISERROR(AN28),ISERROR(AO28)),FALSE,IF(AL28&lt;&gt;"",IF(ISERROR(VLOOKUP(SUBSTITUTE(SUBSTITUTE(C28,"R",""),"A",""),TblJoistSize!$A:$A,1,FALSE)),FALSE,TRUE),TRUE)))</f>
        <v>1</v>
      </c>
      <c r="AQ28" s="1038">
        <f t="shared" si="23"/>
        <v>6</v>
      </c>
      <c r="AR28" s="945" t="b">
        <f t="shared" si="24"/>
        <v>1</v>
      </c>
      <c r="AS28" s="1038">
        <f t="shared" si="25"/>
        <v>6</v>
      </c>
      <c r="AT28" s="945" t="b">
        <f t="shared" si="26"/>
        <v>1</v>
      </c>
      <c r="AU28" s="946" t="str">
        <f t="shared" si="27"/>
        <v>LH</v>
      </c>
      <c r="AV28" s="830" t="str">
        <f t="shared" si="28"/>
        <v/>
      </c>
      <c r="AW28" s="830" t="str">
        <f t="shared" si="29"/>
        <v>LH</v>
      </c>
      <c r="AX28" s="830" t="str">
        <f t="shared" si="106"/>
        <v>J29</v>
      </c>
      <c r="AY28" s="1039" t="b">
        <f t="shared" si="30"/>
        <v>0</v>
      </c>
      <c r="AZ28" s="856" t="b">
        <f t="shared" si="31"/>
        <v>0</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32"/>
        <v/>
      </c>
      <c r="BR28" s="910"/>
      <c r="BS28" s="672"/>
      <c r="BT28" s="713"/>
      <c r="BU28" s="714"/>
      <c r="BV28" s="1625"/>
      <c r="BW28" s="713"/>
      <c r="BX28" s="714"/>
      <c r="BY28" s="715"/>
      <c r="BZ28" s="716"/>
      <c r="CA28" s="680" t="str">
        <f>IF(ISERROR(DE28),"",IF(DE28="","",IF(VLOOKUP(BS28,SectInfo!$B:$N,10,FALSE)="","","X")))</f>
        <v/>
      </c>
      <c r="CB28" s="738"/>
      <c r="CC28" s="1551" t="str">
        <f t="shared" si="33"/>
        <v/>
      </c>
      <c r="CD28" s="910"/>
      <c r="CE28" s="717"/>
      <c r="CF28" s="736"/>
      <c r="CG28" s="737"/>
      <c r="CH28" s="591" t="str">
        <f t="shared" si="34"/>
        <v/>
      </c>
      <c r="CI28" s="592" t="str">
        <f t="shared" si="35"/>
        <v/>
      </c>
      <c r="CJ28" s="593" t="str">
        <f t="shared" si="36"/>
        <v/>
      </c>
      <c r="CK28" s="594" t="str">
        <f t="shared" si="37"/>
        <v/>
      </c>
      <c r="CL28" s="595" t="str">
        <f t="shared" si="38"/>
        <v/>
      </c>
      <c r="CM28" s="596" t="str">
        <f t="shared" si="39"/>
        <v/>
      </c>
      <c r="CN28" s="597" t="str">
        <f t="shared" si="40"/>
        <v/>
      </c>
      <c r="CO28" s="598" t="str">
        <f t="shared" si="41"/>
        <v/>
      </c>
      <c r="CP28" s="615" t="str">
        <f t="shared" si="42"/>
        <v/>
      </c>
      <c r="CQ28" s="616" t="str">
        <f t="shared" si="43"/>
        <v/>
      </c>
      <c r="CR28" s="750">
        <f t="shared" si="44"/>
        <v>5</v>
      </c>
      <c r="CS28" s="751">
        <f t="shared" si="45"/>
        <v>5</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46"/>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47"/>
        <v>0</v>
      </c>
      <c r="DO28" s="818">
        <f t="shared" si="48"/>
        <v>0</v>
      </c>
      <c r="DP28" s="822" t="str">
        <f t="shared" si="49"/>
        <v/>
      </c>
      <c r="DQ28" s="822" t="str">
        <f t="shared" si="50"/>
        <v/>
      </c>
      <c r="DR28" s="822" t="str">
        <f t="shared" si="51"/>
        <v/>
      </c>
      <c r="DS28" s="821">
        <f t="shared" si="52"/>
        <v>0</v>
      </c>
      <c r="DT28" s="821">
        <f t="shared" si="53"/>
        <v>0</v>
      </c>
      <c r="DU28" s="821" t="str">
        <f t="shared" si="54"/>
        <v/>
      </c>
      <c r="DV28" s="822" t="str">
        <f t="shared" si="55"/>
        <v/>
      </c>
      <c r="DW28" s="856" t="str">
        <f t="shared" si="56"/>
        <v/>
      </c>
      <c r="DX28" s="1006">
        <f t="shared" si="57"/>
        <v>0</v>
      </c>
      <c r="DY28" s="822">
        <f t="shared" si="58"/>
        <v>0</v>
      </c>
      <c r="DZ28" s="821">
        <f t="shared" si="59"/>
        <v>0</v>
      </c>
      <c r="EA28" s="821" t="str">
        <f t="shared" si="60"/>
        <v/>
      </c>
      <c r="EB28" s="822" t="str">
        <f t="shared" si="61"/>
        <v/>
      </c>
      <c r="EC28" s="856" t="str">
        <f t="shared" si="62"/>
        <v/>
      </c>
      <c r="ED28" s="1006">
        <f t="shared" si="63"/>
        <v>0</v>
      </c>
      <c r="EE28" s="1293" t="str">
        <f t="shared" si="64"/>
        <v/>
      </c>
      <c r="EF28" s="1293" t="str">
        <f t="shared" si="65"/>
        <v/>
      </c>
      <c r="EG28" s="1293" t="str">
        <f t="shared" si="66"/>
        <v/>
      </c>
      <c r="EH28" s="856" t="str">
        <f t="shared" si="67"/>
        <v>ERR</v>
      </c>
      <c r="EI28" s="856" t="str">
        <f t="shared" si="68"/>
        <v>ERR</v>
      </c>
      <c r="EJ28" s="822" t="str">
        <f t="shared" si="69"/>
        <v/>
      </c>
      <c r="EK28" s="822" t="str">
        <f t="shared" si="69"/>
        <v/>
      </c>
      <c r="EL28" s="1293" t="str">
        <f t="shared" si="70"/>
        <v/>
      </c>
      <c r="EM28" s="822" t="str">
        <f t="shared" si="71"/>
        <v/>
      </c>
      <c r="EN28" s="822" t="str">
        <f t="shared" si="72"/>
        <v/>
      </c>
      <c r="EO28" s="856" t="str">
        <f t="shared" si="73"/>
        <v>ERR</v>
      </c>
      <c r="EP28" s="856" t="str">
        <f t="shared" si="74"/>
        <v>ERR</v>
      </c>
      <c r="EQ28" s="1293" t="str">
        <f t="shared" si="75"/>
        <v/>
      </c>
      <c r="ER28" s="822" t="str">
        <f t="shared" si="75"/>
        <v/>
      </c>
      <c r="ES28" s="822" t="str">
        <f t="shared" si="76"/>
        <v/>
      </c>
      <c r="ET28" s="822" t="str">
        <f t="shared" si="77"/>
        <v/>
      </c>
      <c r="EU28" s="829">
        <f t="shared" si="78"/>
        <v>4</v>
      </c>
      <c r="EV28" s="824" t="str">
        <f t="shared" si="79"/>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80"/>
        <v/>
      </c>
      <c r="FA28" s="829" t="str">
        <f>IF(AND(DE28="G", ISBLANK(BW28), ISBLANK(BX28)),VLOOKUP(MIN(BT28:BU28),TblJoistSize!$M$3:$N$10,2),IF(OR(DE28="B", DE28="G"),MIN(BW28:BX28),""))</f>
        <v/>
      </c>
      <c r="FB28" s="829" t="str">
        <f>IF(AND(DE28="G", ISBLANK(BW28), ISBLANK(BX28)),VLOOKUP(MAX(BT28:BU28),TblJoistSize!$M$3:$N$10,2),IF(OR(DE28="B", DE28="G"),MAX(BW28:BX28),""))</f>
        <v/>
      </c>
      <c r="FC28" s="829" t="str">
        <f t="shared" si="81"/>
        <v/>
      </c>
      <c r="FD28" s="821">
        <f t="shared" si="107"/>
        <v>0</v>
      </c>
      <c r="FE28" s="821">
        <f t="shared" si="82"/>
        <v>0</v>
      </c>
      <c r="FF28" s="821">
        <f t="shared" si="83"/>
        <v>0</v>
      </c>
      <c r="FG28" s="821" t="str">
        <f t="shared" si="84"/>
        <v/>
      </c>
      <c r="FH28" s="822" t="str">
        <f t="shared" si="85"/>
        <v/>
      </c>
      <c r="FI28" s="821">
        <f t="shared" si="108"/>
        <v>0</v>
      </c>
      <c r="FJ28" s="821">
        <f t="shared" si="86"/>
        <v>0</v>
      </c>
      <c r="FK28" s="821">
        <f t="shared" si="87"/>
        <v>0</v>
      </c>
      <c r="FL28" s="821" t="str">
        <f t="shared" si="88"/>
        <v/>
      </c>
      <c r="FM28" s="822" t="str">
        <f t="shared" si="89"/>
        <v/>
      </c>
      <c r="FN28" s="822" t="e">
        <f t="shared" si="90"/>
        <v>#VALUE!</v>
      </c>
      <c r="FO28" s="940" t="e">
        <f t="shared" si="91"/>
        <v>#VALUE!</v>
      </c>
      <c r="FP28" s="940" t="e">
        <f t="shared" si="92"/>
        <v>#VALUE!</v>
      </c>
      <c r="FQ28" s="830" t="e">
        <f t="shared" si="93"/>
        <v>#VALUE!</v>
      </c>
      <c r="FR28" s="831" t="e">
        <f t="shared" si="94"/>
        <v>#VALUE!</v>
      </c>
      <c r="FS28" s="832" t="str">
        <f t="shared" si="95"/>
        <v/>
      </c>
      <c r="FT28" s="833" t="str">
        <f t="shared" si="96"/>
        <v/>
      </c>
      <c r="FU28" s="870">
        <f t="shared" si="97"/>
        <v>0</v>
      </c>
      <c r="FV28" s="871">
        <f t="shared" si="98"/>
        <v>0</v>
      </c>
      <c r="GA28" s="1791">
        <v>50</v>
      </c>
      <c r="GB28" s="1792">
        <v>0</v>
      </c>
      <c r="GC28" s="1793">
        <v>-0.25</v>
      </c>
      <c r="GD28" s="1794">
        <v>-0.25</v>
      </c>
      <c r="GE28" s="1795">
        <f t="shared" si="99"/>
        <v>0</v>
      </c>
      <c r="GF28" s="600" t="str">
        <f t="shared" si="100"/>
        <v>J29</v>
      </c>
      <c r="GG28" s="1130">
        <v>0</v>
      </c>
      <c r="GH28" s="1131">
        <v>0</v>
      </c>
      <c r="GI28" s="1130"/>
      <c r="GJ28" s="1131"/>
      <c r="GK28" s="1638">
        <f t="shared" si="101"/>
        <v>599.5</v>
      </c>
      <c r="GL28" s="1636">
        <f t="shared" si="102"/>
        <v>599.5</v>
      </c>
      <c r="GM28" s="1637">
        <f>IF(ABS(GK28-GL28)&gt;='Job Info.'!$L$22,ABS(GK28-GL28),0)</f>
        <v>0</v>
      </c>
      <c r="HA28" s="1269" t="s">
        <v>1459</v>
      </c>
      <c r="HB28" s="1270">
        <v>6</v>
      </c>
      <c r="HC28" s="1270" t="s">
        <v>1592</v>
      </c>
      <c r="HD28" s="1271">
        <v>49</v>
      </c>
      <c r="HE28" s="1272">
        <v>11.5</v>
      </c>
      <c r="HF28" s="1270" t="s">
        <v>116</v>
      </c>
      <c r="HG28" s="1270" t="s">
        <v>116</v>
      </c>
      <c r="HH28" s="1270" t="s">
        <v>116</v>
      </c>
      <c r="HI28" s="1273" t="s">
        <v>116</v>
      </c>
      <c r="HJ28" s="1270" t="s">
        <v>116</v>
      </c>
      <c r="HK28" s="1270" t="s">
        <v>116</v>
      </c>
      <c r="HL28" s="1270">
        <v>5</v>
      </c>
      <c r="HM28" s="1270">
        <v>5</v>
      </c>
      <c r="HN28" s="1270" t="s">
        <v>116</v>
      </c>
      <c r="HO28" s="1270" t="s">
        <v>116</v>
      </c>
      <c r="HP28" s="1270" t="s">
        <v>116</v>
      </c>
      <c r="HQ28" s="1273" t="s">
        <v>116</v>
      </c>
      <c r="HR28" s="1270" t="s">
        <v>116</v>
      </c>
      <c r="HS28" s="1270" t="s">
        <v>116</v>
      </c>
      <c r="HT28" s="1270">
        <v>0</v>
      </c>
      <c r="HU28" s="1270">
        <v>2.25</v>
      </c>
      <c r="HV28" s="1270">
        <v>0</v>
      </c>
      <c r="HW28" s="1272">
        <v>2.25</v>
      </c>
      <c r="HX28" s="1272">
        <v>4</v>
      </c>
      <c r="HY28" s="1272" t="s">
        <v>116</v>
      </c>
      <c r="HZ28" s="1272" t="s">
        <v>116</v>
      </c>
      <c r="IA28" s="1272" t="s">
        <v>1667</v>
      </c>
      <c r="IB28" s="1272"/>
      <c r="IC28" s="1272"/>
      <c r="ID28" s="1272"/>
      <c r="IE28" s="1272"/>
      <c r="IF28" s="1274"/>
    </row>
    <row r="29" spans="1:240" ht="12.6" customHeight="1" x14ac:dyDescent="0.25">
      <c r="A29" s="1448" t="s">
        <v>1460</v>
      </c>
      <c r="B29" s="1681">
        <v>22</v>
      </c>
      <c r="C29" s="1449" t="s">
        <v>1592</v>
      </c>
      <c r="D29" s="1705">
        <v>49</v>
      </c>
      <c r="E29" s="1706">
        <v>11.5</v>
      </c>
      <c r="F29" s="1714" t="str">
        <f t="shared" si="1"/>
        <v/>
      </c>
      <c r="G29" s="1709" t="str">
        <f t="shared" si="2"/>
        <v/>
      </c>
      <c r="H29" s="1779" t="str">
        <f t="shared" si="3"/>
        <v/>
      </c>
      <c r="I29" s="1705" t="str">
        <f t="shared" si="4"/>
        <v/>
      </c>
      <c r="J29" s="1709" t="str">
        <f t="shared" si="5"/>
        <v/>
      </c>
      <c r="K29" s="1796" t="str">
        <f t="shared" si="6"/>
        <v/>
      </c>
      <c r="L29" s="1712">
        <v>5</v>
      </c>
      <c r="M29" s="1713">
        <v>5</v>
      </c>
      <c r="N29" s="1708" t="str">
        <f t="shared" si="103"/>
        <v/>
      </c>
      <c r="O29" s="1709" t="str">
        <f t="shared" si="104"/>
        <v/>
      </c>
      <c r="P29" s="1710" t="str">
        <f t="shared" si="105"/>
        <v/>
      </c>
      <c r="Q29" s="1705" t="str">
        <f t="shared" si="7"/>
        <v/>
      </c>
      <c r="R29" s="1709" t="str">
        <f t="shared" si="8"/>
        <v/>
      </c>
      <c r="S29" s="1711" t="str">
        <f t="shared" si="9"/>
        <v/>
      </c>
      <c r="T29" s="1714">
        <v>0</v>
      </c>
      <c r="U29" s="1709">
        <v>2.25</v>
      </c>
      <c r="V29" s="1705">
        <v>0</v>
      </c>
      <c r="W29" s="1709">
        <v>2.25</v>
      </c>
      <c r="X29" s="1713">
        <v>4</v>
      </c>
      <c r="Y29" s="1781" t="str">
        <f t="shared" si="10"/>
        <v/>
      </c>
      <c r="Z29" s="1782" t="str">
        <f t="shared" si="11"/>
        <v/>
      </c>
      <c r="AA29" s="1783" t="s">
        <v>1731</v>
      </c>
      <c r="AB29" s="1413"/>
      <c r="AC29" s="964" t="b">
        <v>0</v>
      </c>
      <c r="AD29" s="441">
        <f t="shared" si="12"/>
        <v>0</v>
      </c>
      <c r="AE29" s="442">
        <f t="shared" si="13"/>
        <v>22</v>
      </c>
      <c r="AF29" s="442">
        <f t="shared" si="14"/>
        <v>0</v>
      </c>
      <c r="AG29" s="442">
        <f t="shared" si="15"/>
        <v>0</v>
      </c>
      <c r="AH29" s="443">
        <f t="shared" si="16"/>
        <v>0</v>
      </c>
      <c r="AI29" s="444" t="b">
        <v>0</v>
      </c>
      <c r="AJ29" s="238">
        <f t="shared" si="17"/>
        <v>32</v>
      </c>
      <c r="AK29" s="830" t="str">
        <f t="shared" si="18"/>
        <v>LH</v>
      </c>
      <c r="AL29" s="945" t="str">
        <f t="shared" si="19"/>
        <v/>
      </c>
      <c r="AM29" s="830">
        <f t="shared" si="20"/>
        <v>305</v>
      </c>
      <c r="AN29" s="830">
        <f t="shared" si="21"/>
        <v>180</v>
      </c>
      <c r="AO29" s="830" t="str">
        <f t="shared" si="22"/>
        <v/>
      </c>
      <c r="AP29" s="830" t="b">
        <f>IF(ISERROR(AJ29),FALSE,IF(OR(AJ29=0,ISERROR(AL29),ISERROR(AM29),ISERROR(AN29),ISERROR(AO29)),FALSE,IF(AL29&lt;&gt;"",IF(ISERROR(VLOOKUP(SUBSTITUTE(SUBSTITUTE(C29,"R",""),"A",""),TblJoistSize!$A:$A,1,FALSE)),FALSE,TRUE),TRUE)))</f>
        <v>1</v>
      </c>
      <c r="AQ29" s="1038">
        <f t="shared" si="23"/>
        <v>6</v>
      </c>
      <c r="AR29" s="945" t="b">
        <f t="shared" si="24"/>
        <v>1</v>
      </c>
      <c r="AS29" s="1038">
        <f t="shared" si="25"/>
        <v>6</v>
      </c>
      <c r="AT29" s="945" t="b">
        <f t="shared" si="26"/>
        <v>1</v>
      </c>
      <c r="AU29" s="946" t="str">
        <f t="shared" si="27"/>
        <v>LH</v>
      </c>
      <c r="AV29" s="830" t="str">
        <f t="shared" si="28"/>
        <v/>
      </c>
      <c r="AW29" s="830" t="str">
        <f t="shared" si="29"/>
        <v>LH</v>
      </c>
      <c r="AX29" s="830" t="str">
        <f t="shared" si="106"/>
        <v>J30</v>
      </c>
      <c r="AY29" s="1039" t="b">
        <f t="shared" si="30"/>
        <v>0</v>
      </c>
      <c r="AZ29" s="856" t="b">
        <f t="shared" si="31"/>
        <v>0</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32"/>
        <v/>
      </c>
      <c r="BR29" s="910"/>
      <c r="BS29" s="672"/>
      <c r="BT29" s="713"/>
      <c r="BU29" s="714"/>
      <c r="BV29" s="1625"/>
      <c r="BW29" s="713"/>
      <c r="BX29" s="714"/>
      <c r="BY29" s="715"/>
      <c r="BZ29" s="716"/>
      <c r="CA29" s="680" t="str">
        <f>IF(ISERROR(DE29),"",IF(DE29="","",IF(VLOOKUP(BS29,SectInfo!$B:$N,10,FALSE)="","","X")))</f>
        <v/>
      </c>
      <c r="CB29" s="738"/>
      <c r="CC29" s="1551" t="str">
        <f t="shared" si="33"/>
        <v/>
      </c>
      <c r="CD29" s="910"/>
      <c r="CE29" s="717"/>
      <c r="CF29" s="736"/>
      <c r="CG29" s="737"/>
      <c r="CH29" s="591" t="str">
        <f t="shared" si="34"/>
        <v/>
      </c>
      <c r="CI29" s="592" t="str">
        <f t="shared" si="35"/>
        <v/>
      </c>
      <c r="CJ29" s="593" t="str">
        <f t="shared" si="36"/>
        <v/>
      </c>
      <c r="CK29" s="594" t="str">
        <f t="shared" si="37"/>
        <v/>
      </c>
      <c r="CL29" s="595" t="str">
        <f t="shared" si="38"/>
        <v/>
      </c>
      <c r="CM29" s="596" t="str">
        <f t="shared" si="39"/>
        <v/>
      </c>
      <c r="CN29" s="597" t="str">
        <f t="shared" si="40"/>
        <v/>
      </c>
      <c r="CO29" s="598" t="str">
        <f t="shared" si="41"/>
        <v/>
      </c>
      <c r="CP29" s="615" t="str">
        <f t="shared" si="42"/>
        <v/>
      </c>
      <c r="CQ29" s="616" t="str">
        <f t="shared" si="43"/>
        <v/>
      </c>
      <c r="CR29" s="750">
        <f t="shared" si="44"/>
        <v>5</v>
      </c>
      <c r="CS29" s="751">
        <f t="shared" si="45"/>
        <v>5</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46"/>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47"/>
        <v>0</v>
      </c>
      <c r="DO29" s="818">
        <f t="shared" si="48"/>
        <v>0</v>
      </c>
      <c r="DP29" s="822" t="str">
        <f t="shared" si="49"/>
        <v/>
      </c>
      <c r="DQ29" s="822" t="str">
        <f t="shared" si="50"/>
        <v/>
      </c>
      <c r="DR29" s="822" t="str">
        <f t="shared" si="51"/>
        <v/>
      </c>
      <c r="DS29" s="821">
        <f t="shared" si="52"/>
        <v>0</v>
      </c>
      <c r="DT29" s="821">
        <f t="shared" si="53"/>
        <v>0</v>
      </c>
      <c r="DU29" s="821" t="str">
        <f t="shared" si="54"/>
        <v/>
      </c>
      <c r="DV29" s="822" t="str">
        <f t="shared" si="55"/>
        <v/>
      </c>
      <c r="DW29" s="856" t="str">
        <f t="shared" si="56"/>
        <v/>
      </c>
      <c r="DX29" s="1006">
        <f t="shared" si="57"/>
        <v>0</v>
      </c>
      <c r="DY29" s="822">
        <f t="shared" si="58"/>
        <v>0</v>
      </c>
      <c r="DZ29" s="821">
        <f t="shared" si="59"/>
        <v>0</v>
      </c>
      <c r="EA29" s="821" t="str">
        <f t="shared" si="60"/>
        <v/>
      </c>
      <c r="EB29" s="822" t="str">
        <f t="shared" si="61"/>
        <v/>
      </c>
      <c r="EC29" s="856" t="str">
        <f t="shared" si="62"/>
        <v/>
      </c>
      <c r="ED29" s="1006">
        <f t="shared" si="63"/>
        <v>0</v>
      </c>
      <c r="EE29" s="1293" t="str">
        <f t="shared" si="64"/>
        <v/>
      </c>
      <c r="EF29" s="1293" t="str">
        <f t="shared" si="65"/>
        <v/>
      </c>
      <c r="EG29" s="1293" t="str">
        <f t="shared" si="66"/>
        <v/>
      </c>
      <c r="EH29" s="856" t="str">
        <f t="shared" si="67"/>
        <v>ERR</v>
      </c>
      <c r="EI29" s="856" t="str">
        <f t="shared" si="68"/>
        <v>ERR</v>
      </c>
      <c r="EJ29" s="822" t="str">
        <f t="shared" si="69"/>
        <v/>
      </c>
      <c r="EK29" s="822" t="str">
        <f t="shared" si="69"/>
        <v/>
      </c>
      <c r="EL29" s="1293" t="str">
        <f t="shared" si="70"/>
        <v/>
      </c>
      <c r="EM29" s="822" t="str">
        <f t="shared" si="71"/>
        <v/>
      </c>
      <c r="EN29" s="822" t="str">
        <f t="shared" si="72"/>
        <v/>
      </c>
      <c r="EO29" s="856" t="str">
        <f t="shared" si="73"/>
        <v>ERR</v>
      </c>
      <c r="EP29" s="856" t="str">
        <f t="shared" si="74"/>
        <v>ERR</v>
      </c>
      <c r="EQ29" s="1293" t="str">
        <f t="shared" si="75"/>
        <v/>
      </c>
      <c r="ER29" s="822" t="str">
        <f t="shared" si="75"/>
        <v/>
      </c>
      <c r="ES29" s="822" t="str">
        <f t="shared" si="76"/>
        <v/>
      </c>
      <c r="ET29" s="822" t="str">
        <f t="shared" si="77"/>
        <v/>
      </c>
      <c r="EU29" s="829">
        <f t="shared" si="78"/>
        <v>4</v>
      </c>
      <c r="EV29" s="824" t="str">
        <f t="shared" si="79"/>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80"/>
        <v/>
      </c>
      <c r="FA29" s="829" t="str">
        <f>IF(AND(DE29="G", ISBLANK(BW29), ISBLANK(BX29)),VLOOKUP(MIN(BT29:BU29),TblJoistSize!$M$3:$N$10,2),IF(OR(DE29="B", DE29="G"),MIN(BW29:BX29),""))</f>
        <v/>
      </c>
      <c r="FB29" s="829" t="str">
        <f>IF(AND(DE29="G", ISBLANK(BW29), ISBLANK(BX29)),VLOOKUP(MAX(BT29:BU29),TblJoistSize!$M$3:$N$10,2),IF(OR(DE29="B", DE29="G"),MAX(BW29:BX29),""))</f>
        <v/>
      </c>
      <c r="FC29" s="829" t="str">
        <f t="shared" si="81"/>
        <v/>
      </c>
      <c r="FD29" s="821">
        <f t="shared" si="107"/>
        <v>0</v>
      </c>
      <c r="FE29" s="821">
        <f t="shared" si="82"/>
        <v>0</v>
      </c>
      <c r="FF29" s="821">
        <f t="shared" si="83"/>
        <v>0</v>
      </c>
      <c r="FG29" s="821" t="str">
        <f t="shared" si="84"/>
        <v/>
      </c>
      <c r="FH29" s="822" t="str">
        <f t="shared" si="85"/>
        <v/>
      </c>
      <c r="FI29" s="821">
        <f t="shared" si="108"/>
        <v>0</v>
      </c>
      <c r="FJ29" s="821">
        <f t="shared" si="86"/>
        <v>0</v>
      </c>
      <c r="FK29" s="821">
        <f t="shared" si="87"/>
        <v>0</v>
      </c>
      <c r="FL29" s="821" t="str">
        <f t="shared" si="88"/>
        <v/>
      </c>
      <c r="FM29" s="822" t="str">
        <f t="shared" si="89"/>
        <v/>
      </c>
      <c r="FN29" s="822" t="e">
        <f t="shared" si="90"/>
        <v>#VALUE!</v>
      </c>
      <c r="FO29" s="940" t="e">
        <f t="shared" si="91"/>
        <v>#VALUE!</v>
      </c>
      <c r="FP29" s="940" t="e">
        <f t="shared" si="92"/>
        <v>#VALUE!</v>
      </c>
      <c r="FQ29" s="830" t="e">
        <f t="shared" si="93"/>
        <v>#VALUE!</v>
      </c>
      <c r="FR29" s="831" t="e">
        <f t="shared" si="94"/>
        <v>#VALUE!</v>
      </c>
      <c r="FS29" s="832" t="str">
        <f t="shared" si="95"/>
        <v/>
      </c>
      <c r="FT29" s="833" t="str">
        <f t="shared" si="96"/>
        <v/>
      </c>
      <c r="FU29" s="870">
        <f t="shared" si="97"/>
        <v>0</v>
      </c>
      <c r="FV29" s="871">
        <f t="shared" si="98"/>
        <v>0</v>
      </c>
      <c r="GA29" s="1791">
        <v>50</v>
      </c>
      <c r="GB29" s="1792">
        <v>0</v>
      </c>
      <c r="GC29" s="1793">
        <v>-0.25</v>
      </c>
      <c r="GD29" s="1794">
        <v>-0.25</v>
      </c>
      <c r="GE29" s="1795">
        <f t="shared" si="99"/>
        <v>0</v>
      </c>
      <c r="GF29" s="600" t="str">
        <f t="shared" si="100"/>
        <v>J30</v>
      </c>
      <c r="GG29" s="1130">
        <v>0</v>
      </c>
      <c r="GH29" s="1131">
        <v>0</v>
      </c>
      <c r="GI29" s="1130"/>
      <c r="GJ29" s="1131"/>
      <c r="GK29" s="1638">
        <f t="shared" si="101"/>
        <v>599.5</v>
      </c>
      <c r="GL29" s="1636">
        <f t="shared" si="102"/>
        <v>599.5</v>
      </c>
      <c r="GM29" s="1637">
        <f>IF(ABS(GK29-GL29)&gt;='Job Info.'!$L$22,ABS(GK29-GL29),0)</f>
        <v>0</v>
      </c>
      <c r="HA29" s="1269" t="s">
        <v>1460</v>
      </c>
      <c r="HB29" s="1270">
        <v>22</v>
      </c>
      <c r="HC29" s="1270" t="s">
        <v>1592</v>
      </c>
      <c r="HD29" s="1271">
        <v>49</v>
      </c>
      <c r="HE29" s="1272">
        <v>11.5</v>
      </c>
      <c r="HF29" s="1270" t="s">
        <v>116</v>
      </c>
      <c r="HG29" s="1270" t="s">
        <v>116</v>
      </c>
      <c r="HH29" s="1270" t="s">
        <v>116</v>
      </c>
      <c r="HI29" s="1273" t="s">
        <v>116</v>
      </c>
      <c r="HJ29" s="1270" t="s">
        <v>116</v>
      </c>
      <c r="HK29" s="1270" t="s">
        <v>116</v>
      </c>
      <c r="HL29" s="1270">
        <v>5</v>
      </c>
      <c r="HM29" s="1270">
        <v>5</v>
      </c>
      <c r="HN29" s="1270" t="s">
        <v>116</v>
      </c>
      <c r="HO29" s="1270" t="s">
        <v>116</v>
      </c>
      <c r="HP29" s="1270" t="s">
        <v>116</v>
      </c>
      <c r="HQ29" s="1273" t="s">
        <v>116</v>
      </c>
      <c r="HR29" s="1270" t="s">
        <v>116</v>
      </c>
      <c r="HS29" s="1270" t="s">
        <v>116</v>
      </c>
      <c r="HT29" s="1270">
        <v>0</v>
      </c>
      <c r="HU29" s="1270">
        <v>2.25</v>
      </c>
      <c r="HV29" s="1270">
        <v>0</v>
      </c>
      <c r="HW29" s="1272">
        <v>2.25</v>
      </c>
      <c r="HX29" s="1272">
        <v>4</v>
      </c>
      <c r="HY29" s="1272" t="s">
        <v>116</v>
      </c>
      <c r="HZ29" s="1272" t="s">
        <v>116</v>
      </c>
      <c r="IA29" s="1272" t="s">
        <v>1668</v>
      </c>
      <c r="IB29" s="1272"/>
      <c r="IC29" s="1272"/>
      <c r="ID29" s="1272"/>
      <c r="IE29" s="1272"/>
      <c r="IF29" s="1274"/>
    </row>
    <row r="30" spans="1:240" ht="12.6" customHeight="1" x14ac:dyDescent="0.25">
      <c r="A30" s="1448" t="s">
        <v>1461</v>
      </c>
      <c r="B30" s="1681">
        <v>2</v>
      </c>
      <c r="C30" s="1449" t="s">
        <v>1592</v>
      </c>
      <c r="D30" s="1705">
        <v>49</v>
      </c>
      <c r="E30" s="1706">
        <v>11.5</v>
      </c>
      <c r="F30" s="1714" t="str">
        <f t="shared" si="1"/>
        <v/>
      </c>
      <c r="G30" s="1709" t="str">
        <f t="shared" si="2"/>
        <v/>
      </c>
      <c r="H30" s="1779" t="str">
        <f t="shared" si="3"/>
        <v/>
      </c>
      <c r="I30" s="1705" t="str">
        <f t="shared" si="4"/>
        <v/>
      </c>
      <c r="J30" s="1709" t="str">
        <f t="shared" si="5"/>
        <v/>
      </c>
      <c r="K30" s="1796" t="str">
        <f t="shared" si="6"/>
        <v/>
      </c>
      <c r="L30" s="1712">
        <v>5</v>
      </c>
      <c r="M30" s="1713">
        <v>5</v>
      </c>
      <c r="N30" s="1708">
        <v>0</v>
      </c>
      <c r="O30" s="1709">
        <v>6.75</v>
      </c>
      <c r="P30" s="1710">
        <v>2</v>
      </c>
      <c r="Q30" s="1705">
        <v>0</v>
      </c>
      <c r="R30" s="1709">
        <v>6.75</v>
      </c>
      <c r="S30" s="1711">
        <v>2</v>
      </c>
      <c r="T30" s="1714">
        <v>0</v>
      </c>
      <c r="U30" s="1709">
        <v>2.25</v>
      </c>
      <c r="V30" s="1705">
        <v>0</v>
      </c>
      <c r="W30" s="1709">
        <v>2.25</v>
      </c>
      <c r="X30" s="1713">
        <v>4</v>
      </c>
      <c r="Y30" s="1781" t="str">
        <f t="shared" si="10"/>
        <v/>
      </c>
      <c r="Z30" s="1782" t="str">
        <f t="shared" si="11"/>
        <v/>
      </c>
      <c r="AA30" s="1783" t="s">
        <v>1732</v>
      </c>
      <c r="AB30" s="1413"/>
      <c r="AC30" s="964" t="b">
        <v>0</v>
      </c>
      <c r="AD30" s="441">
        <f t="shared" si="12"/>
        <v>0</v>
      </c>
      <c r="AE30" s="442">
        <f t="shared" si="13"/>
        <v>2</v>
      </c>
      <c r="AF30" s="442">
        <f t="shared" si="14"/>
        <v>0</v>
      </c>
      <c r="AG30" s="442">
        <f t="shared" si="15"/>
        <v>0</v>
      </c>
      <c r="AH30" s="443">
        <f t="shared" si="16"/>
        <v>0</v>
      </c>
      <c r="AI30" s="444" t="b">
        <v>0</v>
      </c>
      <c r="AJ30" s="238">
        <f t="shared" si="17"/>
        <v>32</v>
      </c>
      <c r="AK30" s="830" t="str">
        <f t="shared" si="18"/>
        <v>LH</v>
      </c>
      <c r="AL30" s="945" t="str">
        <f t="shared" si="19"/>
        <v/>
      </c>
      <c r="AM30" s="830">
        <f t="shared" si="20"/>
        <v>305</v>
      </c>
      <c r="AN30" s="830">
        <f t="shared" si="21"/>
        <v>180</v>
      </c>
      <c r="AO30" s="830" t="str">
        <f t="shared" si="22"/>
        <v/>
      </c>
      <c r="AP30" s="830" t="b">
        <f>IF(ISERROR(AJ30),FALSE,IF(OR(AJ30=0,ISERROR(AL30),ISERROR(AM30),ISERROR(AN30),ISERROR(AO30)),FALSE,IF(AL30&lt;&gt;"",IF(ISERROR(VLOOKUP(SUBSTITUTE(SUBSTITUTE(C30,"R",""),"A",""),TblJoistSize!$A:$A,1,FALSE)),FALSE,TRUE),TRUE)))</f>
        <v>1</v>
      </c>
      <c r="AQ30" s="1038">
        <f t="shared" si="23"/>
        <v>6</v>
      </c>
      <c r="AR30" s="945" t="b">
        <f t="shared" si="24"/>
        <v>1</v>
      </c>
      <c r="AS30" s="1038">
        <f t="shared" si="25"/>
        <v>6</v>
      </c>
      <c r="AT30" s="945" t="b">
        <f t="shared" si="26"/>
        <v>1</v>
      </c>
      <c r="AU30" s="946" t="str">
        <f t="shared" si="27"/>
        <v>LH</v>
      </c>
      <c r="AV30" s="830" t="str">
        <f t="shared" si="28"/>
        <v/>
      </c>
      <c r="AW30" s="830" t="str">
        <f t="shared" si="29"/>
        <v>LH</v>
      </c>
      <c r="AX30" s="830" t="str">
        <f t="shared" si="106"/>
        <v>TJ31</v>
      </c>
      <c r="AY30" s="1039" t="b">
        <f t="shared" si="30"/>
        <v>0</v>
      </c>
      <c r="AZ30" s="856" t="b">
        <f t="shared" si="31"/>
        <v>0</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32"/>
        <v/>
      </c>
      <c r="BR30" s="910"/>
      <c r="BS30" s="672"/>
      <c r="BT30" s="713"/>
      <c r="BU30" s="714"/>
      <c r="BV30" s="1625"/>
      <c r="BW30" s="713"/>
      <c r="BX30" s="714"/>
      <c r="BY30" s="715"/>
      <c r="BZ30" s="716"/>
      <c r="CA30" s="680" t="str">
        <f>IF(ISERROR(DE30),"",IF(DE30="","",IF(VLOOKUP(BS30,SectInfo!$B:$N,10,FALSE)="","","X")))</f>
        <v/>
      </c>
      <c r="CB30" s="738"/>
      <c r="CC30" s="1551" t="str">
        <f t="shared" si="33"/>
        <v/>
      </c>
      <c r="CD30" s="910"/>
      <c r="CE30" s="717"/>
      <c r="CF30" s="736"/>
      <c r="CG30" s="737"/>
      <c r="CH30" s="591" t="str">
        <f t="shared" si="34"/>
        <v/>
      </c>
      <c r="CI30" s="592" t="str">
        <f t="shared" si="35"/>
        <v/>
      </c>
      <c r="CJ30" s="593" t="str">
        <f t="shared" si="36"/>
        <v/>
      </c>
      <c r="CK30" s="594" t="str">
        <f t="shared" si="37"/>
        <v/>
      </c>
      <c r="CL30" s="595" t="str">
        <f t="shared" si="38"/>
        <v/>
      </c>
      <c r="CM30" s="596" t="str">
        <f t="shared" si="39"/>
        <v/>
      </c>
      <c r="CN30" s="597" t="str">
        <f t="shared" si="40"/>
        <v/>
      </c>
      <c r="CO30" s="598" t="str">
        <f t="shared" si="41"/>
        <v/>
      </c>
      <c r="CP30" s="615" t="str">
        <f t="shared" si="42"/>
        <v/>
      </c>
      <c r="CQ30" s="616" t="str">
        <f t="shared" si="43"/>
        <v/>
      </c>
      <c r="CR30" s="750">
        <f t="shared" si="44"/>
        <v>5</v>
      </c>
      <c r="CS30" s="751">
        <f t="shared" si="45"/>
        <v>5</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46"/>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47"/>
        <v>0</v>
      </c>
      <c r="DO30" s="818">
        <f t="shared" si="48"/>
        <v>0</v>
      </c>
      <c r="DP30" s="822" t="str">
        <f t="shared" si="49"/>
        <v/>
      </c>
      <c r="DQ30" s="822" t="str">
        <f t="shared" si="50"/>
        <v/>
      </c>
      <c r="DR30" s="822" t="str">
        <f t="shared" si="51"/>
        <v/>
      </c>
      <c r="DS30" s="821">
        <f t="shared" si="52"/>
        <v>0</v>
      </c>
      <c r="DT30" s="821">
        <f t="shared" si="53"/>
        <v>0</v>
      </c>
      <c r="DU30" s="821" t="str">
        <f t="shared" si="54"/>
        <v/>
      </c>
      <c r="DV30" s="822" t="str">
        <f t="shared" si="55"/>
        <v/>
      </c>
      <c r="DW30" s="856" t="str">
        <f t="shared" si="56"/>
        <v/>
      </c>
      <c r="DX30" s="1006">
        <f t="shared" si="57"/>
        <v>0</v>
      </c>
      <c r="DY30" s="822">
        <f t="shared" si="58"/>
        <v>0</v>
      </c>
      <c r="DZ30" s="821">
        <f t="shared" si="59"/>
        <v>0</v>
      </c>
      <c r="EA30" s="821" t="str">
        <f t="shared" si="60"/>
        <v/>
      </c>
      <c r="EB30" s="822" t="str">
        <f t="shared" si="61"/>
        <v/>
      </c>
      <c r="EC30" s="856" t="str">
        <f t="shared" si="62"/>
        <v/>
      </c>
      <c r="ED30" s="1006">
        <f t="shared" si="63"/>
        <v>0</v>
      </c>
      <c r="EE30" s="1293" t="str">
        <f t="shared" si="64"/>
        <v/>
      </c>
      <c r="EF30" s="1293" t="str">
        <f t="shared" si="65"/>
        <v/>
      </c>
      <c r="EG30" s="1293" t="str">
        <f t="shared" si="66"/>
        <v/>
      </c>
      <c r="EH30" s="856" t="str">
        <f t="shared" si="67"/>
        <v>ERR</v>
      </c>
      <c r="EI30" s="856" t="str">
        <f t="shared" si="68"/>
        <v>ERR</v>
      </c>
      <c r="EJ30" s="822" t="str">
        <f t="shared" si="69"/>
        <v/>
      </c>
      <c r="EK30" s="822" t="str">
        <f t="shared" si="69"/>
        <v/>
      </c>
      <c r="EL30" s="1293" t="str">
        <f t="shared" si="70"/>
        <v/>
      </c>
      <c r="EM30" s="822" t="str">
        <f t="shared" si="71"/>
        <v/>
      </c>
      <c r="EN30" s="822" t="str">
        <f t="shared" si="72"/>
        <v/>
      </c>
      <c r="EO30" s="856" t="str">
        <f t="shared" si="73"/>
        <v>ERR</v>
      </c>
      <c r="EP30" s="856" t="str">
        <f t="shared" si="74"/>
        <v>ERR</v>
      </c>
      <c r="EQ30" s="1293" t="str">
        <f t="shared" si="75"/>
        <v/>
      </c>
      <c r="ER30" s="822" t="str">
        <f t="shared" si="75"/>
        <v/>
      </c>
      <c r="ES30" s="822" t="str">
        <f t="shared" si="76"/>
        <v/>
      </c>
      <c r="ET30" s="822" t="str">
        <f t="shared" si="77"/>
        <v/>
      </c>
      <c r="EU30" s="829">
        <f t="shared" si="78"/>
        <v>4</v>
      </c>
      <c r="EV30" s="824" t="str">
        <f t="shared" si="79"/>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80"/>
        <v/>
      </c>
      <c r="FA30" s="829" t="str">
        <f>IF(AND(DE30="G", ISBLANK(BW30), ISBLANK(BX30)),VLOOKUP(MIN(BT30:BU30),TblJoistSize!$M$3:$N$10,2),IF(OR(DE30="B", DE30="G"),MIN(BW30:BX30),""))</f>
        <v/>
      </c>
      <c r="FB30" s="829" t="str">
        <f>IF(AND(DE30="G", ISBLANK(BW30), ISBLANK(BX30)),VLOOKUP(MAX(BT30:BU30),TblJoistSize!$M$3:$N$10,2),IF(OR(DE30="B", DE30="G"),MAX(BW30:BX30),""))</f>
        <v/>
      </c>
      <c r="FC30" s="829" t="str">
        <f t="shared" si="81"/>
        <v/>
      </c>
      <c r="FD30" s="821">
        <f t="shared" si="107"/>
        <v>0</v>
      </c>
      <c r="FE30" s="821">
        <f t="shared" si="82"/>
        <v>0</v>
      </c>
      <c r="FF30" s="821">
        <f t="shared" si="83"/>
        <v>0</v>
      </c>
      <c r="FG30" s="821" t="str">
        <f t="shared" si="84"/>
        <v/>
      </c>
      <c r="FH30" s="822" t="str">
        <f t="shared" si="85"/>
        <v/>
      </c>
      <c r="FI30" s="821">
        <f t="shared" si="108"/>
        <v>0</v>
      </c>
      <c r="FJ30" s="821">
        <f t="shared" si="86"/>
        <v>0</v>
      </c>
      <c r="FK30" s="821">
        <f t="shared" si="87"/>
        <v>0</v>
      </c>
      <c r="FL30" s="821" t="str">
        <f t="shared" si="88"/>
        <v/>
      </c>
      <c r="FM30" s="822" t="str">
        <f t="shared" si="89"/>
        <v/>
      </c>
      <c r="FN30" s="822" t="e">
        <f t="shared" si="90"/>
        <v>#VALUE!</v>
      </c>
      <c r="FO30" s="940" t="e">
        <f t="shared" si="91"/>
        <v>#VALUE!</v>
      </c>
      <c r="FP30" s="940" t="e">
        <f t="shared" si="92"/>
        <v>#VALUE!</v>
      </c>
      <c r="FQ30" s="830" t="e">
        <f t="shared" si="93"/>
        <v>#VALUE!</v>
      </c>
      <c r="FR30" s="831" t="e">
        <f t="shared" si="94"/>
        <v>#VALUE!</v>
      </c>
      <c r="FS30" s="832" t="str">
        <f t="shared" si="95"/>
        <v/>
      </c>
      <c r="FT30" s="833" t="str">
        <f t="shared" si="96"/>
        <v/>
      </c>
      <c r="FU30" s="870">
        <f t="shared" si="97"/>
        <v>0</v>
      </c>
      <c r="FV30" s="871">
        <f t="shared" si="98"/>
        <v>0</v>
      </c>
      <c r="GA30" s="1791">
        <v>50</v>
      </c>
      <c r="GB30" s="1792">
        <v>0</v>
      </c>
      <c r="GC30" s="1793">
        <v>-0.25</v>
      </c>
      <c r="GD30" s="1794">
        <v>-0.25</v>
      </c>
      <c r="GE30" s="1795">
        <f t="shared" si="99"/>
        <v>0</v>
      </c>
      <c r="GF30" s="600" t="str">
        <f t="shared" si="100"/>
        <v>TJ31</v>
      </c>
      <c r="GG30" s="1130">
        <v>0</v>
      </c>
      <c r="GH30" s="1131">
        <v>0</v>
      </c>
      <c r="GI30" s="1130"/>
      <c r="GJ30" s="1131"/>
      <c r="GK30" s="1638">
        <f t="shared" si="101"/>
        <v>599.5</v>
      </c>
      <c r="GL30" s="1636">
        <f t="shared" si="102"/>
        <v>599.5</v>
      </c>
      <c r="GM30" s="1637">
        <f>IF(ABS(GK30-GL30)&gt;='Job Info.'!$L$22,ABS(GK30-GL30),0)</f>
        <v>0</v>
      </c>
      <c r="HA30" s="1269" t="s">
        <v>1461</v>
      </c>
      <c r="HB30" s="1270">
        <v>2</v>
      </c>
      <c r="HC30" s="1270" t="s">
        <v>1592</v>
      </c>
      <c r="HD30" s="1271">
        <v>49</v>
      </c>
      <c r="HE30" s="1272">
        <v>11.5</v>
      </c>
      <c r="HF30" s="1270" t="s">
        <v>116</v>
      </c>
      <c r="HG30" s="1270" t="s">
        <v>116</v>
      </c>
      <c r="HH30" s="1270" t="s">
        <v>116</v>
      </c>
      <c r="HI30" s="1273" t="s">
        <v>116</v>
      </c>
      <c r="HJ30" s="1270" t="s">
        <v>116</v>
      </c>
      <c r="HK30" s="1270" t="s">
        <v>116</v>
      </c>
      <c r="HL30" s="1270">
        <v>5</v>
      </c>
      <c r="HM30" s="1270">
        <v>5</v>
      </c>
      <c r="HN30" s="1270">
        <v>0</v>
      </c>
      <c r="HO30" s="1270">
        <v>6.75</v>
      </c>
      <c r="HP30" s="1270">
        <v>2</v>
      </c>
      <c r="HQ30" s="1273">
        <v>0</v>
      </c>
      <c r="HR30" s="1270">
        <v>6.75</v>
      </c>
      <c r="HS30" s="1270">
        <v>2</v>
      </c>
      <c r="HT30" s="1270">
        <v>0</v>
      </c>
      <c r="HU30" s="1270">
        <v>2.25</v>
      </c>
      <c r="HV30" s="1270">
        <v>0</v>
      </c>
      <c r="HW30" s="1272">
        <v>2.25</v>
      </c>
      <c r="HX30" s="1272">
        <v>4</v>
      </c>
      <c r="HY30" s="1272" t="s">
        <v>116</v>
      </c>
      <c r="HZ30" s="1272" t="s">
        <v>116</v>
      </c>
      <c r="IA30" s="1272" t="s">
        <v>1668</v>
      </c>
      <c r="IB30" s="1272"/>
      <c r="IC30" s="1272"/>
      <c r="ID30" s="1272"/>
      <c r="IE30" s="1272"/>
      <c r="IF30" s="1274"/>
    </row>
    <row r="31" spans="1:240" ht="12.6" customHeight="1" x14ac:dyDescent="0.25">
      <c r="A31" s="1448" t="s">
        <v>1462</v>
      </c>
      <c r="B31" s="1681">
        <v>2</v>
      </c>
      <c r="C31" s="1449" t="s">
        <v>1592</v>
      </c>
      <c r="D31" s="1705">
        <v>49</v>
      </c>
      <c r="E31" s="1706">
        <v>11.5</v>
      </c>
      <c r="F31" s="1714" t="str">
        <f t="shared" si="1"/>
        <v/>
      </c>
      <c r="G31" s="1709" t="str">
        <f t="shared" si="2"/>
        <v/>
      </c>
      <c r="H31" s="1779" t="str">
        <f t="shared" si="3"/>
        <v/>
      </c>
      <c r="I31" s="1705" t="str">
        <f t="shared" si="4"/>
        <v/>
      </c>
      <c r="J31" s="1709" t="str">
        <f t="shared" si="5"/>
        <v/>
      </c>
      <c r="K31" s="1796" t="str">
        <f t="shared" si="6"/>
        <v/>
      </c>
      <c r="L31" s="1712">
        <v>5</v>
      </c>
      <c r="M31" s="1713">
        <v>5</v>
      </c>
      <c r="N31" s="1708" t="str">
        <f t="shared" si="103"/>
        <v/>
      </c>
      <c r="O31" s="1709" t="str">
        <f t="shared" si="104"/>
        <v/>
      </c>
      <c r="P31" s="1710" t="str">
        <f t="shared" si="105"/>
        <v/>
      </c>
      <c r="Q31" s="1705" t="str">
        <f t="shared" si="7"/>
        <v/>
      </c>
      <c r="R31" s="1709" t="str">
        <f t="shared" si="8"/>
        <v/>
      </c>
      <c r="S31" s="1711" t="str">
        <f t="shared" si="9"/>
        <v/>
      </c>
      <c r="T31" s="1714">
        <v>0</v>
      </c>
      <c r="U31" s="1709">
        <v>2.25</v>
      </c>
      <c r="V31" s="1705">
        <v>0</v>
      </c>
      <c r="W31" s="1709">
        <v>2.25</v>
      </c>
      <c r="X31" s="1713">
        <v>4</v>
      </c>
      <c r="Y31" s="1781" t="str">
        <f t="shared" si="10"/>
        <v/>
      </c>
      <c r="Z31" s="1782" t="str">
        <f t="shared" si="11"/>
        <v/>
      </c>
      <c r="AA31" s="1783" t="s">
        <v>1733</v>
      </c>
      <c r="AB31" s="1413"/>
      <c r="AC31" s="964" t="b">
        <v>0</v>
      </c>
      <c r="AD31" s="441">
        <f t="shared" si="12"/>
        <v>0</v>
      </c>
      <c r="AE31" s="442">
        <f t="shared" si="13"/>
        <v>2</v>
      </c>
      <c r="AF31" s="442">
        <f t="shared" si="14"/>
        <v>0</v>
      </c>
      <c r="AG31" s="442">
        <f t="shared" si="15"/>
        <v>0</v>
      </c>
      <c r="AH31" s="443">
        <f t="shared" si="16"/>
        <v>0</v>
      </c>
      <c r="AI31" s="444" t="b">
        <v>0</v>
      </c>
      <c r="AJ31" s="238">
        <f t="shared" si="17"/>
        <v>32</v>
      </c>
      <c r="AK31" s="830" t="str">
        <f t="shared" si="18"/>
        <v>LH</v>
      </c>
      <c r="AL31" s="945" t="str">
        <f t="shared" si="19"/>
        <v/>
      </c>
      <c r="AM31" s="830">
        <f t="shared" si="20"/>
        <v>305</v>
      </c>
      <c r="AN31" s="830">
        <f t="shared" si="21"/>
        <v>180</v>
      </c>
      <c r="AO31" s="830" t="str">
        <f t="shared" si="22"/>
        <v/>
      </c>
      <c r="AP31" s="830" t="b">
        <f>IF(ISERROR(AJ31),FALSE,IF(OR(AJ31=0,ISERROR(AL31),ISERROR(AM31),ISERROR(AN31),ISERROR(AO31)),FALSE,IF(AL31&lt;&gt;"",IF(ISERROR(VLOOKUP(SUBSTITUTE(SUBSTITUTE(C31,"R",""),"A",""),TblJoistSize!$A:$A,1,FALSE)),FALSE,TRUE),TRUE)))</f>
        <v>1</v>
      </c>
      <c r="AQ31" s="1038">
        <f t="shared" si="23"/>
        <v>6</v>
      </c>
      <c r="AR31" s="945" t="b">
        <f t="shared" si="24"/>
        <v>1</v>
      </c>
      <c r="AS31" s="1038">
        <f t="shared" si="25"/>
        <v>6</v>
      </c>
      <c r="AT31" s="945" t="b">
        <f t="shared" si="26"/>
        <v>1</v>
      </c>
      <c r="AU31" s="946" t="str">
        <f t="shared" si="27"/>
        <v>LH</v>
      </c>
      <c r="AV31" s="830" t="str">
        <f t="shared" si="28"/>
        <v/>
      </c>
      <c r="AW31" s="830" t="str">
        <f t="shared" si="29"/>
        <v>LH</v>
      </c>
      <c r="AX31" s="830" t="str">
        <f t="shared" si="106"/>
        <v>J32</v>
      </c>
      <c r="AY31" s="1039" t="b">
        <f t="shared" si="30"/>
        <v>0</v>
      </c>
      <c r="AZ31" s="856" t="b">
        <f t="shared" si="31"/>
        <v>0</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32"/>
        <v/>
      </c>
      <c r="BR31" s="910"/>
      <c r="BS31" s="672"/>
      <c r="BT31" s="713"/>
      <c r="BU31" s="714"/>
      <c r="BV31" s="1625"/>
      <c r="BW31" s="713"/>
      <c r="BX31" s="714"/>
      <c r="BY31" s="715"/>
      <c r="BZ31" s="716"/>
      <c r="CA31" s="680" t="str">
        <f>IF(ISERROR(DE31),"",IF(DE31="","",IF(VLOOKUP(BS31,SectInfo!$B:$N,10,FALSE)="","","X")))</f>
        <v/>
      </c>
      <c r="CB31" s="738"/>
      <c r="CC31" s="1551" t="str">
        <f t="shared" si="33"/>
        <v/>
      </c>
      <c r="CD31" s="910"/>
      <c r="CE31" s="717"/>
      <c r="CF31" s="736"/>
      <c r="CG31" s="737"/>
      <c r="CH31" s="591" t="str">
        <f t="shared" si="34"/>
        <v/>
      </c>
      <c r="CI31" s="592" t="str">
        <f t="shared" si="35"/>
        <v/>
      </c>
      <c r="CJ31" s="593" t="str">
        <f t="shared" si="36"/>
        <v/>
      </c>
      <c r="CK31" s="594" t="str">
        <f t="shared" si="37"/>
        <v/>
      </c>
      <c r="CL31" s="595" t="str">
        <f t="shared" si="38"/>
        <v/>
      </c>
      <c r="CM31" s="596" t="str">
        <f t="shared" si="39"/>
        <v/>
      </c>
      <c r="CN31" s="597" t="str">
        <f t="shared" si="40"/>
        <v/>
      </c>
      <c r="CO31" s="598" t="str">
        <f t="shared" si="41"/>
        <v/>
      </c>
      <c r="CP31" s="615" t="str">
        <f t="shared" si="42"/>
        <v/>
      </c>
      <c r="CQ31" s="616" t="str">
        <f t="shared" si="43"/>
        <v/>
      </c>
      <c r="CR31" s="750">
        <f t="shared" si="44"/>
        <v>5</v>
      </c>
      <c r="CS31" s="751">
        <f t="shared" si="45"/>
        <v>5</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46"/>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47"/>
        <v>0</v>
      </c>
      <c r="DO31" s="818">
        <f t="shared" si="48"/>
        <v>0</v>
      </c>
      <c r="DP31" s="822" t="str">
        <f t="shared" si="49"/>
        <v/>
      </c>
      <c r="DQ31" s="822" t="str">
        <f t="shared" si="50"/>
        <v/>
      </c>
      <c r="DR31" s="822" t="str">
        <f t="shared" si="51"/>
        <v/>
      </c>
      <c r="DS31" s="821">
        <f t="shared" si="52"/>
        <v>0</v>
      </c>
      <c r="DT31" s="821">
        <f t="shared" si="53"/>
        <v>0</v>
      </c>
      <c r="DU31" s="821" t="str">
        <f t="shared" si="54"/>
        <v/>
      </c>
      <c r="DV31" s="822" t="str">
        <f t="shared" si="55"/>
        <v/>
      </c>
      <c r="DW31" s="856" t="str">
        <f t="shared" si="56"/>
        <v/>
      </c>
      <c r="DX31" s="1006">
        <f t="shared" si="57"/>
        <v>0</v>
      </c>
      <c r="DY31" s="822">
        <f t="shared" si="58"/>
        <v>0</v>
      </c>
      <c r="DZ31" s="821">
        <f t="shared" si="59"/>
        <v>0</v>
      </c>
      <c r="EA31" s="821" t="str">
        <f t="shared" si="60"/>
        <v/>
      </c>
      <c r="EB31" s="822" t="str">
        <f t="shared" si="61"/>
        <v/>
      </c>
      <c r="EC31" s="856" t="str">
        <f t="shared" si="62"/>
        <v/>
      </c>
      <c r="ED31" s="1006">
        <f t="shared" si="63"/>
        <v>0</v>
      </c>
      <c r="EE31" s="1293" t="str">
        <f t="shared" si="64"/>
        <v/>
      </c>
      <c r="EF31" s="1293" t="str">
        <f t="shared" si="65"/>
        <v/>
      </c>
      <c r="EG31" s="1293" t="str">
        <f t="shared" si="66"/>
        <v/>
      </c>
      <c r="EH31" s="856" t="str">
        <f t="shared" si="67"/>
        <v>ERR</v>
      </c>
      <c r="EI31" s="856" t="str">
        <f t="shared" si="68"/>
        <v>ERR</v>
      </c>
      <c r="EJ31" s="822" t="str">
        <f t="shared" si="69"/>
        <v/>
      </c>
      <c r="EK31" s="822" t="str">
        <f t="shared" si="69"/>
        <v/>
      </c>
      <c r="EL31" s="1293" t="str">
        <f t="shared" si="70"/>
        <v/>
      </c>
      <c r="EM31" s="822" t="str">
        <f t="shared" si="71"/>
        <v/>
      </c>
      <c r="EN31" s="822" t="str">
        <f t="shared" si="72"/>
        <v/>
      </c>
      <c r="EO31" s="856" t="str">
        <f t="shared" si="73"/>
        <v>ERR</v>
      </c>
      <c r="EP31" s="856" t="str">
        <f t="shared" si="74"/>
        <v>ERR</v>
      </c>
      <c r="EQ31" s="1293" t="str">
        <f t="shared" si="75"/>
        <v/>
      </c>
      <c r="ER31" s="822" t="str">
        <f t="shared" si="75"/>
        <v/>
      </c>
      <c r="ES31" s="822" t="str">
        <f t="shared" si="76"/>
        <v/>
      </c>
      <c r="ET31" s="822" t="str">
        <f t="shared" si="77"/>
        <v/>
      </c>
      <c r="EU31" s="829">
        <f t="shared" si="78"/>
        <v>4</v>
      </c>
      <c r="EV31" s="824" t="str">
        <f t="shared" si="79"/>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80"/>
        <v/>
      </c>
      <c r="FA31" s="829" t="str">
        <f>IF(AND(DE31="G", ISBLANK(BW31), ISBLANK(BX31)),VLOOKUP(MIN(BT31:BU31),TblJoistSize!$M$3:$N$10,2),IF(OR(DE31="B", DE31="G"),MIN(BW31:BX31),""))</f>
        <v/>
      </c>
      <c r="FB31" s="829" t="str">
        <f>IF(AND(DE31="G", ISBLANK(BW31), ISBLANK(BX31)),VLOOKUP(MAX(BT31:BU31),TblJoistSize!$M$3:$N$10,2),IF(OR(DE31="B", DE31="G"),MAX(BW31:BX31),""))</f>
        <v/>
      </c>
      <c r="FC31" s="829" t="str">
        <f t="shared" si="81"/>
        <v/>
      </c>
      <c r="FD31" s="821">
        <f t="shared" si="107"/>
        <v>0</v>
      </c>
      <c r="FE31" s="821">
        <f t="shared" si="82"/>
        <v>0</v>
      </c>
      <c r="FF31" s="821">
        <f t="shared" si="83"/>
        <v>0</v>
      </c>
      <c r="FG31" s="821" t="str">
        <f t="shared" si="84"/>
        <v/>
      </c>
      <c r="FH31" s="822" t="str">
        <f t="shared" si="85"/>
        <v/>
      </c>
      <c r="FI31" s="821">
        <f t="shared" si="108"/>
        <v>0</v>
      </c>
      <c r="FJ31" s="821">
        <f t="shared" si="86"/>
        <v>0</v>
      </c>
      <c r="FK31" s="821">
        <f t="shared" si="87"/>
        <v>0</v>
      </c>
      <c r="FL31" s="821" t="str">
        <f t="shared" si="88"/>
        <v/>
      </c>
      <c r="FM31" s="822" t="str">
        <f t="shared" si="89"/>
        <v/>
      </c>
      <c r="FN31" s="822" t="e">
        <f t="shared" si="90"/>
        <v>#VALUE!</v>
      </c>
      <c r="FO31" s="940" t="e">
        <f t="shared" si="91"/>
        <v>#VALUE!</v>
      </c>
      <c r="FP31" s="940" t="e">
        <f t="shared" si="92"/>
        <v>#VALUE!</v>
      </c>
      <c r="FQ31" s="830" t="e">
        <f t="shared" si="93"/>
        <v>#VALUE!</v>
      </c>
      <c r="FR31" s="831" t="e">
        <f t="shared" si="94"/>
        <v>#VALUE!</v>
      </c>
      <c r="FS31" s="832" t="str">
        <f t="shared" si="95"/>
        <v/>
      </c>
      <c r="FT31" s="833" t="str">
        <f t="shared" si="96"/>
        <v/>
      </c>
      <c r="FU31" s="870">
        <f t="shared" si="97"/>
        <v>0</v>
      </c>
      <c r="FV31" s="871">
        <f t="shared" si="98"/>
        <v>0</v>
      </c>
      <c r="GA31" s="1791">
        <v>50</v>
      </c>
      <c r="GB31" s="1792">
        <v>0</v>
      </c>
      <c r="GC31" s="1793">
        <v>-0.25</v>
      </c>
      <c r="GD31" s="1794">
        <v>-0.25</v>
      </c>
      <c r="GE31" s="1795">
        <f t="shared" si="99"/>
        <v>0</v>
      </c>
      <c r="GF31" s="600" t="str">
        <f t="shared" si="100"/>
        <v>J32</v>
      </c>
      <c r="GG31" s="1130">
        <v>0</v>
      </c>
      <c r="GH31" s="1131">
        <v>0</v>
      </c>
      <c r="GI31" s="1130"/>
      <c r="GJ31" s="1131"/>
      <c r="GK31" s="1638">
        <f t="shared" si="101"/>
        <v>599.5</v>
      </c>
      <c r="GL31" s="1636">
        <f t="shared" si="102"/>
        <v>599.5</v>
      </c>
      <c r="GM31" s="1637">
        <f>IF(ABS(GK31-GL31)&gt;='Job Info.'!$L$22,ABS(GK31-GL31),0)</f>
        <v>0</v>
      </c>
      <c r="HA31" s="1269" t="s">
        <v>1462</v>
      </c>
      <c r="HB31" s="1270">
        <v>2</v>
      </c>
      <c r="HC31" s="1270" t="s">
        <v>1592</v>
      </c>
      <c r="HD31" s="1271">
        <v>49</v>
      </c>
      <c r="HE31" s="1272">
        <v>11.5</v>
      </c>
      <c r="HF31" s="1270" t="s">
        <v>116</v>
      </c>
      <c r="HG31" s="1270" t="s">
        <v>116</v>
      </c>
      <c r="HH31" s="1270" t="s">
        <v>116</v>
      </c>
      <c r="HI31" s="1273" t="s">
        <v>116</v>
      </c>
      <c r="HJ31" s="1270" t="s">
        <v>116</v>
      </c>
      <c r="HK31" s="1270" t="s">
        <v>116</v>
      </c>
      <c r="HL31" s="1270">
        <v>5</v>
      </c>
      <c r="HM31" s="1270">
        <v>5</v>
      </c>
      <c r="HN31" s="1270" t="s">
        <v>116</v>
      </c>
      <c r="HO31" s="1270" t="s">
        <v>116</v>
      </c>
      <c r="HP31" s="1270" t="s">
        <v>116</v>
      </c>
      <c r="HQ31" s="1273" t="s">
        <v>116</v>
      </c>
      <c r="HR31" s="1270" t="s">
        <v>116</v>
      </c>
      <c r="HS31" s="1270" t="s">
        <v>116</v>
      </c>
      <c r="HT31" s="1270">
        <v>0</v>
      </c>
      <c r="HU31" s="1270">
        <v>2.25</v>
      </c>
      <c r="HV31" s="1270">
        <v>0</v>
      </c>
      <c r="HW31" s="1272">
        <v>2.25</v>
      </c>
      <c r="HX31" s="1272">
        <v>4</v>
      </c>
      <c r="HY31" s="1272" t="s">
        <v>116</v>
      </c>
      <c r="HZ31" s="1272" t="s">
        <v>116</v>
      </c>
      <c r="IA31" s="1272" t="s">
        <v>1669</v>
      </c>
      <c r="IB31" s="1272"/>
      <c r="IC31" s="1272"/>
      <c r="ID31" s="1272"/>
      <c r="IE31" s="1272"/>
      <c r="IF31" s="1274"/>
    </row>
    <row r="32" spans="1:240" ht="12.6" customHeight="1" x14ac:dyDescent="0.25">
      <c r="A32" s="1448" t="s">
        <v>1463</v>
      </c>
      <c r="B32" s="1681">
        <v>2</v>
      </c>
      <c r="C32" s="1449" t="s">
        <v>1592</v>
      </c>
      <c r="D32" s="1705">
        <v>49</v>
      </c>
      <c r="E32" s="1706">
        <v>11.5</v>
      </c>
      <c r="F32" s="1714" t="str">
        <f t="shared" si="1"/>
        <v/>
      </c>
      <c r="G32" s="1709" t="str">
        <f t="shared" si="2"/>
        <v/>
      </c>
      <c r="H32" s="1779" t="str">
        <f t="shared" si="3"/>
        <v/>
      </c>
      <c r="I32" s="1705" t="str">
        <f t="shared" si="4"/>
        <v/>
      </c>
      <c r="J32" s="1709" t="str">
        <f t="shared" si="5"/>
        <v/>
      </c>
      <c r="K32" s="1796" t="str">
        <f t="shared" si="6"/>
        <v/>
      </c>
      <c r="L32" s="1712">
        <v>5</v>
      </c>
      <c r="M32" s="1713">
        <v>5</v>
      </c>
      <c r="N32" s="1708" t="str">
        <f t="shared" si="103"/>
        <v/>
      </c>
      <c r="O32" s="1709" t="str">
        <f t="shared" si="104"/>
        <v/>
      </c>
      <c r="P32" s="1710" t="str">
        <f t="shared" si="105"/>
        <v/>
      </c>
      <c r="Q32" s="1705" t="str">
        <f t="shared" si="7"/>
        <v/>
      </c>
      <c r="R32" s="1709" t="str">
        <f t="shared" si="8"/>
        <v/>
      </c>
      <c r="S32" s="1711" t="str">
        <f t="shared" si="9"/>
        <v/>
      </c>
      <c r="T32" s="1714">
        <v>0</v>
      </c>
      <c r="U32" s="1709">
        <v>2.25</v>
      </c>
      <c r="V32" s="1705">
        <v>0</v>
      </c>
      <c r="W32" s="1709">
        <v>2.25</v>
      </c>
      <c r="X32" s="1713">
        <v>4</v>
      </c>
      <c r="Y32" s="1781" t="str">
        <f t="shared" si="10"/>
        <v/>
      </c>
      <c r="Z32" s="1782" t="str">
        <f t="shared" si="11"/>
        <v/>
      </c>
      <c r="AA32" s="1783" t="s">
        <v>1734</v>
      </c>
      <c r="AB32" s="1413"/>
      <c r="AC32" s="964" t="b">
        <v>0</v>
      </c>
      <c r="AD32" s="441">
        <f t="shared" si="12"/>
        <v>0</v>
      </c>
      <c r="AE32" s="442">
        <f t="shared" si="13"/>
        <v>2</v>
      </c>
      <c r="AF32" s="442">
        <f t="shared" si="14"/>
        <v>0</v>
      </c>
      <c r="AG32" s="442">
        <f t="shared" si="15"/>
        <v>0</v>
      </c>
      <c r="AH32" s="443">
        <f t="shared" si="16"/>
        <v>0</v>
      </c>
      <c r="AI32" s="444" t="b">
        <v>0</v>
      </c>
      <c r="AJ32" s="238">
        <f t="shared" si="17"/>
        <v>32</v>
      </c>
      <c r="AK32" s="830" t="str">
        <f t="shared" si="18"/>
        <v>LH</v>
      </c>
      <c r="AL32" s="945" t="str">
        <f t="shared" si="19"/>
        <v/>
      </c>
      <c r="AM32" s="830">
        <f t="shared" si="20"/>
        <v>305</v>
      </c>
      <c r="AN32" s="830">
        <f t="shared" si="21"/>
        <v>180</v>
      </c>
      <c r="AO32" s="830" t="str">
        <f t="shared" si="22"/>
        <v/>
      </c>
      <c r="AP32" s="830" t="b">
        <f>IF(ISERROR(AJ32),FALSE,IF(OR(AJ32=0,ISERROR(AL32),ISERROR(AM32),ISERROR(AN32),ISERROR(AO32)),FALSE,IF(AL32&lt;&gt;"",IF(ISERROR(VLOOKUP(SUBSTITUTE(SUBSTITUTE(C32,"R",""),"A",""),TblJoistSize!$A:$A,1,FALSE)),FALSE,TRUE),TRUE)))</f>
        <v>1</v>
      </c>
      <c r="AQ32" s="1038">
        <f t="shared" si="23"/>
        <v>6</v>
      </c>
      <c r="AR32" s="945" t="b">
        <f t="shared" si="24"/>
        <v>1</v>
      </c>
      <c r="AS32" s="1038">
        <f t="shared" si="25"/>
        <v>6</v>
      </c>
      <c r="AT32" s="945" t="b">
        <f t="shared" si="26"/>
        <v>1</v>
      </c>
      <c r="AU32" s="946" t="str">
        <f t="shared" si="27"/>
        <v>LH</v>
      </c>
      <c r="AV32" s="830" t="str">
        <f t="shared" si="28"/>
        <v/>
      </c>
      <c r="AW32" s="830" t="str">
        <f t="shared" si="29"/>
        <v>LH</v>
      </c>
      <c r="AX32" s="830" t="str">
        <f t="shared" si="106"/>
        <v>J33</v>
      </c>
      <c r="AY32" s="1039" t="b">
        <f t="shared" si="30"/>
        <v>0</v>
      </c>
      <c r="AZ32" s="856" t="b">
        <f t="shared" si="31"/>
        <v>0</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32"/>
        <v/>
      </c>
      <c r="BR32" s="910"/>
      <c r="BS32" s="672"/>
      <c r="BT32" s="713"/>
      <c r="BU32" s="714"/>
      <c r="BV32" s="1625"/>
      <c r="BW32" s="713"/>
      <c r="BX32" s="714"/>
      <c r="BY32" s="715"/>
      <c r="BZ32" s="716"/>
      <c r="CA32" s="680" t="str">
        <f>IF(ISERROR(DE32),"",IF(DE32="","",IF(VLOOKUP(BS32,SectInfo!$B:$N,10,FALSE)="","","X")))</f>
        <v/>
      </c>
      <c r="CB32" s="738"/>
      <c r="CC32" s="1551" t="str">
        <f t="shared" si="33"/>
        <v/>
      </c>
      <c r="CD32" s="910"/>
      <c r="CE32" s="717"/>
      <c r="CF32" s="736"/>
      <c r="CG32" s="737"/>
      <c r="CH32" s="591" t="str">
        <f t="shared" si="34"/>
        <v/>
      </c>
      <c r="CI32" s="592" t="str">
        <f t="shared" si="35"/>
        <v/>
      </c>
      <c r="CJ32" s="593" t="str">
        <f t="shared" si="36"/>
        <v/>
      </c>
      <c r="CK32" s="594" t="str">
        <f t="shared" si="37"/>
        <v/>
      </c>
      <c r="CL32" s="595" t="str">
        <f t="shared" si="38"/>
        <v/>
      </c>
      <c r="CM32" s="596" t="str">
        <f t="shared" si="39"/>
        <v/>
      </c>
      <c r="CN32" s="597" t="str">
        <f t="shared" si="40"/>
        <v/>
      </c>
      <c r="CO32" s="598" t="str">
        <f t="shared" si="41"/>
        <v/>
      </c>
      <c r="CP32" s="615" t="str">
        <f t="shared" si="42"/>
        <v/>
      </c>
      <c r="CQ32" s="616" t="str">
        <f t="shared" si="43"/>
        <v/>
      </c>
      <c r="CR32" s="750">
        <f t="shared" si="44"/>
        <v>5</v>
      </c>
      <c r="CS32" s="751">
        <f t="shared" si="45"/>
        <v>5</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46"/>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47"/>
        <v>0</v>
      </c>
      <c r="DO32" s="818">
        <f t="shared" si="48"/>
        <v>0</v>
      </c>
      <c r="DP32" s="822" t="str">
        <f t="shared" si="49"/>
        <v/>
      </c>
      <c r="DQ32" s="822" t="str">
        <f t="shared" si="50"/>
        <v/>
      </c>
      <c r="DR32" s="822" t="str">
        <f t="shared" si="51"/>
        <v/>
      </c>
      <c r="DS32" s="821">
        <f t="shared" si="52"/>
        <v>0</v>
      </c>
      <c r="DT32" s="821">
        <f t="shared" si="53"/>
        <v>0</v>
      </c>
      <c r="DU32" s="821" t="str">
        <f t="shared" si="54"/>
        <v/>
      </c>
      <c r="DV32" s="822" t="str">
        <f t="shared" si="55"/>
        <v/>
      </c>
      <c r="DW32" s="856" t="str">
        <f t="shared" si="56"/>
        <v/>
      </c>
      <c r="DX32" s="1006">
        <f t="shared" si="57"/>
        <v>0</v>
      </c>
      <c r="DY32" s="822">
        <f t="shared" si="58"/>
        <v>0</v>
      </c>
      <c r="DZ32" s="821">
        <f t="shared" si="59"/>
        <v>0</v>
      </c>
      <c r="EA32" s="821" t="str">
        <f t="shared" si="60"/>
        <v/>
      </c>
      <c r="EB32" s="822" t="str">
        <f t="shared" si="61"/>
        <v/>
      </c>
      <c r="EC32" s="856" t="str">
        <f t="shared" si="62"/>
        <v/>
      </c>
      <c r="ED32" s="1006">
        <f t="shared" si="63"/>
        <v>0</v>
      </c>
      <c r="EE32" s="1293" t="str">
        <f t="shared" si="64"/>
        <v/>
      </c>
      <c r="EF32" s="1293" t="str">
        <f t="shared" si="65"/>
        <v/>
      </c>
      <c r="EG32" s="1293" t="str">
        <f t="shared" si="66"/>
        <v/>
      </c>
      <c r="EH32" s="856" t="str">
        <f t="shared" si="67"/>
        <v>ERR</v>
      </c>
      <c r="EI32" s="856" t="str">
        <f t="shared" si="68"/>
        <v>ERR</v>
      </c>
      <c r="EJ32" s="822" t="str">
        <f t="shared" si="69"/>
        <v/>
      </c>
      <c r="EK32" s="822" t="str">
        <f t="shared" si="69"/>
        <v/>
      </c>
      <c r="EL32" s="1293" t="str">
        <f t="shared" si="70"/>
        <v/>
      </c>
      <c r="EM32" s="822" t="str">
        <f t="shared" si="71"/>
        <v/>
      </c>
      <c r="EN32" s="822" t="str">
        <f t="shared" si="72"/>
        <v/>
      </c>
      <c r="EO32" s="856" t="str">
        <f t="shared" si="73"/>
        <v>ERR</v>
      </c>
      <c r="EP32" s="856" t="str">
        <f t="shared" si="74"/>
        <v>ERR</v>
      </c>
      <c r="EQ32" s="1293" t="str">
        <f t="shared" si="75"/>
        <v/>
      </c>
      <c r="ER32" s="822" t="str">
        <f t="shared" si="75"/>
        <v/>
      </c>
      <c r="ES32" s="822" t="str">
        <f t="shared" si="76"/>
        <v/>
      </c>
      <c r="ET32" s="822" t="str">
        <f t="shared" si="77"/>
        <v/>
      </c>
      <c r="EU32" s="829">
        <f t="shared" si="78"/>
        <v>4</v>
      </c>
      <c r="EV32" s="824" t="str">
        <f t="shared" si="79"/>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80"/>
        <v/>
      </c>
      <c r="FA32" s="829" t="str">
        <f>IF(AND(DE32="G", ISBLANK(BW32), ISBLANK(BX32)),VLOOKUP(MIN(BT32:BU32),TblJoistSize!$M$3:$N$10,2),IF(OR(DE32="B", DE32="G"),MIN(BW32:BX32),""))</f>
        <v/>
      </c>
      <c r="FB32" s="829" t="str">
        <f>IF(AND(DE32="G", ISBLANK(BW32), ISBLANK(BX32)),VLOOKUP(MAX(BT32:BU32),TblJoistSize!$M$3:$N$10,2),IF(OR(DE32="B", DE32="G"),MAX(BW32:BX32),""))</f>
        <v/>
      </c>
      <c r="FC32" s="829" t="str">
        <f t="shared" si="81"/>
        <v/>
      </c>
      <c r="FD32" s="821">
        <f t="shared" si="107"/>
        <v>0</v>
      </c>
      <c r="FE32" s="821">
        <f t="shared" si="82"/>
        <v>0</v>
      </c>
      <c r="FF32" s="821">
        <f t="shared" si="83"/>
        <v>0</v>
      </c>
      <c r="FG32" s="821" t="str">
        <f t="shared" si="84"/>
        <v/>
      </c>
      <c r="FH32" s="822" t="str">
        <f t="shared" si="85"/>
        <v/>
      </c>
      <c r="FI32" s="821">
        <f t="shared" si="108"/>
        <v>0</v>
      </c>
      <c r="FJ32" s="821">
        <f t="shared" si="86"/>
        <v>0</v>
      </c>
      <c r="FK32" s="821">
        <f t="shared" si="87"/>
        <v>0</v>
      </c>
      <c r="FL32" s="821" t="str">
        <f t="shared" si="88"/>
        <v/>
      </c>
      <c r="FM32" s="822" t="str">
        <f t="shared" si="89"/>
        <v/>
      </c>
      <c r="FN32" s="822" t="e">
        <f t="shared" si="90"/>
        <v>#VALUE!</v>
      </c>
      <c r="FO32" s="940" t="e">
        <f t="shared" si="91"/>
        <v>#VALUE!</v>
      </c>
      <c r="FP32" s="940" t="e">
        <f t="shared" si="92"/>
        <v>#VALUE!</v>
      </c>
      <c r="FQ32" s="830" t="e">
        <f t="shared" si="93"/>
        <v>#VALUE!</v>
      </c>
      <c r="FR32" s="831" t="e">
        <f t="shared" si="94"/>
        <v>#VALUE!</v>
      </c>
      <c r="FS32" s="832" t="str">
        <f t="shared" si="95"/>
        <v/>
      </c>
      <c r="FT32" s="833" t="str">
        <f t="shared" si="96"/>
        <v/>
      </c>
      <c r="FU32" s="870">
        <f t="shared" si="97"/>
        <v>0</v>
      </c>
      <c r="FV32" s="871">
        <f t="shared" si="98"/>
        <v>0</v>
      </c>
      <c r="GA32" s="1791">
        <v>50</v>
      </c>
      <c r="GB32" s="1792">
        <v>0</v>
      </c>
      <c r="GC32" s="1793">
        <v>-0.25</v>
      </c>
      <c r="GD32" s="1794">
        <v>-0.25</v>
      </c>
      <c r="GE32" s="1795">
        <f t="shared" si="99"/>
        <v>0</v>
      </c>
      <c r="GF32" s="600" t="str">
        <f t="shared" si="100"/>
        <v>J33</v>
      </c>
      <c r="GG32" s="1130">
        <v>0</v>
      </c>
      <c r="GH32" s="1131">
        <v>0</v>
      </c>
      <c r="GI32" s="1130"/>
      <c r="GJ32" s="1131"/>
      <c r="GK32" s="1638">
        <f t="shared" si="101"/>
        <v>599.5</v>
      </c>
      <c r="GL32" s="1636">
        <f t="shared" si="102"/>
        <v>599.5</v>
      </c>
      <c r="GM32" s="1637">
        <f>IF(ABS(GK32-GL32)&gt;='Job Info.'!$L$22,ABS(GK32-GL32),0)</f>
        <v>0</v>
      </c>
      <c r="HA32" s="1269" t="s">
        <v>1463</v>
      </c>
      <c r="HB32" s="1270">
        <v>2</v>
      </c>
      <c r="HC32" s="1270" t="s">
        <v>1592</v>
      </c>
      <c r="HD32" s="1271">
        <v>49</v>
      </c>
      <c r="HE32" s="1272">
        <v>11.5</v>
      </c>
      <c r="HF32" s="1270" t="s">
        <v>116</v>
      </c>
      <c r="HG32" s="1270" t="s">
        <v>116</v>
      </c>
      <c r="HH32" s="1270" t="s">
        <v>116</v>
      </c>
      <c r="HI32" s="1273" t="s">
        <v>116</v>
      </c>
      <c r="HJ32" s="1270" t="s">
        <v>116</v>
      </c>
      <c r="HK32" s="1270" t="s">
        <v>116</v>
      </c>
      <c r="HL32" s="1270">
        <v>5</v>
      </c>
      <c r="HM32" s="1270">
        <v>5</v>
      </c>
      <c r="HN32" s="1270" t="s">
        <v>116</v>
      </c>
      <c r="HO32" s="1270" t="s">
        <v>116</v>
      </c>
      <c r="HP32" s="1270" t="s">
        <v>116</v>
      </c>
      <c r="HQ32" s="1273" t="s">
        <v>116</v>
      </c>
      <c r="HR32" s="1270" t="s">
        <v>116</v>
      </c>
      <c r="HS32" s="1270" t="s">
        <v>116</v>
      </c>
      <c r="HT32" s="1270">
        <v>0</v>
      </c>
      <c r="HU32" s="1270">
        <v>2.25</v>
      </c>
      <c r="HV32" s="1270">
        <v>0</v>
      </c>
      <c r="HW32" s="1272">
        <v>2.25</v>
      </c>
      <c r="HX32" s="1272">
        <v>4</v>
      </c>
      <c r="HY32" s="1272" t="s">
        <v>116</v>
      </c>
      <c r="HZ32" s="1272" t="s">
        <v>116</v>
      </c>
      <c r="IA32" s="1272" t="s">
        <v>1670</v>
      </c>
      <c r="IB32" s="1272"/>
      <c r="IC32" s="1272"/>
      <c r="ID32" s="1272"/>
      <c r="IE32" s="1272"/>
      <c r="IF32" s="1274"/>
    </row>
    <row r="33" spans="1:240" ht="12.6" customHeight="1" x14ac:dyDescent="0.25">
      <c r="A33" s="1448" t="s">
        <v>1464</v>
      </c>
      <c r="B33" s="1681">
        <v>2</v>
      </c>
      <c r="C33" s="1449" t="s">
        <v>1592</v>
      </c>
      <c r="D33" s="1705">
        <v>49</v>
      </c>
      <c r="E33" s="1706">
        <v>11.5</v>
      </c>
      <c r="F33" s="1714" t="str">
        <f t="shared" si="1"/>
        <v/>
      </c>
      <c r="G33" s="1709" t="str">
        <f t="shared" si="2"/>
        <v/>
      </c>
      <c r="H33" s="1779" t="str">
        <f t="shared" si="3"/>
        <v/>
      </c>
      <c r="I33" s="1705" t="str">
        <f t="shared" si="4"/>
        <v/>
      </c>
      <c r="J33" s="1709" t="str">
        <f t="shared" si="5"/>
        <v/>
      </c>
      <c r="K33" s="1796" t="str">
        <f t="shared" si="6"/>
        <v/>
      </c>
      <c r="L33" s="1712">
        <v>5</v>
      </c>
      <c r="M33" s="1713">
        <v>5</v>
      </c>
      <c r="N33" s="1708" t="str">
        <f t="shared" si="103"/>
        <v/>
      </c>
      <c r="O33" s="1709" t="str">
        <f t="shared" si="104"/>
        <v/>
      </c>
      <c r="P33" s="1710" t="str">
        <f t="shared" si="105"/>
        <v/>
      </c>
      <c r="Q33" s="1705" t="str">
        <f t="shared" si="7"/>
        <v/>
      </c>
      <c r="R33" s="1709" t="str">
        <f t="shared" si="8"/>
        <v/>
      </c>
      <c r="S33" s="1711" t="str">
        <f t="shared" si="9"/>
        <v/>
      </c>
      <c r="T33" s="1714">
        <v>0</v>
      </c>
      <c r="U33" s="1709">
        <v>2.25</v>
      </c>
      <c r="V33" s="1705">
        <v>0</v>
      </c>
      <c r="W33" s="1709">
        <v>2.25</v>
      </c>
      <c r="X33" s="1713">
        <v>4</v>
      </c>
      <c r="Y33" s="1781" t="str">
        <f t="shared" si="10"/>
        <v/>
      </c>
      <c r="Z33" s="1782" t="str">
        <f t="shared" si="11"/>
        <v/>
      </c>
      <c r="AA33" s="1783" t="s">
        <v>1735</v>
      </c>
      <c r="AB33" s="1413"/>
      <c r="AC33" s="964" t="b">
        <v>0</v>
      </c>
      <c r="AD33" s="441">
        <f t="shared" si="12"/>
        <v>0</v>
      </c>
      <c r="AE33" s="442">
        <f t="shared" si="13"/>
        <v>2</v>
      </c>
      <c r="AF33" s="442">
        <f t="shared" si="14"/>
        <v>0</v>
      </c>
      <c r="AG33" s="442">
        <f t="shared" si="15"/>
        <v>0</v>
      </c>
      <c r="AH33" s="443">
        <f t="shared" si="16"/>
        <v>0</v>
      </c>
      <c r="AI33" s="444" t="b">
        <v>0</v>
      </c>
      <c r="AJ33" s="238">
        <f t="shared" si="17"/>
        <v>32</v>
      </c>
      <c r="AK33" s="830" t="str">
        <f t="shared" si="18"/>
        <v>LH</v>
      </c>
      <c r="AL33" s="945" t="str">
        <f t="shared" si="19"/>
        <v/>
      </c>
      <c r="AM33" s="830">
        <f t="shared" si="20"/>
        <v>305</v>
      </c>
      <c r="AN33" s="830">
        <f t="shared" si="21"/>
        <v>180</v>
      </c>
      <c r="AO33" s="830" t="str">
        <f t="shared" si="22"/>
        <v/>
      </c>
      <c r="AP33" s="830" t="b">
        <f>IF(ISERROR(AJ33),FALSE,IF(OR(AJ33=0,ISERROR(AL33),ISERROR(AM33),ISERROR(AN33),ISERROR(AO33)),FALSE,IF(AL33&lt;&gt;"",IF(ISERROR(VLOOKUP(SUBSTITUTE(SUBSTITUTE(C33,"R",""),"A",""),TblJoistSize!$A:$A,1,FALSE)),FALSE,TRUE),TRUE)))</f>
        <v>1</v>
      </c>
      <c r="AQ33" s="1038">
        <f t="shared" si="23"/>
        <v>6</v>
      </c>
      <c r="AR33" s="945" t="b">
        <f t="shared" si="24"/>
        <v>1</v>
      </c>
      <c r="AS33" s="1038">
        <f t="shared" si="25"/>
        <v>6</v>
      </c>
      <c r="AT33" s="945" t="b">
        <f t="shared" si="26"/>
        <v>1</v>
      </c>
      <c r="AU33" s="946" t="str">
        <f t="shared" si="27"/>
        <v>LH</v>
      </c>
      <c r="AV33" s="830" t="str">
        <f t="shared" si="28"/>
        <v/>
      </c>
      <c r="AW33" s="830" t="str">
        <f t="shared" si="29"/>
        <v>LH</v>
      </c>
      <c r="AX33" s="830" t="str">
        <f t="shared" si="106"/>
        <v>J34</v>
      </c>
      <c r="AY33" s="1039" t="b">
        <f t="shared" si="30"/>
        <v>0</v>
      </c>
      <c r="AZ33" s="856" t="b">
        <f t="shared" si="31"/>
        <v>0</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32"/>
        <v/>
      </c>
      <c r="BR33" s="910"/>
      <c r="BS33" s="672"/>
      <c r="BT33" s="713"/>
      <c r="BU33" s="714"/>
      <c r="BV33" s="1625"/>
      <c r="BW33" s="713"/>
      <c r="BX33" s="714"/>
      <c r="BY33" s="715"/>
      <c r="BZ33" s="716"/>
      <c r="CA33" s="680" t="str">
        <f>IF(ISERROR(DE33),"",IF(DE33="","",IF(VLOOKUP(BS33,SectInfo!$B:$N,10,FALSE)="","","X")))</f>
        <v/>
      </c>
      <c r="CB33" s="738"/>
      <c r="CC33" s="1551" t="str">
        <f t="shared" si="33"/>
        <v/>
      </c>
      <c r="CD33" s="910"/>
      <c r="CE33" s="717"/>
      <c r="CF33" s="736"/>
      <c r="CG33" s="737"/>
      <c r="CH33" s="591" t="str">
        <f t="shared" si="34"/>
        <v/>
      </c>
      <c r="CI33" s="592" t="str">
        <f t="shared" si="35"/>
        <v/>
      </c>
      <c r="CJ33" s="593" t="str">
        <f t="shared" si="36"/>
        <v/>
      </c>
      <c r="CK33" s="594" t="str">
        <f t="shared" si="37"/>
        <v/>
      </c>
      <c r="CL33" s="595" t="str">
        <f t="shared" si="38"/>
        <v/>
      </c>
      <c r="CM33" s="596" t="str">
        <f t="shared" si="39"/>
        <v/>
      </c>
      <c r="CN33" s="597" t="str">
        <f t="shared" si="40"/>
        <v/>
      </c>
      <c r="CO33" s="598" t="str">
        <f t="shared" si="41"/>
        <v/>
      </c>
      <c r="CP33" s="615" t="str">
        <f t="shared" si="42"/>
        <v/>
      </c>
      <c r="CQ33" s="616" t="str">
        <f t="shared" si="43"/>
        <v/>
      </c>
      <c r="CR33" s="750">
        <f t="shared" si="44"/>
        <v>5</v>
      </c>
      <c r="CS33" s="751">
        <f t="shared" si="45"/>
        <v>5</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46"/>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47"/>
        <v>0</v>
      </c>
      <c r="DO33" s="818">
        <f t="shared" si="48"/>
        <v>0</v>
      </c>
      <c r="DP33" s="822" t="str">
        <f t="shared" si="49"/>
        <v/>
      </c>
      <c r="DQ33" s="822" t="str">
        <f t="shared" si="50"/>
        <v/>
      </c>
      <c r="DR33" s="822" t="str">
        <f t="shared" si="51"/>
        <v/>
      </c>
      <c r="DS33" s="821">
        <f t="shared" si="52"/>
        <v>0</v>
      </c>
      <c r="DT33" s="821">
        <f t="shared" si="53"/>
        <v>0</v>
      </c>
      <c r="DU33" s="821" t="str">
        <f t="shared" si="54"/>
        <v/>
      </c>
      <c r="DV33" s="822" t="str">
        <f t="shared" si="55"/>
        <v/>
      </c>
      <c r="DW33" s="856" t="str">
        <f t="shared" si="56"/>
        <v/>
      </c>
      <c r="DX33" s="1006">
        <f t="shared" si="57"/>
        <v>0</v>
      </c>
      <c r="DY33" s="822">
        <f t="shared" si="58"/>
        <v>0</v>
      </c>
      <c r="DZ33" s="821">
        <f t="shared" si="59"/>
        <v>0</v>
      </c>
      <c r="EA33" s="821" t="str">
        <f t="shared" si="60"/>
        <v/>
      </c>
      <c r="EB33" s="822" t="str">
        <f t="shared" si="61"/>
        <v/>
      </c>
      <c r="EC33" s="856" t="str">
        <f t="shared" si="62"/>
        <v/>
      </c>
      <c r="ED33" s="1006">
        <f t="shared" si="63"/>
        <v>0</v>
      </c>
      <c r="EE33" s="1293" t="str">
        <f t="shared" si="64"/>
        <v/>
      </c>
      <c r="EF33" s="1293" t="str">
        <f t="shared" si="65"/>
        <v/>
      </c>
      <c r="EG33" s="1293" t="str">
        <f t="shared" si="66"/>
        <v/>
      </c>
      <c r="EH33" s="856" t="str">
        <f t="shared" si="67"/>
        <v>ERR</v>
      </c>
      <c r="EI33" s="856" t="str">
        <f t="shared" si="68"/>
        <v>ERR</v>
      </c>
      <c r="EJ33" s="822" t="str">
        <f t="shared" si="69"/>
        <v/>
      </c>
      <c r="EK33" s="822" t="str">
        <f t="shared" si="69"/>
        <v/>
      </c>
      <c r="EL33" s="1293" t="str">
        <f t="shared" si="70"/>
        <v/>
      </c>
      <c r="EM33" s="822" t="str">
        <f t="shared" si="71"/>
        <v/>
      </c>
      <c r="EN33" s="822" t="str">
        <f t="shared" si="72"/>
        <v/>
      </c>
      <c r="EO33" s="856" t="str">
        <f t="shared" si="73"/>
        <v>ERR</v>
      </c>
      <c r="EP33" s="856" t="str">
        <f t="shared" si="74"/>
        <v>ERR</v>
      </c>
      <c r="EQ33" s="1293" t="str">
        <f t="shared" si="75"/>
        <v/>
      </c>
      <c r="ER33" s="822" t="str">
        <f t="shared" si="75"/>
        <v/>
      </c>
      <c r="ES33" s="822" t="str">
        <f t="shared" si="76"/>
        <v/>
      </c>
      <c r="ET33" s="822" t="str">
        <f t="shared" si="77"/>
        <v/>
      </c>
      <c r="EU33" s="829">
        <f t="shared" si="78"/>
        <v>4</v>
      </c>
      <c r="EV33" s="824" t="str">
        <f t="shared" si="79"/>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80"/>
        <v/>
      </c>
      <c r="FA33" s="829" t="str">
        <f>IF(AND(DE33="G", ISBLANK(BW33), ISBLANK(BX33)),VLOOKUP(MIN(BT33:BU33),TblJoistSize!$M$3:$N$10,2),IF(OR(DE33="B", DE33="G"),MIN(BW33:BX33),""))</f>
        <v/>
      </c>
      <c r="FB33" s="829" t="str">
        <f>IF(AND(DE33="G", ISBLANK(BW33), ISBLANK(BX33)),VLOOKUP(MAX(BT33:BU33),TblJoistSize!$M$3:$N$10,2),IF(OR(DE33="B", DE33="G"),MAX(BW33:BX33),""))</f>
        <v/>
      </c>
      <c r="FC33" s="829" t="str">
        <f t="shared" si="81"/>
        <v/>
      </c>
      <c r="FD33" s="821">
        <f t="shared" si="107"/>
        <v>0</v>
      </c>
      <c r="FE33" s="821">
        <f t="shared" si="82"/>
        <v>0</v>
      </c>
      <c r="FF33" s="821">
        <f t="shared" si="83"/>
        <v>0</v>
      </c>
      <c r="FG33" s="821" t="str">
        <f t="shared" si="84"/>
        <v/>
      </c>
      <c r="FH33" s="822" t="str">
        <f t="shared" si="85"/>
        <v/>
      </c>
      <c r="FI33" s="821">
        <f t="shared" si="108"/>
        <v>0</v>
      </c>
      <c r="FJ33" s="821">
        <f t="shared" si="86"/>
        <v>0</v>
      </c>
      <c r="FK33" s="821">
        <f t="shared" si="87"/>
        <v>0</v>
      </c>
      <c r="FL33" s="821" t="str">
        <f t="shared" si="88"/>
        <v/>
      </c>
      <c r="FM33" s="822" t="str">
        <f t="shared" si="89"/>
        <v/>
      </c>
      <c r="FN33" s="822" t="e">
        <f t="shared" si="90"/>
        <v>#VALUE!</v>
      </c>
      <c r="FO33" s="940" t="e">
        <f t="shared" si="91"/>
        <v>#VALUE!</v>
      </c>
      <c r="FP33" s="940" t="e">
        <f t="shared" si="92"/>
        <v>#VALUE!</v>
      </c>
      <c r="FQ33" s="830" t="e">
        <f t="shared" si="93"/>
        <v>#VALUE!</v>
      </c>
      <c r="FR33" s="831" t="e">
        <f t="shared" si="94"/>
        <v>#VALUE!</v>
      </c>
      <c r="FS33" s="832" t="str">
        <f t="shared" si="95"/>
        <v/>
      </c>
      <c r="FT33" s="833" t="str">
        <f t="shared" si="96"/>
        <v/>
      </c>
      <c r="FU33" s="870">
        <f t="shared" si="97"/>
        <v>0</v>
      </c>
      <c r="FV33" s="871">
        <f t="shared" si="98"/>
        <v>0</v>
      </c>
      <c r="GA33" s="1791">
        <v>50</v>
      </c>
      <c r="GB33" s="1792">
        <v>0</v>
      </c>
      <c r="GC33" s="1793">
        <v>-0.25</v>
      </c>
      <c r="GD33" s="1794">
        <v>-0.25</v>
      </c>
      <c r="GE33" s="1795">
        <f t="shared" si="99"/>
        <v>0</v>
      </c>
      <c r="GF33" s="600" t="str">
        <f t="shared" si="100"/>
        <v>J34</v>
      </c>
      <c r="GG33" s="1130">
        <v>0</v>
      </c>
      <c r="GH33" s="1131">
        <v>0</v>
      </c>
      <c r="GI33" s="1130"/>
      <c r="GJ33" s="1131"/>
      <c r="GK33" s="1638">
        <f t="shared" si="101"/>
        <v>599.5</v>
      </c>
      <c r="GL33" s="1636">
        <f t="shared" si="102"/>
        <v>599.5</v>
      </c>
      <c r="GM33" s="1637">
        <f>IF(ABS(GK33-GL33)&gt;='Job Info.'!$L$22,ABS(GK33-GL33),0)</f>
        <v>0</v>
      </c>
      <c r="HA33" s="1269" t="s">
        <v>1464</v>
      </c>
      <c r="HB33" s="1270">
        <v>2</v>
      </c>
      <c r="HC33" s="1270" t="s">
        <v>1592</v>
      </c>
      <c r="HD33" s="1271">
        <v>49</v>
      </c>
      <c r="HE33" s="1272">
        <v>11.5</v>
      </c>
      <c r="HF33" s="1270" t="s">
        <v>116</v>
      </c>
      <c r="HG33" s="1270" t="s">
        <v>116</v>
      </c>
      <c r="HH33" s="1270" t="s">
        <v>116</v>
      </c>
      <c r="HI33" s="1273" t="s">
        <v>116</v>
      </c>
      <c r="HJ33" s="1270" t="s">
        <v>116</v>
      </c>
      <c r="HK33" s="1270" t="s">
        <v>116</v>
      </c>
      <c r="HL33" s="1270">
        <v>5</v>
      </c>
      <c r="HM33" s="1270">
        <v>5</v>
      </c>
      <c r="HN33" s="1270" t="s">
        <v>116</v>
      </c>
      <c r="HO33" s="1270" t="s">
        <v>116</v>
      </c>
      <c r="HP33" s="1270" t="s">
        <v>116</v>
      </c>
      <c r="HQ33" s="1273" t="s">
        <v>116</v>
      </c>
      <c r="HR33" s="1270" t="s">
        <v>116</v>
      </c>
      <c r="HS33" s="1270" t="s">
        <v>116</v>
      </c>
      <c r="HT33" s="1270">
        <v>0</v>
      </c>
      <c r="HU33" s="1270">
        <v>2.25</v>
      </c>
      <c r="HV33" s="1270">
        <v>0</v>
      </c>
      <c r="HW33" s="1272">
        <v>2.25</v>
      </c>
      <c r="HX33" s="1272">
        <v>4</v>
      </c>
      <c r="HY33" s="1272" t="s">
        <v>116</v>
      </c>
      <c r="HZ33" s="1272" t="s">
        <v>116</v>
      </c>
      <c r="IA33" s="1272" t="s">
        <v>1671</v>
      </c>
      <c r="IB33" s="1272"/>
      <c r="IC33" s="1272"/>
      <c r="ID33" s="1272"/>
      <c r="IE33" s="1272"/>
      <c r="IF33" s="1274"/>
    </row>
    <row r="34" spans="1:240" ht="12.6" customHeight="1" x14ac:dyDescent="0.25">
      <c r="A34" s="1448" t="s">
        <v>1465</v>
      </c>
      <c r="B34" s="1681">
        <v>2</v>
      </c>
      <c r="C34" s="1449" t="s">
        <v>1592</v>
      </c>
      <c r="D34" s="1705">
        <v>49</v>
      </c>
      <c r="E34" s="1706">
        <v>11.5</v>
      </c>
      <c r="F34" s="1714" t="str">
        <f t="shared" si="1"/>
        <v/>
      </c>
      <c r="G34" s="1709" t="str">
        <f t="shared" si="2"/>
        <v/>
      </c>
      <c r="H34" s="1779" t="str">
        <f t="shared" si="3"/>
        <v/>
      </c>
      <c r="I34" s="1705" t="str">
        <f t="shared" si="4"/>
        <v/>
      </c>
      <c r="J34" s="1709" t="str">
        <f t="shared" si="5"/>
        <v/>
      </c>
      <c r="K34" s="1796" t="str">
        <f t="shared" si="6"/>
        <v/>
      </c>
      <c r="L34" s="1712">
        <v>5</v>
      </c>
      <c r="M34" s="1713">
        <v>5</v>
      </c>
      <c r="N34" s="1708" t="str">
        <f t="shared" si="103"/>
        <v/>
      </c>
      <c r="O34" s="1709" t="str">
        <f t="shared" si="104"/>
        <v/>
      </c>
      <c r="P34" s="1710" t="str">
        <f t="shared" si="105"/>
        <v/>
      </c>
      <c r="Q34" s="1705" t="str">
        <f t="shared" si="7"/>
        <v/>
      </c>
      <c r="R34" s="1709" t="str">
        <f t="shared" si="8"/>
        <v/>
      </c>
      <c r="S34" s="1711" t="str">
        <f t="shared" si="9"/>
        <v/>
      </c>
      <c r="T34" s="1714">
        <v>0</v>
      </c>
      <c r="U34" s="1709">
        <v>2.25</v>
      </c>
      <c r="V34" s="1705">
        <v>0</v>
      </c>
      <c r="W34" s="1709">
        <v>2.25</v>
      </c>
      <c r="X34" s="1713">
        <v>4</v>
      </c>
      <c r="Y34" s="1781" t="str">
        <f t="shared" si="10"/>
        <v/>
      </c>
      <c r="Z34" s="1782" t="str">
        <f t="shared" si="11"/>
        <v/>
      </c>
      <c r="AA34" s="1783" t="s">
        <v>1736</v>
      </c>
      <c r="AB34" s="1413"/>
      <c r="AC34" s="964" t="b">
        <v>0</v>
      </c>
      <c r="AD34" s="441">
        <f t="shared" si="12"/>
        <v>0</v>
      </c>
      <c r="AE34" s="442">
        <f t="shared" si="13"/>
        <v>2</v>
      </c>
      <c r="AF34" s="442">
        <f t="shared" si="14"/>
        <v>0</v>
      </c>
      <c r="AG34" s="442">
        <f t="shared" si="15"/>
        <v>0</v>
      </c>
      <c r="AH34" s="443">
        <f t="shared" si="16"/>
        <v>0</v>
      </c>
      <c r="AI34" s="444" t="b">
        <v>0</v>
      </c>
      <c r="AJ34" s="238">
        <f t="shared" si="17"/>
        <v>32</v>
      </c>
      <c r="AK34" s="830" t="str">
        <f t="shared" si="18"/>
        <v>LH</v>
      </c>
      <c r="AL34" s="945" t="str">
        <f t="shared" si="19"/>
        <v/>
      </c>
      <c r="AM34" s="830">
        <f t="shared" si="20"/>
        <v>305</v>
      </c>
      <c r="AN34" s="830">
        <f t="shared" si="21"/>
        <v>180</v>
      </c>
      <c r="AO34" s="830" t="str">
        <f t="shared" si="22"/>
        <v/>
      </c>
      <c r="AP34" s="830" t="b">
        <f>IF(ISERROR(AJ34),FALSE,IF(OR(AJ34=0,ISERROR(AL34),ISERROR(AM34),ISERROR(AN34),ISERROR(AO34)),FALSE,IF(AL34&lt;&gt;"",IF(ISERROR(VLOOKUP(SUBSTITUTE(SUBSTITUTE(C34,"R",""),"A",""),TblJoistSize!$A:$A,1,FALSE)),FALSE,TRUE),TRUE)))</f>
        <v>1</v>
      </c>
      <c r="AQ34" s="1038">
        <f t="shared" si="23"/>
        <v>6</v>
      </c>
      <c r="AR34" s="945" t="b">
        <f t="shared" si="24"/>
        <v>1</v>
      </c>
      <c r="AS34" s="1038">
        <f t="shared" si="25"/>
        <v>6</v>
      </c>
      <c r="AT34" s="945" t="b">
        <f t="shared" si="26"/>
        <v>1</v>
      </c>
      <c r="AU34" s="946" t="str">
        <f t="shared" si="27"/>
        <v>LH</v>
      </c>
      <c r="AV34" s="830" t="str">
        <f t="shared" si="28"/>
        <v/>
      </c>
      <c r="AW34" s="830" t="str">
        <f t="shared" si="29"/>
        <v>LH</v>
      </c>
      <c r="AX34" s="830" t="str">
        <f t="shared" si="106"/>
        <v>J35</v>
      </c>
      <c r="AY34" s="1039" t="b">
        <f t="shared" si="30"/>
        <v>0</v>
      </c>
      <c r="AZ34" s="856" t="b">
        <f t="shared" si="31"/>
        <v>0</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32"/>
        <v/>
      </c>
      <c r="BR34" s="910"/>
      <c r="BS34" s="672"/>
      <c r="BT34" s="713"/>
      <c r="BU34" s="714"/>
      <c r="BV34" s="1625"/>
      <c r="BW34" s="713"/>
      <c r="BX34" s="714"/>
      <c r="BY34" s="715"/>
      <c r="BZ34" s="716"/>
      <c r="CA34" s="680" t="str">
        <f>IF(ISERROR(DE34),"",IF(DE34="","",IF(VLOOKUP(BS34,SectInfo!$B:$N,10,FALSE)="","","X")))</f>
        <v/>
      </c>
      <c r="CB34" s="738"/>
      <c r="CC34" s="1551" t="str">
        <f t="shared" si="33"/>
        <v/>
      </c>
      <c r="CD34" s="910"/>
      <c r="CE34" s="717"/>
      <c r="CF34" s="736"/>
      <c r="CG34" s="737"/>
      <c r="CH34" s="591" t="str">
        <f t="shared" si="34"/>
        <v/>
      </c>
      <c r="CI34" s="592" t="str">
        <f t="shared" si="35"/>
        <v/>
      </c>
      <c r="CJ34" s="593" t="str">
        <f t="shared" si="36"/>
        <v/>
      </c>
      <c r="CK34" s="594" t="str">
        <f t="shared" si="37"/>
        <v/>
      </c>
      <c r="CL34" s="595" t="str">
        <f t="shared" si="38"/>
        <v/>
      </c>
      <c r="CM34" s="596" t="str">
        <f t="shared" si="39"/>
        <v/>
      </c>
      <c r="CN34" s="597" t="str">
        <f t="shared" si="40"/>
        <v/>
      </c>
      <c r="CO34" s="598" t="str">
        <f t="shared" si="41"/>
        <v/>
      </c>
      <c r="CP34" s="615" t="str">
        <f t="shared" si="42"/>
        <v/>
      </c>
      <c r="CQ34" s="616" t="str">
        <f t="shared" si="43"/>
        <v/>
      </c>
      <c r="CR34" s="750">
        <f t="shared" si="44"/>
        <v>5</v>
      </c>
      <c r="CS34" s="751">
        <f t="shared" si="45"/>
        <v>5</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46"/>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47"/>
        <v>0</v>
      </c>
      <c r="DO34" s="818">
        <f t="shared" si="48"/>
        <v>0</v>
      </c>
      <c r="DP34" s="822" t="str">
        <f t="shared" si="49"/>
        <v/>
      </c>
      <c r="DQ34" s="822" t="str">
        <f t="shared" si="50"/>
        <v/>
      </c>
      <c r="DR34" s="822" t="str">
        <f t="shared" si="51"/>
        <v/>
      </c>
      <c r="DS34" s="821">
        <f t="shared" si="52"/>
        <v>0</v>
      </c>
      <c r="DT34" s="821">
        <f t="shared" si="53"/>
        <v>0</v>
      </c>
      <c r="DU34" s="821" t="str">
        <f t="shared" si="54"/>
        <v/>
      </c>
      <c r="DV34" s="822" t="str">
        <f t="shared" si="55"/>
        <v/>
      </c>
      <c r="DW34" s="856" t="str">
        <f t="shared" si="56"/>
        <v/>
      </c>
      <c r="DX34" s="1006">
        <f t="shared" si="57"/>
        <v>0</v>
      </c>
      <c r="DY34" s="822">
        <f t="shared" si="58"/>
        <v>0</v>
      </c>
      <c r="DZ34" s="821">
        <f t="shared" si="59"/>
        <v>0</v>
      </c>
      <c r="EA34" s="821" t="str">
        <f t="shared" si="60"/>
        <v/>
      </c>
      <c r="EB34" s="822" t="str">
        <f t="shared" si="61"/>
        <v/>
      </c>
      <c r="EC34" s="856" t="str">
        <f t="shared" si="62"/>
        <v/>
      </c>
      <c r="ED34" s="1006">
        <f t="shared" si="63"/>
        <v>0</v>
      </c>
      <c r="EE34" s="1293" t="str">
        <f t="shared" si="64"/>
        <v/>
      </c>
      <c r="EF34" s="1293" t="str">
        <f t="shared" si="65"/>
        <v/>
      </c>
      <c r="EG34" s="1293" t="str">
        <f t="shared" si="66"/>
        <v/>
      </c>
      <c r="EH34" s="856" t="str">
        <f t="shared" si="67"/>
        <v>ERR</v>
      </c>
      <c r="EI34" s="856" t="str">
        <f t="shared" si="68"/>
        <v>ERR</v>
      </c>
      <c r="EJ34" s="822" t="str">
        <f t="shared" si="69"/>
        <v/>
      </c>
      <c r="EK34" s="822" t="str">
        <f t="shared" si="69"/>
        <v/>
      </c>
      <c r="EL34" s="1293" t="str">
        <f t="shared" si="70"/>
        <v/>
      </c>
      <c r="EM34" s="822" t="str">
        <f t="shared" si="71"/>
        <v/>
      </c>
      <c r="EN34" s="822" t="str">
        <f t="shared" si="72"/>
        <v/>
      </c>
      <c r="EO34" s="856" t="str">
        <f t="shared" si="73"/>
        <v>ERR</v>
      </c>
      <c r="EP34" s="856" t="str">
        <f t="shared" si="74"/>
        <v>ERR</v>
      </c>
      <c r="EQ34" s="1293" t="str">
        <f t="shared" si="75"/>
        <v/>
      </c>
      <c r="ER34" s="822" t="str">
        <f t="shared" si="75"/>
        <v/>
      </c>
      <c r="ES34" s="822" t="str">
        <f t="shared" si="76"/>
        <v/>
      </c>
      <c r="ET34" s="822" t="str">
        <f t="shared" si="77"/>
        <v/>
      </c>
      <c r="EU34" s="829">
        <f t="shared" si="78"/>
        <v>4</v>
      </c>
      <c r="EV34" s="824" t="str">
        <f t="shared" si="79"/>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80"/>
        <v/>
      </c>
      <c r="FA34" s="829" t="str">
        <f>IF(AND(DE34="G", ISBLANK(BW34), ISBLANK(BX34)),VLOOKUP(MIN(BT34:BU34),TblJoistSize!$M$3:$N$10,2),IF(OR(DE34="B", DE34="G"),MIN(BW34:BX34),""))</f>
        <v/>
      </c>
      <c r="FB34" s="829" t="str">
        <f>IF(AND(DE34="G", ISBLANK(BW34), ISBLANK(BX34)),VLOOKUP(MAX(BT34:BU34),TblJoistSize!$M$3:$N$10,2),IF(OR(DE34="B", DE34="G"),MAX(BW34:BX34),""))</f>
        <v/>
      </c>
      <c r="FC34" s="829" t="str">
        <f t="shared" si="81"/>
        <v/>
      </c>
      <c r="FD34" s="821">
        <f t="shared" si="107"/>
        <v>0</v>
      </c>
      <c r="FE34" s="821">
        <f t="shared" si="82"/>
        <v>0</v>
      </c>
      <c r="FF34" s="821">
        <f t="shared" si="83"/>
        <v>0</v>
      </c>
      <c r="FG34" s="821" t="str">
        <f t="shared" si="84"/>
        <v/>
      </c>
      <c r="FH34" s="822" t="str">
        <f t="shared" si="85"/>
        <v/>
      </c>
      <c r="FI34" s="821">
        <f t="shared" si="108"/>
        <v>0</v>
      </c>
      <c r="FJ34" s="821">
        <f t="shared" si="86"/>
        <v>0</v>
      </c>
      <c r="FK34" s="821">
        <f t="shared" si="87"/>
        <v>0</v>
      </c>
      <c r="FL34" s="821" t="str">
        <f t="shared" si="88"/>
        <v/>
      </c>
      <c r="FM34" s="822" t="str">
        <f t="shared" si="89"/>
        <v/>
      </c>
      <c r="FN34" s="822" t="e">
        <f t="shared" si="90"/>
        <v>#VALUE!</v>
      </c>
      <c r="FO34" s="940" t="e">
        <f t="shared" si="91"/>
        <v>#VALUE!</v>
      </c>
      <c r="FP34" s="940" t="e">
        <f t="shared" si="92"/>
        <v>#VALUE!</v>
      </c>
      <c r="FQ34" s="830" t="e">
        <f t="shared" si="93"/>
        <v>#VALUE!</v>
      </c>
      <c r="FR34" s="831" t="e">
        <f t="shared" si="94"/>
        <v>#VALUE!</v>
      </c>
      <c r="FS34" s="832" t="str">
        <f t="shared" si="95"/>
        <v/>
      </c>
      <c r="FT34" s="833" t="str">
        <f t="shared" si="96"/>
        <v/>
      </c>
      <c r="FU34" s="870">
        <f t="shared" si="97"/>
        <v>0</v>
      </c>
      <c r="FV34" s="871">
        <f t="shared" si="98"/>
        <v>0</v>
      </c>
      <c r="GA34" s="1791">
        <v>50</v>
      </c>
      <c r="GB34" s="1792">
        <v>0</v>
      </c>
      <c r="GC34" s="1793">
        <v>-0.25</v>
      </c>
      <c r="GD34" s="1794">
        <v>-0.25</v>
      </c>
      <c r="GE34" s="1795">
        <f t="shared" si="99"/>
        <v>0</v>
      </c>
      <c r="GF34" s="600" t="str">
        <f t="shared" si="100"/>
        <v>J35</v>
      </c>
      <c r="GG34" s="1130">
        <v>0</v>
      </c>
      <c r="GH34" s="1131">
        <v>0</v>
      </c>
      <c r="GI34" s="1130"/>
      <c r="GJ34" s="1131"/>
      <c r="GK34" s="1638">
        <f t="shared" si="101"/>
        <v>599.5</v>
      </c>
      <c r="GL34" s="1636">
        <f t="shared" si="102"/>
        <v>599.5</v>
      </c>
      <c r="GM34" s="1637">
        <f>IF(ABS(GK34-GL34)&gt;='Job Info.'!$L$22,ABS(GK34-GL34),0)</f>
        <v>0</v>
      </c>
      <c r="HA34" s="1269" t="s">
        <v>1465</v>
      </c>
      <c r="HB34" s="1270">
        <v>2</v>
      </c>
      <c r="HC34" s="1270" t="s">
        <v>1592</v>
      </c>
      <c r="HD34" s="1271">
        <v>49</v>
      </c>
      <c r="HE34" s="1272">
        <v>11.5</v>
      </c>
      <c r="HF34" s="1270" t="s">
        <v>116</v>
      </c>
      <c r="HG34" s="1270" t="s">
        <v>116</v>
      </c>
      <c r="HH34" s="1270" t="s">
        <v>116</v>
      </c>
      <c r="HI34" s="1273" t="s">
        <v>116</v>
      </c>
      <c r="HJ34" s="1270" t="s">
        <v>116</v>
      </c>
      <c r="HK34" s="1270" t="s">
        <v>116</v>
      </c>
      <c r="HL34" s="1270">
        <v>5</v>
      </c>
      <c r="HM34" s="1270">
        <v>5</v>
      </c>
      <c r="HN34" s="1270" t="s">
        <v>116</v>
      </c>
      <c r="HO34" s="1270" t="s">
        <v>116</v>
      </c>
      <c r="HP34" s="1270" t="s">
        <v>116</v>
      </c>
      <c r="HQ34" s="1273" t="s">
        <v>116</v>
      </c>
      <c r="HR34" s="1270" t="s">
        <v>116</v>
      </c>
      <c r="HS34" s="1270" t="s">
        <v>116</v>
      </c>
      <c r="HT34" s="1270">
        <v>0</v>
      </c>
      <c r="HU34" s="1270">
        <v>2.25</v>
      </c>
      <c r="HV34" s="1270">
        <v>0</v>
      </c>
      <c r="HW34" s="1272">
        <v>2.25</v>
      </c>
      <c r="HX34" s="1272">
        <v>4</v>
      </c>
      <c r="HY34" s="1272" t="s">
        <v>116</v>
      </c>
      <c r="HZ34" s="1272" t="s">
        <v>116</v>
      </c>
      <c r="IA34" s="1272" t="s">
        <v>1672</v>
      </c>
      <c r="IB34" s="1272"/>
      <c r="IC34" s="1272"/>
      <c r="ID34" s="1272"/>
      <c r="IE34" s="1272"/>
      <c r="IF34" s="1274"/>
    </row>
    <row r="35" spans="1:240" ht="12.6" customHeight="1" x14ac:dyDescent="0.25">
      <c r="A35" s="1448" t="s">
        <v>1466</v>
      </c>
      <c r="B35" s="1681">
        <v>2</v>
      </c>
      <c r="C35" s="1449" t="s">
        <v>1592</v>
      </c>
      <c r="D35" s="1705">
        <v>49</v>
      </c>
      <c r="E35" s="1706">
        <v>11.5</v>
      </c>
      <c r="F35" s="1714" t="str">
        <f t="shared" si="1"/>
        <v/>
      </c>
      <c r="G35" s="1709" t="str">
        <f t="shared" si="2"/>
        <v/>
      </c>
      <c r="H35" s="1779" t="str">
        <f t="shared" si="3"/>
        <v/>
      </c>
      <c r="I35" s="1705" t="str">
        <f t="shared" si="4"/>
        <v/>
      </c>
      <c r="J35" s="1709" t="str">
        <f t="shared" si="5"/>
        <v/>
      </c>
      <c r="K35" s="1796" t="str">
        <f t="shared" si="6"/>
        <v/>
      </c>
      <c r="L35" s="1712">
        <v>5</v>
      </c>
      <c r="M35" s="1713">
        <v>5</v>
      </c>
      <c r="N35" s="1708" t="str">
        <f t="shared" si="103"/>
        <v/>
      </c>
      <c r="O35" s="1709" t="str">
        <f t="shared" si="104"/>
        <v/>
      </c>
      <c r="P35" s="1710" t="str">
        <f t="shared" si="105"/>
        <v/>
      </c>
      <c r="Q35" s="1705" t="str">
        <f t="shared" si="7"/>
        <v/>
      </c>
      <c r="R35" s="1709" t="str">
        <f t="shared" si="8"/>
        <v/>
      </c>
      <c r="S35" s="1711" t="str">
        <f t="shared" si="9"/>
        <v/>
      </c>
      <c r="T35" s="1714">
        <v>0</v>
      </c>
      <c r="U35" s="1709">
        <v>2.25</v>
      </c>
      <c r="V35" s="1705">
        <v>0</v>
      </c>
      <c r="W35" s="1709">
        <v>2.25</v>
      </c>
      <c r="X35" s="1713">
        <v>4</v>
      </c>
      <c r="Y35" s="1781" t="str">
        <f t="shared" si="10"/>
        <v/>
      </c>
      <c r="Z35" s="1782" t="str">
        <f t="shared" si="11"/>
        <v/>
      </c>
      <c r="AA35" s="1783" t="s">
        <v>1737</v>
      </c>
      <c r="AB35" s="1413"/>
      <c r="AC35" s="964" t="b">
        <v>0</v>
      </c>
      <c r="AD35" s="441">
        <f t="shared" si="12"/>
        <v>0</v>
      </c>
      <c r="AE35" s="442">
        <f t="shared" si="13"/>
        <v>2</v>
      </c>
      <c r="AF35" s="442">
        <f t="shared" si="14"/>
        <v>0</v>
      </c>
      <c r="AG35" s="442">
        <f t="shared" si="15"/>
        <v>0</v>
      </c>
      <c r="AH35" s="443">
        <f t="shared" si="16"/>
        <v>0</v>
      </c>
      <c r="AI35" s="444" t="b">
        <v>0</v>
      </c>
      <c r="AJ35" s="238">
        <f t="shared" si="17"/>
        <v>32</v>
      </c>
      <c r="AK35" s="830" t="str">
        <f t="shared" si="18"/>
        <v>LH</v>
      </c>
      <c r="AL35" s="945" t="str">
        <f t="shared" si="19"/>
        <v/>
      </c>
      <c r="AM35" s="830">
        <f t="shared" si="20"/>
        <v>305</v>
      </c>
      <c r="AN35" s="830">
        <f t="shared" si="21"/>
        <v>180</v>
      </c>
      <c r="AO35" s="830" t="str">
        <f t="shared" si="22"/>
        <v/>
      </c>
      <c r="AP35" s="830" t="b">
        <f>IF(ISERROR(AJ35),FALSE,IF(OR(AJ35=0,ISERROR(AL35),ISERROR(AM35),ISERROR(AN35),ISERROR(AO35)),FALSE,IF(AL35&lt;&gt;"",IF(ISERROR(VLOOKUP(SUBSTITUTE(SUBSTITUTE(C35,"R",""),"A",""),TblJoistSize!$A:$A,1,FALSE)),FALSE,TRUE),TRUE)))</f>
        <v>1</v>
      </c>
      <c r="AQ35" s="1038">
        <f t="shared" si="23"/>
        <v>6</v>
      </c>
      <c r="AR35" s="945" t="b">
        <f t="shared" si="24"/>
        <v>1</v>
      </c>
      <c r="AS35" s="1038">
        <f t="shared" si="25"/>
        <v>6</v>
      </c>
      <c r="AT35" s="945" t="b">
        <f t="shared" si="26"/>
        <v>1</v>
      </c>
      <c r="AU35" s="946" t="str">
        <f t="shared" si="27"/>
        <v>LH</v>
      </c>
      <c r="AV35" s="830" t="str">
        <f t="shared" si="28"/>
        <v/>
      </c>
      <c r="AW35" s="830" t="str">
        <f t="shared" si="29"/>
        <v>LH</v>
      </c>
      <c r="AX35" s="830" t="str">
        <f t="shared" si="106"/>
        <v>J36</v>
      </c>
      <c r="AY35" s="1039" t="b">
        <f t="shared" si="30"/>
        <v>0</v>
      </c>
      <c r="AZ35" s="856" t="b">
        <f t="shared" si="31"/>
        <v>0</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32"/>
        <v/>
      </c>
      <c r="BR35" s="910"/>
      <c r="BS35" s="672"/>
      <c r="BT35" s="713"/>
      <c r="BU35" s="714"/>
      <c r="BV35" s="1625"/>
      <c r="BW35" s="713"/>
      <c r="BX35" s="714"/>
      <c r="BY35" s="715"/>
      <c r="BZ35" s="716"/>
      <c r="CA35" s="680" t="str">
        <f>IF(ISERROR(DE35),"",IF(DE35="","",IF(VLOOKUP(BS35,SectInfo!$B:$N,10,FALSE)="","","X")))</f>
        <v/>
      </c>
      <c r="CB35" s="738"/>
      <c r="CC35" s="1551" t="str">
        <f t="shared" si="33"/>
        <v/>
      </c>
      <c r="CD35" s="910"/>
      <c r="CE35" s="717"/>
      <c r="CF35" s="736"/>
      <c r="CG35" s="737"/>
      <c r="CH35" s="591" t="str">
        <f t="shared" si="34"/>
        <v/>
      </c>
      <c r="CI35" s="592" t="str">
        <f t="shared" si="35"/>
        <v/>
      </c>
      <c r="CJ35" s="593" t="str">
        <f t="shared" si="36"/>
        <v/>
      </c>
      <c r="CK35" s="594" t="str">
        <f t="shared" si="37"/>
        <v/>
      </c>
      <c r="CL35" s="595" t="str">
        <f t="shared" si="38"/>
        <v/>
      </c>
      <c r="CM35" s="596" t="str">
        <f t="shared" si="39"/>
        <v/>
      </c>
      <c r="CN35" s="597" t="str">
        <f t="shared" si="40"/>
        <v/>
      </c>
      <c r="CO35" s="598" t="str">
        <f t="shared" si="41"/>
        <v/>
      </c>
      <c r="CP35" s="615" t="str">
        <f t="shared" si="42"/>
        <v/>
      </c>
      <c r="CQ35" s="616" t="str">
        <f t="shared" si="43"/>
        <v/>
      </c>
      <c r="CR35" s="750">
        <f t="shared" si="44"/>
        <v>5</v>
      </c>
      <c r="CS35" s="751">
        <f t="shared" si="45"/>
        <v>5</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46"/>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47"/>
        <v>0</v>
      </c>
      <c r="DO35" s="818">
        <f t="shared" si="48"/>
        <v>0</v>
      </c>
      <c r="DP35" s="822" t="str">
        <f t="shared" si="49"/>
        <v/>
      </c>
      <c r="DQ35" s="822" t="str">
        <f t="shared" si="50"/>
        <v/>
      </c>
      <c r="DR35" s="822" t="str">
        <f t="shared" si="51"/>
        <v/>
      </c>
      <c r="DS35" s="821">
        <f t="shared" si="52"/>
        <v>0</v>
      </c>
      <c r="DT35" s="821">
        <f t="shared" si="53"/>
        <v>0</v>
      </c>
      <c r="DU35" s="821" t="str">
        <f t="shared" si="54"/>
        <v/>
      </c>
      <c r="DV35" s="822" t="str">
        <f t="shared" si="55"/>
        <v/>
      </c>
      <c r="DW35" s="856" t="str">
        <f t="shared" si="56"/>
        <v/>
      </c>
      <c r="DX35" s="1006">
        <f t="shared" si="57"/>
        <v>0</v>
      </c>
      <c r="DY35" s="822">
        <f t="shared" si="58"/>
        <v>0</v>
      </c>
      <c r="DZ35" s="821">
        <f t="shared" si="59"/>
        <v>0</v>
      </c>
      <c r="EA35" s="821" t="str">
        <f t="shared" si="60"/>
        <v/>
      </c>
      <c r="EB35" s="822" t="str">
        <f t="shared" si="61"/>
        <v/>
      </c>
      <c r="EC35" s="856" t="str">
        <f t="shared" si="62"/>
        <v/>
      </c>
      <c r="ED35" s="1006">
        <f t="shared" si="63"/>
        <v>0</v>
      </c>
      <c r="EE35" s="1293" t="str">
        <f t="shared" si="64"/>
        <v/>
      </c>
      <c r="EF35" s="1293" t="str">
        <f t="shared" si="65"/>
        <v/>
      </c>
      <c r="EG35" s="1293" t="str">
        <f t="shared" si="66"/>
        <v/>
      </c>
      <c r="EH35" s="856" t="str">
        <f t="shared" si="67"/>
        <v>ERR</v>
      </c>
      <c r="EI35" s="856" t="str">
        <f t="shared" si="68"/>
        <v>ERR</v>
      </c>
      <c r="EJ35" s="822" t="str">
        <f t="shared" si="69"/>
        <v/>
      </c>
      <c r="EK35" s="822" t="str">
        <f t="shared" si="69"/>
        <v/>
      </c>
      <c r="EL35" s="1293" t="str">
        <f t="shared" si="70"/>
        <v/>
      </c>
      <c r="EM35" s="822" t="str">
        <f t="shared" si="71"/>
        <v/>
      </c>
      <c r="EN35" s="822" t="str">
        <f t="shared" si="72"/>
        <v/>
      </c>
      <c r="EO35" s="856" t="str">
        <f t="shared" si="73"/>
        <v>ERR</v>
      </c>
      <c r="EP35" s="856" t="str">
        <f t="shared" si="74"/>
        <v>ERR</v>
      </c>
      <c r="EQ35" s="1293" t="str">
        <f t="shared" si="75"/>
        <v/>
      </c>
      <c r="ER35" s="822" t="str">
        <f t="shared" si="75"/>
        <v/>
      </c>
      <c r="ES35" s="822" t="str">
        <f t="shared" si="76"/>
        <v/>
      </c>
      <c r="ET35" s="822" t="str">
        <f t="shared" si="77"/>
        <v/>
      </c>
      <c r="EU35" s="829">
        <f t="shared" si="78"/>
        <v>4</v>
      </c>
      <c r="EV35" s="824" t="str">
        <f t="shared" si="79"/>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80"/>
        <v/>
      </c>
      <c r="FA35" s="829" t="str">
        <f>IF(AND(DE35="G", ISBLANK(BW35), ISBLANK(BX35)),VLOOKUP(MIN(BT35:BU35),TblJoistSize!$M$3:$N$10,2),IF(OR(DE35="B", DE35="G"),MIN(BW35:BX35),""))</f>
        <v/>
      </c>
      <c r="FB35" s="829" t="str">
        <f>IF(AND(DE35="G", ISBLANK(BW35), ISBLANK(BX35)),VLOOKUP(MAX(BT35:BU35),TblJoistSize!$M$3:$N$10,2),IF(OR(DE35="B", DE35="G"),MAX(BW35:BX35),""))</f>
        <v/>
      </c>
      <c r="FC35" s="829" t="str">
        <f t="shared" si="81"/>
        <v/>
      </c>
      <c r="FD35" s="821">
        <f t="shared" si="107"/>
        <v>0</v>
      </c>
      <c r="FE35" s="821">
        <f t="shared" si="82"/>
        <v>0</v>
      </c>
      <c r="FF35" s="821">
        <f t="shared" si="83"/>
        <v>0</v>
      </c>
      <c r="FG35" s="821" t="str">
        <f t="shared" si="84"/>
        <v/>
      </c>
      <c r="FH35" s="822" t="str">
        <f t="shared" si="85"/>
        <v/>
      </c>
      <c r="FI35" s="821">
        <f t="shared" si="108"/>
        <v>0</v>
      </c>
      <c r="FJ35" s="821">
        <f t="shared" si="86"/>
        <v>0</v>
      </c>
      <c r="FK35" s="821">
        <f t="shared" si="87"/>
        <v>0</v>
      </c>
      <c r="FL35" s="821" t="str">
        <f t="shared" si="88"/>
        <v/>
      </c>
      <c r="FM35" s="822" t="str">
        <f t="shared" si="89"/>
        <v/>
      </c>
      <c r="FN35" s="822" t="e">
        <f t="shared" si="90"/>
        <v>#VALUE!</v>
      </c>
      <c r="FO35" s="940" t="e">
        <f t="shared" si="91"/>
        <v>#VALUE!</v>
      </c>
      <c r="FP35" s="940" t="e">
        <f t="shared" si="92"/>
        <v>#VALUE!</v>
      </c>
      <c r="FQ35" s="830" t="e">
        <f t="shared" si="93"/>
        <v>#VALUE!</v>
      </c>
      <c r="FR35" s="831" t="e">
        <f t="shared" si="94"/>
        <v>#VALUE!</v>
      </c>
      <c r="FS35" s="832" t="str">
        <f t="shared" si="95"/>
        <v/>
      </c>
      <c r="FT35" s="833" t="str">
        <f t="shared" si="96"/>
        <v/>
      </c>
      <c r="FU35" s="870">
        <f t="shared" si="97"/>
        <v>0</v>
      </c>
      <c r="FV35" s="871">
        <f t="shared" si="98"/>
        <v>0</v>
      </c>
      <c r="GA35" s="1791">
        <v>50</v>
      </c>
      <c r="GB35" s="1792">
        <v>0</v>
      </c>
      <c r="GC35" s="1793">
        <v>-0.25</v>
      </c>
      <c r="GD35" s="1794">
        <v>-0.25</v>
      </c>
      <c r="GE35" s="1795">
        <f t="shared" si="99"/>
        <v>0</v>
      </c>
      <c r="GF35" s="600" t="str">
        <f t="shared" si="100"/>
        <v>J36</v>
      </c>
      <c r="GG35" s="1130">
        <v>0</v>
      </c>
      <c r="GH35" s="1131">
        <v>0</v>
      </c>
      <c r="GI35" s="1130"/>
      <c r="GJ35" s="1131"/>
      <c r="GK35" s="1638">
        <f t="shared" si="101"/>
        <v>599.5</v>
      </c>
      <c r="GL35" s="1636">
        <f t="shared" si="102"/>
        <v>599.5</v>
      </c>
      <c r="GM35" s="1637">
        <f>IF(ABS(GK35-GL35)&gt;='Job Info.'!$L$22,ABS(GK35-GL35),0)</f>
        <v>0</v>
      </c>
      <c r="HA35" s="1269" t="s">
        <v>1466</v>
      </c>
      <c r="HB35" s="1270">
        <v>2</v>
      </c>
      <c r="HC35" s="1270" t="s">
        <v>1592</v>
      </c>
      <c r="HD35" s="1271">
        <v>49</v>
      </c>
      <c r="HE35" s="1272">
        <v>11.5</v>
      </c>
      <c r="HF35" s="1270" t="s">
        <v>116</v>
      </c>
      <c r="HG35" s="1270" t="s">
        <v>116</v>
      </c>
      <c r="HH35" s="1270" t="s">
        <v>116</v>
      </c>
      <c r="HI35" s="1273" t="s">
        <v>116</v>
      </c>
      <c r="HJ35" s="1270" t="s">
        <v>116</v>
      </c>
      <c r="HK35" s="1270" t="s">
        <v>116</v>
      </c>
      <c r="HL35" s="1270">
        <v>5</v>
      </c>
      <c r="HM35" s="1270">
        <v>5</v>
      </c>
      <c r="HN35" s="1270" t="s">
        <v>116</v>
      </c>
      <c r="HO35" s="1270" t="s">
        <v>116</v>
      </c>
      <c r="HP35" s="1270" t="s">
        <v>116</v>
      </c>
      <c r="HQ35" s="1273" t="s">
        <v>116</v>
      </c>
      <c r="HR35" s="1270" t="s">
        <v>116</v>
      </c>
      <c r="HS35" s="1270" t="s">
        <v>116</v>
      </c>
      <c r="HT35" s="1270">
        <v>0</v>
      </c>
      <c r="HU35" s="1270">
        <v>2.25</v>
      </c>
      <c r="HV35" s="1270">
        <v>0</v>
      </c>
      <c r="HW35" s="1272">
        <v>2.25</v>
      </c>
      <c r="HX35" s="1272">
        <v>4</v>
      </c>
      <c r="HY35" s="1272" t="s">
        <v>116</v>
      </c>
      <c r="HZ35" s="1272" t="s">
        <v>116</v>
      </c>
      <c r="IA35" s="1272" t="s">
        <v>1673</v>
      </c>
      <c r="IB35" s="1272"/>
      <c r="IC35" s="1272"/>
      <c r="ID35" s="1272"/>
      <c r="IE35" s="1272"/>
      <c r="IF35" s="1274"/>
    </row>
    <row r="36" spans="1:240" ht="12.6" customHeight="1" x14ac:dyDescent="0.25">
      <c r="A36" s="1448" t="s">
        <v>1467</v>
      </c>
      <c r="B36" s="1681">
        <v>2</v>
      </c>
      <c r="C36" s="1449" t="s">
        <v>1592</v>
      </c>
      <c r="D36" s="1705">
        <v>49</v>
      </c>
      <c r="E36" s="1706">
        <v>11.5</v>
      </c>
      <c r="F36" s="1714" t="str">
        <f t="shared" si="1"/>
        <v/>
      </c>
      <c r="G36" s="1709" t="str">
        <f t="shared" si="2"/>
        <v/>
      </c>
      <c r="H36" s="1779" t="str">
        <f t="shared" si="3"/>
        <v/>
      </c>
      <c r="I36" s="1705" t="str">
        <f t="shared" si="4"/>
        <v/>
      </c>
      <c r="J36" s="1709" t="str">
        <f t="shared" si="5"/>
        <v/>
      </c>
      <c r="K36" s="1796" t="str">
        <f t="shared" si="6"/>
        <v/>
      </c>
      <c r="L36" s="1712">
        <v>5</v>
      </c>
      <c r="M36" s="1713">
        <v>5</v>
      </c>
      <c r="N36" s="1708" t="str">
        <f t="shared" si="103"/>
        <v/>
      </c>
      <c r="O36" s="1709" t="str">
        <f t="shared" si="104"/>
        <v/>
      </c>
      <c r="P36" s="1710" t="str">
        <f t="shared" si="105"/>
        <v/>
      </c>
      <c r="Q36" s="1705" t="str">
        <f t="shared" si="7"/>
        <v/>
      </c>
      <c r="R36" s="1709" t="str">
        <f t="shared" si="8"/>
        <v/>
      </c>
      <c r="S36" s="1711" t="str">
        <f t="shared" si="9"/>
        <v/>
      </c>
      <c r="T36" s="1714">
        <v>0</v>
      </c>
      <c r="U36" s="1709">
        <v>2.25</v>
      </c>
      <c r="V36" s="1705">
        <v>0</v>
      </c>
      <c r="W36" s="1709">
        <v>2.25</v>
      </c>
      <c r="X36" s="1713">
        <v>4</v>
      </c>
      <c r="Y36" s="1781" t="str">
        <f t="shared" si="10"/>
        <v/>
      </c>
      <c r="Z36" s="1782" t="str">
        <f t="shared" si="11"/>
        <v/>
      </c>
      <c r="AA36" s="1783" t="s">
        <v>1738</v>
      </c>
      <c r="AB36" s="1413"/>
      <c r="AC36" s="964" t="b">
        <v>0</v>
      </c>
      <c r="AD36" s="441">
        <f t="shared" si="12"/>
        <v>0</v>
      </c>
      <c r="AE36" s="442">
        <f t="shared" si="13"/>
        <v>2</v>
      </c>
      <c r="AF36" s="442">
        <f t="shared" si="14"/>
        <v>0</v>
      </c>
      <c r="AG36" s="442">
        <f t="shared" si="15"/>
        <v>0</v>
      </c>
      <c r="AH36" s="443">
        <f t="shared" si="16"/>
        <v>0</v>
      </c>
      <c r="AI36" s="444" t="b">
        <v>0</v>
      </c>
      <c r="AJ36" s="238">
        <f t="shared" si="17"/>
        <v>32</v>
      </c>
      <c r="AK36" s="830" t="str">
        <f t="shared" si="18"/>
        <v>LH</v>
      </c>
      <c r="AL36" s="945" t="str">
        <f t="shared" si="19"/>
        <v/>
      </c>
      <c r="AM36" s="830">
        <f t="shared" si="20"/>
        <v>305</v>
      </c>
      <c r="AN36" s="830">
        <f t="shared" si="21"/>
        <v>180</v>
      </c>
      <c r="AO36" s="830" t="str">
        <f t="shared" si="22"/>
        <v/>
      </c>
      <c r="AP36" s="830" t="b">
        <f>IF(ISERROR(AJ36),FALSE,IF(OR(AJ36=0,ISERROR(AL36),ISERROR(AM36),ISERROR(AN36),ISERROR(AO36)),FALSE,IF(AL36&lt;&gt;"",IF(ISERROR(VLOOKUP(SUBSTITUTE(SUBSTITUTE(C36,"R",""),"A",""),TblJoistSize!$A:$A,1,FALSE)),FALSE,TRUE),TRUE)))</f>
        <v>1</v>
      </c>
      <c r="AQ36" s="1038">
        <f t="shared" si="23"/>
        <v>6</v>
      </c>
      <c r="AR36" s="945" t="b">
        <f t="shared" si="24"/>
        <v>1</v>
      </c>
      <c r="AS36" s="1038">
        <f t="shared" si="25"/>
        <v>6</v>
      </c>
      <c r="AT36" s="945" t="b">
        <f t="shared" si="26"/>
        <v>1</v>
      </c>
      <c r="AU36" s="946" t="str">
        <f t="shared" si="27"/>
        <v>LH</v>
      </c>
      <c r="AV36" s="830" t="str">
        <f t="shared" si="28"/>
        <v/>
      </c>
      <c r="AW36" s="830" t="str">
        <f t="shared" si="29"/>
        <v>LH</v>
      </c>
      <c r="AX36" s="830" t="str">
        <f t="shared" si="106"/>
        <v>J37</v>
      </c>
      <c r="AY36" s="1039" t="b">
        <f t="shared" si="30"/>
        <v>0</v>
      </c>
      <c r="AZ36" s="856" t="b">
        <f t="shared" si="31"/>
        <v>0</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32"/>
        <v/>
      </c>
      <c r="BR36" s="910"/>
      <c r="BS36" s="672"/>
      <c r="BT36" s="713"/>
      <c r="BU36" s="714"/>
      <c r="BV36" s="1625"/>
      <c r="BW36" s="713"/>
      <c r="BX36" s="714"/>
      <c r="BY36" s="715"/>
      <c r="BZ36" s="716"/>
      <c r="CA36" s="680" t="str">
        <f>IF(ISERROR(DE36),"",IF(DE36="","",IF(VLOOKUP(BS36,SectInfo!$B:$N,10,FALSE)="","","X")))</f>
        <v/>
      </c>
      <c r="CB36" s="738"/>
      <c r="CC36" s="1551" t="str">
        <f t="shared" si="33"/>
        <v/>
      </c>
      <c r="CD36" s="910"/>
      <c r="CE36" s="717"/>
      <c r="CF36" s="736"/>
      <c r="CG36" s="737"/>
      <c r="CH36" s="591" t="str">
        <f t="shared" si="34"/>
        <v/>
      </c>
      <c r="CI36" s="592" t="str">
        <f t="shared" si="35"/>
        <v/>
      </c>
      <c r="CJ36" s="593" t="str">
        <f t="shared" si="36"/>
        <v/>
      </c>
      <c r="CK36" s="594" t="str">
        <f t="shared" si="37"/>
        <v/>
      </c>
      <c r="CL36" s="595" t="str">
        <f t="shared" si="38"/>
        <v/>
      </c>
      <c r="CM36" s="596" t="str">
        <f t="shared" si="39"/>
        <v/>
      </c>
      <c r="CN36" s="597" t="str">
        <f t="shared" si="40"/>
        <v/>
      </c>
      <c r="CO36" s="598" t="str">
        <f t="shared" si="41"/>
        <v/>
      </c>
      <c r="CP36" s="615" t="str">
        <f t="shared" si="42"/>
        <v/>
      </c>
      <c r="CQ36" s="616" t="str">
        <f t="shared" si="43"/>
        <v/>
      </c>
      <c r="CR36" s="750">
        <f t="shared" si="44"/>
        <v>5</v>
      </c>
      <c r="CS36" s="751">
        <f t="shared" si="45"/>
        <v>5</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46"/>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47"/>
        <v>0</v>
      </c>
      <c r="DO36" s="818">
        <f t="shared" si="48"/>
        <v>0</v>
      </c>
      <c r="DP36" s="822" t="str">
        <f t="shared" si="49"/>
        <v/>
      </c>
      <c r="DQ36" s="822" t="str">
        <f t="shared" si="50"/>
        <v/>
      </c>
      <c r="DR36" s="822" t="str">
        <f t="shared" si="51"/>
        <v/>
      </c>
      <c r="DS36" s="821">
        <f t="shared" si="52"/>
        <v>0</v>
      </c>
      <c r="DT36" s="821">
        <f t="shared" si="53"/>
        <v>0</v>
      </c>
      <c r="DU36" s="821" t="str">
        <f t="shared" si="54"/>
        <v/>
      </c>
      <c r="DV36" s="822" t="str">
        <f t="shared" si="55"/>
        <v/>
      </c>
      <c r="DW36" s="856" t="str">
        <f t="shared" si="56"/>
        <v/>
      </c>
      <c r="DX36" s="1006">
        <f t="shared" si="57"/>
        <v>0</v>
      </c>
      <c r="DY36" s="822">
        <f t="shared" si="58"/>
        <v>0</v>
      </c>
      <c r="DZ36" s="821">
        <f t="shared" si="59"/>
        <v>0</v>
      </c>
      <c r="EA36" s="821" t="str">
        <f t="shared" si="60"/>
        <v/>
      </c>
      <c r="EB36" s="822" t="str">
        <f t="shared" si="61"/>
        <v/>
      </c>
      <c r="EC36" s="856" t="str">
        <f t="shared" si="62"/>
        <v/>
      </c>
      <c r="ED36" s="1006">
        <f t="shared" si="63"/>
        <v>0</v>
      </c>
      <c r="EE36" s="1293" t="str">
        <f t="shared" si="64"/>
        <v/>
      </c>
      <c r="EF36" s="1293" t="str">
        <f t="shared" si="65"/>
        <v/>
      </c>
      <c r="EG36" s="1293" t="str">
        <f t="shared" si="66"/>
        <v/>
      </c>
      <c r="EH36" s="856" t="str">
        <f t="shared" si="67"/>
        <v>ERR</v>
      </c>
      <c r="EI36" s="856" t="str">
        <f t="shared" si="68"/>
        <v>ERR</v>
      </c>
      <c r="EJ36" s="822" t="str">
        <f t="shared" si="69"/>
        <v/>
      </c>
      <c r="EK36" s="822" t="str">
        <f t="shared" si="69"/>
        <v/>
      </c>
      <c r="EL36" s="1293" t="str">
        <f t="shared" si="70"/>
        <v/>
      </c>
      <c r="EM36" s="822" t="str">
        <f t="shared" si="71"/>
        <v/>
      </c>
      <c r="EN36" s="822" t="str">
        <f t="shared" si="72"/>
        <v/>
      </c>
      <c r="EO36" s="856" t="str">
        <f t="shared" si="73"/>
        <v>ERR</v>
      </c>
      <c r="EP36" s="856" t="str">
        <f t="shared" si="74"/>
        <v>ERR</v>
      </c>
      <c r="EQ36" s="1293" t="str">
        <f t="shared" si="75"/>
        <v/>
      </c>
      <c r="ER36" s="822" t="str">
        <f t="shared" si="75"/>
        <v/>
      </c>
      <c r="ES36" s="822" t="str">
        <f t="shared" si="76"/>
        <v/>
      </c>
      <c r="ET36" s="822" t="str">
        <f t="shared" si="77"/>
        <v/>
      </c>
      <c r="EU36" s="829">
        <f t="shared" si="78"/>
        <v>4</v>
      </c>
      <c r="EV36" s="824" t="str">
        <f t="shared" si="79"/>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80"/>
        <v/>
      </c>
      <c r="FA36" s="829" t="str">
        <f>IF(AND(DE36="G", ISBLANK(BW36), ISBLANK(BX36)),VLOOKUP(MIN(BT36:BU36),TblJoistSize!$M$3:$N$10,2),IF(OR(DE36="B", DE36="G"),MIN(BW36:BX36),""))</f>
        <v/>
      </c>
      <c r="FB36" s="829" t="str">
        <f>IF(AND(DE36="G", ISBLANK(BW36), ISBLANK(BX36)),VLOOKUP(MAX(BT36:BU36),TblJoistSize!$M$3:$N$10,2),IF(OR(DE36="B", DE36="G"),MAX(BW36:BX36),""))</f>
        <v/>
      </c>
      <c r="FC36" s="829" t="str">
        <f t="shared" si="81"/>
        <v/>
      </c>
      <c r="FD36" s="821">
        <f t="shared" si="107"/>
        <v>0</v>
      </c>
      <c r="FE36" s="821">
        <f t="shared" si="82"/>
        <v>0</v>
      </c>
      <c r="FF36" s="821">
        <f t="shared" si="83"/>
        <v>0</v>
      </c>
      <c r="FG36" s="821" t="str">
        <f t="shared" si="84"/>
        <v/>
      </c>
      <c r="FH36" s="822" t="str">
        <f t="shared" si="85"/>
        <v/>
      </c>
      <c r="FI36" s="821">
        <f t="shared" si="108"/>
        <v>0</v>
      </c>
      <c r="FJ36" s="821">
        <f t="shared" si="86"/>
        <v>0</v>
      </c>
      <c r="FK36" s="821">
        <f t="shared" si="87"/>
        <v>0</v>
      </c>
      <c r="FL36" s="821" t="str">
        <f t="shared" si="88"/>
        <v/>
      </c>
      <c r="FM36" s="822" t="str">
        <f t="shared" si="89"/>
        <v/>
      </c>
      <c r="FN36" s="822" t="e">
        <f t="shared" si="90"/>
        <v>#VALUE!</v>
      </c>
      <c r="FO36" s="940" t="e">
        <f t="shared" si="91"/>
        <v>#VALUE!</v>
      </c>
      <c r="FP36" s="940" t="e">
        <f t="shared" si="92"/>
        <v>#VALUE!</v>
      </c>
      <c r="FQ36" s="830" t="e">
        <f t="shared" si="93"/>
        <v>#VALUE!</v>
      </c>
      <c r="FR36" s="831" t="e">
        <f t="shared" si="94"/>
        <v>#VALUE!</v>
      </c>
      <c r="FS36" s="832" t="str">
        <f t="shared" si="95"/>
        <v/>
      </c>
      <c r="FT36" s="833" t="str">
        <f t="shared" si="96"/>
        <v/>
      </c>
      <c r="FU36" s="870">
        <f t="shared" si="97"/>
        <v>0</v>
      </c>
      <c r="FV36" s="871">
        <f t="shared" si="98"/>
        <v>0</v>
      </c>
      <c r="GA36" s="1791">
        <v>50</v>
      </c>
      <c r="GB36" s="1792">
        <v>0</v>
      </c>
      <c r="GC36" s="1793">
        <v>-0.25</v>
      </c>
      <c r="GD36" s="1794">
        <v>-0.25</v>
      </c>
      <c r="GE36" s="1795">
        <f t="shared" si="99"/>
        <v>0</v>
      </c>
      <c r="GF36" s="600" t="str">
        <f t="shared" si="100"/>
        <v>J37</v>
      </c>
      <c r="GG36" s="1130">
        <v>0</v>
      </c>
      <c r="GH36" s="1131">
        <v>0</v>
      </c>
      <c r="GI36" s="1130"/>
      <c r="GJ36" s="1131"/>
      <c r="GK36" s="1638">
        <f t="shared" si="101"/>
        <v>599.5</v>
      </c>
      <c r="GL36" s="1636">
        <f t="shared" si="102"/>
        <v>599.5</v>
      </c>
      <c r="GM36" s="1637">
        <f>IF(ABS(GK36-GL36)&gt;='Job Info.'!$L$22,ABS(GK36-GL36),0)</f>
        <v>0</v>
      </c>
      <c r="HA36" s="1269" t="s">
        <v>1467</v>
      </c>
      <c r="HB36" s="1270">
        <v>2</v>
      </c>
      <c r="HC36" s="1270" t="s">
        <v>1592</v>
      </c>
      <c r="HD36" s="1271">
        <v>49</v>
      </c>
      <c r="HE36" s="1272">
        <v>11.5</v>
      </c>
      <c r="HF36" s="1270" t="s">
        <v>116</v>
      </c>
      <c r="HG36" s="1270" t="s">
        <v>116</v>
      </c>
      <c r="HH36" s="1270" t="s">
        <v>116</v>
      </c>
      <c r="HI36" s="1273" t="s">
        <v>116</v>
      </c>
      <c r="HJ36" s="1270" t="s">
        <v>116</v>
      </c>
      <c r="HK36" s="1270" t="s">
        <v>116</v>
      </c>
      <c r="HL36" s="1270">
        <v>5</v>
      </c>
      <c r="HM36" s="1270">
        <v>5</v>
      </c>
      <c r="HN36" s="1270" t="s">
        <v>116</v>
      </c>
      <c r="HO36" s="1270" t="s">
        <v>116</v>
      </c>
      <c r="HP36" s="1270" t="s">
        <v>116</v>
      </c>
      <c r="HQ36" s="1273" t="s">
        <v>116</v>
      </c>
      <c r="HR36" s="1270" t="s">
        <v>116</v>
      </c>
      <c r="HS36" s="1270" t="s">
        <v>116</v>
      </c>
      <c r="HT36" s="1270">
        <v>0</v>
      </c>
      <c r="HU36" s="1270">
        <v>2.25</v>
      </c>
      <c r="HV36" s="1270">
        <v>0</v>
      </c>
      <c r="HW36" s="1272">
        <v>2.25</v>
      </c>
      <c r="HX36" s="1272">
        <v>4</v>
      </c>
      <c r="HY36" s="1272" t="s">
        <v>116</v>
      </c>
      <c r="HZ36" s="1272" t="s">
        <v>116</v>
      </c>
      <c r="IA36" s="1272" t="s">
        <v>1674</v>
      </c>
      <c r="IB36" s="1272"/>
      <c r="IC36" s="1272"/>
      <c r="ID36" s="1272"/>
      <c r="IE36" s="1272"/>
      <c r="IF36" s="1274"/>
    </row>
    <row r="37" spans="1:240" ht="12.6" customHeight="1" x14ac:dyDescent="0.25">
      <c r="A37" s="1448" t="s">
        <v>1468</v>
      </c>
      <c r="B37" s="1681">
        <v>2</v>
      </c>
      <c r="C37" s="1449" t="s">
        <v>1592</v>
      </c>
      <c r="D37" s="1705">
        <v>49</v>
      </c>
      <c r="E37" s="1706">
        <v>11.5</v>
      </c>
      <c r="F37" s="1714" t="str">
        <f t="shared" si="1"/>
        <v/>
      </c>
      <c r="G37" s="1709" t="str">
        <f t="shared" si="2"/>
        <v/>
      </c>
      <c r="H37" s="1779" t="str">
        <f t="shared" si="3"/>
        <v/>
      </c>
      <c r="I37" s="1705" t="str">
        <f t="shared" si="4"/>
        <v/>
      </c>
      <c r="J37" s="1709" t="str">
        <f t="shared" si="5"/>
        <v/>
      </c>
      <c r="K37" s="1796" t="str">
        <f t="shared" si="6"/>
        <v/>
      </c>
      <c r="L37" s="1712">
        <v>5</v>
      </c>
      <c r="M37" s="1713">
        <v>5</v>
      </c>
      <c r="N37" s="1708" t="str">
        <f t="shared" si="103"/>
        <v/>
      </c>
      <c r="O37" s="1709" t="str">
        <f t="shared" si="104"/>
        <v/>
      </c>
      <c r="P37" s="1710" t="str">
        <f t="shared" si="105"/>
        <v/>
      </c>
      <c r="Q37" s="1705" t="str">
        <f t="shared" si="7"/>
        <v/>
      </c>
      <c r="R37" s="1709" t="str">
        <f t="shared" si="8"/>
        <v/>
      </c>
      <c r="S37" s="1711" t="str">
        <f t="shared" si="9"/>
        <v/>
      </c>
      <c r="T37" s="1714">
        <v>0</v>
      </c>
      <c r="U37" s="1709">
        <v>2.25</v>
      </c>
      <c r="V37" s="1705">
        <v>0</v>
      </c>
      <c r="W37" s="1709">
        <v>2.25</v>
      </c>
      <c r="X37" s="1713">
        <v>4</v>
      </c>
      <c r="Y37" s="1781" t="str">
        <f t="shared" si="10"/>
        <v/>
      </c>
      <c r="Z37" s="1782" t="str">
        <f t="shared" si="11"/>
        <v/>
      </c>
      <c r="AA37" s="1783" t="s">
        <v>1739</v>
      </c>
      <c r="AB37" s="1413"/>
      <c r="AC37" s="964" t="b">
        <v>0</v>
      </c>
      <c r="AD37" s="441">
        <f t="shared" si="12"/>
        <v>0</v>
      </c>
      <c r="AE37" s="442">
        <f t="shared" si="13"/>
        <v>2</v>
      </c>
      <c r="AF37" s="442">
        <f t="shared" si="14"/>
        <v>0</v>
      </c>
      <c r="AG37" s="442">
        <f t="shared" si="15"/>
        <v>0</v>
      </c>
      <c r="AH37" s="443">
        <f t="shared" si="16"/>
        <v>0</v>
      </c>
      <c r="AI37" s="444" t="b">
        <v>0</v>
      </c>
      <c r="AJ37" s="238">
        <f t="shared" si="17"/>
        <v>32</v>
      </c>
      <c r="AK37" s="830" t="str">
        <f t="shared" si="18"/>
        <v>LH</v>
      </c>
      <c r="AL37" s="945" t="str">
        <f t="shared" si="19"/>
        <v/>
      </c>
      <c r="AM37" s="830">
        <f t="shared" si="20"/>
        <v>305</v>
      </c>
      <c r="AN37" s="830">
        <f t="shared" si="21"/>
        <v>180</v>
      </c>
      <c r="AO37" s="830" t="str">
        <f t="shared" si="22"/>
        <v/>
      </c>
      <c r="AP37" s="830" t="b">
        <f>IF(ISERROR(AJ37),FALSE,IF(OR(AJ37=0,ISERROR(AL37),ISERROR(AM37),ISERROR(AN37),ISERROR(AO37)),FALSE,IF(AL37&lt;&gt;"",IF(ISERROR(VLOOKUP(SUBSTITUTE(SUBSTITUTE(C37,"R",""),"A",""),TblJoistSize!$A:$A,1,FALSE)),FALSE,TRUE),TRUE)))</f>
        <v>1</v>
      </c>
      <c r="AQ37" s="1038">
        <f t="shared" si="23"/>
        <v>6</v>
      </c>
      <c r="AR37" s="945" t="b">
        <f t="shared" si="24"/>
        <v>1</v>
      </c>
      <c r="AS37" s="1038">
        <f t="shared" si="25"/>
        <v>6</v>
      </c>
      <c r="AT37" s="945" t="b">
        <f t="shared" si="26"/>
        <v>1</v>
      </c>
      <c r="AU37" s="946" t="str">
        <f t="shared" si="27"/>
        <v>LH</v>
      </c>
      <c r="AV37" s="830" t="str">
        <f t="shared" si="28"/>
        <v/>
      </c>
      <c r="AW37" s="830" t="str">
        <f t="shared" si="29"/>
        <v>LH</v>
      </c>
      <c r="AX37" s="830" t="str">
        <f t="shared" si="106"/>
        <v>J38</v>
      </c>
      <c r="AY37" s="1039" t="b">
        <f t="shared" si="30"/>
        <v>0</v>
      </c>
      <c r="AZ37" s="856" t="b">
        <f t="shared" si="31"/>
        <v>0</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32"/>
        <v/>
      </c>
      <c r="BR37" s="910"/>
      <c r="BS37" s="672"/>
      <c r="BT37" s="713"/>
      <c r="BU37" s="714"/>
      <c r="BV37" s="1625"/>
      <c r="BW37" s="713"/>
      <c r="BX37" s="714"/>
      <c r="BY37" s="715"/>
      <c r="BZ37" s="716"/>
      <c r="CA37" s="680" t="str">
        <f>IF(ISERROR(DE37),"",IF(DE37="","",IF(VLOOKUP(BS37,SectInfo!$B:$N,10,FALSE)="","","X")))</f>
        <v/>
      </c>
      <c r="CB37" s="738"/>
      <c r="CC37" s="1551" t="str">
        <f t="shared" si="33"/>
        <v/>
      </c>
      <c r="CD37" s="910"/>
      <c r="CE37" s="717"/>
      <c r="CF37" s="736"/>
      <c r="CG37" s="737"/>
      <c r="CH37" s="591" t="str">
        <f t="shared" si="34"/>
        <v/>
      </c>
      <c r="CI37" s="592" t="str">
        <f t="shared" si="35"/>
        <v/>
      </c>
      <c r="CJ37" s="593" t="str">
        <f t="shared" si="36"/>
        <v/>
      </c>
      <c r="CK37" s="594" t="str">
        <f t="shared" si="37"/>
        <v/>
      </c>
      <c r="CL37" s="595" t="str">
        <f t="shared" si="38"/>
        <v/>
      </c>
      <c r="CM37" s="596" t="str">
        <f t="shared" si="39"/>
        <v/>
      </c>
      <c r="CN37" s="597" t="str">
        <f t="shared" si="40"/>
        <v/>
      </c>
      <c r="CO37" s="598" t="str">
        <f t="shared" si="41"/>
        <v/>
      </c>
      <c r="CP37" s="615" t="str">
        <f t="shared" si="42"/>
        <v/>
      </c>
      <c r="CQ37" s="616" t="str">
        <f t="shared" si="43"/>
        <v/>
      </c>
      <c r="CR37" s="750">
        <f t="shared" si="44"/>
        <v>5</v>
      </c>
      <c r="CS37" s="751">
        <f t="shared" si="45"/>
        <v>5</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46"/>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47"/>
        <v>0</v>
      </c>
      <c r="DO37" s="818">
        <f t="shared" si="48"/>
        <v>0</v>
      </c>
      <c r="DP37" s="822" t="str">
        <f t="shared" si="49"/>
        <v/>
      </c>
      <c r="DQ37" s="822" t="str">
        <f t="shared" si="50"/>
        <v/>
      </c>
      <c r="DR37" s="822" t="str">
        <f t="shared" si="51"/>
        <v/>
      </c>
      <c r="DS37" s="821">
        <f t="shared" si="52"/>
        <v>0</v>
      </c>
      <c r="DT37" s="821">
        <f t="shared" si="53"/>
        <v>0</v>
      </c>
      <c r="DU37" s="821" t="str">
        <f t="shared" si="54"/>
        <v/>
      </c>
      <c r="DV37" s="822" t="str">
        <f t="shared" si="55"/>
        <v/>
      </c>
      <c r="DW37" s="856" t="str">
        <f t="shared" si="56"/>
        <v/>
      </c>
      <c r="DX37" s="1006">
        <f t="shared" si="57"/>
        <v>0</v>
      </c>
      <c r="DY37" s="822">
        <f t="shared" si="58"/>
        <v>0</v>
      </c>
      <c r="DZ37" s="821">
        <f t="shared" si="59"/>
        <v>0</v>
      </c>
      <c r="EA37" s="821" t="str">
        <f t="shared" si="60"/>
        <v/>
      </c>
      <c r="EB37" s="822" t="str">
        <f t="shared" si="61"/>
        <v/>
      </c>
      <c r="EC37" s="856" t="str">
        <f t="shared" si="62"/>
        <v/>
      </c>
      <c r="ED37" s="1006">
        <f t="shared" si="63"/>
        <v>0</v>
      </c>
      <c r="EE37" s="1293" t="str">
        <f t="shared" si="64"/>
        <v/>
      </c>
      <c r="EF37" s="1293" t="str">
        <f t="shared" si="65"/>
        <v/>
      </c>
      <c r="EG37" s="1293" t="str">
        <f t="shared" si="66"/>
        <v/>
      </c>
      <c r="EH37" s="856" t="str">
        <f t="shared" si="67"/>
        <v>ERR</v>
      </c>
      <c r="EI37" s="856" t="str">
        <f t="shared" si="68"/>
        <v>ERR</v>
      </c>
      <c r="EJ37" s="822" t="str">
        <f t="shared" si="69"/>
        <v/>
      </c>
      <c r="EK37" s="822" t="str">
        <f t="shared" si="69"/>
        <v/>
      </c>
      <c r="EL37" s="1293" t="str">
        <f t="shared" si="70"/>
        <v/>
      </c>
      <c r="EM37" s="822" t="str">
        <f t="shared" si="71"/>
        <v/>
      </c>
      <c r="EN37" s="822" t="str">
        <f t="shared" si="72"/>
        <v/>
      </c>
      <c r="EO37" s="856" t="str">
        <f t="shared" si="73"/>
        <v>ERR</v>
      </c>
      <c r="EP37" s="856" t="str">
        <f t="shared" si="74"/>
        <v>ERR</v>
      </c>
      <c r="EQ37" s="1293" t="str">
        <f t="shared" si="75"/>
        <v/>
      </c>
      <c r="ER37" s="822" t="str">
        <f t="shared" si="75"/>
        <v/>
      </c>
      <c r="ES37" s="822" t="str">
        <f t="shared" si="76"/>
        <v/>
      </c>
      <c r="ET37" s="822" t="str">
        <f t="shared" si="77"/>
        <v/>
      </c>
      <c r="EU37" s="829">
        <f t="shared" si="78"/>
        <v>4</v>
      </c>
      <c r="EV37" s="824" t="str">
        <f t="shared" si="79"/>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80"/>
        <v/>
      </c>
      <c r="FA37" s="829" t="str">
        <f>IF(AND(DE37="G", ISBLANK(BW37), ISBLANK(BX37)),VLOOKUP(MIN(BT37:BU37),TblJoistSize!$M$3:$N$10,2),IF(OR(DE37="B", DE37="G"),MIN(BW37:BX37),""))</f>
        <v/>
      </c>
      <c r="FB37" s="829" t="str">
        <f>IF(AND(DE37="G", ISBLANK(BW37), ISBLANK(BX37)),VLOOKUP(MAX(BT37:BU37),TblJoistSize!$M$3:$N$10,2),IF(OR(DE37="B", DE37="G"),MAX(BW37:BX37),""))</f>
        <v/>
      </c>
      <c r="FC37" s="829" t="str">
        <f t="shared" si="81"/>
        <v/>
      </c>
      <c r="FD37" s="821">
        <f t="shared" si="107"/>
        <v>0</v>
      </c>
      <c r="FE37" s="821">
        <f t="shared" si="82"/>
        <v>0</v>
      </c>
      <c r="FF37" s="821">
        <f t="shared" si="83"/>
        <v>0</v>
      </c>
      <c r="FG37" s="821" t="str">
        <f t="shared" si="84"/>
        <v/>
      </c>
      <c r="FH37" s="822" t="str">
        <f t="shared" si="85"/>
        <v/>
      </c>
      <c r="FI37" s="821">
        <f t="shared" si="108"/>
        <v>0</v>
      </c>
      <c r="FJ37" s="821">
        <f t="shared" si="86"/>
        <v>0</v>
      </c>
      <c r="FK37" s="821">
        <f t="shared" si="87"/>
        <v>0</v>
      </c>
      <c r="FL37" s="821" t="str">
        <f t="shared" si="88"/>
        <v/>
      </c>
      <c r="FM37" s="822" t="str">
        <f t="shared" si="89"/>
        <v/>
      </c>
      <c r="FN37" s="822" t="e">
        <f t="shared" si="90"/>
        <v>#VALUE!</v>
      </c>
      <c r="FO37" s="940" t="e">
        <f t="shared" si="91"/>
        <v>#VALUE!</v>
      </c>
      <c r="FP37" s="940" t="e">
        <f t="shared" si="92"/>
        <v>#VALUE!</v>
      </c>
      <c r="FQ37" s="830" t="e">
        <f t="shared" si="93"/>
        <v>#VALUE!</v>
      </c>
      <c r="FR37" s="831" t="e">
        <f t="shared" si="94"/>
        <v>#VALUE!</v>
      </c>
      <c r="FS37" s="832" t="str">
        <f t="shared" si="95"/>
        <v/>
      </c>
      <c r="FT37" s="833" t="str">
        <f t="shared" si="96"/>
        <v/>
      </c>
      <c r="FU37" s="870">
        <f t="shared" si="97"/>
        <v>0</v>
      </c>
      <c r="FV37" s="871">
        <f t="shared" si="98"/>
        <v>0</v>
      </c>
      <c r="GA37" s="1791">
        <v>50</v>
      </c>
      <c r="GB37" s="1792">
        <v>0</v>
      </c>
      <c r="GC37" s="1793">
        <v>-0.25</v>
      </c>
      <c r="GD37" s="1794">
        <v>-0.25</v>
      </c>
      <c r="GE37" s="1795">
        <f t="shared" si="99"/>
        <v>0</v>
      </c>
      <c r="GF37" s="600" t="str">
        <f t="shared" si="100"/>
        <v>J38</v>
      </c>
      <c r="GG37" s="1130">
        <v>0</v>
      </c>
      <c r="GH37" s="1131">
        <v>0</v>
      </c>
      <c r="GI37" s="1130"/>
      <c r="GJ37" s="1131"/>
      <c r="GK37" s="1638">
        <f t="shared" si="101"/>
        <v>599.5</v>
      </c>
      <c r="GL37" s="1636">
        <f t="shared" si="102"/>
        <v>599.5</v>
      </c>
      <c r="GM37" s="1637">
        <f>IF(ABS(GK37-GL37)&gt;='Job Info.'!$L$22,ABS(GK37-GL37),0)</f>
        <v>0</v>
      </c>
      <c r="HA37" s="1269" t="s">
        <v>1468</v>
      </c>
      <c r="HB37" s="1270">
        <v>2</v>
      </c>
      <c r="HC37" s="1270" t="s">
        <v>1592</v>
      </c>
      <c r="HD37" s="1271">
        <v>49</v>
      </c>
      <c r="HE37" s="1272">
        <v>11.5</v>
      </c>
      <c r="HF37" s="1270" t="s">
        <v>116</v>
      </c>
      <c r="HG37" s="1270" t="s">
        <v>116</v>
      </c>
      <c r="HH37" s="1270" t="s">
        <v>116</v>
      </c>
      <c r="HI37" s="1273" t="s">
        <v>116</v>
      </c>
      <c r="HJ37" s="1270" t="s">
        <v>116</v>
      </c>
      <c r="HK37" s="1270" t="s">
        <v>116</v>
      </c>
      <c r="HL37" s="1270">
        <v>5</v>
      </c>
      <c r="HM37" s="1270">
        <v>5</v>
      </c>
      <c r="HN37" s="1270" t="s">
        <v>116</v>
      </c>
      <c r="HO37" s="1270" t="s">
        <v>116</v>
      </c>
      <c r="HP37" s="1270" t="s">
        <v>116</v>
      </c>
      <c r="HQ37" s="1273" t="s">
        <v>116</v>
      </c>
      <c r="HR37" s="1270" t="s">
        <v>116</v>
      </c>
      <c r="HS37" s="1270" t="s">
        <v>116</v>
      </c>
      <c r="HT37" s="1270">
        <v>0</v>
      </c>
      <c r="HU37" s="1270">
        <v>2.25</v>
      </c>
      <c r="HV37" s="1270">
        <v>0</v>
      </c>
      <c r="HW37" s="1272">
        <v>2.25</v>
      </c>
      <c r="HX37" s="1272">
        <v>4</v>
      </c>
      <c r="HY37" s="1272" t="s">
        <v>116</v>
      </c>
      <c r="HZ37" s="1272" t="s">
        <v>116</v>
      </c>
      <c r="IA37" s="1272" t="s">
        <v>1675</v>
      </c>
      <c r="IB37" s="1272"/>
      <c r="IC37" s="1272"/>
      <c r="ID37" s="1272"/>
      <c r="IE37" s="1272"/>
      <c r="IF37" s="1274"/>
    </row>
    <row r="38" spans="1:240" ht="12.6" customHeight="1" x14ac:dyDescent="0.25">
      <c r="A38" s="1448" t="s">
        <v>1469</v>
      </c>
      <c r="B38" s="1681">
        <v>2</v>
      </c>
      <c r="C38" s="1449" t="s">
        <v>1592</v>
      </c>
      <c r="D38" s="1705">
        <v>39</v>
      </c>
      <c r="E38" s="1706">
        <v>11.5</v>
      </c>
      <c r="F38" s="1714" t="str">
        <f t="shared" si="1"/>
        <v/>
      </c>
      <c r="G38" s="1709" t="str">
        <f t="shared" si="2"/>
        <v/>
      </c>
      <c r="H38" s="1779" t="str">
        <f t="shared" si="3"/>
        <v/>
      </c>
      <c r="I38" s="1705" t="str">
        <f t="shared" si="4"/>
        <v/>
      </c>
      <c r="J38" s="1709" t="str">
        <f t="shared" si="5"/>
        <v/>
      </c>
      <c r="K38" s="1796" t="str">
        <f t="shared" si="6"/>
        <v/>
      </c>
      <c r="L38" s="1712">
        <v>5</v>
      </c>
      <c r="M38" s="1713">
        <v>5</v>
      </c>
      <c r="N38" s="1708" t="str">
        <f t="shared" si="103"/>
        <v/>
      </c>
      <c r="O38" s="1709" t="str">
        <f t="shared" si="104"/>
        <v/>
      </c>
      <c r="P38" s="1710" t="str">
        <f t="shared" si="105"/>
        <v/>
      </c>
      <c r="Q38" s="1705" t="str">
        <f t="shared" si="7"/>
        <v/>
      </c>
      <c r="R38" s="1709" t="str">
        <f t="shared" si="8"/>
        <v/>
      </c>
      <c r="S38" s="1711" t="str">
        <f t="shared" si="9"/>
        <v/>
      </c>
      <c r="T38" s="1714">
        <v>0</v>
      </c>
      <c r="U38" s="1709">
        <v>2.25</v>
      </c>
      <c r="V38" s="1705">
        <v>0</v>
      </c>
      <c r="W38" s="1709">
        <v>2.25</v>
      </c>
      <c r="X38" s="1713">
        <v>4</v>
      </c>
      <c r="Y38" s="1781" t="str">
        <f t="shared" si="10"/>
        <v/>
      </c>
      <c r="Z38" s="1782" t="str">
        <f t="shared" si="11"/>
        <v/>
      </c>
      <c r="AA38" s="1783" t="s">
        <v>1740</v>
      </c>
      <c r="AB38" s="1413"/>
      <c r="AC38" s="964" t="b">
        <v>0</v>
      </c>
      <c r="AD38" s="441">
        <f t="shared" si="12"/>
        <v>0</v>
      </c>
      <c r="AE38" s="442">
        <f t="shared" si="13"/>
        <v>2</v>
      </c>
      <c r="AF38" s="442">
        <f t="shared" si="14"/>
        <v>0</v>
      </c>
      <c r="AG38" s="442">
        <f t="shared" si="15"/>
        <v>0</v>
      </c>
      <c r="AH38" s="443">
        <f t="shared" si="16"/>
        <v>0</v>
      </c>
      <c r="AI38" s="444" t="b">
        <v>0</v>
      </c>
      <c r="AJ38" s="238">
        <f t="shared" si="17"/>
        <v>32</v>
      </c>
      <c r="AK38" s="830" t="str">
        <f t="shared" si="18"/>
        <v>LH</v>
      </c>
      <c r="AL38" s="945" t="str">
        <f t="shared" si="19"/>
        <v/>
      </c>
      <c r="AM38" s="830">
        <f t="shared" si="20"/>
        <v>305</v>
      </c>
      <c r="AN38" s="830">
        <f t="shared" si="21"/>
        <v>180</v>
      </c>
      <c r="AO38" s="830" t="str">
        <f t="shared" si="22"/>
        <v/>
      </c>
      <c r="AP38" s="830" t="b">
        <f>IF(ISERROR(AJ38),FALSE,IF(OR(AJ38=0,ISERROR(AL38),ISERROR(AM38),ISERROR(AN38),ISERROR(AO38)),FALSE,IF(AL38&lt;&gt;"",IF(ISERROR(VLOOKUP(SUBSTITUTE(SUBSTITUTE(C38,"R",""),"A",""),TblJoistSize!$A:$A,1,FALSE)),FALSE,TRUE),TRUE)))</f>
        <v>1</v>
      </c>
      <c r="AQ38" s="1038">
        <f t="shared" si="23"/>
        <v>6</v>
      </c>
      <c r="AR38" s="945" t="b">
        <f t="shared" si="24"/>
        <v>1</v>
      </c>
      <c r="AS38" s="1038">
        <f t="shared" si="25"/>
        <v>6</v>
      </c>
      <c r="AT38" s="945" t="b">
        <f t="shared" si="26"/>
        <v>1</v>
      </c>
      <c r="AU38" s="946" t="str">
        <f t="shared" si="27"/>
        <v>LH</v>
      </c>
      <c r="AV38" s="830" t="str">
        <f t="shared" si="28"/>
        <v/>
      </c>
      <c r="AW38" s="830" t="str">
        <f t="shared" si="29"/>
        <v>LH</v>
      </c>
      <c r="AX38" s="830" t="str">
        <f t="shared" si="106"/>
        <v>J39</v>
      </c>
      <c r="AY38" s="1039" t="b">
        <f t="shared" si="30"/>
        <v>0</v>
      </c>
      <c r="AZ38" s="856" t="b">
        <f t="shared" si="31"/>
        <v>0</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32"/>
        <v/>
      </c>
      <c r="BR38" s="910"/>
      <c r="BS38" s="672"/>
      <c r="BT38" s="713"/>
      <c r="BU38" s="714"/>
      <c r="BV38" s="1625"/>
      <c r="BW38" s="713"/>
      <c r="BX38" s="714"/>
      <c r="BY38" s="715"/>
      <c r="BZ38" s="716"/>
      <c r="CA38" s="680" t="str">
        <f>IF(ISERROR(DE38),"",IF(DE38="","",IF(VLOOKUP(BS38,SectInfo!$B:$N,10,FALSE)="","","X")))</f>
        <v/>
      </c>
      <c r="CB38" s="738"/>
      <c r="CC38" s="1551" t="str">
        <f t="shared" si="33"/>
        <v/>
      </c>
      <c r="CD38" s="910"/>
      <c r="CE38" s="717"/>
      <c r="CF38" s="736"/>
      <c r="CG38" s="737"/>
      <c r="CH38" s="591" t="str">
        <f t="shared" si="34"/>
        <v/>
      </c>
      <c r="CI38" s="592" t="str">
        <f t="shared" si="35"/>
        <v/>
      </c>
      <c r="CJ38" s="593" t="str">
        <f t="shared" si="36"/>
        <v/>
      </c>
      <c r="CK38" s="594" t="str">
        <f t="shared" si="37"/>
        <v/>
      </c>
      <c r="CL38" s="595" t="str">
        <f t="shared" si="38"/>
        <v/>
      </c>
      <c r="CM38" s="596" t="str">
        <f t="shared" si="39"/>
        <v/>
      </c>
      <c r="CN38" s="597" t="str">
        <f t="shared" si="40"/>
        <v/>
      </c>
      <c r="CO38" s="598" t="str">
        <f t="shared" si="41"/>
        <v/>
      </c>
      <c r="CP38" s="615" t="str">
        <f t="shared" si="42"/>
        <v/>
      </c>
      <c r="CQ38" s="616" t="str">
        <f t="shared" si="43"/>
        <v/>
      </c>
      <c r="CR38" s="750">
        <f t="shared" si="44"/>
        <v>5</v>
      </c>
      <c r="CS38" s="751">
        <f t="shared" si="45"/>
        <v>5</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46"/>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47"/>
        <v>0</v>
      </c>
      <c r="DO38" s="818">
        <f t="shared" si="48"/>
        <v>0</v>
      </c>
      <c r="DP38" s="822" t="str">
        <f t="shared" si="49"/>
        <v/>
      </c>
      <c r="DQ38" s="822" t="str">
        <f t="shared" si="50"/>
        <v/>
      </c>
      <c r="DR38" s="822" t="str">
        <f t="shared" si="51"/>
        <v/>
      </c>
      <c r="DS38" s="821">
        <f t="shared" si="52"/>
        <v>0</v>
      </c>
      <c r="DT38" s="821">
        <f t="shared" si="53"/>
        <v>0</v>
      </c>
      <c r="DU38" s="821" t="str">
        <f t="shared" si="54"/>
        <v/>
      </c>
      <c r="DV38" s="822" t="str">
        <f t="shared" si="55"/>
        <v/>
      </c>
      <c r="DW38" s="856" t="str">
        <f t="shared" si="56"/>
        <v/>
      </c>
      <c r="DX38" s="1006">
        <f t="shared" si="57"/>
        <v>0</v>
      </c>
      <c r="DY38" s="822">
        <f t="shared" si="58"/>
        <v>0</v>
      </c>
      <c r="DZ38" s="821">
        <f t="shared" si="59"/>
        <v>0</v>
      </c>
      <c r="EA38" s="821" t="str">
        <f t="shared" si="60"/>
        <v/>
      </c>
      <c r="EB38" s="822" t="str">
        <f t="shared" si="61"/>
        <v/>
      </c>
      <c r="EC38" s="856" t="str">
        <f t="shared" si="62"/>
        <v/>
      </c>
      <c r="ED38" s="1006">
        <f t="shared" si="63"/>
        <v>0</v>
      </c>
      <c r="EE38" s="1293" t="str">
        <f t="shared" si="64"/>
        <v/>
      </c>
      <c r="EF38" s="1293" t="str">
        <f t="shared" si="65"/>
        <v/>
      </c>
      <c r="EG38" s="1293" t="str">
        <f t="shared" si="66"/>
        <v/>
      </c>
      <c r="EH38" s="856" t="str">
        <f t="shared" si="67"/>
        <v>ERR</v>
      </c>
      <c r="EI38" s="856" t="str">
        <f t="shared" si="68"/>
        <v>ERR</v>
      </c>
      <c r="EJ38" s="822" t="str">
        <f t="shared" si="69"/>
        <v/>
      </c>
      <c r="EK38" s="822" t="str">
        <f t="shared" si="69"/>
        <v/>
      </c>
      <c r="EL38" s="1293" t="str">
        <f t="shared" si="70"/>
        <v/>
      </c>
      <c r="EM38" s="822" t="str">
        <f t="shared" si="71"/>
        <v/>
      </c>
      <c r="EN38" s="822" t="str">
        <f t="shared" si="72"/>
        <v/>
      </c>
      <c r="EO38" s="856" t="str">
        <f t="shared" si="73"/>
        <v>ERR</v>
      </c>
      <c r="EP38" s="856" t="str">
        <f t="shared" si="74"/>
        <v>ERR</v>
      </c>
      <c r="EQ38" s="1293" t="str">
        <f t="shared" si="75"/>
        <v/>
      </c>
      <c r="ER38" s="822" t="str">
        <f t="shared" si="75"/>
        <v/>
      </c>
      <c r="ES38" s="822" t="str">
        <f t="shared" si="76"/>
        <v/>
      </c>
      <c r="ET38" s="822" t="str">
        <f t="shared" si="77"/>
        <v/>
      </c>
      <c r="EU38" s="829">
        <f t="shared" si="78"/>
        <v>4</v>
      </c>
      <c r="EV38" s="824" t="str">
        <f t="shared" si="79"/>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80"/>
        <v/>
      </c>
      <c r="FA38" s="829" t="str">
        <f>IF(AND(DE38="G", ISBLANK(BW38), ISBLANK(BX38)),VLOOKUP(MIN(BT38:BU38),TblJoistSize!$M$3:$N$10,2),IF(OR(DE38="B", DE38="G"),MIN(BW38:BX38),""))</f>
        <v/>
      </c>
      <c r="FB38" s="829" t="str">
        <f>IF(AND(DE38="G", ISBLANK(BW38), ISBLANK(BX38)),VLOOKUP(MAX(BT38:BU38),TblJoistSize!$M$3:$N$10,2),IF(OR(DE38="B", DE38="G"),MAX(BW38:BX38),""))</f>
        <v/>
      </c>
      <c r="FC38" s="829" t="str">
        <f t="shared" si="81"/>
        <v/>
      </c>
      <c r="FD38" s="821">
        <f t="shared" si="107"/>
        <v>0</v>
      </c>
      <c r="FE38" s="821">
        <f t="shared" si="82"/>
        <v>0</v>
      </c>
      <c r="FF38" s="821">
        <f t="shared" si="83"/>
        <v>0</v>
      </c>
      <c r="FG38" s="821" t="str">
        <f t="shared" si="84"/>
        <v/>
      </c>
      <c r="FH38" s="822" t="str">
        <f t="shared" si="85"/>
        <v/>
      </c>
      <c r="FI38" s="821">
        <f t="shared" si="108"/>
        <v>0</v>
      </c>
      <c r="FJ38" s="821">
        <f t="shared" si="86"/>
        <v>0</v>
      </c>
      <c r="FK38" s="821">
        <f t="shared" si="87"/>
        <v>0</v>
      </c>
      <c r="FL38" s="821" t="str">
        <f t="shared" si="88"/>
        <v/>
      </c>
      <c r="FM38" s="822" t="str">
        <f t="shared" si="89"/>
        <v/>
      </c>
      <c r="FN38" s="822" t="e">
        <f t="shared" si="90"/>
        <v>#VALUE!</v>
      </c>
      <c r="FO38" s="940" t="e">
        <f t="shared" si="91"/>
        <v>#VALUE!</v>
      </c>
      <c r="FP38" s="940" t="e">
        <f t="shared" si="92"/>
        <v>#VALUE!</v>
      </c>
      <c r="FQ38" s="830" t="e">
        <f t="shared" si="93"/>
        <v>#VALUE!</v>
      </c>
      <c r="FR38" s="831" t="e">
        <f t="shared" si="94"/>
        <v>#VALUE!</v>
      </c>
      <c r="FS38" s="832" t="str">
        <f t="shared" si="95"/>
        <v/>
      </c>
      <c r="FT38" s="833" t="str">
        <f t="shared" si="96"/>
        <v/>
      </c>
      <c r="FU38" s="870">
        <f t="shared" si="97"/>
        <v>0</v>
      </c>
      <c r="FV38" s="871">
        <f t="shared" si="98"/>
        <v>0</v>
      </c>
      <c r="GA38" s="1791">
        <v>40</v>
      </c>
      <c r="GB38" s="1792">
        <v>0</v>
      </c>
      <c r="GC38" s="1793">
        <v>-0.25</v>
      </c>
      <c r="GD38" s="1794">
        <v>-0.25</v>
      </c>
      <c r="GE38" s="1795">
        <f t="shared" si="99"/>
        <v>0</v>
      </c>
      <c r="GF38" s="600" t="str">
        <f t="shared" si="100"/>
        <v>J39</v>
      </c>
      <c r="GG38" s="1130">
        <v>0</v>
      </c>
      <c r="GH38" s="1131">
        <v>0</v>
      </c>
      <c r="GI38" s="1130"/>
      <c r="GJ38" s="1131"/>
      <c r="GK38" s="1638">
        <f t="shared" si="101"/>
        <v>479.5</v>
      </c>
      <c r="GL38" s="1636">
        <f t="shared" si="102"/>
        <v>479.5</v>
      </c>
      <c r="GM38" s="1637">
        <f>IF(ABS(GK38-GL38)&gt;='Job Info.'!$L$22,ABS(GK38-GL38),0)</f>
        <v>0</v>
      </c>
      <c r="HA38" s="1269" t="s">
        <v>1469</v>
      </c>
      <c r="HB38" s="1270">
        <v>2</v>
      </c>
      <c r="HC38" s="1270" t="s">
        <v>1592</v>
      </c>
      <c r="HD38" s="1271">
        <v>39</v>
      </c>
      <c r="HE38" s="1272">
        <v>11.5</v>
      </c>
      <c r="HF38" s="1270" t="s">
        <v>116</v>
      </c>
      <c r="HG38" s="1270" t="s">
        <v>116</v>
      </c>
      <c r="HH38" s="1270" t="s">
        <v>116</v>
      </c>
      <c r="HI38" s="1273" t="s">
        <v>116</v>
      </c>
      <c r="HJ38" s="1270" t="s">
        <v>116</v>
      </c>
      <c r="HK38" s="1270" t="s">
        <v>116</v>
      </c>
      <c r="HL38" s="1270">
        <v>5</v>
      </c>
      <c r="HM38" s="1270">
        <v>5</v>
      </c>
      <c r="HN38" s="1270" t="s">
        <v>116</v>
      </c>
      <c r="HO38" s="1270" t="s">
        <v>116</v>
      </c>
      <c r="HP38" s="1270" t="s">
        <v>116</v>
      </c>
      <c r="HQ38" s="1273" t="s">
        <v>116</v>
      </c>
      <c r="HR38" s="1270" t="s">
        <v>116</v>
      </c>
      <c r="HS38" s="1270" t="s">
        <v>116</v>
      </c>
      <c r="HT38" s="1270">
        <v>0</v>
      </c>
      <c r="HU38" s="1270">
        <v>2.25</v>
      </c>
      <c r="HV38" s="1270">
        <v>0</v>
      </c>
      <c r="HW38" s="1272">
        <v>2.25</v>
      </c>
      <c r="HX38" s="1272">
        <v>4</v>
      </c>
      <c r="HY38" s="1272" t="s">
        <v>116</v>
      </c>
      <c r="HZ38" s="1272" t="s">
        <v>116</v>
      </c>
      <c r="IA38" s="1272" t="s">
        <v>1670</v>
      </c>
      <c r="IB38" s="1272"/>
      <c r="IC38" s="1272"/>
      <c r="ID38" s="1272"/>
      <c r="IE38" s="1272"/>
      <c r="IF38" s="1274"/>
    </row>
    <row r="39" spans="1:240" ht="12.6" customHeight="1" x14ac:dyDescent="0.25">
      <c r="A39" s="1448" t="s">
        <v>1470</v>
      </c>
      <c r="B39" s="1681">
        <v>2</v>
      </c>
      <c r="C39" s="1449" t="s">
        <v>1592</v>
      </c>
      <c r="D39" s="1705">
        <v>39</v>
      </c>
      <c r="E39" s="1706">
        <v>11.5</v>
      </c>
      <c r="F39" s="1714" t="str">
        <f t="shared" si="1"/>
        <v/>
      </c>
      <c r="G39" s="1709" t="str">
        <f t="shared" si="2"/>
        <v/>
      </c>
      <c r="H39" s="1779" t="str">
        <f t="shared" si="3"/>
        <v/>
      </c>
      <c r="I39" s="1705" t="str">
        <f t="shared" si="4"/>
        <v/>
      </c>
      <c r="J39" s="1709" t="str">
        <f t="shared" si="5"/>
        <v/>
      </c>
      <c r="K39" s="1796" t="str">
        <f t="shared" si="6"/>
        <v/>
      </c>
      <c r="L39" s="1712">
        <v>5</v>
      </c>
      <c r="M39" s="1713">
        <v>5</v>
      </c>
      <c r="N39" s="1708" t="str">
        <f t="shared" si="103"/>
        <v/>
      </c>
      <c r="O39" s="1709" t="str">
        <f t="shared" si="104"/>
        <v/>
      </c>
      <c r="P39" s="1710" t="str">
        <f t="shared" si="105"/>
        <v/>
      </c>
      <c r="Q39" s="1705" t="str">
        <f t="shared" si="7"/>
        <v/>
      </c>
      <c r="R39" s="1709" t="str">
        <f t="shared" si="8"/>
        <v/>
      </c>
      <c r="S39" s="1711" t="str">
        <f t="shared" si="9"/>
        <v/>
      </c>
      <c r="T39" s="1714">
        <v>0</v>
      </c>
      <c r="U39" s="1709">
        <v>2.25</v>
      </c>
      <c r="V39" s="1705">
        <v>0</v>
      </c>
      <c r="W39" s="1709">
        <v>2.25</v>
      </c>
      <c r="X39" s="1713">
        <v>4</v>
      </c>
      <c r="Y39" s="1781" t="str">
        <f t="shared" si="10"/>
        <v/>
      </c>
      <c r="Z39" s="1782" t="str">
        <f t="shared" si="11"/>
        <v/>
      </c>
      <c r="AA39" s="1783" t="s">
        <v>1741</v>
      </c>
      <c r="AB39" s="1413"/>
      <c r="AC39" s="964" t="b">
        <v>0</v>
      </c>
      <c r="AD39" s="441">
        <f t="shared" si="12"/>
        <v>0</v>
      </c>
      <c r="AE39" s="442">
        <f t="shared" si="13"/>
        <v>2</v>
      </c>
      <c r="AF39" s="442">
        <f t="shared" si="14"/>
        <v>0</v>
      </c>
      <c r="AG39" s="442">
        <f t="shared" si="15"/>
        <v>0</v>
      </c>
      <c r="AH39" s="443">
        <f t="shared" si="16"/>
        <v>0</v>
      </c>
      <c r="AI39" s="444" t="b">
        <v>0</v>
      </c>
      <c r="AJ39" s="238">
        <f t="shared" si="17"/>
        <v>32</v>
      </c>
      <c r="AK39" s="830" t="str">
        <f t="shared" si="18"/>
        <v>LH</v>
      </c>
      <c r="AL39" s="945" t="str">
        <f t="shared" si="19"/>
        <v/>
      </c>
      <c r="AM39" s="830">
        <f t="shared" si="20"/>
        <v>305</v>
      </c>
      <c r="AN39" s="830">
        <f t="shared" si="21"/>
        <v>180</v>
      </c>
      <c r="AO39" s="830" t="str">
        <f t="shared" si="22"/>
        <v/>
      </c>
      <c r="AP39" s="830" t="b">
        <f>IF(ISERROR(AJ39),FALSE,IF(OR(AJ39=0,ISERROR(AL39),ISERROR(AM39),ISERROR(AN39),ISERROR(AO39)),FALSE,IF(AL39&lt;&gt;"",IF(ISERROR(VLOOKUP(SUBSTITUTE(SUBSTITUTE(C39,"R",""),"A",""),TblJoistSize!$A:$A,1,FALSE)),FALSE,TRUE),TRUE)))</f>
        <v>1</v>
      </c>
      <c r="AQ39" s="1038">
        <f t="shared" si="23"/>
        <v>6</v>
      </c>
      <c r="AR39" s="945" t="b">
        <f t="shared" si="24"/>
        <v>1</v>
      </c>
      <c r="AS39" s="1038">
        <f t="shared" si="25"/>
        <v>6</v>
      </c>
      <c r="AT39" s="945" t="b">
        <f t="shared" si="26"/>
        <v>1</v>
      </c>
      <c r="AU39" s="946" t="str">
        <f t="shared" si="27"/>
        <v>LH</v>
      </c>
      <c r="AV39" s="830" t="str">
        <f t="shared" si="28"/>
        <v/>
      </c>
      <c r="AW39" s="830" t="str">
        <f t="shared" si="29"/>
        <v>LH</v>
      </c>
      <c r="AX39" s="830" t="str">
        <f t="shared" si="106"/>
        <v>J40</v>
      </c>
      <c r="AY39" s="1039" t="b">
        <f t="shared" si="30"/>
        <v>0</v>
      </c>
      <c r="AZ39" s="856" t="b">
        <f t="shared" si="31"/>
        <v>0</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32"/>
        <v/>
      </c>
      <c r="BR39" s="910"/>
      <c r="BS39" s="672"/>
      <c r="BT39" s="713"/>
      <c r="BU39" s="714"/>
      <c r="BV39" s="1625"/>
      <c r="BW39" s="713"/>
      <c r="BX39" s="714"/>
      <c r="BY39" s="715"/>
      <c r="BZ39" s="716"/>
      <c r="CA39" s="680" t="str">
        <f>IF(ISERROR(DE39),"",IF(DE39="","",IF(VLOOKUP(BS39,SectInfo!$B:$N,10,FALSE)="","","X")))</f>
        <v/>
      </c>
      <c r="CB39" s="738"/>
      <c r="CC39" s="1551" t="str">
        <f t="shared" si="33"/>
        <v/>
      </c>
      <c r="CD39" s="910"/>
      <c r="CE39" s="717"/>
      <c r="CF39" s="736"/>
      <c r="CG39" s="737"/>
      <c r="CH39" s="591" t="str">
        <f t="shared" si="34"/>
        <v/>
      </c>
      <c r="CI39" s="592" t="str">
        <f t="shared" si="35"/>
        <v/>
      </c>
      <c r="CJ39" s="593" t="str">
        <f t="shared" si="36"/>
        <v/>
      </c>
      <c r="CK39" s="594" t="str">
        <f t="shared" si="37"/>
        <v/>
      </c>
      <c r="CL39" s="595" t="str">
        <f t="shared" si="38"/>
        <v/>
      </c>
      <c r="CM39" s="596" t="str">
        <f t="shared" si="39"/>
        <v/>
      </c>
      <c r="CN39" s="597" t="str">
        <f t="shared" si="40"/>
        <v/>
      </c>
      <c r="CO39" s="598" t="str">
        <f t="shared" si="41"/>
        <v/>
      </c>
      <c r="CP39" s="615" t="str">
        <f t="shared" si="42"/>
        <v/>
      </c>
      <c r="CQ39" s="616" t="str">
        <f t="shared" si="43"/>
        <v/>
      </c>
      <c r="CR39" s="750">
        <f t="shared" si="44"/>
        <v>5</v>
      </c>
      <c r="CS39" s="751">
        <f t="shared" si="45"/>
        <v>5</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46"/>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47"/>
        <v>0</v>
      </c>
      <c r="DO39" s="818">
        <f t="shared" si="48"/>
        <v>0</v>
      </c>
      <c r="DP39" s="822" t="str">
        <f t="shared" si="49"/>
        <v/>
      </c>
      <c r="DQ39" s="822" t="str">
        <f t="shared" si="50"/>
        <v/>
      </c>
      <c r="DR39" s="822" t="str">
        <f t="shared" si="51"/>
        <v/>
      </c>
      <c r="DS39" s="821">
        <f t="shared" si="52"/>
        <v>0</v>
      </c>
      <c r="DT39" s="821">
        <f t="shared" si="53"/>
        <v>0</v>
      </c>
      <c r="DU39" s="821" t="str">
        <f t="shared" si="54"/>
        <v/>
      </c>
      <c r="DV39" s="822" t="str">
        <f t="shared" si="55"/>
        <v/>
      </c>
      <c r="DW39" s="856" t="str">
        <f t="shared" si="56"/>
        <v/>
      </c>
      <c r="DX39" s="1006">
        <f t="shared" si="57"/>
        <v>0</v>
      </c>
      <c r="DY39" s="822">
        <f t="shared" si="58"/>
        <v>0</v>
      </c>
      <c r="DZ39" s="821">
        <f t="shared" si="59"/>
        <v>0</v>
      </c>
      <c r="EA39" s="821" t="str">
        <f t="shared" si="60"/>
        <v/>
      </c>
      <c r="EB39" s="822" t="str">
        <f t="shared" si="61"/>
        <v/>
      </c>
      <c r="EC39" s="856" t="str">
        <f t="shared" si="62"/>
        <v/>
      </c>
      <c r="ED39" s="1006">
        <f t="shared" si="63"/>
        <v>0</v>
      </c>
      <c r="EE39" s="1293" t="str">
        <f t="shared" si="64"/>
        <v/>
      </c>
      <c r="EF39" s="1293" t="str">
        <f t="shared" si="65"/>
        <v/>
      </c>
      <c r="EG39" s="1293" t="str">
        <f t="shared" si="66"/>
        <v/>
      </c>
      <c r="EH39" s="856" t="str">
        <f t="shared" si="67"/>
        <v>ERR</v>
      </c>
      <c r="EI39" s="856" t="str">
        <f t="shared" si="68"/>
        <v>ERR</v>
      </c>
      <c r="EJ39" s="822" t="str">
        <f t="shared" si="69"/>
        <v/>
      </c>
      <c r="EK39" s="822" t="str">
        <f t="shared" si="69"/>
        <v/>
      </c>
      <c r="EL39" s="1293" t="str">
        <f t="shared" si="70"/>
        <v/>
      </c>
      <c r="EM39" s="822" t="str">
        <f t="shared" si="71"/>
        <v/>
      </c>
      <c r="EN39" s="822" t="str">
        <f t="shared" si="72"/>
        <v/>
      </c>
      <c r="EO39" s="856" t="str">
        <f t="shared" si="73"/>
        <v>ERR</v>
      </c>
      <c r="EP39" s="856" t="str">
        <f t="shared" si="74"/>
        <v>ERR</v>
      </c>
      <c r="EQ39" s="1293" t="str">
        <f t="shared" si="75"/>
        <v/>
      </c>
      <c r="ER39" s="822" t="str">
        <f t="shared" si="75"/>
        <v/>
      </c>
      <c r="ES39" s="822" t="str">
        <f t="shared" si="76"/>
        <v/>
      </c>
      <c r="ET39" s="822" t="str">
        <f t="shared" si="77"/>
        <v/>
      </c>
      <c r="EU39" s="829">
        <f t="shared" si="78"/>
        <v>4</v>
      </c>
      <c r="EV39" s="824" t="str">
        <f t="shared" si="79"/>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80"/>
        <v/>
      </c>
      <c r="FA39" s="829" t="str">
        <f>IF(AND(DE39="G", ISBLANK(BW39), ISBLANK(BX39)),VLOOKUP(MIN(BT39:BU39),TblJoistSize!$M$3:$N$10,2),IF(OR(DE39="B", DE39="G"),MIN(BW39:BX39),""))</f>
        <v/>
      </c>
      <c r="FB39" s="829" t="str">
        <f>IF(AND(DE39="G", ISBLANK(BW39), ISBLANK(BX39)),VLOOKUP(MAX(BT39:BU39),TblJoistSize!$M$3:$N$10,2),IF(OR(DE39="B", DE39="G"),MAX(BW39:BX39),""))</f>
        <v/>
      </c>
      <c r="FC39" s="829" t="str">
        <f t="shared" si="81"/>
        <v/>
      </c>
      <c r="FD39" s="821">
        <f t="shared" si="107"/>
        <v>0</v>
      </c>
      <c r="FE39" s="821">
        <f t="shared" si="82"/>
        <v>0</v>
      </c>
      <c r="FF39" s="821">
        <f t="shared" si="83"/>
        <v>0</v>
      </c>
      <c r="FG39" s="821" t="str">
        <f t="shared" si="84"/>
        <v/>
      </c>
      <c r="FH39" s="822" t="str">
        <f t="shared" si="85"/>
        <v/>
      </c>
      <c r="FI39" s="821">
        <f t="shared" si="108"/>
        <v>0</v>
      </c>
      <c r="FJ39" s="821">
        <f t="shared" si="86"/>
        <v>0</v>
      </c>
      <c r="FK39" s="821">
        <f t="shared" si="87"/>
        <v>0</v>
      </c>
      <c r="FL39" s="821" t="str">
        <f t="shared" si="88"/>
        <v/>
      </c>
      <c r="FM39" s="822" t="str">
        <f t="shared" si="89"/>
        <v/>
      </c>
      <c r="FN39" s="822" t="e">
        <f t="shared" si="90"/>
        <v>#VALUE!</v>
      </c>
      <c r="FO39" s="940" t="e">
        <f t="shared" si="91"/>
        <v>#VALUE!</v>
      </c>
      <c r="FP39" s="940" t="e">
        <f t="shared" si="92"/>
        <v>#VALUE!</v>
      </c>
      <c r="FQ39" s="830" t="e">
        <f t="shared" si="93"/>
        <v>#VALUE!</v>
      </c>
      <c r="FR39" s="831" t="e">
        <f t="shared" si="94"/>
        <v>#VALUE!</v>
      </c>
      <c r="FS39" s="832" t="str">
        <f t="shared" si="95"/>
        <v/>
      </c>
      <c r="FT39" s="833" t="str">
        <f t="shared" si="96"/>
        <v/>
      </c>
      <c r="FU39" s="870">
        <f t="shared" si="97"/>
        <v>0</v>
      </c>
      <c r="FV39" s="871">
        <f t="shared" si="98"/>
        <v>0</v>
      </c>
      <c r="GA39" s="1791">
        <v>40</v>
      </c>
      <c r="GB39" s="1792">
        <v>0</v>
      </c>
      <c r="GC39" s="1793">
        <v>-0.25</v>
      </c>
      <c r="GD39" s="1794">
        <v>-0.25</v>
      </c>
      <c r="GE39" s="1795">
        <f t="shared" si="99"/>
        <v>0</v>
      </c>
      <c r="GF39" s="600" t="str">
        <f t="shared" si="100"/>
        <v>J40</v>
      </c>
      <c r="GG39" s="1130">
        <v>0</v>
      </c>
      <c r="GH39" s="1131">
        <v>0</v>
      </c>
      <c r="GI39" s="1130"/>
      <c r="GJ39" s="1131"/>
      <c r="GK39" s="1638">
        <f t="shared" si="101"/>
        <v>479.5</v>
      </c>
      <c r="GL39" s="1636">
        <f t="shared" si="102"/>
        <v>479.5</v>
      </c>
      <c r="GM39" s="1637">
        <f>IF(ABS(GK39-GL39)&gt;='Job Info.'!$L$22,ABS(GK39-GL39),0)</f>
        <v>0</v>
      </c>
      <c r="HA39" s="1269" t="s">
        <v>1470</v>
      </c>
      <c r="HB39" s="1270">
        <v>2</v>
      </c>
      <c r="HC39" s="1270" t="s">
        <v>1592</v>
      </c>
      <c r="HD39" s="1271">
        <v>39</v>
      </c>
      <c r="HE39" s="1272">
        <v>11.5</v>
      </c>
      <c r="HF39" s="1270" t="s">
        <v>116</v>
      </c>
      <c r="HG39" s="1270" t="s">
        <v>116</v>
      </c>
      <c r="HH39" s="1270" t="s">
        <v>116</v>
      </c>
      <c r="HI39" s="1273" t="s">
        <v>116</v>
      </c>
      <c r="HJ39" s="1270" t="s">
        <v>116</v>
      </c>
      <c r="HK39" s="1270" t="s">
        <v>116</v>
      </c>
      <c r="HL39" s="1270">
        <v>5</v>
      </c>
      <c r="HM39" s="1270">
        <v>5</v>
      </c>
      <c r="HN39" s="1270" t="s">
        <v>116</v>
      </c>
      <c r="HO39" s="1270" t="s">
        <v>116</v>
      </c>
      <c r="HP39" s="1270" t="s">
        <v>116</v>
      </c>
      <c r="HQ39" s="1273" t="s">
        <v>116</v>
      </c>
      <c r="HR39" s="1270" t="s">
        <v>116</v>
      </c>
      <c r="HS39" s="1270" t="s">
        <v>116</v>
      </c>
      <c r="HT39" s="1270">
        <v>0</v>
      </c>
      <c r="HU39" s="1270">
        <v>2.25</v>
      </c>
      <c r="HV39" s="1270">
        <v>0</v>
      </c>
      <c r="HW39" s="1272">
        <v>2.25</v>
      </c>
      <c r="HX39" s="1272">
        <v>4</v>
      </c>
      <c r="HY39" s="1272" t="s">
        <v>116</v>
      </c>
      <c r="HZ39" s="1272" t="s">
        <v>116</v>
      </c>
      <c r="IA39" s="1272" t="s">
        <v>1671</v>
      </c>
      <c r="IB39" s="1272"/>
      <c r="IC39" s="1272"/>
      <c r="ID39" s="1272"/>
      <c r="IE39" s="1272"/>
      <c r="IF39" s="1274"/>
    </row>
    <row r="40" spans="1:240" ht="12.6" customHeight="1" x14ac:dyDescent="0.25">
      <c r="A40" s="1448" t="s">
        <v>1471</v>
      </c>
      <c r="B40" s="1681">
        <v>2</v>
      </c>
      <c r="C40" s="1449" t="s">
        <v>1592</v>
      </c>
      <c r="D40" s="1705">
        <v>39</v>
      </c>
      <c r="E40" s="1706">
        <v>11.5</v>
      </c>
      <c r="F40" s="1714" t="str">
        <f t="shared" si="1"/>
        <v/>
      </c>
      <c r="G40" s="1709" t="str">
        <f t="shared" si="2"/>
        <v/>
      </c>
      <c r="H40" s="1779" t="str">
        <f t="shared" si="3"/>
        <v/>
      </c>
      <c r="I40" s="1705" t="str">
        <f t="shared" si="4"/>
        <v/>
      </c>
      <c r="J40" s="1709" t="str">
        <f t="shared" si="5"/>
        <v/>
      </c>
      <c r="K40" s="1796" t="str">
        <f t="shared" si="6"/>
        <v/>
      </c>
      <c r="L40" s="1712">
        <v>5</v>
      </c>
      <c r="M40" s="1713">
        <v>5</v>
      </c>
      <c r="N40" s="1708" t="str">
        <f t="shared" si="103"/>
        <v/>
      </c>
      <c r="O40" s="1709" t="str">
        <f t="shared" si="104"/>
        <v/>
      </c>
      <c r="P40" s="1710" t="str">
        <f t="shared" si="105"/>
        <v/>
      </c>
      <c r="Q40" s="1705" t="str">
        <f t="shared" si="7"/>
        <v/>
      </c>
      <c r="R40" s="1709" t="str">
        <f t="shared" si="8"/>
        <v/>
      </c>
      <c r="S40" s="1711" t="str">
        <f t="shared" si="9"/>
        <v/>
      </c>
      <c r="T40" s="1714">
        <v>0</v>
      </c>
      <c r="U40" s="1709">
        <v>2.25</v>
      </c>
      <c r="V40" s="1705">
        <v>0</v>
      </c>
      <c r="W40" s="1709">
        <v>2.25</v>
      </c>
      <c r="X40" s="1713">
        <v>4</v>
      </c>
      <c r="Y40" s="1781" t="str">
        <f t="shared" si="10"/>
        <v/>
      </c>
      <c r="Z40" s="1782" t="str">
        <f t="shared" si="11"/>
        <v/>
      </c>
      <c r="AA40" s="1783" t="s">
        <v>1742</v>
      </c>
      <c r="AB40" s="1413"/>
      <c r="AC40" s="964" t="b">
        <v>0</v>
      </c>
      <c r="AD40" s="441">
        <f t="shared" si="12"/>
        <v>0</v>
      </c>
      <c r="AE40" s="442">
        <f t="shared" si="13"/>
        <v>2</v>
      </c>
      <c r="AF40" s="442">
        <f t="shared" si="14"/>
        <v>0</v>
      </c>
      <c r="AG40" s="442">
        <f t="shared" si="15"/>
        <v>0</v>
      </c>
      <c r="AH40" s="443">
        <f t="shared" si="16"/>
        <v>0</v>
      </c>
      <c r="AI40" s="444" t="b">
        <v>0</v>
      </c>
      <c r="AJ40" s="238">
        <f t="shared" si="17"/>
        <v>32</v>
      </c>
      <c r="AK40" s="830" t="str">
        <f t="shared" si="18"/>
        <v>LH</v>
      </c>
      <c r="AL40" s="945" t="str">
        <f t="shared" si="19"/>
        <v/>
      </c>
      <c r="AM40" s="830">
        <f t="shared" si="20"/>
        <v>305</v>
      </c>
      <c r="AN40" s="830">
        <f t="shared" si="21"/>
        <v>180</v>
      </c>
      <c r="AO40" s="830" t="str">
        <f t="shared" si="22"/>
        <v/>
      </c>
      <c r="AP40" s="830" t="b">
        <f>IF(ISERROR(AJ40),FALSE,IF(OR(AJ40=0,ISERROR(AL40),ISERROR(AM40),ISERROR(AN40),ISERROR(AO40)),FALSE,IF(AL40&lt;&gt;"",IF(ISERROR(VLOOKUP(SUBSTITUTE(SUBSTITUTE(C40,"R",""),"A",""),TblJoistSize!$A:$A,1,FALSE)),FALSE,TRUE),TRUE)))</f>
        <v>1</v>
      </c>
      <c r="AQ40" s="1038">
        <f t="shared" si="23"/>
        <v>6</v>
      </c>
      <c r="AR40" s="945" t="b">
        <f t="shared" si="24"/>
        <v>1</v>
      </c>
      <c r="AS40" s="1038">
        <f t="shared" si="25"/>
        <v>6</v>
      </c>
      <c r="AT40" s="945" t="b">
        <f t="shared" si="26"/>
        <v>1</v>
      </c>
      <c r="AU40" s="946" t="str">
        <f t="shared" si="27"/>
        <v>LH</v>
      </c>
      <c r="AV40" s="830" t="str">
        <f t="shared" si="28"/>
        <v/>
      </c>
      <c r="AW40" s="830" t="str">
        <f t="shared" si="29"/>
        <v>LH</v>
      </c>
      <c r="AX40" s="830" t="str">
        <f t="shared" si="106"/>
        <v>J41</v>
      </c>
      <c r="AY40" s="1039" t="b">
        <f t="shared" si="30"/>
        <v>0</v>
      </c>
      <c r="AZ40" s="856" t="b">
        <f t="shared" si="31"/>
        <v>0</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32"/>
        <v/>
      </c>
      <c r="BR40" s="910"/>
      <c r="BS40" s="672"/>
      <c r="BT40" s="713"/>
      <c r="BU40" s="714"/>
      <c r="BV40" s="1625"/>
      <c r="BW40" s="713"/>
      <c r="BX40" s="714"/>
      <c r="BY40" s="715"/>
      <c r="BZ40" s="716"/>
      <c r="CA40" s="680" t="str">
        <f>IF(ISERROR(DE40),"",IF(DE40="","",IF(VLOOKUP(BS40,SectInfo!$B:$N,10,FALSE)="","","X")))</f>
        <v/>
      </c>
      <c r="CB40" s="738"/>
      <c r="CC40" s="1551" t="str">
        <f t="shared" si="33"/>
        <v/>
      </c>
      <c r="CD40" s="910"/>
      <c r="CE40" s="717"/>
      <c r="CF40" s="736"/>
      <c r="CG40" s="737"/>
      <c r="CH40" s="591" t="str">
        <f t="shared" si="34"/>
        <v/>
      </c>
      <c r="CI40" s="592" t="str">
        <f t="shared" si="35"/>
        <v/>
      </c>
      <c r="CJ40" s="593" t="str">
        <f t="shared" si="36"/>
        <v/>
      </c>
      <c r="CK40" s="594" t="str">
        <f t="shared" si="37"/>
        <v/>
      </c>
      <c r="CL40" s="595" t="str">
        <f t="shared" si="38"/>
        <v/>
      </c>
      <c r="CM40" s="596" t="str">
        <f t="shared" si="39"/>
        <v/>
      </c>
      <c r="CN40" s="597" t="str">
        <f t="shared" si="40"/>
        <v/>
      </c>
      <c r="CO40" s="598" t="str">
        <f t="shared" si="41"/>
        <v/>
      </c>
      <c r="CP40" s="615" t="str">
        <f t="shared" si="42"/>
        <v/>
      </c>
      <c r="CQ40" s="616" t="str">
        <f t="shared" si="43"/>
        <v/>
      </c>
      <c r="CR40" s="750">
        <f t="shared" si="44"/>
        <v>5</v>
      </c>
      <c r="CS40" s="751">
        <f t="shared" si="45"/>
        <v>5</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46"/>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47"/>
        <v>0</v>
      </c>
      <c r="DO40" s="818">
        <f t="shared" si="48"/>
        <v>0</v>
      </c>
      <c r="DP40" s="822" t="str">
        <f t="shared" si="49"/>
        <v/>
      </c>
      <c r="DQ40" s="822" t="str">
        <f t="shared" si="50"/>
        <v/>
      </c>
      <c r="DR40" s="822" t="str">
        <f t="shared" si="51"/>
        <v/>
      </c>
      <c r="DS40" s="821">
        <f t="shared" si="52"/>
        <v>0</v>
      </c>
      <c r="DT40" s="821">
        <f t="shared" si="53"/>
        <v>0</v>
      </c>
      <c r="DU40" s="821" t="str">
        <f t="shared" si="54"/>
        <v/>
      </c>
      <c r="DV40" s="822" t="str">
        <f t="shared" si="55"/>
        <v/>
      </c>
      <c r="DW40" s="856" t="str">
        <f t="shared" si="56"/>
        <v/>
      </c>
      <c r="DX40" s="1006">
        <f t="shared" si="57"/>
        <v>0</v>
      </c>
      <c r="DY40" s="822">
        <f t="shared" si="58"/>
        <v>0</v>
      </c>
      <c r="DZ40" s="821">
        <f t="shared" si="59"/>
        <v>0</v>
      </c>
      <c r="EA40" s="821" t="str">
        <f t="shared" si="60"/>
        <v/>
      </c>
      <c r="EB40" s="822" t="str">
        <f t="shared" si="61"/>
        <v/>
      </c>
      <c r="EC40" s="856" t="str">
        <f t="shared" si="62"/>
        <v/>
      </c>
      <c r="ED40" s="1006">
        <f t="shared" si="63"/>
        <v>0</v>
      </c>
      <c r="EE40" s="1293" t="str">
        <f t="shared" si="64"/>
        <v/>
      </c>
      <c r="EF40" s="1293" t="str">
        <f t="shared" si="65"/>
        <v/>
      </c>
      <c r="EG40" s="1293" t="str">
        <f t="shared" si="66"/>
        <v/>
      </c>
      <c r="EH40" s="856" t="str">
        <f t="shared" si="67"/>
        <v>ERR</v>
      </c>
      <c r="EI40" s="856" t="str">
        <f t="shared" si="68"/>
        <v>ERR</v>
      </c>
      <c r="EJ40" s="822" t="str">
        <f t="shared" si="69"/>
        <v/>
      </c>
      <c r="EK40" s="822" t="str">
        <f t="shared" si="69"/>
        <v/>
      </c>
      <c r="EL40" s="1293" t="str">
        <f t="shared" si="70"/>
        <v/>
      </c>
      <c r="EM40" s="822" t="str">
        <f t="shared" si="71"/>
        <v/>
      </c>
      <c r="EN40" s="822" t="str">
        <f t="shared" si="72"/>
        <v/>
      </c>
      <c r="EO40" s="856" t="str">
        <f t="shared" si="73"/>
        <v>ERR</v>
      </c>
      <c r="EP40" s="856" t="str">
        <f t="shared" si="74"/>
        <v>ERR</v>
      </c>
      <c r="EQ40" s="1293" t="str">
        <f t="shared" si="75"/>
        <v/>
      </c>
      <c r="ER40" s="822" t="str">
        <f t="shared" si="75"/>
        <v/>
      </c>
      <c r="ES40" s="822" t="str">
        <f t="shared" si="76"/>
        <v/>
      </c>
      <c r="ET40" s="822" t="str">
        <f t="shared" si="77"/>
        <v/>
      </c>
      <c r="EU40" s="829">
        <f t="shared" si="78"/>
        <v>4</v>
      </c>
      <c r="EV40" s="824" t="str">
        <f t="shared" si="79"/>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80"/>
        <v/>
      </c>
      <c r="FA40" s="829" t="str">
        <f>IF(AND(DE40="G", ISBLANK(BW40), ISBLANK(BX40)),VLOOKUP(MIN(BT40:BU40),TblJoistSize!$M$3:$N$10,2),IF(OR(DE40="B", DE40="G"),MIN(BW40:BX40),""))</f>
        <v/>
      </c>
      <c r="FB40" s="829" t="str">
        <f>IF(AND(DE40="G", ISBLANK(BW40), ISBLANK(BX40)),VLOOKUP(MAX(BT40:BU40),TblJoistSize!$M$3:$N$10,2),IF(OR(DE40="B", DE40="G"),MAX(BW40:BX40),""))</f>
        <v/>
      </c>
      <c r="FC40" s="829" t="str">
        <f t="shared" si="81"/>
        <v/>
      </c>
      <c r="FD40" s="821">
        <f t="shared" si="107"/>
        <v>0</v>
      </c>
      <c r="FE40" s="821">
        <f t="shared" si="82"/>
        <v>0</v>
      </c>
      <c r="FF40" s="821">
        <f t="shared" si="83"/>
        <v>0</v>
      </c>
      <c r="FG40" s="821" t="str">
        <f t="shared" si="84"/>
        <v/>
      </c>
      <c r="FH40" s="822" t="str">
        <f t="shared" si="85"/>
        <v/>
      </c>
      <c r="FI40" s="821">
        <f t="shared" si="108"/>
        <v>0</v>
      </c>
      <c r="FJ40" s="821">
        <f t="shared" si="86"/>
        <v>0</v>
      </c>
      <c r="FK40" s="821">
        <f t="shared" si="87"/>
        <v>0</v>
      </c>
      <c r="FL40" s="821" t="str">
        <f t="shared" si="88"/>
        <v/>
      </c>
      <c r="FM40" s="822" t="str">
        <f t="shared" si="89"/>
        <v/>
      </c>
      <c r="FN40" s="822" t="e">
        <f t="shared" si="90"/>
        <v>#VALUE!</v>
      </c>
      <c r="FO40" s="940" t="e">
        <f t="shared" si="91"/>
        <v>#VALUE!</v>
      </c>
      <c r="FP40" s="940" t="e">
        <f t="shared" si="92"/>
        <v>#VALUE!</v>
      </c>
      <c r="FQ40" s="830" t="e">
        <f t="shared" si="93"/>
        <v>#VALUE!</v>
      </c>
      <c r="FR40" s="831" t="e">
        <f t="shared" si="94"/>
        <v>#VALUE!</v>
      </c>
      <c r="FS40" s="832" t="str">
        <f t="shared" si="95"/>
        <v/>
      </c>
      <c r="FT40" s="833" t="str">
        <f t="shared" si="96"/>
        <v/>
      </c>
      <c r="FU40" s="870">
        <f t="shared" si="97"/>
        <v>0</v>
      </c>
      <c r="FV40" s="871">
        <f t="shared" si="98"/>
        <v>0</v>
      </c>
      <c r="GA40" s="1791">
        <v>40</v>
      </c>
      <c r="GB40" s="1792">
        <v>0</v>
      </c>
      <c r="GC40" s="1793">
        <v>-0.25</v>
      </c>
      <c r="GD40" s="1794">
        <v>-0.25</v>
      </c>
      <c r="GE40" s="1795">
        <f t="shared" si="99"/>
        <v>0</v>
      </c>
      <c r="GF40" s="600" t="str">
        <f t="shared" si="100"/>
        <v>J41</v>
      </c>
      <c r="GG40" s="1130">
        <v>0</v>
      </c>
      <c r="GH40" s="1131">
        <v>0</v>
      </c>
      <c r="GI40" s="1130"/>
      <c r="GJ40" s="1131"/>
      <c r="GK40" s="1638">
        <f t="shared" si="101"/>
        <v>479.5</v>
      </c>
      <c r="GL40" s="1636">
        <f t="shared" si="102"/>
        <v>479.5</v>
      </c>
      <c r="GM40" s="1637">
        <f>IF(ABS(GK40-GL40)&gt;='Job Info.'!$L$22,ABS(GK40-GL40),0)</f>
        <v>0</v>
      </c>
      <c r="HA40" s="1269" t="s">
        <v>1471</v>
      </c>
      <c r="HB40" s="1270">
        <v>2</v>
      </c>
      <c r="HC40" s="1270" t="s">
        <v>1592</v>
      </c>
      <c r="HD40" s="1271">
        <v>39</v>
      </c>
      <c r="HE40" s="1272">
        <v>11.5</v>
      </c>
      <c r="HF40" s="1270" t="s">
        <v>116</v>
      </c>
      <c r="HG40" s="1270" t="s">
        <v>116</v>
      </c>
      <c r="HH40" s="1270" t="s">
        <v>116</v>
      </c>
      <c r="HI40" s="1273" t="s">
        <v>116</v>
      </c>
      <c r="HJ40" s="1270" t="s">
        <v>116</v>
      </c>
      <c r="HK40" s="1270" t="s">
        <v>116</v>
      </c>
      <c r="HL40" s="1270">
        <v>5</v>
      </c>
      <c r="HM40" s="1270">
        <v>5</v>
      </c>
      <c r="HN40" s="1270" t="s">
        <v>116</v>
      </c>
      <c r="HO40" s="1270" t="s">
        <v>116</v>
      </c>
      <c r="HP40" s="1270" t="s">
        <v>116</v>
      </c>
      <c r="HQ40" s="1273" t="s">
        <v>116</v>
      </c>
      <c r="HR40" s="1270" t="s">
        <v>116</v>
      </c>
      <c r="HS40" s="1270" t="s">
        <v>116</v>
      </c>
      <c r="HT40" s="1270">
        <v>0</v>
      </c>
      <c r="HU40" s="1270">
        <v>2.25</v>
      </c>
      <c r="HV40" s="1270">
        <v>0</v>
      </c>
      <c r="HW40" s="1272">
        <v>2.25</v>
      </c>
      <c r="HX40" s="1272">
        <v>4</v>
      </c>
      <c r="HY40" s="1272" t="s">
        <v>116</v>
      </c>
      <c r="HZ40" s="1272" t="s">
        <v>116</v>
      </c>
      <c r="IA40" s="1272" t="s">
        <v>1672</v>
      </c>
      <c r="IB40" s="1272"/>
      <c r="IC40" s="1272"/>
      <c r="ID40" s="1272"/>
      <c r="IE40" s="1272"/>
      <c r="IF40" s="1274"/>
    </row>
    <row r="41" spans="1:240" ht="12.6" customHeight="1" x14ac:dyDescent="0.25">
      <c r="A41" s="1448" t="str">
        <f t="shared" ref="A41:A44" si="109">IF(BB41="","",UPPER(BB41))</f>
        <v/>
      </c>
      <c r="B41" s="1681"/>
      <c r="C41" s="1449" t="str">
        <f t="shared" ref="C41:C44" si="110">IF(BD41="","",UPPER(BD41))</f>
        <v/>
      </c>
      <c r="D41" s="1705" t="str">
        <f t="shared" ref="D41:D44" si="111">IF(DP41="","",TRUNC(DP41/12))</f>
        <v/>
      </c>
      <c r="E41" s="1706" t="str">
        <f t="shared" ref="E41:E44" si="112">IF(DP41="","",DP41-(D41*12))</f>
        <v/>
      </c>
      <c r="F41" s="1714" t="str">
        <f t="shared" si="1"/>
        <v/>
      </c>
      <c r="G41" s="1709" t="str">
        <f t="shared" si="2"/>
        <v/>
      </c>
      <c r="H41" s="1779" t="str">
        <f t="shared" si="3"/>
        <v/>
      </c>
      <c r="I41" s="1705" t="str">
        <f t="shared" si="4"/>
        <v/>
      </c>
      <c r="J41" s="1709" t="str">
        <f t="shared" si="5"/>
        <v/>
      </c>
      <c r="K41" s="1796" t="str">
        <f t="shared" si="6"/>
        <v/>
      </c>
      <c r="L41" s="1712" t="str">
        <f t="shared" ref="L41:M44" si="113">DQ41</f>
        <v/>
      </c>
      <c r="M41" s="1713" t="str">
        <f t="shared" si="113"/>
        <v/>
      </c>
      <c r="N41" s="1708" t="str">
        <f t="shared" si="103"/>
        <v/>
      </c>
      <c r="O41" s="1709" t="str">
        <f t="shared" si="104"/>
        <v/>
      </c>
      <c r="P41" s="1710" t="str">
        <f t="shared" si="105"/>
        <v/>
      </c>
      <c r="Q41" s="1705" t="str">
        <f t="shared" si="7"/>
        <v/>
      </c>
      <c r="R41" s="1709" t="str">
        <f t="shared" si="8"/>
        <v/>
      </c>
      <c r="S41" s="1711" t="str">
        <f t="shared" si="9"/>
        <v/>
      </c>
      <c r="T41" s="1714" t="str">
        <f t="shared" ref="T41:T45" si="114">IF(CH41="ERR","",IF(EK41="","",IF(EK41="ERR",TRUNC(EJ41/12),TRUNC(EK41/12))))</f>
        <v/>
      </c>
      <c r="U41" s="1709" t="str">
        <f t="shared" ref="U41:U45" si="115">IF(CH41="ERR","",IF(EK41="","",IF(EK41="ERR",EJ41-(T41*12),EK41-(T41*12))))</f>
        <v/>
      </c>
      <c r="V41" s="1705" t="str">
        <f t="shared" ref="V41:V45" si="116">IF(CI41="ERR","",IF(ER41="","",IF(ER41="ERR",TRUNC(EQ41/12),TRUNC(ER41/12))))</f>
        <v/>
      </c>
      <c r="W41" s="1709" t="str">
        <f t="shared" ref="W41:W45" si="117">IF(CI41="ERR","",IF(ER41="","",IF(ER41="ERR",EQ41-(V41*12),ER41-(V41*12))))</f>
        <v/>
      </c>
      <c r="X41" s="1713">
        <f t="shared" ref="X41:X44" si="118">IF(EV41="",0,EV41)</f>
        <v>0</v>
      </c>
      <c r="Y41" s="1781" t="str">
        <f t="shared" si="10"/>
        <v/>
      </c>
      <c r="Z41" s="1782" t="str">
        <f t="shared" si="11"/>
        <v/>
      </c>
      <c r="AA41" s="1783" t="s">
        <v>116</v>
      </c>
      <c r="AB41" s="1413"/>
      <c r="AC41" s="964" t="b">
        <v>0</v>
      </c>
      <c r="AD41" s="441">
        <f t="shared" si="12"/>
        <v>0</v>
      </c>
      <c r="AE41" s="442">
        <f t="shared" si="13"/>
        <v>0</v>
      </c>
      <c r="AF41" s="442">
        <f t="shared" si="14"/>
        <v>0</v>
      </c>
      <c r="AG41" s="442">
        <f t="shared" si="15"/>
        <v>0</v>
      </c>
      <c r="AH41" s="443">
        <f t="shared" si="16"/>
        <v>0</v>
      </c>
      <c r="AI41" s="444" t="b">
        <v>0</v>
      </c>
      <c r="AJ41" s="238">
        <f t="shared" si="17"/>
        <v>0</v>
      </c>
      <c r="AK41" s="830" t="str">
        <f t="shared" si="18"/>
        <v/>
      </c>
      <c r="AL41" s="945" t="str">
        <f t="shared" si="19"/>
        <v/>
      </c>
      <c r="AM41" s="830" t="str">
        <f t="shared" si="20"/>
        <v/>
      </c>
      <c r="AN41" s="830" t="str">
        <f t="shared" si="21"/>
        <v/>
      </c>
      <c r="AO41" s="830" t="str">
        <f t="shared" si="22"/>
        <v/>
      </c>
      <c r="AP41" s="830" t="b">
        <f>IF(ISERROR(AJ41),FALSE,IF(OR(AJ41=0,ISERROR(AL41),ISERROR(AM41),ISERROR(AN41),ISERROR(AO41)),FALSE,IF(AL41&lt;&gt;"",IF(ISERROR(VLOOKUP(SUBSTITUTE(SUBSTITUTE(C41,"R",""),"A",""),TblJoistSize!$A:$A,1,FALSE)),FALSE,TRUE),TRUE)))</f>
        <v>0</v>
      </c>
      <c r="AQ41" s="1038" t="e">
        <f t="shared" si="23"/>
        <v>#N/A</v>
      </c>
      <c r="AR41" s="945" t="b">
        <f t="shared" si="24"/>
        <v>0</v>
      </c>
      <c r="AS41" s="1038" t="e">
        <f t="shared" si="25"/>
        <v>#N/A</v>
      </c>
      <c r="AT41" s="945" t="b">
        <f t="shared" si="26"/>
        <v>0</v>
      </c>
      <c r="AU41" s="946" t="str">
        <f t="shared" si="27"/>
        <v/>
      </c>
      <c r="AV41" s="830" t="str">
        <f t="shared" si="28"/>
        <v/>
      </c>
      <c r="AW41" s="830" t="str">
        <f t="shared" si="29"/>
        <v/>
      </c>
      <c r="AX41" s="830" t="str">
        <f t="shared" si="106"/>
        <v/>
      </c>
      <c r="AY41" s="1039" t="b">
        <f t="shared" si="30"/>
        <v>0</v>
      </c>
      <c r="AZ41" s="856" t="str">
        <f t="shared" si="31"/>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32"/>
        <v/>
      </c>
      <c r="BR41" s="910"/>
      <c r="BS41" s="672"/>
      <c r="BT41" s="713"/>
      <c r="BU41" s="714"/>
      <c r="BV41" s="1625"/>
      <c r="BW41" s="713"/>
      <c r="BX41" s="714"/>
      <c r="BY41" s="715"/>
      <c r="BZ41" s="716"/>
      <c r="CA41" s="680" t="str">
        <f>IF(ISERROR(DE41),"",IF(DE41="","",IF(VLOOKUP(BS41,SectInfo!$B:$N,10,FALSE)="","","X")))</f>
        <v/>
      </c>
      <c r="CB41" s="738"/>
      <c r="CC41" s="1551" t="str">
        <f t="shared" si="33"/>
        <v/>
      </c>
      <c r="CD41" s="910"/>
      <c r="CE41" s="717"/>
      <c r="CF41" s="736"/>
      <c r="CG41" s="737"/>
      <c r="CH41" s="591" t="str">
        <f t="shared" si="34"/>
        <v/>
      </c>
      <c r="CI41" s="592" t="str">
        <f t="shared" si="35"/>
        <v/>
      </c>
      <c r="CJ41" s="593" t="str">
        <f t="shared" si="36"/>
        <v/>
      </c>
      <c r="CK41" s="594" t="str">
        <f t="shared" si="37"/>
        <v/>
      </c>
      <c r="CL41" s="595" t="str">
        <f t="shared" si="38"/>
        <v/>
      </c>
      <c r="CM41" s="596" t="str">
        <f t="shared" si="39"/>
        <v/>
      </c>
      <c r="CN41" s="597" t="str">
        <f t="shared" si="40"/>
        <v/>
      </c>
      <c r="CO41" s="598" t="str">
        <f t="shared" si="41"/>
        <v/>
      </c>
      <c r="CP41" s="615" t="str">
        <f t="shared" si="42"/>
        <v/>
      </c>
      <c r="CQ41" s="616" t="str">
        <f t="shared" si="43"/>
        <v/>
      </c>
      <c r="CR41" s="750" t="str">
        <f t="shared" si="44"/>
        <v/>
      </c>
      <c r="CS41" s="751" t="str">
        <f t="shared" si="45"/>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46"/>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47"/>
        <v>0</v>
      </c>
      <c r="DO41" s="818">
        <f t="shared" si="48"/>
        <v>0</v>
      </c>
      <c r="DP41" s="822" t="str">
        <f t="shared" si="49"/>
        <v/>
      </c>
      <c r="DQ41" s="822" t="str">
        <f t="shared" si="50"/>
        <v/>
      </c>
      <c r="DR41" s="822" t="str">
        <f t="shared" si="51"/>
        <v/>
      </c>
      <c r="DS41" s="821">
        <f t="shared" si="52"/>
        <v>0</v>
      </c>
      <c r="DT41" s="821">
        <f t="shared" si="53"/>
        <v>0</v>
      </c>
      <c r="DU41" s="821" t="str">
        <f t="shared" si="54"/>
        <v/>
      </c>
      <c r="DV41" s="822" t="str">
        <f t="shared" si="55"/>
        <v/>
      </c>
      <c r="DW41" s="856" t="str">
        <f t="shared" si="56"/>
        <v/>
      </c>
      <c r="DX41" s="1006">
        <f t="shared" si="57"/>
        <v>0</v>
      </c>
      <c r="DY41" s="822">
        <f t="shared" si="58"/>
        <v>0</v>
      </c>
      <c r="DZ41" s="821">
        <f t="shared" si="59"/>
        <v>0</v>
      </c>
      <c r="EA41" s="821" t="str">
        <f t="shared" si="60"/>
        <v/>
      </c>
      <c r="EB41" s="822" t="str">
        <f t="shared" si="61"/>
        <v/>
      </c>
      <c r="EC41" s="856" t="str">
        <f t="shared" si="62"/>
        <v/>
      </c>
      <c r="ED41" s="1006">
        <f t="shared" si="63"/>
        <v>0</v>
      </c>
      <c r="EE41" s="1293" t="str">
        <f t="shared" si="64"/>
        <v/>
      </c>
      <c r="EF41" s="1293" t="str">
        <f t="shared" si="65"/>
        <v/>
      </c>
      <c r="EG41" s="1293" t="str">
        <f t="shared" si="66"/>
        <v/>
      </c>
      <c r="EH41" s="856" t="e">
        <f t="shared" si="67"/>
        <v>#N/A</v>
      </c>
      <c r="EI41" s="856" t="e">
        <f t="shared" si="68"/>
        <v>#N/A</v>
      </c>
      <c r="EJ41" s="822" t="str">
        <f t="shared" si="69"/>
        <v/>
      </c>
      <c r="EK41" s="822" t="str">
        <f t="shared" si="69"/>
        <v/>
      </c>
      <c r="EL41" s="1293" t="str">
        <f t="shared" si="70"/>
        <v/>
      </c>
      <c r="EM41" s="822" t="str">
        <f t="shared" si="71"/>
        <v/>
      </c>
      <c r="EN41" s="822" t="str">
        <f t="shared" si="72"/>
        <v/>
      </c>
      <c r="EO41" s="856" t="e">
        <f t="shared" si="73"/>
        <v>#N/A</v>
      </c>
      <c r="EP41" s="856" t="e">
        <f t="shared" si="74"/>
        <v>#N/A</v>
      </c>
      <c r="EQ41" s="1293" t="str">
        <f t="shared" si="75"/>
        <v/>
      </c>
      <c r="ER41" s="822" t="str">
        <f t="shared" si="75"/>
        <v/>
      </c>
      <c r="ES41" s="822" t="str">
        <f t="shared" si="76"/>
        <v/>
      </c>
      <c r="ET41" s="822" t="str">
        <f t="shared" si="77"/>
        <v/>
      </c>
      <c r="EU41" s="829" t="str">
        <f t="shared" si="78"/>
        <v/>
      </c>
      <c r="EV41" s="824" t="str">
        <f t="shared" si="79"/>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80"/>
        <v/>
      </c>
      <c r="FA41" s="829" t="str">
        <f>IF(AND(DE41="G", ISBLANK(BW41), ISBLANK(BX41)),VLOOKUP(MIN(BT41:BU41),TblJoistSize!$M$3:$N$10,2),IF(OR(DE41="B", DE41="G"),MIN(BW41:BX41),""))</f>
        <v/>
      </c>
      <c r="FB41" s="829" t="str">
        <f>IF(AND(DE41="G", ISBLANK(BW41), ISBLANK(BX41)),VLOOKUP(MAX(BT41:BU41),TblJoistSize!$M$3:$N$10,2),IF(OR(DE41="B", DE41="G"),MAX(BW41:BX41),""))</f>
        <v/>
      </c>
      <c r="FC41" s="829" t="str">
        <f t="shared" si="81"/>
        <v/>
      </c>
      <c r="FD41" s="821">
        <f t="shared" si="107"/>
        <v>0</v>
      </c>
      <c r="FE41" s="821">
        <f t="shared" si="82"/>
        <v>0</v>
      </c>
      <c r="FF41" s="821">
        <f t="shared" si="83"/>
        <v>0</v>
      </c>
      <c r="FG41" s="821" t="str">
        <f t="shared" si="84"/>
        <v/>
      </c>
      <c r="FH41" s="822" t="str">
        <f t="shared" si="85"/>
        <v/>
      </c>
      <c r="FI41" s="821">
        <f t="shared" si="108"/>
        <v>0</v>
      </c>
      <c r="FJ41" s="821">
        <f t="shared" si="86"/>
        <v>0</v>
      </c>
      <c r="FK41" s="821">
        <f t="shared" si="87"/>
        <v>0</v>
      </c>
      <c r="FL41" s="821" t="str">
        <f t="shared" si="88"/>
        <v/>
      </c>
      <c r="FM41" s="822" t="str">
        <f t="shared" si="89"/>
        <v/>
      </c>
      <c r="FN41" s="822" t="e">
        <f t="shared" si="90"/>
        <v>#VALUE!</v>
      </c>
      <c r="FO41" s="940" t="e">
        <f t="shared" si="91"/>
        <v>#VALUE!</v>
      </c>
      <c r="FP41" s="940" t="e">
        <f t="shared" si="92"/>
        <v>#VALUE!</v>
      </c>
      <c r="FQ41" s="830" t="e">
        <f t="shared" si="93"/>
        <v>#VALUE!</v>
      </c>
      <c r="FR41" s="831" t="e">
        <f t="shared" si="94"/>
        <v>#VALUE!</v>
      </c>
      <c r="FS41" s="832" t="str">
        <f t="shared" si="95"/>
        <v/>
      </c>
      <c r="FT41" s="833" t="str">
        <f t="shared" si="96"/>
        <v/>
      </c>
      <c r="FU41" s="870">
        <f t="shared" si="97"/>
        <v>0</v>
      </c>
      <c r="FV41" s="871">
        <f t="shared" si="98"/>
        <v>0</v>
      </c>
      <c r="GA41" s="1791" t="str">
        <f t="shared" ref="GA41:GA45" si="119">IF(GF41="","",BE41)</f>
        <v/>
      </c>
      <c r="GB41" s="1792" t="str">
        <f t="shared" ref="GB41:GB45" si="120">IF(GF41="","",BF41)</f>
        <v/>
      </c>
      <c r="GC41" s="1793" t="str">
        <f t="shared" ref="GC41:GC45" si="121">IF(GF41="","",IF(CV41="",0,CV41))</f>
        <v/>
      </c>
      <c r="GD41" s="1794" t="str">
        <f t="shared" ref="GD41:GD45" si="122">IF(GF41="","",IF(DF41="",0,DF41))</f>
        <v/>
      </c>
      <c r="GE41" s="1795" t="str">
        <f t="shared" si="99"/>
        <v/>
      </c>
      <c r="GF41" s="600" t="str">
        <f t="shared" si="100"/>
        <v/>
      </c>
      <c r="GG41" s="1130"/>
      <c r="GH41" s="1131"/>
      <c r="GI41" s="1130"/>
      <c r="GJ41" s="1131"/>
      <c r="GK41" s="1638">
        <f t="shared" si="101"/>
        <v>0</v>
      </c>
      <c r="GL41" s="1636" t="e">
        <f t="shared" si="102"/>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09"/>
        <v/>
      </c>
      <c r="B42" s="1681"/>
      <c r="C42" s="1449" t="str">
        <f t="shared" si="110"/>
        <v/>
      </c>
      <c r="D42" s="1705" t="str">
        <f t="shared" si="111"/>
        <v/>
      </c>
      <c r="E42" s="1706" t="str">
        <f t="shared" si="112"/>
        <v/>
      </c>
      <c r="F42" s="1714" t="str">
        <f t="shared" si="1"/>
        <v/>
      </c>
      <c r="G42" s="1709" t="str">
        <f t="shared" si="2"/>
        <v/>
      </c>
      <c r="H42" s="1779" t="str">
        <f t="shared" si="3"/>
        <v/>
      </c>
      <c r="I42" s="1705" t="str">
        <f t="shared" si="4"/>
        <v/>
      </c>
      <c r="J42" s="1709" t="str">
        <f t="shared" si="5"/>
        <v/>
      </c>
      <c r="K42" s="1796" t="str">
        <f t="shared" si="6"/>
        <v/>
      </c>
      <c r="L42" s="1712" t="str">
        <f t="shared" si="113"/>
        <v/>
      </c>
      <c r="M42" s="1713" t="str">
        <f t="shared" si="113"/>
        <v/>
      </c>
      <c r="N42" s="1708" t="str">
        <f t="shared" si="103"/>
        <v/>
      </c>
      <c r="O42" s="1709" t="str">
        <f t="shared" si="104"/>
        <v/>
      </c>
      <c r="P42" s="1710" t="str">
        <f t="shared" si="105"/>
        <v/>
      </c>
      <c r="Q42" s="1705" t="str">
        <f t="shared" si="7"/>
        <v/>
      </c>
      <c r="R42" s="1709" t="str">
        <f t="shared" si="8"/>
        <v/>
      </c>
      <c r="S42" s="1711" t="str">
        <f t="shared" si="9"/>
        <v/>
      </c>
      <c r="T42" s="1714" t="str">
        <f t="shared" si="114"/>
        <v/>
      </c>
      <c r="U42" s="1709" t="str">
        <f t="shared" si="115"/>
        <v/>
      </c>
      <c r="V42" s="1705" t="str">
        <f t="shared" si="116"/>
        <v/>
      </c>
      <c r="W42" s="1709" t="str">
        <f t="shared" si="117"/>
        <v/>
      </c>
      <c r="X42" s="1713">
        <f t="shared" si="118"/>
        <v>0</v>
      </c>
      <c r="Y42" s="1781" t="str">
        <f t="shared" si="10"/>
        <v/>
      </c>
      <c r="Z42" s="1782" t="str">
        <f t="shared" si="11"/>
        <v/>
      </c>
      <c r="AA42" s="1783" t="s">
        <v>116</v>
      </c>
      <c r="AB42" s="1413"/>
      <c r="AC42" s="964" t="b">
        <v>0</v>
      </c>
      <c r="AD42" s="441">
        <f t="shared" si="12"/>
        <v>0</v>
      </c>
      <c r="AE42" s="442">
        <f t="shared" si="13"/>
        <v>0</v>
      </c>
      <c r="AF42" s="442">
        <f t="shared" si="14"/>
        <v>0</v>
      </c>
      <c r="AG42" s="442">
        <f t="shared" si="15"/>
        <v>0</v>
      </c>
      <c r="AH42" s="443">
        <f t="shared" si="16"/>
        <v>0</v>
      </c>
      <c r="AI42" s="444" t="b">
        <v>0</v>
      </c>
      <c r="AJ42" s="238">
        <f t="shared" si="17"/>
        <v>0</v>
      </c>
      <c r="AK42" s="830" t="str">
        <f t="shared" si="18"/>
        <v/>
      </c>
      <c r="AL42" s="945" t="str">
        <f t="shared" si="19"/>
        <v/>
      </c>
      <c r="AM42" s="830" t="str">
        <f t="shared" si="20"/>
        <v/>
      </c>
      <c r="AN42" s="830" t="str">
        <f t="shared" si="21"/>
        <v/>
      </c>
      <c r="AO42" s="830" t="str">
        <f t="shared" si="22"/>
        <v/>
      </c>
      <c r="AP42" s="830" t="b">
        <f>IF(ISERROR(AJ42),FALSE,IF(OR(AJ42=0,ISERROR(AL42),ISERROR(AM42),ISERROR(AN42),ISERROR(AO42)),FALSE,IF(AL42&lt;&gt;"",IF(ISERROR(VLOOKUP(SUBSTITUTE(SUBSTITUTE(C42,"R",""),"A",""),TblJoistSize!$A:$A,1,FALSE)),FALSE,TRUE),TRUE)))</f>
        <v>0</v>
      </c>
      <c r="AQ42" s="1038" t="e">
        <f t="shared" si="23"/>
        <v>#N/A</v>
      </c>
      <c r="AR42" s="945" t="b">
        <f t="shared" si="24"/>
        <v>0</v>
      </c>
      <c r="AS42" s="1038" t="e">
        <f t="shared" si="25"/>
        <v>#N/A</v>
      </c>
      <c r="AT42" s="945" t="b">
        <f t="shared" si="26"/>
        <v>0</v>
      </c>
      <c r="AU42" s="946" t="str">
        <f t="shared" si="27"/>
        <v/>
      </c>
      <c r="AV42" s="830" t="str">
        <f t="shared" si="28"/>
        <v/>
      </c>
      <c r="AW42" s="830" t="str">
        <f t="shared" si="29"/>
        <v/>
      </c>
      <c r="AX42" s="830" t="str">
        <f t="shared" si="106"/>
        <v/>
      </c>
      <c r="AY42" s="1039" t="b">
        <f t="shared" si="30"/>
        <v>0</v>
      </c>
      <c r="AZ42" s="856" t="str">
        <f t="shared" si="31"/>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32"/>
        <v/>
      </c>
      <c r="BR42" s="910"/>
      <c r="BS42" s="672"/>
      <c r="BT42" s="713"/>
      <c r="BU42" s="714"/>
      <c r="BV42" s="1625"/>
      <c r="BW42" s="713"/>
      <c r="BX42" s="714"/>
      <c r="BY42" s="715"/>
      <c r="BZ42" s="716"/>
      <c r="CA42" s="680" t="str">
        <f>IF(ISERROR(DE42),"",IF(DE42="","",IF(VLOOKUP(BS42,SectInfo!$B:$N,10,FALSE)="","","X")))</f>
        <v/>
      </c>
      <c r="CB42" s="738"/>
      <c r="CC42" s="1551" t="str">
        <f t="shared" si="33"/>
        <v/>
      </c>
      <c r="CD42" s="910"/>
      <c r="CE42" s="717"/>
      <c r="CF42" s="736"/>
      <c r="CG42" s="737"/>
      <c r="CH42" s="591" t="str">
        <f t="shared" si="34"/>
        <v/>
      </c>
      <c r="CI42" s="592" t="str">
        <f t="shared" si="35"/>
        <v/>
      </c>
      <c r="CJ42" s="593" t="str">
        <f t="shared" si="36"/>
        <v/>
      </c>
      <c r="CK42" s="594" t="str">
        <f t="shared" si="37"/>
        <v/>
      </c>
      <c r="CL42" s="595" t="str">
        <f t="shared" si="38"/>
        <v/>
      </c>
      <c r="CM42" s="596" t="str">
        <f t="shared" si="39"/>
        <v/>
      </c>
      <c r="CN42" s="597" t="str">
        <f t="shared" si="40"/>
        <v/>
      </c>
      <c r="CO42" s="598" t="str">
        <f t="shared" si="41"/>
        <v/>
      </c>
      <c r="CP42" s="615" t="str">
        <f t="shared" si="42"/>
        <v/>
      </c>
      <c r="CQ42" s="616" t="str">
        <f t="shared" si="43"/>
        <v/>
      </c>
      <c r="CR42" s="750" t="str">
        <f t="shared" si="44"/>
        <v/>
      </c>
      <c r="CS42" s="751" t="str">
        <f t="shared" si="45"/>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46"/>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47"/>
        <v>0</v>
      </c>
      <c r="DO42" s="818">
        <f t="shared" si="48"/>
        <v>0</v>
      </c>
      <c r="DP42" s="822" t="str">
        <f t="shared" si="49"/>
        <v/>
      </c>
      <c r="DQ42" s="822" t="str">
        <f t="shared" si="50"/>
        <v/>
      </c>
      <c r="DR42" s="822" t="str">
        <f t="shared" si="51"/>
        <v/>
      </c>
      <c r="DS42" s="821">
        <f t="shared" si="52"/>
        <v>0</v>
      </c>
      <c r="DT42" s="821">
        <f t="shared" si="53"/>
        <v>0</v>
      </c>
      <c r="DU42" s="821" t="str">
        <f t="shared" si="54"/>
        <v/>
      </c>
      <c r="DV42" s="822" t="str">
        <f t="shared" si="55"/>
        <v/>
      </c>
      <c r="DW42" s="856" t="str">
        <f t="shared" si="56"/>
        <v/>
      </c>
      <c r="DX42" s="1006">
        <f t="shared" si="57"/>
        <v>0</v>
      </c>
      <c r="DY42" s="822">
        <f t="shared" si="58"/>
        <v>0</v>
      </c>
      <c r="DZ42" s="821">
        <f t="shared" si="59"/>
        <v>0</v>
      </c>
      <c r="EA42" s="821" t="str">
        <f t="shared" si="60"/>
        <v/>
      </c>
      <c r="EB42" s="822" t="str">
        <f t="shared" si="61"/>
        <v/>
      </c>
      <c r="EC42" s="856" t="str">
        <f t="shared" si="62"/>
        <v/>
      </c>
      <c r="ED42" s="1006">
        <f t="shared" si="63"/>
        <v>0</v>
      </c>
      <c r="EE42" s="1293" t="str">
        <f t="shared" si="64"/>
        <v/>
      </c>
      <c r="EF42" s="1293" t="str">
        <f t="shared" si="65"/>
        <v/>
      </c>
      <c r="EG42" s="1293" t="str">
        <f t="shared" si="66"/>
        <v/>
      </c>
      <c r="EH42" s="856" t="e">
        <f t="shared" si="67"/>
        <v>#N/A</v>
      </c>
      <c r="EI42" s="856" t="e">
        <f t="shared" si="68"/>
        <v>#N/A</v>
      </c>
      <c r="EJ42" s="822" t="str">
        <f t="shared" si="69"/>
        <v/>
      </c>
      <c r="EK42" s="822" t="str">
        <f t="shared" si="69"/>
        <v/>
      </c>
      <c r="EL42" s="1293" t="str">
        <f t="shared" si="70"/>
        <v/>
      </c>
      <c r="EM42" s="822" t="str">
        <f t="shared" si="71"/>
        <v/>
      </c>
      <c r="EN42" s="822" t="str">
        <f t="shared" si="72"/>
        <v/>
      </c>
      <c r="EO42" s="856" t="e">
        <f t="shared" si="73"/>
        <v>#N/A</v>
      </c>
      <c r="EP42" s="856" t="e">
        <f t="shared" si="74"/>
        <v>#N/A</v>
      </c>
      <c r="EQ42" s="1293" t="str">
        <f t="shared" si="75"/>
        <v/>
      </c>
      <c r="ER42" s="822" t="str">
        <f t="shared" si="75"/>
        <v/>
      </c>
      <c r="ES42" s="822" t="str">
        <f t="shared" si="76"/>
        <v/>
      </c>
      <c r="ET42" s="822" t="str">
        <f t="shared" si="77"/>
        <v/>
      </c>
      <c r="EU42" s="829" t="str">
        <f t="shared" si="78"/>
        <v/>
      </c>
      <c r="EV42" s="824" t="str">
        <f t="shared" si="79"/>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80"/>
        <v/>
      </c>
      <c r="FA42" s="829" t="str">
        <f>IF(AND(DE42="G", ISBLANK(BW42), ISBLANK(BX42)),VLOOKUP(MIN(BT42:BU42),TblJoistSize!$M$3:$N$10,2),IF(OR(DE42="B", DE42="G"),MIN(BW42:BX42),""))</f>
        <v/>
      </c>
      <c r="FB42" s="829" t="str">
        <f>IF(AND(DE42="G", ISBLANK(BW42), ISBLANK(BX42)),VLOOKUP(MAX(BT42:BU42),TblJoistSize!$M$3:$N$10,2),IF(OR(DE42="B", DE42="G"),MAX(BW42:BX42),""))</f>
        <v/>
      </c>
      <c r="FC42" s="829" t="str">
        <f t="shared" si="81"/>
        <v/>
      </c>
      <c r="FD42" s="821">
        <f t="shared" si="107"/>
        <v>0</v>
      </c>
      <c r="FE42" s="821">
        <f t="shared" si="82"/>
        <v>0</v>
      </c>
      <c r="FF42" s="821">
        <f t="shared" si="83"/>
        <v>0</v>
      </c>
      <c r="FG42" s="821" t="str">
        <f t="shared" si="84"/>
        <v/>
      </c>
      <c r="FH42" s="822" t="str">
        <f t="shared" si="85"/>
        <v/>
      </c>
      <c r="FI42" s="821">
        <f t="shared" si="108"/>
        <v>0</v>
      </c>
      <c r="FJ42" s="821">
        <f t="shared" si="86"/>
        <v>0</v>
      </c>
      <c r="FK42" s="821">
        <f t="shared" si="87"/>
        <v>0</v>
      </c>
      <c r="FL42" s="821" t="str">
        <f t="shared" si="88"/>
        <v/>
      </c>
      <c r="FM42" s="822" t="str">
        <f t="shared" si="89"/>
        <v/>
      </c>
      <c r="FN42" s="822" t="e">
        <f t="shared" si="90"/>
        <v>#VALUE!</v>
      </c>
      <c r="FO42" s="940" t="e">
        <f t="shared" si="91"/>
        <v>#VALUE!</v>
      </c>
      <c r="FP42" s="940" t="e">
        <f t="shared" si="92"/>
        <v>#VALUE!</v>
      </c>
      <c r="FQ42" s="830" t="e">
        <f t="shared" si="93"/>
        <v>#VALUE!</v>
      </c>
      <c r="FR42" s="831" t="e">
        <f t="shared" si="94"/>
        <v>#VALUE!</v>
      </c>
      <c r="FS42" s="832" t="str">
        <f t="shared" si="95"/>
        <v/>
      </c>
      <c r="FT42" s="833" t="str">
        <f t="shared" si="96"/>
        <v/>
      </c>
      <c r="FU42" s="870">
        <f t="shared" si="97"/>
        <v>0</v>
      </c>
      <c r="FV42" s="871">
        <f t="shared" si="98"/>
        <v>0</v>
      </c>
      <c r="GA42" s="1791" t="str">
        <f t="shared" si="119"/>
        <v/>
      </c>
      <c r="GB42" s="1792" t="str">
        <f t="shared" si="120"/>
        <v/>
      </c>
      <c r="GC42" s="1793" t="str">
        <f t="shared" si="121"/>
        <v/>
      </c>
      <c r="GD42" s="1794" t="str">
        <f t="shared" si="122"/>
        <v/>
      </c>
      <c r="GE42" s="1795" t="str">
        <f t="shared" si="99"/>
        <v/>
      </c>
      <c r="GF42" s="600" t="str">
        <f t="shared" si="100"/>
        <v/>
      </c>
      <c r="GG42" s="1130"/>
      <c r="GH42" s="1131"/>
      <c r="GI42" s="1130"/>
      <c r="GJ42" s="1131"/>
      <c r="GK42" s="1638">
        <f t="shared" si="101"/>
        <v>0</v>
      </c>
      <c r="GL42" s="1636" t="e">
        <f t="shared" si="102"/>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09"/>
        <v/>
      </c>
      <c r="B43" s="1681"/>
      <c r="C43" s="1449" t="str">
        <f t="shared" si="110"/>
        <v/>
      </c>
      <c r="D43" s="1705" t="str">
        <f t="shared" si="111"/>
        <v/>
      </c>
      <c r="E43" s="1706" t="str">
        <f t="shared" si="112"/>
        <v/>
      </c>
      <c r="F43" s="1714" t="str">
        <f t="shared" si="1"/>
        <v/>
      </c>
      <c r="G43" s="1709" t="str">
        <f t="shared" si="2"/>
        <v/>
      </c>
      <c r="H43" s="1779" t="str">
        <f t="shared" si="3"/>
        <v/>
      </c>
      <c r="I43" s="1705" t="str">
        <f t="shared" si="4"/>
        <v/>
      </c>
      <c r="J43" s="1709" t="str">
        <f t="shared" si="5"/>
        <v/>
      </c>
      <c r="K43" s="1796" t="str">
        <f t="shared" si="6"/>
        <v/>
      </c>
      <c r="L43" s="1712" t="str">
        <f t="shared" si="113"/>
        <v/>
      </c>
      <c r="M43" s="1713" t="str">
        <f t="shared" si="113"/>
        <v/>
      </c>
      <c r="N43" s="1708" t="str">
        <f t="shared" si="103"/>
        <v/>
      </c>
      <c r="O43" s="1709" t="str">
        <f t="shared" si="104"/>
        <v/>
      </c>
      <c r="P43" s="1710" t="str">
        <f t="shared" si="105"/>
        <v/>
      </c>
      <c r="Q43" s="1705" t="str">
        <f t="shared" si="7"/>
        <v/>
      </c>
      <c r="R43" s="1709" t="str">
        <f t="shared" si="8"/>
        <v/>
      </c>
      <c r="S43" s="1711" t="str">
        <f t="shared" si="9"/>
        <v/>
      </c>
      <c r="T43" s="1714" t="str">
        <f t="shared" si="114"/>
        <v/>
      </c>
      <c r="U43" s="1709" t="str">
        <f t="shared" si="115"/>
        <v/>
      </c>
      <c r="V43" s="1705" t="str">
        <f t="shared" si="116"/>
        <v/>
      </c>
      <c r="W43" s="1709" t="str">
        <f t="shared" si="117"/>
        <v/>
      </c>
      <c r="X43" s="1713">
        <f t="shared" si="118"/>
        <v>0</v>
      </c>
      <c r="Y43" s="1781" t="str">
        <f t="shared" si="10"/>
        <v/>
      </c>
      <c r="Z43" s="1782" t="str">
        <f t="shared" si="11"/>
        <v/>
      </c>
      <c r="AA43" s="1783" t="s">
        <v>116</v>
      </c>
      <c r="AB43" s="1413"/>
      <c r="AC43" s="964" t="b">
        <v>0</v>
      </c>
      <c r="AD43" s="441">
        <f t="shared" si="12"/>
        <v>0</v>
      </c>
      <c r="AE43" s="442">
        <f t="shared" si="13"/>
        <v>0</v>
      </c>
      <c r="AF43" s="442">
        <f t="shared" si="14"/>
        <v>0</v>
      </c>
      <c r="AG43" s="442">
        <f t="shared" si="15"/>
        <v>0</v>
      </c>
      <c r="AH43" s="443">
        <f t="shared" si="16"/>
        <v>0</v>
      </c>
      <c r="AI43" s="444" t="b">
        <v>0</v>
      </c>
      <c r="AJ43" s="238">
        <f t="shared" si="17"/>
        <v>0</v>
      </c>
      <c r="AK43" s="830" t="str">
        <f t="shared" si="18"/>
        <v/>
      </c>
      <c r="AL43" s="945" t="str">
        <f t="shared" si="19"/>
        <v/>
      </c>
      <c r="AM43" s="830" t="str">
        <f t="shared" si="20"/>
        <v/>
      </c>
      <c r="AN43" s="830" t="str">
        <f t="shared" si="21"/>
        <v/>
      </c>
      <c r="AO43" s="830" t="str">
        <f t="shared" si="22"/>
        <v/>
      </c>
      <c r="AP43" s="830" t="b">
        <f>IF(ISERROR(AJ43),FALSE,IF(OR(AJ43=0,ISERROR(AL43),ISERROR(AM43),ISERROR(AN43),ISERROR(AO43)),FALSE,IF(AL43&lt;&gt;"",IF(ISERROR(VLOOKUP(SUBSTITUTE(SUBSTITUTE(C43,"R",""),"A",""),TblJoistSize!$A:$A,1,FALSE)),FALSE,TRUE),TRUE)))</f>
        <v>0</v>
      </c>
      <c r="AQ43" s="1038" t="e">
        <f t="shared" si="23"/>
        <v>#N/A</v>
      </c>
      <c r="AR43" s="945" t="b">
        <f t="shared" si="24"/>
        <v>0</v>
      </c>
      <c r="AS43" s="1038" t="e">
        <f t="shared" si="25"/>
        <v>#N/A</v>
      </c>
      <c r="AT43" s="945" t="b">
        <f t="shared" si="26"/>
        <v>0</v>
      </c>
      <c r="AU43" s="946" t="str">
        <f t="shared" si="27"/>
        <v/>
      </c>
      <c r="AV43" s="830" t="str">
        <f t="shared" si="28"/>
        <v/>
      </c>
      <c r="AW43" s="830" t="str">
        <f t="shared" si="29"/>
        <v/>
      </c>
      <c r="AX43" s="830" t="str">
        <f t="shared" si="106"/>
        <v/>
      </c>
      <c r="AY43" s="1039" t="b">
        <f t="shared" si="30"/>
        <v>0</v>
      </c>
      <c r="AZ43" s="856" t="str">
        <f t="shared" si="31"/>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32"/>
        <v/>
      </c>
      <c r="BR43" s="910"/>
      <c r="BS43" s="672"/>
      <c r="BT43" s="713"/>
      <c r="BU43" s="714"/>
      <c r="BV43" s="1625"/>
      <c r="BW43" s="713"/>
      <c r="BX43" s="714"/>
      <c r="BY43" s="715"/>
      <c r="BZ43" s="716"/>
      <c r="CA43" s="680" t="str">
        <f>IF(ISERROR(DE43),"",IF(DE43="","",IF(VLOOKUP(BS43,SectInfo!$B:$N,10,FALSE)="","","X")))</f>
        <v/>
      </c>
      <c r="CB43" s="738"/>
      <c r="CC43" s="1551" t="str">
        <f t="shared" si="33"/>
        <v/>
      </c>
      <c r="CD43" s="910"/>
      <c r="CE43" s="717"/>
      <c r="CF43" s="736"/>
      <c r="CG43" s="737"/>
      <c r="CH43" s="591" t="str">
        <f t="shared" si="34"/>
        <v/>
      </c>
      <c r="CI43" s="592" t="str">
        <f t="shared" si="35"/>
        <v/>
      </c>
      <c r="CJ43" s="593" t="str">
        <f t="shared" si="36"/>
        <v/>
      </c>
      <c r="CK43" s="594" t="str">
        <f t="shared" si="37"/>
        <v/>
      </c>
      <c r="CL43" s="595" t="str">
        <f t="shared" si="38"/>
        <v/>
      </c>
      <c r="CM43" s="596" t="str">
        <f t="shared" si="39"/>
        <v/>
      </c>
      <c r="CN43" s="597" t="str">
        <f t="shared" si="40"/>
        <v/>
      </c>
      <c r="CO43" s="598" t="str">
        <f t="shared" si="41"/>
        <v/>
      </c>
      <c r="CP43" s="615" t="str">
        <f t="shared" si="42"/>
        <v/>
      </c>
      <c r="CQ43" s="616" t="str">
        <f t="shared" si="43"/>
        <v/>
      </c>
      <c r="CR43" s="750" t="str">
        <f t="shared" si="44"/>
        <v/>
      </c>
      <c r="CS43" s="751" t="str">
        <f t="shared" si="45"/>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46"/>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47"/>
        <v>0</v>
      </c>
      <c r="DO43" s="818">
        <f t="shared" si="48"/>
        <v>0</v>
      </c>
      <c r="DP43" s="822" t="str">
        <f t="shared" si="49"/>
        <v/>
      </c>
      <c r="DQ43" s="822" t="str">
        <f t="shared" si="50"/>
        <v/>
      </c>
      <c r="DR43" s="822" t="str">
        <f t="shared" si="51"/>
        <v/>
      </c>
      <c r="DS43" s="821">
        <f t="shared" si="52"/>
        <v>0</v>
      </c>
      <c r="DT43" s="821">
        <f t="shared" si="53"/>
        <v>0</v>
      </c>
      <c r="DU43" s="821" t="str">
        <f t="shared" si="54"/>
        <v/>
      </c>
      <c r="DV43" s="822" t="str">
        <f t="shared" si="55"/>
        <v/>
      </c>
      <c r="DW43" s="856" t="str">
        <f t="shared" si="56"/>
        <v/>
      </c>
      <c r="DX43" s="1006">
        <f t="shared" si="57"/>
        <v>0</v>
      </c>
      <c r="DY43" s="822">
        <f t="shared" si="58"/>
        <v>0</v>
      </c>
      <c r="DZ43" s="821">
        <f t="shared" si="59"/>
        <v>0</v>
      </c>
      <c r="EA43" s="821" t="str">
        <f t="shared" si="60"/>
        <v/>
      </c>
      <c r="EB43" s="822" t="str">
        <f t="shared" si="61"/>
        <v/>
      </c>
      <c r="EC43" s="856" t="str">
        <f t="shared" si="62"/>
        <v/>
      </c>
      <c r="ED43" s="1006">
        <f t="shared" si="63"/>
        <v>0</v>
      </c>
      <c r="EE43" s="1293" t="str">
        <f t="shared" si="64"/>
        <v/>
      </c>
      <c r="EF43" s="1293" t="str">
        <f t="shared" si="65"/>
        <v/>
      </c>
      <c r="EG43" s="1293" t="str">
        <f t="shared" si="66"/>
        <v/>
      </c>
      <c r="EH43" s="856" t="e">
        <f t="shared" si="67"/>
        <v>#N/A</v>
      </c>
      <c r="EI43" s="856" t="e">
        <f t="shared" si="68"/>
        <v>#N/A</v>
      </c>
      <c r="EJ43" s="822" t="str">
        <f t="shared" si="69"/>
        <v/>
      </c>
      <c r="EK43" s="822" t="str">
        <f t="shared" si="69"/>
        <v/>
      </c>
      <c r="EL43" s="1293" t="str">
        <f t="shared" si="70"/>
        <v/>
      </c>
      <c r="EM43" s="822" t="str">
        <f t="shared" si="71"/>
        <v/>
      </c>
      <c r="EN43" s="822" t="str">
        <f t="shared" si="72"/>
        <v/>
      </c>
      <c r="EO43" s="856" t="e">
        <f t="shared" si="73"/>
        <v>#N/A</v>
      </c>
      <c r="EP43" s="856" t="e">
        <f t="shared" si="74"/>
        <v>#N/A</v>
      </c>
      <c r="EQ43" s="1293" t="str">
        <f t="shared" si="75"/>
        <v/>
      </c>
      <c r="ER43" s="822" t="str">
        <f t="shared" si="75"/>
        <v/>
      </c>
      <c r="ES43" s="822" t="str">
        <f t="shared" si="76"/>
        <v/>
      </c>
      <c r="ET43" s="822" t="str">
        <f t="shared" si="77"/>
        <v/>
      </c>
      <c r="EU43" s="829" t="str">
        <f t="shared" si="78"/>
        <v/>
      </c>
      <c r="EV43" s="824" t="str">
        <f t="shared" si="79"/>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80"/>
        <v/>
      </c>
      <c r="FA43" s="829" t="str">
        <f>IF(AND(DE43="G", ISBLANK(BW43), ISBLANK(BX43)),VLOOKUP(MIN(BT43:BU43),TblJoistSize!$M$3:$N$10,2),IF(OR(DE43="B", DE43="G"),MIN(BW43:BX43),""))</f>
        <v/>
      </c>
      <c r="FB43" s="829" t="str">
        <f>IF(AND(DE43="G", ISBLANK(BW43), ISBLANK(BX43)),VLOOKUP(MAX(BT43:BU43),TblJoistSize!$M$3:$N$10,2),IF(OR(DE43="B", DE43="G"),MAX(BW43:BX43),""))</f>
        <v/>
      </c>
      <c r="FC43" s="829" t="str">
        <f t="shared" si="81"/>
        <v/>
      </c>
      <c r="FD43" s="821">
        <f t="shared" si="107"/>
        <v>0</v>
      </c>
      <c r="FE43" s="821">
        <f t="shared" si="82"/>
        <v>0</v>
      </c>
      <c r="FF43" s="821">
        <f t="shared" si="83"/>
        <v>0</v>
      </c>
      <c r="FG43" s="821" t="str">
        <f t="shared" si="84"/>
        <v/>
      </c>
      <c r="FH43" s="822" t="str">
        <f t="shared" si="85"/>
        <v/>
      </c>
      <c r="FI43" s="821">
        <f t="shared" si="108"/>
        <v>0</v>
      </c>
      <c r="FJ43" s="821">
        <f t="shared" si="86"/>
        <v>0</v>
      </c>
      <c r="FK43" s="821">
        <f t="shared" si="87"/>
        <v>0</v>
      </c>
      <c r="FL43" s="821" t="str">
        <f t="shared" si="88"/>
        <v/>
      </c>
      <c r="FM43" s="822" t="str">
        <f t="shared" si="89"/>
        <v/>
      </c>
      <c r="FN43" s="822" t="e">
        <f t="shared" si="90"/>
        <v>#VALUE!</v>
      </c>
      <c r="FO43" s="940" t="e">
        <f t="shared" si="91"/>
        <v>#VALUE!</v>
      </c>
      <c r="FP43" s="940" t="e">
        <f t="shared" si="92"/>
        <v>#VALUE!</v>
      </c>
      <c r="FQ43" s="830" t="e">
        <f t="shared" si="93"/>
        <v>#VALUE!</v>
      </c>
      <c r="FR43" s="831" t="e">
        <f t="shared" si="94"/>
        <v>#VALUE!</v>
      </c>
      <c r="FS43" s="832" t="str">
        <f t="shared" si="95"/>
        <v/>
      </c>
      <c r="FT43" s="833" t="str">
        <f t="shared" si="96"/>
        <v/>
      </c>
      <c r="FU43" s="870">
        <f t="shared" si="97"/>
        <v>0</v>
      </c>
      <c r="FV43" s="871">
        <f t="shared" si="98"/>
        <v>0</v>
      </c>
      <c r="GA43" s="1791" t="str">
        <f t="shared" si="119"/>
        <v/>
      </c>
      <c r="GB43" s="1792" t="str">
        <f t="shared" si="120"/>
        <v/>
      </c>
      <c r="GC43" s="1793" t="str">
        <f t="shared" si="121"/>
        <v/>
      </c>
      <c r="GD43" s="1794" t="str">
        <f t="shared" si="122"/>
        <v/>
      </c>
      <c r="GE43" s="1795" t="str">
        <f t="shared" si="99"/>
        <v/>
      </c>
      <c r="GF43" s="600" t="str">
        <f t="shared" si="100"/>
        <v/>
      </c>
      <c r="GG43" s="1130"/>
      <c r="GH43" s="1131"/>
      <c r="GI43" s="1130"/>
      <c r="GJ43" s="1131"/>
      <c r="GK43" s="1638">
        <f t="shared" si="101"/>
        <v>0</v>
      </c>
      <c r="GL43" s="1636" t="e">
        <f t="shared" si="102"/>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09"/>
        <v/>
      </c>
      <c r="B44" s="1681"/>
      <c r="C44" s="1449" t="str">
        <f t="shared" si="110"/>
        <v/>
      </c>
      <c r="D44" s="1705" t="str">
        <f t="shared" si="111"/>
        <v/>
      </c>
      <c r="E44" s="1706" t="str">
        <f t="shared" si="112"/>
        <v/>
      </c>
      <c r="F44" s="1714" t="str">
        <f t="shared" si="1"/>
        <v/>
      </c>
      <c r="G44" s="1709" t="str">
        <f t="shared" si="2"/>
        <v/>
      </c>
      <c r="H44" s="1779" t="str">
        <f t="shared" si="3"/>
        <v/>
      </c>
      <c r="I44" s="1705" t="str">
        <f t="shared" si="4"/>
        <v/>
      </c>
      <c r="J44" s="1709" t="str">
        <f t="shared" si="5"/>
        <v/>
      </c>
      <c r="K44" s="1796" t="str">
        <f t="shared" si="6"/>
        <v/>
      </c>
      <c r="L44" s="1712" t="str">
        <f t="shared" si="113"/>
        <v/>
      </c>
      <c r="M44" s="1713" t="str">
        <f t="shared" si="113"/>
        <v/>
      </c>
      <c r="N44" s="1708" t="str">
        <f t="shared" si="103"/>
        <v/>
      </c>
      <c r="O44" s="1709" t="str">
        <f t="shared" si="104"/>
        <v/>
      </c>
      <c r="P44" s="1710" t="str">
        <f t="shared" si="105"/>
        <v/>
      </c>
      <c r="Q44" s="1705" t="str">
        <f t="shared" si="7"/>
        <v/>
      </c>
      <c r="R44" s="1709" t="str">
        <f t="shared" si="8"/>
        <v/>
      </c>
      <c r="S44" s="1711" t="str">
        <f t="shared" si="9"/>
        <v/>
      </c>
      <c r="T44" s="1714" t="str">
        <f t="shared" si="114"/>
        <v/>
      </c>
      <c r="U44" s="1709" t="str">
        <f t="shared" si="115"/>
        <v/>
      </c>
      <c r="V44" s="1705" t="str">
        <f t="shared" si="116"/>
        <v/>
      </c>
      <c r="W44" s="1709" t="str">
        <f t="shared" si="117"/>
        <v/>
      </c>
      <c r="X44" s="1713">
        <f t="shared" si="118"/>
        <v>0</v>
      </c>
      <c r="Y44" s="1781" t="str">
        <f t="shared" si="10"/>
        <v/>
      </c>
      <c r="Z44" s="1782" t="str">
        <f t="shared" si="11"/>
        <v/>
      </c>
      <c r="AA44" s="1783" t="s">
        <v>116</v>
      </c>
      <c r="AB44" s="1413"/>
      <c r="AC44" s="964" t="b">
        <v>0</v>
      </c>
      <c r="AD44" s="441">
        <f t="shared" si="12"/>
        <v>0</v>
      </c>
      <c r="AE44" s="442">
        <f t="shared" si="13"/>
        <v>0</v>
      </c>
      <c r="AF44" s="442">
        <f t="shared" si="14"/>
        <v>0</v>
      </c>
      <c r="AG44" s="442">
        <f t="shared" si="15"/>
        <v>0</v>
      </c>
      <c r="AH44" s="443">
        <f t="shared" si="16"/>
        <v>0</v>
      </c>
      <c r="AI44" s="444" t="b">
        <v>0</v>
      </c>
      <c r="AJ44" s="238">
        <f t="shared" si="17"/>
        <v>0</v>
      </c>
      <c r="AK44" s="830" t="str">
        <f t="shared" si="18"/>
        <v/>
      </c>
      <c r="AL44" s="945" t="str">
        <f t="shared" si="19"/>
        <v/>
      </c>
      <c r="AM44" s="830" t="str">
        <f t="shared" si="20"/>
        <v/>
      </c>
      <c r="AN44" s="830" t="str">
        <f t="shared" si="21"/>
        <v/>
      </c>
      <c r="AO44" s="830" t="str">
        <f t="shared" si="22"/>
        <v/>
      </c>
      <c r="AP44" s="830" t="b">
        <f>IF(ISERROR(AJ44),FALSE,IF(OR(AJ44=0,ISERROR(AL44),ISERROR(AM44),ISERROR(AN44),ISERROR(AO44)),FALSE,IF(AL44&lt;&gt;"",IF(ISERROR(VLOOKUP(SUBSTITUTE(SUBSTITUTE(C44,"R",""),"A",""),TblJoistSize!$A:$A,1,FALSE)),FALSE,TRUE),TRUE)))</f>
        <v>0</v>
      </c>
      <c r="AQ44" s="1038" t="e">
        <f t="shared" si="23"/>
        <v>#N/A</v>
      </c>
      <c r="AR44" s="945" t="b">
        <f t="shared" si="24"/>
        <v>0</v>
      </c>
      <c r="AS44" s="1038" t="e">
        <f t="shared" si="25"/>
        <v>#N/A</v>
      </c>
      <c r="AT44" s="945" t="b">
        <f t="shared" si="26"/>
        <v>0</v>
      </c>
      <c r="AU44" s="946" t="str">
        <f t="shared" si="27"/>
        <v/>
      </c>
      <c r="AV44" s="830" t="str">
        <f t="shared" si="28"/>
        <v/>
      </c>
      <c r="AW44" s="830" t="str">
        <f t="shared" si="29"/>
        <v/>
      </c>
      <c r="AX44" s="830" t="str">
        <f t="shared" si="106"/>
        <v/>
      </c>
      <c r="AY44" s="1039" t="b">
        <f t="shared" si="30"/>
        <v>0</v>
      </c>
      <c r="AZ44" s="856" t="str">
        <f t="shared" si="31"/>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32"/>
        <v/>
      </c>
      <c r="BR44" s="910"/>
      <c r="BS44" s="672"/>
      <c r="BT44" s="713"/>
      <c r="BU44" s="714"/>
      <c r="BV44" s="1625"/>
      <c r="BW44" s="713"/>
      <c r="BX44" s="714"/>
      <c r="BY44" s="715"/>
      <c r="BZ44" s="716"/>
      <c r="CA44" s="680" t="str">
        <f>IF(ISERROR(DE44),"",IF(DE44="","",IF(VLOOKUP(BS44,SectInfo!$B:$N,10,FALSE)="","","X")))</f>
        <v/>
      </c>
      <c r="CB44" s="738"/>
      <c r="CC44" s="1551" t="str">
        <f t="shared" si="33"/>
        <v/>
      </c>
      <c r="CD44" s="910"/>
      <c r="CE44" s="717"/>
      <c r="CF44" s="736"/>
      <c r="CG44" s="737"/>
      <c r="CH44" s="591" t="str">
        <f t="shared" si="34"/>
        <v/>
      </c>
      <c r="CI44" s="592" t="str">
        <f t="shared" si="35"/>
        <v/>
      </c>
      <c r="CJ44" s="593" t="str">
        <f t="shared" si="36"/>
        <v/>
      </c>
      <c r="CK44" s="594" t="str">
        <f t="shared" si="37"/>
        <v/>
      </c>
      <c r="CL44" s="595" t="str">
        <f t="shared" si="38"/>
        <v/>
      </c>
      <c r="CM44" s="596" t="str">
        <f t="shared" si="39"/>
        <v/>
      </c>
      <c r="CN44" s="597" t="str">
        <f t="shared" si="40"/>
        <v/>
      </c>
      <c r="CO44" s="598" t="str">
        <f t="shared" si="41"/>
        <v/>
      </c>
      <c r="CP44" s="615" t="str">
        <f t="shared" si="42"/>
        <v/>
      </c>
      <c r="CQ44" s="616" t="str">
        <f t="shared" si="43"/>
        <v/>
      </c>
      <c r="CR44" s="750" t="str">
        <f t="shared" si="44"/>
        <v/>
      </c>
      <c r="CS44" s="751" t="str">
        <f t="shared" si="45"/>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46"/>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47"/>
        <v>0</v>
      </c>
      <c r="DO44" s="818">
        <f t="shared" si="48"/>
        <v>0</v>
      </c>
      <c r="DP44" s="822" t="str">
        <f t="shared" si="49"/>
        <v/>
      </c>
      <c r="DQ44" s="822" t="str">
        <f t="shared" si="50"/>
        <v/>
      </c>
      <c r="DR44" s="822" t="str">
        <f t="shared" si="51"/>
        <v/>
      </c>
      <c r="DS44" s="821">
        <f t="shared" si="52"/>
        <v>0</v>
      </c>
      <c r="DT44" s="821">
        <f t="shared" si="53"/>
        <v>0</v>
      </c>
      <c r="DU44" s="821" t="str">
        <f t="shared" si="54"/>
        <v/>
      </c>
      <c r="DV44" s="822" t="str">
        <f t="shared" si="55"/>
        <v/>
      </c>
      <c r="DW44" s="856" t="str">
        <f t="shared" si="56"/>
        <v/>
      </c>
      <c r="DX44" s="1006">
        <f t="shared" si="57"/>
        <v>0</v>
      </c>
      <c r="DY44" s="822">
        <f t="shared" si="58"/>
        <v>0</v>
      </c>
      <c r="DZ44" s="821">
        <f t="shared" si="59"/>
        <v>0</v>
      </c>
      <c r="EA44" s="821" t="str">
        <f t="shared" si="60"/>
        <v/>
      </c>
      <c r="EB44" s="822" t="str">
        <f t="shared" si="61"/>
        <v/>
      </c>
      <c r="EC44" s="856" t="str">
        <f t="shared" si="62"/>
        <v/>
      </c>
      <c r="ED44" s="1006">
        <f t="shared" si="63"/>
        <v>0</v>
      </c>
      <c r="EE44" s="1293" t="str">
        <f t="shared" si="64"/>
        <v/>
      </c>
      <c r="EF44" s="1293" t="str">
        <f t="shared" si="65"/>
        <v/>
      </c>
      <c r="EG44" s="1293" t="str">
        <f t="shared" si="66"/>
        <v/>
      </c>
      <c r="EH44" s="856" t="e">
        <f t="shared" si="67"/>
        <v>#N/A</v>
      </c>
      <c r="EI44" s="856" t="e">
        <f t="shared" si="68"/>
        <v>#N/A</v>
      </c>
      <c r="EJ44" s="822" t="str">
        <f t="shared" si="69"/>
        <v/>
      </c>
      <c r="EK44" s="822" t="str">
        <f t="shared" si="69"/>
        <v/>
      </c>
      <c r="EL44" s="1293" t="str">
        <f t="shared" si="70"/>
        <v/>
      </c>
      <c r="EM44" s="822" t="str">
        <f t="shared" si="71"/>
        <v/>
      </c>
      <c r="EN44" s="822" t="str">
        <f t="shared" si="72"/>
        <v/>
      </c>
      <c r="EO44" s="856" t="e">
        <f t="shared" si="73"/>
        <v>#N/A</v>
      </c>
      <c r="EP44" s="856" t="e">
        <f t="shared" si="74"/>
        <v>#N/A</v>
      </c>
      <c r="EQ44" s="1293" t="str">
        <f t="shared" si="75"/>
        <v/>
      </c>
      <c r="ER44" s="822" t="str">
        <f t="shared" si="75"/>
        <v/>
      </c>
      <c r="ES44" s="822" t="str">
        <f t="shared" si="76"/>
        <v/>
      </c>
      <c r="ET44" s="822" t="str">
        <f t="shared" si="77"/>
        <v/>
      </c>
      <c r="EU44" s="829" t="str">
        <f t="shared" si="78"/>
        <v/>
      </c>
      <c r="EV44" s="824" t="str">
        <f t="shared" si="79"/>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80"/>
        <v/>
      </c>
      <c r="FA44" s="829" t="str">
        <f>IF(AND(DE44="G", ISBLANK(BW44), ISBLANK(BX44)),VLOOKUP(MIN(BT44:BU44),TblJoistSize!$M$3:$N$10,2),IF(OR(DE44="B", DE44="G"),MIN(BW44:BX44),""))</f>
        <v/>
      </c>
      <c r="FB44" s="829" t="str">
        <f>IF(AND(DE44="G", ISBLANK(BW44), ISBLANK(BX44)),VLOOKUP(MAX(BT44:BU44),TblJoistSize!$M$3:$N$10,2),IF(OR(DE44="B", DE44="G"),MAX(BW44:BX44),""))</f>
        <v/>
      </c>
      <c r="FC44" s="829" t="str">
        <f t="shared" si="81"/>
        <v/>
      </c>
      <c r="FD44" s="821">
        <f t="shared" si="107"/>
        <v>0</v>
      </c>
      <c r="FE44" s="821">
        <f t="shared" si="82"/>
        <v>0</v>
      </c>
      <c r="FF44" s="821">
        <f t="shared" si="83"/>
        <v>0</v>
      </c>
      <c r="FG44" s="821" t="str">
        <f t="shared" si="84"/>
        <v/>
      </c>
      <c r="FH44" s="822" t="str">
        <f t="shared" si="85"/>
        <v/>
      </c>
      <c r="FI44" s="821">
        <f t="shared" si="108"/>
        <v>0</v>
      </c>
      <c r="FJ44" s="821">
        <f t="shared" si="86"/>
        <v>0</v>
      </c>
      <c r="FK44" s="821">
        <f t="shared" si="87"/>
        <v>0</v>
      </c>
      <c r="FL44" s="821" t="str">
        <f t="shared" si="88"/>
        <v/>
      </c>
      <c r="FM44" s="822" t="str">
        <f t="shared" si="89"/>
        <v/>
      </c>
      <c r="FN44" s="822" t="e">
        <f t="shared" si="90"/>
        <v>#VALUE!</v>
      </c>
      <c r="FO44" s="940" t="e">
        <f t="shared" si="91"/>
        <v>#VALUE!</v>
      </c>
      <c r="FP44" s="940" t="e">
        <f t="shared" si="92"/>
        <v>#VALUE!</v>
      </c>
      <c r="FQ44" s="830" t="e">
        <f t="shared" si="93"/>
        <v>#VALUE!</v>
      </c>
      <c r="FR44" s="831" t="e">
        <f t="shared" si="94"/>
        <v>#VALUE!</v>
      </c>
      <c r="FS44" s="832" t="str">
        <f t="shared" si="95"/>
        <v/>
      </c>
      <c r="FT44" s="833" t="str">
        <f t="shared" si="96"/>
        <v/>
      </c>
      <c r="FU44" s="870">
        <f t="shared" si="97"/>
        <v>0</v>
      </c>
      <c r="FV44" s="871">
        <f t="shared" si="98"/>
        <v>0</v>
      </c>
      <c r="GA44" s="1791" t="str">
        <f t="shared" si="119"/>
        <v/>
      </c>
      <c r="GB44" s="1792" t="str">
        <f t="shared" si="120"/>
        <v/>
      </c>
      <c r="GC44" s="1793" t="str">
        <f t="shared" si="121"/>
        <v/>
      </c>
      <c r="GD44" s="1794" t="str">
        <f t="shared" si="122"/>
        <v/>
      </c>
      <c r="GE44" s="1795" t="str">
        <f t="shared" si="99"/>
        <v/>
      </c>
      <c r="GF44" s="600" t="str">
        <f t="shared" si="100"/>
        <v/>
      </c>
      <c r="GG44" s="1130"/>
      <c r="GH44" s="1131"/>
      <c r="GI44" s="1130"/>
      <c r="GJ44" s="1131"/>
      <c r="GK44" s="1638">
        <f t="shared" si="101"/>
        <v>0</v>
      </c>
      <c r="GL44" s="1636" t="e">
        <f t="shared" si="102"/>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103"/>
        <v/>
      </c>
      <c r="O45" s="1723" t="str">
        <f t="shared" si="104"/>
        <v/>
      </c>
      <c r="P45" s="1724" t="str">
        <f t="shared" si="105"/>
        <v/>
      </c>
      <c r="Q45" s="1719" t="str">
        <f t="shared" si="7"/>
        <v/>
      </c>
      <c r="R45" s="1723" t="str">
        <f t="shared" si="8"/>
        <v/>
      </c>
      <c r="S45" s="1725" t="str">
        <f t="shared" si="9"/>
        <v/>
      </c>
      <c r="T45" s="1728" t="str">
        <f t="shared" si="114"/>
        <v/>
      </c>
      <c r="U45" s="1723" t="str">
        <f t="shared" si="115"/>
        <v/>
      </c>
      <c r="V45" s="1719" t="str">
        <f t="shared" si="116"/>
        <v/>
      </c>
      <c r="W45" s="1723" t="str">
        <f t="shared" si="117"/>
        <v/>
      </c>
      <c r="X45" s="1727">
        <f>IF(EV45="",0,EV45)</f>
        <v>0</v>
      </c>
      <c r="Y45" s="1787" t="str">
        <f>FG45</f>
        <v/>
      </c>
      <c r="Z45" s="1788" t="str">
        <f>FL45</f>
        <v/>
      </c>
      <c r="AA45" s="1789" t="s">
        <v>116</v>
      </c>
      <c r="AB45" s="1413"/>
      <c r="AC45" s="964" t="b">
        <v>0</v>
      </c>
      <c r="AD45" s="441">
        <f t="shared" si="12"/>
        <v>0</v>
      </c>
      <c r="AE45" s="442">
        <f t="shared" si="13"/>
        <v>0</v>
      </c>
      <c r="AF45" s="442">
        <f t="shared" si="14"/>
        <v>0</v>
      </c>
      <c r="AG45" s="442">
        <f t="shared" si="15"/>
        <v>0</v>
      </c>
      <c r="AH45" s="443">
        <f t="shared" si="16"/>
        <v>0</v>
      </c>
      <c r="AI45" s="444" t="b">
        <v>0</v>
      </c>
      <c r="AJ45" s="238">
        <f t="shared" si="17"/>
        <v>0</v>
      </c>
      <c r="AK45" s="830" t="str">
        <f t="shared" si="18"/>
        <v/>
      </c>
      <c r="AL45" s="945" t="str">
        <f t="shared" si="19"/>
        <v/>
      </c>
      <c r="AM45" s="830" t="str">
        <f t="shared" si="20"/>
        <v/>
      </c>
      <c r="AN45" s="830" t="str">
        <f t="shared" si="21"/>
        <v/>
      </c>
      <c r="AO45" s="830" t="str">
        <f t="shared" si="22"/>
        <v/>
      </c>
      <c r="AP45" s="830" t="b">
        <f>IF(ISERROR(AJ45),FALSE,IF(OR(AJ45=0,ISERROR(AL45),ISERROR(AM45),ISERROR(AN45),ISERROR(AO45)),FALSE,IF(AL45&lt;&gt;"",IF(ISERROR(VLOOKUP(SUBSTITUTE(SUBSTITUTE(C45,"R",""),"A",""),TblJoistSize!$A:$A,1,FALSE)),FALSE,TRUE),TRUE)))</f>
        <v>0</v>
      </c>
      <c r="AQ45" s="1038" t="e">
        <f t="shared" si="23"/>
        <v>#N/A</v>
      </c>
      <c r="AR45" s="945" t="b">
        <f t="shared" si="24"/>
        <v>0</v>
      </c>
      <c r="AS45" s="1038" t="e">
        <f t="shared" si="25"/>
        <v>#N/A</v>
      </c>
      <c r="AT45" s="945" t="b">
        <f t="shared" si="26"/>
        <v>0</v>
      </c>
      <c r="AU45" s="946" t="str">
        <f t="shared" si="27"/>
        <v/>
      </c>
      <c r="AV45" s="830" t="str">
        <f t="shared" si="28"/>
        <v/>
      </c>
      <c r="AW45" s="830" t="str">
        <f t="shared" si="29"/>
        <v/>
      </c>
      <c r="AX45" s="830" t="str">
        <f t="shared" si="106"/>
        <v/>
      </c>
      <c r="AY45" s="1039" t="b">
        <f t="shared" si="30"/>
        <v>0</v>
      </c>
      <c r="AZ45" s="856" t="str">
        <f t="shared" si="31"/>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32"/>
        <v/>
      </c>
      <c r="BR45" s="911"/>
      <c r="BS45" s="681"/>
      <c r="BT45" s="718"/>
      <c r="BU45" s="719"/>
      <c r="BV45" s="1626"/>
      <c r="BW45" s="718"/>
      <c r="BX45" s="719"/>
      <c r="BY45" s="720"/>
      <c r="BZ45" s="721"/>
      <c r="CA45" s="689" t="str">
        <f>IF(ISERROR(DE45),"",IF(DE45="","",IF(VLOOKUP(BS45,SectInfo!$B:$N,10,FALSE)="","","X")))</f>
        <v/>
      </c>
      <c r="CB45" s="741"/>
      <c r="CC45" s="1552" t="str">
        <f t="shared" si="33"/>
        <v/>
      </c>
      <c r="CD45" s="911"/>
      <c r="CE45" s="722"/>
      <c r="CF45" s="739"/>
      <c r="CG45" s="740"/>
      <c r="CH45" s="601" t="str">
        <f t="shared" si="34"/>
        <v/>
      </c>
      <c r="CI45" s="602" t="str">
        <f t="shared" si="35"/>
        <v/>
      </c>
      <c r="CJ45" s="603" t="str">
        <f t="shared" si="36"/>
        <v/>
      </c>
      <c r="CK45" s="604" t="str">
        <f t="shared" si="37"/>
        <v/>
      </c>
      <c r="CL45" s="605" t="str">
        <f t="shared" si="38"/>
        <v/>
      </c>
      <c r="CM45" s="606" t="str">
        <f t="shared" si="39"/>
        <v/>
      </c>
      <c r="CN45" s="607" t="str">
        <f t="shared" si="40"/>
        <v/>
      </c>
      <c r="CO45" s="608" t="str">
        <f t="shared" si="41"/>
        <v/>
      </c>
      <c r="CP45" s="617" t="str">
        <f t="shared" si="42"/>
        <v/>
      </c>
      <c r="CQ45" s="618" t="str">
        <f t="shared" si="43"/>
        <v/>
      </c>
      <c r="CR45" s="752" t="str">
        <f t="shared" si="44"/>
        <v/>
      </c>
      <c r="CS45" s="753" t="str">
        <f t="shared" si="45"/>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46"/>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47"/>
        <v>0</v>
      </c>
      <c r="DO45" s="818">
        <f t="shared" si="48"/>
        <v>0</v>
      </c>
      <c r="DP45" s="822" t="str">
        <f t="shared" si="49"/>
        <v/>
      </c>
      <c r="DQ45" s="822" t="str">
        <f t="shared" si="50"/>
        <v/>
      </c>
      <c r="DR45" s="822" t="str">
        <f t="shared" si="51"/>
        <v/>
      </c>
      <c r="DS45" s="821">
        <f t="shared" si="52"/>
        <v>0</v>
      </c>
      <c r="DT45" s="821">
        <f t="shared" si="53"/>
        <v>0</v>
      </c>
      <c r="DU45" s="821" t="str">
        <f t="shared" si="54"/>
        <v/>
      </c>
      <c r="DV45" s="822" t="str">
        <f t="shared" si="55"/>
        <v/>
      </c>
      <c r="DW45" s="856" t="str">
        <f t="shared" si="56"/>
        <v/>
      </c>
      <c r="DX45" s="1006">
        <f t="shared" si="57"/>
        <v>0</v>
      </c>
      <c r="DY45" s="822">
        <f t="shared" si="58"/>
        <v>0</v>
      </c>
      <c r="DZ45" s="821">
        <f t="shared" si="59"/>
        <v>0</v>
      </c>
      <c r="EA45" s="821" t="str">
        <f t="shared" si="60"/>
        <v/>
      </c>
      <c r="EB45" s="822" t="str">
        <f t="shared" si="61"/>
        <v/>
      </c>
      <c r="EC45" s="856" t="str">
        <f t="shared" si="62"/>
        <v/>
      </c>
      <c r="ED45" s="1006">
        <f t="shared" si="63"/>
        <v>0</v>
      </c>
      <c r="EE45" s="1293" t="str">
        <f t="shared" si="64"/>
        <v/>
      </c>
      <c r="EF45" s="1293" t="str">
        <f t="shared" si="65"/>
        <v/>
      </c>
      <c r="EG45" s="1293" t="str">
        <f t="shared" si="66"/>
        <v/>
      </c>
      <c r="EH45" s="856" t="e">
        <f t="shared" si="67"/>
        <v>#N/A</v>
      </c>
      <c r="EI45" s="856" t="e">
        <f t="shared" si="68"/>
        <v>#N/A</v>
      </c>
      <c r="EJ45" s="822" t="str">
        <f t="shared" si="69"/>
        <v/>
      </c>
      <c r="EK45" s="822" t="str">
        <f t="shared" si="69"/>
        <v/>
      </c>
      <c r="EL45" s="1293" t="str">
        <f t="shared" si="70"/>
        <v/>
      </c>
      <c r="EM45" s="822" t="str">
        <f t="shared" si="71"/>
        <v/>
      </c>
      <c r="EN45" s="822" t="str">
        <f t="shared" si="72"/>
        <v/>
      </c>
      <c r="EO45" s="856" t="e">
        <f t="shared" si="73"/>
        <v>#N/A</v>
      </c>
      <c r="EP45" s="856" t="e">
        <f t="shared" si="74"/>
        <v>#N/A</v>
      </c>
      <c r="EQ45" s="1293" t="str">
        <f t="shared" si="75"/>
        <v/>
      </c>
      <c r="ER45" s="822" t="str">
        <f t="shared" si="75"/>
        <v/>
      </c>
      <c r="ES45" s="822" t="str">
        <f t="shared" si="76"/>
        <v/>
      </c>
      <c r="ET45" s="822" t="str">
        <f t="shared" si="77"/>
        <v/>
      </c>
      <c r="EU45" s="829" t="str">
        <f t="shared" si="78"/>
        <v/>
      </c>
      <c r="EV45" s="824" t="str">
        <f t="shared" si="79"/>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80"/>
        <v/>
      </c>
      <c r="FA45" s="829" t="str">
        <f>IF(AND(DE45="G", ISBLANK(BW45), ISBLANK(BX45)),VLOOKUP(MIN(BT45:BU45),TblJoistSize!$M$3:$N$10,2),IF(OR(DE45="B", DE45="G"),MIN(BW45:BX45),""))</f>
        <v/>
      </c>
      <c r="FB45" s="829" t="str">
        <f>IF(AND(DE45="G", ISBLANK(BW45), ISBLANK(BX45)),VLOOKUP(MAX(BT45:BU45),TblJoistSize!$M$3:$N$10,2),IF(OR(DE45="B", DE45="G"),MAX(BW45:BX45),""))</f>
        <v/>
      </c>
      <c r="FC45" s="829" t="str">
        <f t="shared" si="81"/>
        <v/>
      </c>
      <c r="FD45" s="821">
        <f t="shared" si="107"/>
        <v>0</v>
      </c>
      <c r="FE45" s="821">
        <f t="shared" si="82"/>
        <v>0</v>
      </c>
      <c r="FF45" s="821">
        <f t="shared" si="83"/>
        <v>0</v>
      </c>
      <c r="FG45" s="821" t="str">
        <f t="shared" si="84"/>
        <v/>
      </c>
      <c r="FH45" s="822" t="str">
        <f t="shared" si="85"/>
        <v/>
      </c>
      <c r="FI45" s="821">
        <f t="shared" si="108"/>
        <v>0</v>
      </c>
      <c r="FJ45" s="821">
        <f t="shared" si="86"/>
        <v>0</v>
      </c>
      <c r="FK45" s="821">
        <f t="shared" si="87"/>
        <v>0</v>
      </c>
      <c r="FL45" s="821" t="str">
        <f t="shared" si="88"/>
        <v/>
      </c>
      <c r="FM45" s="822" t="str">
        <f t="shared" si="89"/>
        <v/>
      </c>
      <c r="FN45" s="822" t="e">
        <f t="shared" si="90"/>
        <v>#VALUE!</v>
      </c>
      <c r="FO45" s="940" t="e">
        <f t="shared" si="91"/>
        <v>#VALUE!</v>
      </c>
      <c r="FP45" s="940" t="e">
        <f t="shared" si="92"/>
        <v>#VALUE!</v>
      </c>
      <c r="FQ45" s="830" t="e">
        <f t="shared" si="93"/>
        <v>#VALUE!</v>
      </c>
      <c r="FR45" s="831" t="e">
        <f t="shared" si="94"/>
        <v>#VALUE!</v>
      </c>
      <c r="FS45" s="832" t="str">
        <f t="shared" si="95"/>
        <v/>
      </c>
      <c r="FT45" s="833" t="str">
        <f t="shared" si="96"/>
        <v/>
      </c>
      <c r="FU45" s="870">
        <f t="shared" si="97"/>
        <v>0</v>
      </c>
      <c r="FV45" s="871">
        <f t="shared" si="98"/>
        <v>0</v>
      </c>
      <c r="GA45" s="1791" t="str">
        <f t="shared" si="119"/>
        <v/>
      </c>
      <c r="GB45" s="1792" t="str">
        <f t="shared" si="120"/>
        <v/>
      </c>
      <c r="GC45" s="1793" t="str">
        <f t="shared" si="121"/>
        <v/>
      </c>
      <c r="GD45" s="1794" t="str">
        <f t="shared" si="122"/>
        <v/>
      </c>
      <c r="GE45" s="1795" t="str">
        <f t="shared" si="99"/>
        <v/>
      </c>
      <c r="GF45" s="600" t="str">
        <f t="shared" si="100"/>
        <v/>
      </c>
      <c r="GG45" s="1132"/>
      <c r="GH45" s="1133"/>
      <c r="GI45" s="1132"/>
      <c r="GJ45" s="1133"/>
      <c r="GK45" s="1638">
        <f t="shared" si="101"/>
        <v>0</v>
      </c>
      <c r="GL45" s="1636" t="e">
        <f t="shared" si="102"/>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220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220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t="12" hidden="1" thickBot="1" x14ac:dyDescent="0.25"/>
    <row r="51" spans="1:192" ht="12" hidden="1" thickBot="1" x14ac:dyDescent="0.25"/>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339"/>
      <c r="CQ57" s="2340"/>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3">IF(GF57="","",BE57)</f>
        <v/>
      </c>
      <c r="GB57" s="619" t="str">
        <f t="shared" ref="GB57" si="124">IF(GF57="","",BF57)</f>
        <v/>
      </c>
      <c r="GC57" s="621" t="str">
        <f t="shared" ref="GC57" si="125">IF(GF57="","",IF(CV57="",0,CV57))</f>
        <v/>
      </c>
      <c r="GD57" s="622" t="str">
        <f t="shared" ref="GD57" si="126">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t="s">
        <v>1657</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342" t="s">
        <v>524</v>
      </c>
      <c r="EM71" s="2343"/>
      <c r="EN71" s="2343"/>
      <c r="EO71" s="2344"/>
    </row>
    <row r="72" spans="1:145" ht="15" customHeight="1" thickBot="1" x14ac:dyDescent="0.25">
      <c r="EL72" s="2495" t="s">
        <v>535</v>
      </c>
      <c r="EM72" s="2498" t="s">
        <v>536</v>
      </c>
      <c r="EN72" s="2498" t="s">
        <v>537</v>
      </c>
      <c r="EO72" s="2501" t="s">
        <v>538</v>
      </c>
    </row>
    <row r="73" spans="1:145" ht="15" customHeight="1" thickBot="1" x14ac:dyDescent="0.25">
      <c r="EJ73" s="2502" t="s">
        <v>542</v>
      </c>
      <c r="EL73" s="2496"/>
      <c r="EM73" s="2499"/>
      <c r="EN73" s="2499"/>
      <c r="EO73" s="2403"/>
    </row>
    <row r="74" spans="1:145" ht="15" customHeight="1" thickBot="1" x14ac:dyDescent="0.25">
      <c r="EJ74" s="2503"/>
      <c r="EL74" s="2497"/>
      <c r="EM74" s="2500"/>
      <c r="EN74" s="2500"/>
      <c r="EO74" s="2404"/>
    </row>
    <row r="75" spans="1:145" ht="15" customHeight="1" thickTop="1" x14ac:dyDescent="0.2">
      <c r="EJ75" s="507">
        <f t="shared" ref="EJ75:EJ104" si="127">IF(AU16="","",IF(OR(AU16="K",AU16="KCS"),(BE16*12+BF16+IF(CU16="M",MAX(CV16,$CX$4),0)+IF(DE16="M",MAX(DF16,$CX$4),0))/12,IF(OR(AU16="LH",AU16="DLH"),(BE16*12+BF16+8-MAX(MAX(BH16,BI16)/2,DC16)-MAX(MAX(BT16,BU16)/2,DM16))/12,IF(OR(AU16="JS",AU16="HDR"),""))))</f>
        <v>0.66666666666666663</v>
      </c>
      <c r="EL75" s="445"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446" t="str">
        <f t="shared" ref="EM75:EM104" si="128">IF(BD16="","",IF(EL75="-","-",IF(EO75="No",0,IF(AZ16/12&lt;60,1,IF(AZ16/12&lt;100,2,EL75)))))</f>
        <v/>
      </c>
      <c r="EN75" s="447" t="str">
        <f>IF(BD16="","",IF(ISERROR(VLOOKUP(BD16,TblJoistSize!$A$1:$G$274,2,FALSE)),"-",VLOOKUP(BD16,TblJoistSize!$A$1:$G$274,2,FALSE)))</f>
        <v/>
      </c>
      <c r="EO75" s="448" t="str">
        <f t="shared" ref="EO75:EO104" si="129">IF(BD16="","",IF(EN75="-","-",IF(EN75="NM","No",IF(EN75&lt;=AZ16/12,"Yes","No"))))</f>
        <v/>
      </c>
    </row>
    <row r="76" spans="1:145" ht="15" customHeight="1" x14ac:dyDescent="0.2">
      <c r="EJ76" s="507">
        <f t="shared" si="127"/>
        <v>0.66666666666666663</v>
      </c>
      <c r="EL76" s="445"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446" t="str">
        <f t="shared" si="128"/>
        <v/>
      </c>
      <c r="EN76" s="447" t="str">
        <f>IF(BD17="","",IF(ISERROR(VLOOKUP(BD17,TblJoistSize!$A$1:$G$274,2,FALSE)),"-",VLOOKUP(BD17,TblJoistSize!$A$1:$G$274,2,FALSE)))</f>
        <v/>
      </c>
      <c r="EO76" s="448" t="str">
        <f t="shared" si="129"/>
        <v/>
      </c>
    </row>
    <row r="77" spans="1:145" ht="15" customHeight="1" x14ac:dyDescent="0.2">
      <c r="EJ77" s="507">
        <f t="shared" si="127"/>
        <v>0.66666666666666663</v>
      </c>
      <c r="EL77" s="445"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446" t="str">
        <f t="shared" si="128"/>
        <v/>
      </c>
      <c r="EN77" s="447" t="str">
        <f>IF(BD18="","",IF(ISERROR(VLOOKUP(BD18,TblJoistSize!$A$1:$G$274,2,FALSE)),"-",VLOOKUP(BD18,TblJoistSize!$A$1:$G$274,2,FALSE)))</f>
        <v/>
      </c>
      <c r="EO77" s="448" t="str">
        <f t="shared" si="129"/>
        <v/>
      </c>
    </row>
    <row r="78" spans="1:145" ht="15" customHeight="1" x14ac:dyDescent="0.2">
      <c r="EJ78" s="507">
        <f t="shared" si="127"/>
        <v>0.66666666666666663</v>
      </c>
      <c r="EL78" s="445"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446" t="str">
        <f t="shared" si="128"/>
        <v/>
      </c>
      <c r="EN78" s="447" t="str">
        <f>IF(BD19="","",IF(ISERROR(VLOOKUP(BD19,TblJoistSize!$A$1:$G$274,2,FALSE)),"-",VLOOKUP(BD19,TblJoistSize!$A$1:$G$274,2,FALSE)))</f>
        <v/>
      </c>
      <c r="EO78" s="448" t="str">
        <f t="shared" si="129"/>
        <v/>
      </c>
    </row>
    <row r="79" spans="1:145" ht="15" customHeight="1" x14ac:dyDescent="0.2">
      <c r="EJ79" s="507">
        <f t="shared" si="127"/>
        <v>0.66666666666666663</v>
      </c>
      <c r="EL79" s="445"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446" t="str">
        <f t="shared" si="128"/>
        <v/>
      </c>
      <c r="EN79" s="447" t="str">
        <f>IF(BD20="","",IF(ISERROR(VLOOKUP(BD20,TblJoistSize!$A$1:$G$274,2,FALSE)),"-",VLOOKUP(BD20,TblJoistSize!$A$1:$G$274,2,FALSE)))</f>
        <v/>
      </c>
      <c r="EO79" s="448" t="str">
        <f t="shared" si="129"/>
        <v/>
      </c>
    </row>
    <row r="80" spans="1:145" ht="15" customHeight="1" x14ac:dyDescent="0.2">
      <c r="EJ80" s="507">
        <f t="shared" si="127"/>
        <v>0.66666666666666663</v>
      </c>
      <c r="EL80" s="445"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446" t="str">
        <f t="shared" si="128"/>
        <v/>
      </c>
      <c r="EN80" s="447" t="str">
        <f>IF(BD21="","",IF(ISERROR(VLOOKUP(BD21,TblJoistSize!$A$1:$G$274,2,FALSE)),"-",VLOOKUP(BD21,TblJoistSize!$A$1:$G$274,2,FALSE)))</f>
        <v/>
      </c>
      <c r="EO80" s="448" t="str">
        <f t="shared" si="129"/>
        <v/>
      </c>
    </row>
    <row r="81" spans="140:145" ht="15" customHeight="1" x14ac:dyDescent="0.2">
      <c r="EJ81" s="507">
        <f t="shared" si="127"/>
        <v>0.66666666666666663</v>
      </c>
      <c r="EL81" s="445"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446" t="str">
        <f t="shared" si="128"/>
        <v/>
      </c>
      <c r="EN81" s="447" t="str">
        <f>IF(BD22="","",IF(ISERROR(VLOOKUP(BD22,TblJoistSize!$A$1:$G$274,2,FALSE)),"-",VLOOKUP(BD22,TblJoistSize!$A$1:$G$274,2,FALSE)))</f>
        <v/>
      </c>
      <c r="EO81" s="448" t="str">
        <f t="shared" si="129"/>
        <v/>
      </c>
    </row>
    <row r="82" spans="140:145" ht="15" customHeight="1" x14ac:dyDescent="0.2">
      <c r="EJ82" s="507">
        <f t="shared" si="127"/>
        <v>0.66666666666666663</v>
      </c>
      <c r="EL82" s="445"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446" t="str">
        <f t="shared" si="128"/>
        <v/>
      </c>
      <c r="EN82" s="447" t="str">
        <f>IF(BD23="","",IF(ISERROR(VLOOKUP(BD23,TblJoistSize!$A$1:$G$274,2,FALSE)),"-",VLOOKUP(BD23,TblJoistSize!$A$1:$G$274,2,FALSE)))</f>
        <v/>
      </c>
      <c r="EO82" s="448" t="str">
        <f t="shared" si="129"/>
        <v/>
      </c>
    </row>
    <row r="83" spans="140:145" ht="15" customHeight="1" x14ac:dyDescent="0.2">
      <c r="EJ83" s="507">
        <f t="shared" si="127"/>
        <v>0.66666666666666663</v>
      </c>
      <c r="EL83" s="445"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446" t="str">
        <f t="shared" si="128"/>
        <v/>
      </c>
      <c r="EN83" s="447" t="str">
        <f>IF(BD24="","",IF(ISERROR(VLOOKUP(BD24,TblJoistSize!$A$1:$G$274,2,FALSE)),"-",VLOOKUP(BD24,TblJoistSize!$A$1:$G$274,2,FALSE)))</f>
        <v/>
      </c>
      <c r="EO83" s="448" t="str">
        <f t="shared" si="129"/>
        <v/>
      </c>
    </row>
    <row r="84" spans="140:145" ht="15" customHeight="1" x14ac:dyDescent="0.2">
      <c r="EJ84" s="507">
        <f t="shared" si="127"/>
        <v>0.66666666666666663</v>
      </c>
      <c r="EL84" s="445"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446" t="str">
        <f t="shared" si="128"/>
        <v/>
      </c>
      <c r="EN84" s="447" t="str">
        <f>IF(BD25="","",IF(ISERROR(VLOOKUP(BD25,TblJoistSize!$A$1:$G$274,2,FALSE)),"-",VLOOKUP(BD25,TblJoistSize!$A$1:$G$274,2,FALSE)))</f>
        <v/>
      </c>
      <c r="EO84" s="448" t="str">
        <f t="shared" si="129"/>
        <v/>
      </c>
    </row>
    <row r="85" spans="140:145" ht="15" customHeight="1" x14ac:dyDescent="0.2">
      <c r="EJ85" s="507">
        <f t="shared" si="127"/>
        <v>0.66666666666666663</v>
      </c>
      <c r="EL85" s="445"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446" t="str">
        <f t="shared" si="128"/>
        <v/>
      </c>
      <c r="EN85" s="447" t="str">
        <f>IF(BD26="","",IF(ISERROR(VLOOKUP(BD26,TblJoistSize!$A$1:$G$274,2,FALSE)),"-",VLOOKUP(BD26,TblJoistSize!$A$1:$G$274,2,FALSE)))</f>
        <v/>
      </c>
      <c r="EO85" s="448" t="str">
        <f t="shared" si="129"/>
        <v/>
      </c>
    </row>
    <row r="86" spans="140:145" ht="15" customHeight="1" x14ac:dyDescent="0.2">
      <c r="EJ86" s="507">
        <f t="shared" si="127"/>
        <v>0.66666666666666663</v>
      </c>
      <c r="EL86" s="445"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446" t="str">
        <f t="shared" si="128"/>
        <v/>
      </c>
      <c r="EN86" s="447" t="str">
        <f>IF(BD27="","",IF(ISERROR(VLOOKUP(BD27,TblJoistSize!$A$1:$G$274,2,FALSE)),"-",VLOOKUP(BD27,TblJoistSize!$A$1:$G$274,2,FALSE)))</f>
        <v/>
      </c>
      <c r="EO86" s="448" t="str">
        <f t="shared" si="129"/>
        <v/>
      </c>
    </row>
    <row r="87" spans="140:145" ht="15" customHeight="1" x14ac:dyDescent="0.2">
      <c r="EJ87" s="507">
        <f t="shared" si="127"/>
        <v>0.66666666666666663</v>
      </c>
      <c r="EL87" s="445"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446" t="str">
        <f t="shared" si="128"/>
        <v/>
      </c>
      <c r="EN87" s="447" t="str">
        <f>IF(BD28="","",IF(ISERROR(VLOOKUP(BD28,TblJoistSize!$A$1:$G$274,2,FALSE)),"-",VLOOKUP(BD28,TblJoistSize!$A$1:$G$274,2,FALSE)))</f>
        <v/>
      </c>
      <c r="EO87" s="448" t="str">
        <f t="shared" si="129"/>
        <v/>
      </c>
    </row>
    <row r="88" spans="140:145" ht="15" customHeight="1" x14ac:dyDescent="0.2">
      <c r="EJ88" s="507">
        <f t="shared" si="127"/>
        <v>0.66666666666666663</v>
      </c>
      <c r="EL88" s="445"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446" t="str">
        <f t="shared" si="128"/>
        <v/>
      </c>
      <c r="EN88" s="447" t="str">
        <f>IF(BD29="","",IF(ISERROR(VLOOKUP(BD29,TblJoistSize!$A$1:$G$274,2,FALSE)),"-",VLOOKUP(BD29,TblJoistSize!$A$1:$G$274,2,FALSE)))</f>
        <v/>
      </c>
      <c r="EO88" s="448" t="str">
        <f t="shared" si="129"/>
        <v/>
      </c>
    </row>
    <row r="89" spans="140:145" ht="15" customHeight="1" x14ac:dyDescent="0.2">
      <c r="EJ89" s="507">
        <f t="shared" si="127"/>
        <v>0.66666666666666663</v>
      </c>
      <c r="EL89" s="445"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446" t="str">
        <f t="shared" si="128"/>
        <v/>
      </c>
      <c r="EN89" s="447" t="str">
        <f>IF(BD30="","",IF(ISERROR(VLOOKUP(BD30,TblJoistSize!$A$1:$G$274,2,FALSE)),"-",VLOOKUP(BD30,TblJoistSize!$A$1:$G$274,2,FALSE)))</f>
        <v/>
      </c>
      <c r="EO89" s="448" t="str">
        <f t="shared" si="129"/>
        <v/>
      </c>
    </row>
    <row r="90" spans="140:145" ht="15" customHeight="1" x14ac:dyDescent="0.2">
      <c r="EJ90" s="507">
        <f t="shared" si="127"/>
        <v>0.66666666666666663</v>
      </c>
      <c r="EL90" s="445"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446" t="str">
        <f t="shared" si="128"/>
        <v/>
      </c>
      <c r="EN90" s="447" t="str">
        <f>IF(BD31="","",IF(ISERROR(VLOOKUP(BD31,TblJoistSize!$A$1:$G$274,2,FALSE)),"-",VLOOKUP(BD31,TblJoistSize!$A$1:$G$274,2,FALSE)))</f>
        <v/>
      </c>
      <c r="EO90" s="448" t="str">
        <f t="shared" si="129"/>
        <v/>
      </c>
    </row>
    <row r="91" spans="140:145" ht="15" customHeight="1" x14ac:dyDescent="0.2">
      <c r="EJ91" s="507">
        <f t="shared" si="127"/>
        <v>0.66666666666666663</v>
      </c>
      <c r="EL91" s="445"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446" t="str">
        <f t="shared" si="128"/>
        <v/>
      </c>
      <c r="EN91" s="447" t="str">
        <f>IF(BD32="","",IF(ISERROR(VLOOKUP(BD32,TblJoistSize!$A$1:$G$274,2,FALSE)),"-",VLOOKUP(BD32,TblJoistSize!$A$1:$G$274,2,FALSE)))</f>
        <v/>
      </c>
      <c r="EO91" s="448" t="str">
        <f t="shared" si="129"/>
        <v/>
      </c>
    </row>
    <row r="92" spans="140:145" ht="15" customHeight="1" x14ac:dyDescent="0.2">
      <c r="EJ92" s="507">
        <f t="shared" si="127"/>
        <v>0.66666666666666663</v>
      </c>
      <c r="EL92" s="445"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446" t="str">
        <f t="shared" si="128"/>
        <v/>
      </c>
      <c r="EN92" s="447" t="str">
        <f>IF(BD33="","",IF(ISERROR(VLOOKUP(BD33,TblJoistSize!$A$1:$G$274,2,FALSE)),"-",VLOOKUP(BD33,TblJoistSize!$A$1:$G$274,2,FALSE)))</f>
        <v/>
      </c>
      <c r="EO92" s="448" t="str">
        <f t="shared" si="129"/>
        <v/>
      </c>
    </row>
    <row r="93" spans="140:145" ht="15" customHeight="1" x14ac:dyDescent="0.2">
      <c r="EJ93" s="507">
        <f t="shared" si="127"/>
        <v>0.66666666666666663</v>
      </c>
      <c r="EL93" s="445"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446" t="str">
        <f t="shared" si="128"/>
        <v/>
      </c>
      <c r="EN93" s="447" t="str">
        <f>IF(BD34="","",IF(ISERROR(VLOOKUP(BD34,TblJoistSize!$A$1:$G$274,2,FALSE)),"-",VLOOKUP(BD34,TblJoistSize!$A$1:$G$274,2,FALSE)))</f>
        <v/>
      </c>
      <c r="EO93" s="448" t="str">
        <f t="shared" si="129"/>
        <v/>
      </c>
    </row>
    <row r="94" spans="140:145" ht="15" customHeight="1" x14ac:dyDescent="0.2">
      <c r="EJ94" s="507">
        <f t="shared" si="127"/>
        <v>0.66666666666666663</v>
      </c>
      <c r="EL94" s="445"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446" t="str">
        <f t="shared" si="128"/>
        <v/>
      </c>
      <c r="EN94" s="447" t="str">
        <f>IF(BD35="","",IF(ISERROR(VLOOKUP(BD35,TblJoistSize!$A$1:$G$274,2,FALSE)),"-",VLOOKUP(BD35,TblJoistSize!$A$1:$G$274,2,FALSE)))</f>
        <v/>
      </c>
      <c r="EO94" s="448" t="str">
        <f t="shared" si="129"/>
        <v/>
      </c>
    </row>
    <row r="95" spans="140:145" ht="15" customHeight="1" x14ac:dyDescent="0.2">
      <c r="EJ95" s="507">
        <f t="shared" si="127"/>
        <v>0.66666666666666663</v>
      </c>
      <c r="EL95" s="445"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446" t="str">
        <f t="shared" si="128"/>
        <v/>
      </c>
      <c r="EN95" s="447" t="str">
        <f>IF(BD36="","",IF(ISERROR(VLOOKUP(BD36,TblJoistSize!$A$1:$G$274,2,FALSE)),"-",VLOOKUP(BD36,TblJoistSize!$A$1:$G$274,2,FALSE)))</f>
        <v/>
      </c>
      <c r="EO95" s="448" t="str">
        <f t="shared" si="129"/>
        <v/>
      </c>
    </row>
    <row r="96" spans="140:145" ht="15" customHeight="1" x14ac:dyDescent="0.2">
      <c r="EJ96" s="507">
        <f t="shared" si="127"/>
        <v>0.66666666666666663</v>
      </c>
      <c r="EL96" s="445"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446" t="str">
        <f t="shared" si="128"/>
        <v/>
      </c>
      <c r="EN96" s="447" t="str">
        <f>IF(BD37="","",IF(ISERROR(VLOOKUP(BD37,TblJoistSize!$A$1:$G$274,2,FALSE)),"-",VLOOKUP(BD37,TblJoistSize!$A$1:$G$274,2,FALSE)))</f>
        <v/>
      </c>
      <c r="EO96" s="448" t="str">
        <f t="shared" si="129"/>
        <v/>
      </c>
    </row>
    <row r="97" spans="140:145" ht="15" customHeight="1" x14ac:dyDescent="0.2">
      <c r="EJ97" s="507">
        <f t="shared" si="127"/>
        <v>0.66666666666666663</v>
      </c>
      <c r="EL97" s="445"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446" t="str">
        <f t="shared" si="128"/>
        <v/>
      </c>
      <c r="EN97" s="447" t="str">
        <f>IF(BD38="","",IF(ISERROR(VLOOKUP(BD38,TblJoistSize!$A$1:$G$274,2,FALSE)),"-",VLOOKUP(BD38,TblJoistSize!$A$1:$G$274,2,FALSE)))</f>
        <v/>
      </c>
      <c r="EO97" s="448" t="str">
        <f t="shared" si="129"/>
        <v/>
      </c>
    </row>
    <row r="98" spans="140:145" ht="15" customHeight="1" x14ac:dyDescent="0.2">
      <c r="EJ98" s="507">
        <f t="shared" si="127"/>
        <v>0.66666666666666663</v>
      </c>
      <c r="EL98" s="445"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446" t="str">
        <f t="shared" si="128"/>
        <v/>
      </c>
      <c r="EN98" s="447" t="str">
        <f>IF(BD39="","",IF(ISERROR(VLOOKUP(BD39,TblJoistSize!$A$1:$G$274,2,FALSE)),"-",VLOOKUP(BD39,TblJoistSize!$A$1:$G$274,2,FALSE)))</f>
        <v/>
      </c>
      <c r="EO98" s="448" t="str">
        <f t="shared" si="129"/>
        <v/>
      </c>
    </row>
    <row r="99" spans="140:145" ht="15" customHeight="1" x14ac:dyDescent="0.2">
      <c r="EJ99" s="507">
        <f t="shared" si="127"/>
        <v>0.66666666666666663</v>
      </c>
      <c r="EL99" s="445"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446" t="str">
        <f t="shared" si="128"/>
        <v/>
      </c>
      <c r="EN99" s="447" t="str">
        <f>IF(BD40="","",IF(ISERROR(VLOOKUP(BD40,TblJoistSize!$A$1:$G$274,2,FALSE)),"-",VLOOKUP(BD40,TblJoistSize!$A$1:$G$274,2,FALSE)))</f>
        <v/>
      </c>
      <c r="EO99" s="448" t="str">
        <f t="shared" si="129"/>
        <v/>
      </c>
    </row>
    <row r="100" spans="140:145" ht="15" customHeight="1" x14ac:dyDescent="0.2">
      <c r="EJ100" s="507" t="str">
        <f t="shared" si="127"/>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28"/>
        <v/>
      </c>
      <c r="EN100" s="447" t="str">
        <f>IF(BD41="","",IF(ISERROR(VLOOKUP(BD41,TblJoistSize!$A$1:$G$274,2,FALSE)),"-",VLOOKUP(BD41,TblJoistSize!$A$1:$G$274,2,FALSE)))</f>
        <v/>
      </c>
      <c r="EO100" s="448" t="str">
        <f t="shared" si="129"/>
        <v/>
      </c>
    </row>
    <row r="101" spans="140:145" x14ac:dyDescent="0.2">
      <c r="EJ101" s="507" t="str">
        <f t="shared" si="127"/>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28"/>
        <v/>
      </c>
      <c r="EN101" s="447" t="str">
        <f>IF(BD42="","",IF(ISERROR(VLOOKUP(BD42,TblJoistSize!$A$1:$G$274,2,FALSE)),"-",VLOOKUP(BD42,TblJoistSize!$A$1:$G$274,2,FALSE)))</f>
        <v/>
      </c>
      <c r="EO101" s="448" t="str">
        <f t="shared" si="129"/>
        <v/>
      </c>
    </row>
    <row r="102" spans="140:145" x14ac:dyDescent="0.2">
      <c r="EJ102" s="507" t="str">
        <f t="shared" si="127"/>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28"/>
        <v/>
      </c>
      <c r="EN102" s="447" t="str">
        <f>IF(BD43="","",IF(ISERROR(VLOOKUP(BD43,TblJoistSize!$A$1:$G$274,2,FALSE)),"-",VLOOKUP(BD43,TblJoistSize!$A$1:$G$274,2,FALSE)))</f>
        <v/>
      </c>
      <c r="EO102" s="448" t="str">
        <f t="shared" si="129"/>
        <v/>
      </c>
    </row>
    <row r="103" spans="140:145" x14ac:dyDescent="0.2">
      <c r="EJ103" s="507" t="str">
        <f t="shared" si="127"/>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28"/>
        <v/>
      </c>
      <c r="EN103" s="447" t="str">
        <f>IF(BD44="","",IF(ISERROR(VLOOKUP(BD44,TblJoistSize!$A$1:$G$274,2,FALSE)),"-",VLOOKUP(BD44,TblJoistSize!$A$1:$G$274,2,FALSE)))</f>
        <v/>
      </c>
      <c r="EO103" s="448" t="str">
        <f t="shared" si="129"/>
        <v/>
      </c>
    </row>
    <row r="104" spans="140:145" x14ac:dyDescent="0.2">
      <c r="EJ104" s="507" t="str">
        <f t="shared" si="127"/>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28"/>
        <v/>
      </c>
      <c r="EN104" s="447" t="str">
        <f>IF(BD45="","",IF(ISERROR(VLOOKUP(BD45,TblJoistSize!$A$1:$G$274,2,FALSE)),"-",VLOOKUP(BD45,TblJoistSize!$A$1:$G$274,2,FALSE)))</f>
        <v/>
      </c>
      <c r="EO104" s="448" t="str">
        <f t="shared" si="129"/>
        <v/>
      </c>
    </row>
  </sheetData>
  <sheetProtection algorithmName="SHA-512" hashValue="t2bTTNAUf0Htk+7lH1PWa7kwj1/C/LP3rRljNY+6mhliG6+9q2IdzUk+qTaFuftTj2TksXlfyMMf2g25dLdZbQ==" saltValue="FwLtAXlO6KdvaRT7UXdgDg==" spinCount="100000" sheet="1" objects="1" scenarios="1" selectLockedCells="1"/>
  <dataConsolidate link="1"/>
  <mergeCells count="190">
    <mergeCell ref="CC6:CF6"/>
    <mergeCell ref="M7:S7"/>
    <mergeCell ref="C9:O9"/>
    <mergeCell ref="S9:AA9"/>
    <mergeCell ref="C10:O10"/>
    <mergeCell ref="S10:W10"/>
    <mergeCell ref="Z10:AA10"/>
    <mergeCell ref="P1:S1"/>
    <mergeCell ref="P2:S3"/>
    <mergeCell ref="P4:S4"/>
    <mergeCell ref="A5:M5"/>
    <mergeCell ref="M6:T6"/>
    <mergeCell ref="Y6:Z6"/>
    <mergeCell ref="HA12:IF13"/>
    <mergeCell ref="AU13:AU15"/>
    <mergeCell ref="AV13:AW15"/>
    <mergeCell ref="BB13:BF13"/>
    <mergeCell ref="BG13:BR13"/>
    <mergeCell ref="BS13:CD13"/>
    <mergeCell ref="CE13:CE15"/>
    <mergeCell ref="CF13:CG14"/>
    <mergeCell ref="FH12:FH15"/>
    <mergeCell ref="FI12:FI15"/>
    <mergeCell ref="FJ12:FJ15"/>
    <mergeCell ref="FK12:FK15"/>
    <mergeCell ref="FL12:FL15"/>
    <mergeCell ref="FM12:FM15"/>
    <mergeCell ref="FB12:FB15"/>
    <mergeCell ref="FC12:FC15"/>
    <mergeCell ref="FD12:FD15"/>
    <mergeCell ref="FE12:FE15"/>
    <mergeCell ref="FF12:FF15"/>
    <mergeCell ref="FG12:FG15"/>
    <mergeCell ref="EV12:EV15"/>
    <mergeCell ref="EW12:EW15"/>
    <mergeCell ref="EX12:EX15"/>
    <mergeCell ref="EY12:EY15"/>
    <mergeCell ref="CU13:DD13"/>
    <mergeCell ref="DE13:DN13"/>
    <mergeCell ref="GA13:GJ13"/>
    <mergeCell ref="A14:A15"/>
    <mergeCell ref="B14:B15"/>
    <mergeCell ref="C14:C15"/>
    <mergeCell ref="D14:E15"/>
    <mergeCell ref="F14:H14"/>
    <mergeCell ref="I14:K14"/>
    <mergeCell ref="L14:M14"/>
    <mergeCell ref="FN12:FN15"/>
    <mergeCell ref="FQ12:FR13"/>
    <mergeCell ref="EZ12:EZ15"/>
    <mergeCell ref="FA12:FA15"/>
    <mergeCell ref="BB11:CB12"/>
    <mergeCell ref="CD11:CG12"/>
    <mergeCell ref="CN12:CO14"/>
    <mergeCell ref="CP12:CQ14"/>
    <mergeCell ref="CR12:CR15"/>
    <mergeCell ref="CS12:CS15"/>
    <mergeCell ref="BC14:BC15"/>
    <mergeCell ref="BD14:BD15"/>
    <mergeCell ref="BE14:BF15"/>
    <mergeCell ref="BG14:BG15"/>
    <mergeCell ref="BH14:BI15"/>
    <mergeCell ref="BJ14:BJ15"/>
    <mergeCell ref="BK14:BL15"/>
    <mergeCell ref="BM14:BM15"/>
    <mergeCell ref="BN14:BN15"/>
    <mergeCell ref="BO14:BO15"/>
    <mergeCell ref="N14:P14"/>
    <mergeCell ref="Q14:S14"/>
    <mergeCell ref="T14:X14"/>
    <mergeCell ref="Y14:Z14"/>
    <mergeCell ref="AZ14:AZ15"/>
    <mergeCell ref="BB14:BB15"/>
    <mergeCell ref="BZ14:BZ15"/>
    <mergeCell ref="CA14:CA15"/>
    <mergeCell ref="CB14:CD14"/>
    <mergeCell ref="CH14:CJ14"/>
    <mergeCell ref="CK14:CK15"/>
    <mergeCell ref="CL14:CM14"/>
    <mergeCell ref="BP14:BR14"/>
    <mergeCell ref="BS14:BS15"/>
    <mergeCell ref="BT14:BU15"/>
    <mergeCell ref="BV14:BV15"/>
    <mergeCell ref="BW14:BX15"/>
    <mergeCell ref="BY14:BY15"/>
    <mergeCell ref="DA14:DA15"/>
    <mergeCell ref="DB14:DB15"/>
    <mergeCell ref="DC14:DC15"/>
    <mergeCell ref="DD14:DD15"/>
    <mergeCell ref="DE14:DE15"/>
    <mergeCell ref="DF14:DF15"/>
    <mergeCell ref="CU14:CU15"/>
    <mergeCell ref="CV14:CV15"/>
    <mergeCell ref="CW14:CW15"/>
    <mergeCell ref="CX14:CX15"/>
    <mergeCell ref="CY14:CY15"/>
    <mergeCell ref="CZ14:CZ15"/>
    <mergeCell ref="DM14:DM15"/>
    <mergeCell ref="DN14:DN15"/>
    <mergeCell ref="DO14:DO15"/>
    <mergeCell ref="DP14:DP15"/>
    <mergeCell ref="DQ14:DQ15"/>
    <mergeCell ref="DR14:DR15"/>
    <mergeCell ref="DG14:DG15"/>
    <mergeCell ref="DH14:DH15"/>
    <mergeCell ref="DI14:DI15"/>
    <mergeCell ref="DJ14:DJ15"/>
    <mergeCell ref="DK14:DK15"/>
    <mergeCell ref="DL14:DL15"/>
    <mergeCell ref="DZ14:EA14"/>
    <mergeCell ref="EB14:EB15"/>
    <mergeCell ref="EC14:EC15"/>
    <mergeCell ref="ED14:ED15"/>
    <mergeCell ref="EE14:EE15"/>
    <mergeCell ref="EF14:EG14"/>
    <mergeCell ref="DS14:DS15"/>
    <mergeCell ref="DT14:DU14"/>
    <mergeCell ref="DV14:DV15"/>
    <mergeCell ref="DW14:DW15"/>
    <mergeCell ref="DX14:DX15"/>
    <mergeCell ref="DY14:DY15"/>
    <mergeCell ref="ES14:ES15"/>
    <mergeCell ref="ET14:ET15"/>
    <mergeCell ref="EU14:EU15"/>
    <mergeCell ref="FO14:FO15"/>
    <mergeCell ref="FP14:FP15"/>
    <mergeCell ref="FQ14:FQ15"/>
    <mergeCell ref="EH14:EI14"/>
    <mergeCell ref="EJ14:EK14"/>
    <mergeCell ref="EL14:EL15"/>
    <mergeCell ref="EM14:EN14"/>
    <mergeCell ref="EO14:EP14"/>
    <mergeCell ref="EQ14:ER14"/>
    <mergeCell ref="GI14:GJ14"/>
    <mergeCell ref="GK14:GK15"/>
    <mergeCell ref="GL14:GL15"/>
    <mergeCell ref="FR14:FR15"/>
    <mergeCell ref="FS14:FS15"/>
    <mergeCell ref="FT14:FT15"/>
    <mergeCell ref="FU14:FV14"/>
    <mergeCell ref="GA14:GB14"/>
    <mergeCell ref="GC14:GD14"/>
    <mergeCell ref="F15:G15"/>
    <mergeCell ref="I15:J15"/>
    <mergeCell ref="N15:O15"/>
    <mergeCell ref="Q15:R15"/>
    <mergeCell ref="T15:U15"/>
    <mergeCell ref="V15:W15"/>
    <mergeCell ref="HY14:HY15"/>
    <mergeCell ref="HZ14:HZ15"/>
    <mergeCell ref="IA14:IA15"/>
    <mergeCell ref="HS14:HS15"/>
    <mergeCell ref="HT14:HT15"/>
    <mergeCell ref="HU14:HU15"/>
    <mergeCell ref="HV14:HV15"/>
    <mergeCell ref="HW14:HW15"/>
    <mergeCell ref="HX14:HX15"/>
    <mergeCell ref="HM14:HM15"/>
    <mergeCell ref="HN14:HN15"/>
    <mergeCell ref="HO14:HO15"/>
    <mergeCell ref="HP14:HP15"/>
    <mergeCell ref="HQ14:HQ15"/>
    <mergeCell ref="HR14:HR15"/>
    <mergeCell ref="HG14:HG15"/>
    <mergeCell ref="HH14:HH15"/>
    <mergeCell ref="HI14:HI15"/>
    <mergeCell ref="CP57:CQ57"/>
    <mergeCell ref="EL71:EO71"/>
    <mergeCell ref="EL72:EL74"/>
    <mergeCell ref="EM72:EM74"/>
    <mergeCell ref="EN72:EN74"/>
    <mergeCell ref="EO72:EO74"/>
    <mergeCell ref="EJ73:EJ74"/>
    <mergeCell ref="IE14:IE15"/>
    <mergeCell ref="IF14:IF15"/>
    <mergeCell ref="IB14:IB15"/>
    <mergeCell ref="IC14:IC15"/>
    <mergeCell ref="ID14:ID15"/>
    <mergeCell ref="HJ14:HJ15"/>
    <mergeCell ref="HK14:HK15"/>
    <mergeCell ref="HL14:HL15"/>
    <mergeCell ref="GM14:GM15"/>
    <mergeCell ref="HA14:HA15"/>
    <mergeCell ref="HB14:HB15"/>
    <mergeCell ref="HC14:HC15"/>
    <mergeCell ref="HD14:HE15"/>
    <mergeCell ref="HF14:HF15"/>
    <mergeCell ref="GE14:GE15"/>
    <mergeCell ref="GF14:GF15"/>
    <mergeCell ref="GG14:GH14"/>
  </mergeCells>
  <conditionalFormatting sqref="EF57">
    <cfRule type="cellIs" dxfId="323" priority="53" stopIfTrue="1" operator="notEqual">
      <formula>$EG57</formula>
    </cfRule>
  </conditionalFormatting>
  <conditionalFormatting sqref="EM57">
    <cfRule type="cellIs" dxfId="322" priority="54" stopIfTrue="1" operator="notEqual">
      <formula>$EN57</formula>
    </cfRule>
  </conditionalFormatting>
  <conditionalFormatting sqref="P2:S4">
    <cfRule type="cellIs" dxfId="321" priority="56" stopIfTrue="1" operator="equal">
      <formula>""</formula>
    </cfRule>
  </conditionalFormatting>
  <conditionalFormatting sqref="EF16:EF45">
    <cfRule type="cellIs" dxfId="320" priority="52" stopIfTrue="1" operator="notEqual">
      <formula>$EG16</formula>
    </cfRule>
  </conditionalFormatting>
  <conditionalFormatting sqref="CC7">
    <cfRule type="expression" dxfId="319" priority="51" stopIfTrue="1">
      <formula>ISBLANK($CC$7)</formula>
    </cfRule>
  </conditionalFormatting>
  <conditionalFormatting sqref="CC6">
    <cfRule type="expression" dxfId="318" priority="50" stopIfTrue="1">
      <formula>ISBLANK($CC$6)</formula>
    </cfRule>
  </conditionalFormatting>
  <conditionalFormatting sqref="M7">
    <cfRule type="expression" dxfId="317" priority="48" stopIfTrue="1">
      <formula>OR(ISBLANK($M$7),$M$7="")</formula>
    </cfRule>
    <cfRule type="expression" dxfId="316" priority="49" stopIfTrue="1">
      <formula>NOT(OR(COUNTIF(masterFinishList, $M$7) &gt; 0, COUNTIF($M$7, "Other:*") &gt; 0))</formula>
    </cfRule>
  </conditionalFormatting>
  <conditionalFormatting sqref="BD16:BD45">
    <cfRule type="expression" dxfId="315" priority="47">
      <formula>AND(NOT($AY16),NOT($AP16))</formula>
    </cfRule>
  </conditionalFormatting>
  <conditionalFormatting sqref="C16:C45">
    <cfRule type="expression" dxfId="314" priority="45">
      <formula>AND(NOT($AY16),NOT($AP16))</formula>
    </cfRule>
  </conditionalFormatting>
  <conditionalFormatting sqref="X16:X45">
    <cfRule type="expression" dxfId="313" priority="28">
      <formula>$X16=0</formula>
    </cfRule>
  </conditionalFormatting>
  <conditionalFormatting sqref="CG16:CG45">
    <cfRule type="expression" dxfId="312" priority="55">
      <formula>OR(CH16&lt;&gt;"",CI16&lt;&gt;"",CJ16&lt;&gt;"",CK16&lt;&gt;"",CL16&lt;&gt;"",CM16&lt;&gt;"",CP16&lt;&gt;"",CQ16&lt;&gt;"")</formula>
    </cfRule>
  </conditionalFormatting>
  <conditionalFormatting sqref="BE16:BF45">
    <cfRule type="expression" dxfId="311" priority="57">
      <formula>AND(NOT($AY16),AND($AZ16,AND($AK16&lt;&gt;"HDR",$AK16&lt;&gt;"JS",$AJ16&gt;=8)))</formula>
    </cfRule>
  </conditionalFormatting>
  <conditionalFormatting sqref="D16:E45">
    <cfRule type="expression" dxfId="310" priority="46">
      <formula>AND(NOT($AY16),AND($AZ16,AND($AK16&lt;&gt;"HDR",$AK16&lt;&gt;"JS",$AJ16&gt;=8)))</formula>
    </cfRule>
    <cfRule type="expression" dxfId="309" priority="80" stopIfTrue="1">
      <formula xml:space="preserve"> AND($GM16 &gt;= 0.125, $GL16 &gt; 0)</formula>
    </cfRule>
  </conditionalFormatting>
  <conditionalFormatting sqref="AA12">
    <cfRule type="expression" dxfId="308" priority="44">
      <formula>OR(ISBLANK(AA12),AA12="")</formula>
    </cfRule>
  </conditionalFormatting>
  <conditionalFormatting sqref="A16:S45 X16:AA45 BB16:CD45">
    <cfRule type="expression" dxfId="307" priority="58">
      <formula>$AC16</formula>
    </cfRule>
  </conditionalFormatting>
  <conditionalFormatting sqref="BG16:BG45">
    <cfRule type="expression" dxfId="306" priority="29">
      <formula>AND(NOT($AY16),ISERROR(CU16))</formula>
    </cfRule>
    <cfRule type="expression" dxfId="305" priority="42">
      <formula>AND(NOT($AY16),OR(CP16&lt;&gt;"", CU16=""))</formula>
    </cfRule>
  </conditionalFormatting>
  <conditionalFormatting sqref="BH16:BH45">
    <cfRule type="expression" dxfId="304" priority="36">
      <formula>AND(NOT($AY16),OR($CU16="M",$CU16="C",AND($CU16="B",$DC16&gt;0)))</formula>
    </cfRule>
    <cfRule type="expression" dxfId="303" priority="37">
      <formula>AND(NOT($AY16),AND(BH16="",BI16="",OR($CU16="B",$CU16="G")))</formula>
    </cfRule>
    <cfRule type="expression" dxfId="302" priority="38">
      <formula>AND(NOT($AY16),(BH16/2)/COS(RADIANS(BM16))+CV16-DW16&lt;VLOOKUP(AU16,$DF$2:$DJ$9,5,FALSE))</formula>
    </cfRule>
  </conditionalFormatting>
  <conditionalFormatting sqref="BI16:BI45">
    <cfRule type="expression" dxfId="301" priority="39">
      <formula>AND(NOT($AY16),OR($CU16="M",$CU16="C",AND($CU16="B",$DC16&gt;0)))</formula>
    </cfRule>
    <cfRule type="expression" dxfId="300" priority="40">
      <formula>AND(NOT($AY16),AND(BH16="",BI16="",OR($CU16="B",$CU16="G")))</formula>
    </cfRule>
    <cfRule type="expression" dxfId="299" priority="41">
      <formula>AND(NOT($AY16),(BI16/2)/COS(RADIANS(BM16))+CV16-DW16&lt;VLOOKUP(AU16,$DF$2:$DJ$9,5,FALSE))</formula>
    </cfRule>
  </conditionalFormatting>
  <conditionalFormatting sqref="BK16:BK45">
    <cfRule type="expression" dxfId="298" priority="30">
      <formula>AND(NOT($AY16),OR($CU16="M",$CU16="C",AND($CU16="B",$DA16&lt;&gt;"")))</formula>
    </cfRule>
    <cfRule type="expression" dxfId="297" priority="31">
      <formula>AND(NOT($AY16),AND(BJ16="X",BK16="",BL16=""))</formula>
    </cfRule>
    <cfRule type="expression" dxfId="296" priority="32">
      <formula>AND(NOT($AY16),EZ16="ERR")</formula>
    </cfRule>
  </conditionalFormatting>
  <conditionalFormatting sqref="BL16:BL45">
    <cfRule type="expression" dxfId="295" priority="33">
      <formula>AND(NOT($AY16),OR($CU16="M",$CU16="C",AND($CU16="B",$DA16&lt;&gt;"")))</formula>
    </cfRule>
    <cfRule type="expression" dxfId="294" priority="34">
      <formula>AND(NOT($AY16),AND(BJ16="X",BK16="",BL16=""))</formula>
    </cfRule>
    <cfRule type="expression" dxfId="293" priority="35">
      <formula>AND(NOT($AY16),EZ16="ERR")</formula>
    </cfRule>
  </conditionalFormatting>
  <conditionalFormatting sqref="A16:B45 BB16:BC45">
    <cfRule type="expression" dxfId="292" priority="43">
      <formula>AND(NOT($AE$1),$B16=0,$AD$1="M")</formula>
    </cfRule>
  </conditionalFormatting>
  <conditionalFormatting sqref="AA16:AA45">
    <cfRule type="expression" dxfId="291" priority="27">
      <formula>AND(NOT($AY16),LEN(AA16)&gt;31)</formula>
    </cfRule>
  </conditionalFormatting>
  <conditionalFormatting sqref="GA16:GB45">
    <cfRule type="expression" dxfId="290" priority="26" stopIfTrue="1">
      <formula>$GM16&gt;=0.125</formula>
    </cfRule>
  </conditionalFormatting>
  <conditionalFormatting sqref="BO16:BO45">
    <cfRule type="expression" dxfId="289" priority="21">
      <formula>AND(BO16="X",CY16="")</formula>
    </cfRule>
    <cfRule type="expression" dxfId="288" priority="22">
      <formula>AND(BO16="",CY16&lt;&gt;"")</formula>
    </cfRule>
  </conditionalFormatting>
  <conditionalFormatting sqref="CA16:CA45">
    <cfRule type="expression" dxfId="287" priority="23">
      <formula>AND(CA16="X",DI16="")</formula>
    </cfRule>
    <cfRule type="expression" dxfId="286" priority="24">
      <formula>AND(CA16="",DI16&lt;&gt;"")</formula>
    </cfRule>
  </conditionalFormatting>
  <conditionalFormatting sqref="CE16:CG45">
    <cfRule type="expression" dxfId="285" priority="25">
      <formula>$AC16</formula>
    </cfRule>
  </conditionalFormatting>
  <conditionalFormatting sqref="EM16:EM45">
    <cfRule type="cellIs" dxfId="284" priority="20" stopIfTrue="1" operator="notEqual">
      <formula>$EN16</formula>
    </cfRule>
  </conditionalFormatting>
  <conditionalFormatting sqref="U16:U45">
    <cfRule type="expression" dxfId="283" priority="16">
      <formula>AND(NOT($AY16),NOT(AR16),$P16&lt;&gt;3)</formula>
    </cfRule>
  </conditionalFormatting>
  <conditionalFormatting sqref="W16:W45">
    <cfRule type="expression" dxfId="282" priority="18">
      <formula>AND(NOT($AY16),NOT(AT16),$S16&lt;&gt;3)</formula>
    </cfRule>
  </conditionalFormatting>
  <conditionalFormatting sqref="T16:T45">
    <cfRule type="expression" dxfId="281" priority="15">
      <formula>AND(NOT($AY16),NOT(AR16),$P16&lt;&gt;3)</formula>
    </cfRule>
  </conditionalFormatting>
  <conditionalFormatting sqref="V16:V45">
    <cfRule type="expression" dxfId="280" priority="17">
      <formula>AND(NOT($AY16),NOT(AT16),$S16&lt;&gt;3)</formula>
    </cfRule>
  </conditionalFormatting>
  <conditionalFormatting sqref="T16:W45">
    <cfRule type="expression" dxfId="279" priority="19">
      <formula>$AC16</formula>
    </cfRule>
  </conditionalFormatting>
  <conditionalFormatting sqref="C57">
    <cfRule type="expression" dxfId="278" priority="12">
      <formula>AND(NOT($AY57),NOT($AP57))</formula>
    </cfRule>
  </conditionalFormatting>
  <conditionalFormatting sqref="X57">
    <cfRule type="expression" dxfId="277" priority="10">
      <formula>$X57=0</formula>
    </cfRule>
  </conditionalFormatting>
  <conditionalFormatting sqref="D57:E57">
    <cfRule type="expression" dxfId="276" priority="13">
      <formula>AND(NOT($AY57),AND($AZ57,AND($AK57&lt;&gt;"HDR",$AK57&lt;&gt;"JS",$AJ57&gt;=8)))</formula>
    </cfRule>
  </conditionalFormatting>
  <conditionalFormatting sqref="A57:S57 X57:AA57">
    <cfRule type="expression" dxfId="275" priority="14">
      <formula>$AC57</formula>
    </cfRule>
  </conditionalFormatting>
  <conditionalFormatting sqref="A57:B57">
    <cfRule type="expression" dxfId="274" priority="11">
      <formula>AND(NOT($AE$1),$B57=0,$AD$1="M")</formula>
    </cfRule>
  </conditionalFormatting>
  <conditionalFormatting sqref="AA57">
    <cfRule type="expression" dxfId="273" priority="9">
      <formula>AND(NOT($AY57),LEN(AA57)&gt;31)</formula>
    </cfRule>
  </conditionalFormatting>
  <conditionalFormatting sqref="U57">
    <cfRule type="expression" dxfId="272" priority="5">
      <formula>AND(NOT($AY57),NOT(AR57),$P57&lt;&gt;3)</formula>
    </cfRule>
  </conditionalFormatting>
  <conditionalFormatting sqref="W57">
    <cfRule type="expression" dxfId="271" priority="7">
      <formula>AND(NOT($AY57),NOT(AT57),$S57&lt;&gt;3)</formula>
    </cfRule>
  </conditionalFormatting>
  <conditionalFormatting sqref="T57">
    <cfRule type="expression" dxfId="270" priority="4">
      <formula>AND(NOT($AY57),NOT(AR57),$P57&lt;&gt;3)</formula>
    </cfRule>
  </conditionalFormatting>
  <conditionalFormatting sqref="V57">
    <cfRule type="expression" dxfId="269" priority="6">
      <formula>AND(NOT($AY57),NOT(AT57),$S57&lt;&gt;3)</formula>
    </cfRule>
  </conditionalFormatting>
  <conditionalFormatting sqref="T57:W57">
    <cfRule type="expression" dxfId="268" priority="8">
      <formula>$AC57</formula>
    </cfRule>
  </conditionalFormatting>
  <conditionalFormatting sqref="BQ16:BQ45">
    <cfRule type="expression" dxfId="267" priority="3">
      <formula>CP16&lt;&gt;""</formula>
    </cfRule>
  </conditionalFormatting>
  <conditionalFormatting sqref="CC16:CC45">
    <cfRule type="expression" dxfId="266" priority="2">
      <formula>CQ16&lt;&gt;""</formula>
    </cfRule>
  </conditionalFormatting>
  <conditionalFormatting sqref="BS16:BS45">
    <cfRule type="expression" dxfId="265" priority="59">
      <formula>AND(NOT($AY16),ISERROR(DE16))</formula>
    </cfRule>
    <cfRule type="expression" dxfId="264" priority="60">
      <formula>AND(NOT($AY16),OR(DE16="", CQ16&lt;&gt;""))</formula>
    </cfRule>
  </conditionalFormatting>
  <conditionalFormatting sqref="BW16:BW45">
    <cfRule type="expression" dxfId="263" priority="61">
      <formula>AND(NOT($AY16),OR($DE16="M",$DE16="C",AND($DE16="B",$DK16&lt;&gt;"")))</formula>
    </cfRule>
    <cfRule type="expression" dxfId="262" priority="62">
      <formula>AND(NOT($AY16),AND(BV16="X",BW16="",BX16=""))</formula>
    </cfRule>
    <cfRule type="expression" dxfId="261" priority="63">
      <formula>AND(NOT($AY16),FC16="ERR")</formula>
    </cfRule>
  </conditionalFormatting>
  <conditionalFormatting sqref="BX16:BX45">
    <cfRule type="expression" dxfId="260" priority="64">
      <formula>AND(NOT($AY16),OR($DE16="M",$DE16="C",AND($DE16="B",$DK16&lt;&gt;"")))</formula>
    </cfRule>
    <cfRule type="expression" dxfId="259" priority="65">
      <formula>AND(NOT($AY16),AND(BV16="X",BW16="",BX16=""))</formula>
    </cfRule>
    <cfRule type="expression" dxfId="258" priority="66">
      <formula>AND(NOT($AY16),FC16="ERR")</formula>
    </cfRule>
  </conditionalFormatting>
  <conditionalFormatting sqref="BT16:BT45">
    <cfRule type="expression" dxfId="257" priority="67">
      <formula>AND(NOT($AY16),OR($DE16="M",$DE16="C",AND($DE16="B",$DM16&gt;0)))</formula>
    </cfRule>
    <cfRule type="expression" dxfId="256" priority="68">
      <formula>AND(NOT($AY16),AND(BT16="",BU16="",OR($DE16="B",$DE16="G")))</formula>
    </cfRule>
    <cfRule type="expression" dxfId="255" priority="69">
      <formula>AND(NOT($AY16),(BT16/2)/COS(RADIANS(BY16))+DF16-EC16&lt;VLOOKUP(AU16,$DF$2:$DJ$9,5,FALSE))</formula>
    </cfRule>
  </conditionalFormatting>
  <conditionalFormatting sqref="BU16:BU45">
    <cfRule type="expression" dxfId="254" priority="70">
      <formula>AND(NOT($AY16),OR($DE16="M",$DE16="C",AND($DE16="B",$DM16&gt;0)))</formula>
    </cfRule>
    <cfRule type="expression" dxfId="253" priority="71">
      <formula>AND(NOT($AY16),AND(BT16="",BU16="",OR($DE16="B",$DE16="G")))</formula>
    </cfRule>
    <cfRule type="expression" dxfId="252" priority="72">
      <formula>AND(NOT($AY16),(BU16/2)/COS(RADIANS(BY16))+DF16-EC16&lt;VLOOKUP(AU16,$DF$2:$DJ$9,5,FALSE))</formula>
    </cfRule>
  </conditionalFormatting>
  <conditionalFormatting sqref="BZ16:BZ45 BN16:BN45">
    <cfRule type="expression" dxfId="251" priority="73">
      <formula>AND(NOT($AY16),AND(ISBLANK(BN16),AND(NOT(ISBLANK(BM16)),$CE16&lt;&gt;0)))</formula>
    </cfRule>
  </conditionalFormatting>
  <conditionalFormatting sqref="BJ16:BJ45">
    <cfRule type="expression" dxfId="250" priority="74">
      <formula>AND(NOT($AY16),OR($CU16="C",AND($CU16="M",$DA16&gt;0)))</formula>
    </cfRule>
    <cfRule type="expression" dxfId="249" priority="75">
      <formula>AND(NOT($AY16),OR(NOT(IF(AND(OR(MID($BB16,1,1)="T",($BE16+$BF16/12)/IF(ABS($CE16)&gt;$DQ$1,COS($DO16),1)&gt;=40),OR($CU16="B",$CU16="G")),"X","")="X"),$EZ16="ERR"))</formula>
    </cfRule>
    <cfRule type="expression" dxfId="248" priority="76">
      <formula>AND(NOT($AY16),$BJ16&lt;&gt;"X",$BJ16&lt;&gt;IF(AND(OR(MID(BB16,1,1)="T",($BE16+$BF16/12)/IF(ABS($CE16)&gt;$DQ$1,COS($DO16),1)&gt;=40),OR($CU16="B",$CU16="G")),"X",""))</formula>
    </cfRule>
  </conditionalFormatting>
  <conditionalFormatting sqref="BV16:BV45">
    <cfRule type="expression" dxfId="247" priority="77">
      <formula>AND(NOT($AY16),OR($DE16="C",AND($DE16="M",$DK16&gt;0)))</formula>
    </cfRule>
    <cfRule type="expression" dxfId="246" priority="78">
      <formula>AND(NOT($AY16),OR(NOT(IF(AND(OR(MID($BB16,1,1)="T",($BE16+$BF16/12)/IF(ABS($CE16)&gt;$DQ$1,COS($DO16),1)&gt;=40),OR($DE16="B",$DE16="G")),"X","")="X"),$FC16="ERR"))</formula>
    </cfRule>
    <cfRule type="expression" dxfId="245" priority="79">
      <formula>AND(NOT($AY16),$BV16&lt;&gt;"X",$BV16&lt;&gt;IF(AND(OR(MID(BB16,1,1)="T",($BE16+$BF16/12)/IF(ABS($CE16)&gt;$DQ$1,COS($DO16),1)&gt;=40),OR($DE16="B",$DE16="G")),"X",""))</formula>
    </cfRule>
  </conditionalFormatting>
  <conditionalFormatting sqref="GA57:GB57">
    <cfRule type="expression" dxfId="244" priority="1" stopIfTrue="1">
      <formula>$GM57&gt;=0.125</formula>
    </cfRule>
  </conditionalFormatting>
  <dataValidations count="14">
    <dataValidation type="whole" operator="greaterThan" allowBlank="1" showInputMessage="1" showErrorMessage="1" errorTitle="Quantity Error" error="Value must be an integer greater than -1000." sqref="B16:B45 BC16:BC45" xr:uid="{7C6877FA-A94B-4A8E-A0BB-4CA47B7A277A}">
      <formula1>-1001</formula1>
    </dataValidation>
    <dataValidation type="decimal" operator="greaterThan" allowBlank="1" showInputMessage="1" showErrorMessage="1" errorTitle="Input Error" error="Positive Numeric Values Only!" sqref="BR16:BR45 CD16:CD45" xr:uid="{80D0EC2A-6261-4A00-BAC5-5AE11B2BF88D}">
      <formula1>0</formula1>
    </dataValidation>
    <dataValidation type="decimal" allowBlank="1" showInputMessage="1" showErrorMessage="1" errorTitle="Input Error" error="Numbers from 0&quot; to 11 7/8&quot; only!" sqref="GB16:GB45 GB57" xr:uid="{47EF62B9-5B09-4122-9ED4-B29A39D5C8B3}">
      <formula1>0</formula1>
      <formula2>11.875</formula2>
    </dataValidation>
    <dataValidation type="whole" operator="greaterThanOrEqual" allowBlank="1" showInputMessage="1" showErrorMessage="1" errorTitle="Input Error" error="Positive Integers Only!" sqref="GA16:GA45 GA57" xr:uid="{7150A036-FF79-4443-BDC6-AF08F9CC2A91}">
      <formula1>0</formula1>
    </dataValidation>
    <dataValidation type="decimal" allowBlank="1" showInputMessage="1" showErrorMessage="1" errorTitle="Input Error" error="Numeric Values Only!" sqref="GC16:GD45 GC57:GD57 BP16:BP45 CB16:CB45" xr:uid="{AC6B72CB-FA09-4E61-9F9A-8B3958459F35}">
      <formula1>-1200</formula1>
      <formula2>1200</formula2>
    </dataValidation>
    <dataValidation type="decimal" operator="lessThanOrEqual" allowBlank="1" showInputMessage="1" errorTitle="BL Over-Ride Error!" error="Base Length can't be past Joist Overall Length!  See section for Maximum Over-Ride Dimension." sqref="BQ16:BQ45" xr:uid="{AB91BA6E-3324-4710-9B18-E8028B58E555}">
      <formula1>$CV16</formula1>
    </dataValidation>
    <dataValidation type="decimal" operator="lessThanOrEqual" allowBlank="1" showInputMessage="1" errorTitle="BL Over-Ride Error!" error="Base Length can't be past Joist Overall Length!  See section for Maximum Over-Ride Dimension." sqref="CC16:CC45" xr:uid="{DAA6A508-2216-45A0-AADE-5DD5C4D68F1D}">
      <formula1>$DF16</formula1>
    </dataValidation>
    <dataValidation type="whole" operator="greaterThanOrEqual" allowBlank="1" showInputMessage="1" showErrorMessage="1" sqref="B57" xr:uid="{8F8423AD-7905-49FD-A6DF-E3B620FEFD80}">
      <formula1>0</formula1>
    </dataValidation>
    <dataValidation type="decimal" operator="greaterThan" allowBlank="1" showInputMessage="1" showErrorMessage="1" errorTitle="Dimensional Error" error="Only positive numeric values can be entered here." sqref="L16:M45 L57:M57" xr:uid="{55D5CD46-DBF8-46F8-AD81-53F3B6635A5A}">
      <formula1>0</formula1>
    </dataValidation>
    <dataValidation type="decimal" operator="notEqual" allowBlank="1" showInputMessage="1" showErrorMessage="1" errorTitle="input Error" error="Enter + or - Numbers Only._x000a_Do NOT use &quot;&lt;&quot; or &quot;&gt;&quot;." sqref="Y16:Z45 Y57:Z57" xr:uid="{A5E68821-6EB2-4130-8A7E-2613EE36C7C4}">
      <formula1>0</formula1>
    </dataValidation>
    <dataValidation type="decimal" operator="greaterThanOrEqual" allowBlank="1" showInputMessage="1" showErrorMessage="1" errorTitle="Dimensional Error" error="&quot;Inches&quot; must be a number." sqref="BH16:BI45 BK16:BL45 BT16:BU45 BW16:BX45" xr:uid="{89CCC684-F6D6-4B9A-9C5A-CB943FE37AA7}">
      <formula1>0</formula1>
    </dataValidation>
    <dataValidation type="decimal" allowBlank="1" showInputMessage="1" showErrorMessage="1" errorTitle="Dimensional Error" error="&quot;Inches&quot; must be a number from 0 to 11.875." sqref="BF16:BF45 G16:G45 J16:J45 W16:W45 U16:U45 E16:E45 G57 J57 W57 U57 E57" xr:uid="{3E19420B-90B6-402C-8BC1-A567D8C9FCB4}">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5FC6A332-2151-4D82-95E2-00A0D8270DAB}">
      <formula1>0</formula1>
    </dataValidation>
    <dataValidation type="list" allowBlank="1" showInputMessage="1" sqref="CC6:CF6 M7:S7" xr:uid="{35BEFB33-A548-4369-9184-B8E7FB279433}">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0E93-5717-4077-875D-8BDB174D6B2F}">
  <sheetPr codeName="Sheet34">
    <tabColor indexed="43"/>
  </sheetPr>
  <dimension ref="A1:IG104"/>
  <sheetViews>
    <sheetView showGridLines="0" zoomScaleNormal="100" zoomScaleSheetLayoutView="75" workbookViewId="0">
      <selection activeCell="GA16" sqref="G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48" t="str">
        <f>IF(AD1="","",VLOOKUP(AD1,'Job Info.'!X:AA,4,FALSE))</f>
        <v>Master</v>
      </c>
      <c r="Q1" s="1848"/>
      <c r="R1" s="1848"/>
      <c r="S1" s="1848"/>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53" t="str">
        <f>IF(AD1="","",IF(VLOOKUP(AD1,'Job Info.'!X:Z,2,FALSE),"Released for Fabrication",""))</f>
        <v/>
      </c>
      <c r="Q2" s="1854"/>
      <c r="R2" s="1854"/>
      <c r="S2" s="1855"/>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56"/>
      <c r="Q3" s="1857"/>
      <c r="R3" s="1857"/>
      <c r="S3" s="1858"/>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59" t="str">
        <f>IF(AD1="","",IF(VLOOKUP(AD1,'Job Info.'!X:Z,2,FALSE),VLOOKUP(AD1,'Job Info.'!X:Z,3,FALSE),""))</f>
        <v/>
      </c>
      <c r="Q4" s="1860"/>
      <c r="R4" s="1860"/>
      <c r="S4" s="1861"/>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00" t="str">
        <f ca="1">'Job Info.'!D11</f>
        <v>8200 Woolery Way | Fallon, NV 89406 | www.newmill.com</v>
      </c>
      <c r="B5" s="2423"/>
      <c r="C5" s="2423"/>
      <c r="D5" s="2423"/>
      <c r="E5" s="2423"/>
      <c r="F5" s="2423"/>
      <c r="G5" s="2423"/>
      <c r="H5" s="2423"/>
      <c r="I5" s="2423"/>
      <c r="J5" s="2423"/>
      <c r="K5" s="2423"/>
      <c r="L5" s="2423"/>
      <c r="M5" s="2423"/>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082" t="str">
        <f>IF(NOT(ISERROR(FIND("galv",LOWER($M$7)))),"**USE STEEL TAGS**  **NO A490 BOLTS**","")</f>
        <v/>
      </c>
      <c r="N6" s="1947"/>
      <c r="O6" s="1947"/>
      <c r="P6" s="1947"/>
      <c r="Q6" s="1947"/>
      <c r="R6" s="1947"/>
      <c r="S6" s="1947"/>
      <c r="T6" s="1947"/>
      <c r="U6" s="1092"/>
      <c r="V6" s="374"/>
      <c r="W6" s="374"/>
      <c r="X6" s="460" t="s">
        <v>20</v>
      </c>
      <c r="Y6" s="1832">
        <f>IF(ISBLANK('Job Info.'!D8),"",'Job Info.'!D8)</f>
        <v>45048</v>
      </c>
      <c r="Z6" s="1832"/>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22"/>
      <c r="CD6" s="1940"/>
      <c r="CE6" s="1940"/>
      <c r="CF6" s="1940"/>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437" t="s">
        <v>1389</v>
      </c>
      <c r="N7" s="1940"/>
      <c r="O7" s="1940"/>
      <c r="P7" s="1940"/>
      <c r="Q7" s="1940"/>
      <c r="R7" s="1940"/>
      <c r="S7" s="1940"/>
      <c r="T7"/>
      <c r="U7" s="1092"/>
      <c r="V7" s="374"/>
      <c r="W7" s="374"/>
      <c r="X7" s="460" t="s">
        <v>21</v>
      </c>
      <c r="Y7" s="1175" t="str">
        <f>CONCATENATE(AC7, " of ",IF(ISBLANK('Job Info.'!D9),"",'Job Info.'!D9))</f>
        <v>17 of 19</v>
      </c>
      <c r="Z7" s="658"/>
      <c r="AA7" s="374"/>
      <c r="AC7" s="1083">
        <v>17</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24" t="str">
        <f>IF(ISBLANK('Job Info.'!D3),"",'Job Info.'!D3)</f>
        <v>MINDEN UPS BLDG 1</v>
      </c>
      <c r="D9" s="1824"/>
      <c r="E9" s="1824"/>
      <c r="F9" s="1824"/>
      <c r="G9" s="1824"/>
      <c r="H9" s="1824"/>
      <c r="I9" s="1824"/>
      <c r="J9" s="1824"/>
      <c r="K9" s="1824"/>
      <c r="L9" s="1824"/>
      <c r="M9" s="1824"/>
      <c r="N9" s="1824"/>
      <c r="O9" s="1825"/>
      <c r="P9" s="397"/>
      <c r="Q9" s="398"/>
      <c r="R9" s="458" t="s">
        <v>2</v>
      </c>
      <c r="S9" s="1825" t="str">
        <f>IF(ISBLANK('Job Info.'!D5),"",'Job Info.'!D5)</f>
        <v>NN22-0071</v>
      </c>
      <c r="T9" s="2101"/>
      <c r="U9" s="2101"/>
      <c r="V9" s="2101"/>
      <c r="W9" s="2101"/>
      <c r="X9" s="2101"/>
      <c r="Y9" s="2101"/>
      <c r="Z9" s="2101"/>
      <c r="AA9" s="2101"/>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24" t="str">
        <f>IF(ISBLANK('Job Info.'!D4),"",'Job Info.'!D4)</f>
        <v>MINDEN, NV</v>
      </c>
      <c r="D10" s="1824"/>
      <c r="E10" s="1824"/>
      <c r="F10" s="1824"/>
      <c r="G10" s="1824"/>
      <c r="H10" s="1824"/>
      <c r="I10" s="1824"/>
      <c r="J10" s="1824"/>
      <c r="K10" s="1824"/>
      <c r="L10" s="1824"/>
      <c r="M10" s="1824"/>
      <c r="N10" s="1824"/>
      <c r="O10" s="1825"/>
      <c r="P10" s="402"/>
      <c r="Q10" s="403"/>
      <c r="R10" s="459" t="s">
        <v>22</v>
      </c>
      <c r="S10" s="1824" t="str">
        <f>IF(ISBLANK('Job Info.'!D6),"",'Job Info.'!D6)</f>
        <v>JMM</v>
      </c>
      <c r="T10" s="1824"/>
      <c r="U10" s="1824"/>
      <c r="V10" s="1824"/>
      <c r="W10" s="1825"/>
      <c r="X10" s="403"/>
      <c r="Y10" s="459" t="s">
        <v>23</v>
      </c>
      <c r="Z10" s="1825" t="str">
        <f>IF(ISBLANK('Job Info.'!D7),"",'Job Info.'!D7)</f>
        <v>NR</v>
      </c>
      <c r="AA10" s="2101"/>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375" t="s">
        <v>592</v>
      </c>
      <c r="BC11" s="2376"/>
      <c r="BD11" s="2376"/>
      <c r="BE11" s="2376"/>
      <c r="BF11" s="2376"/>
      <c r="BG11" s="2376"/>
      <c r="BH11" s="2376"/>
      <c r="BI11" s="2376"/>
      <c r="BJ11" s="2376"/>
      <c r="BK11" s="2376"/>
      <c r="BL11" s="2376"/>
      <c r="BM11" s="2376"/>
      <c r="BN11" s="2376"/>
      <c r="BO11" s="2376"/>
      <c r="BP11" s="2376"/>
      <c r="BQ11" s="2376"/>
      <c r="BR11" s="2376"/>
      <c r="BS11" s="2376"/>
      <c r="BT11" s="2376"/>
      <c r="BU11" s="2376"/>
      <c r="BV11" s="2376"/>
      <c r="BW11" s="2376"/>
      <c r="BX11" s="2376"/>
      <c r="BY11" s="2376"/>
      <c r="BZ11" s="2376"/>
      <c r="CA11" s="2376"/>
      <c r="CB11" s="2376"/>
      <c r="CC11" s="1557"/>
      <c r="CD11" s="2379"/>
      <c r="CE11" s="2379"/>
      <c r="CF11" s="2379"/>
      <c r="CG11" s="2380"/>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377"/>
      <c r="BC12" s="2378"/>
      <c r="BD12" s="2378"/>
      <c r="BE12" s="2378"/>
      <c r="BF12" s="2378"/>
      <c r="BG12" s="2378"/>
      <c r="BH12" s="2378"/>
      <c r="BI12" s="2378"/>
      <c r="BJ12" s="2378"/>
      <c r="BK12" s="2378"/>
      <c r="BL12" s="2378"/>
      <c r="BM12" s="2378"/>
      <c r="BN12" s="2378"/>
      <c r="BO12" s="2378"/>
      <c r="BP12" s="2378"/>
      <c r="BQ12" s="2378"/>
      <c r="BR12" s="2378"/>
      <c r="BS12" s="2378"/>
      <c r="BT12" s="2378"/>
      <c r="BU12" s="2378"/>
      <c r="BV12" s="2378"/>
      <c r="BW12" s="2378"/>
      <c r="BX12" s="2378"/>
      <c r="BY12" s="2378"/>
      <c r="BZ12" s="2378"/>
      <c r="CA12" s="2378"/>
      <c r="CB12" s="2378"/>
      <c r="CC12" s="1556"/>
      <c r="CD12" s="2381"/>
      <c r="CE12" s="2382"/>
      <c r="CF12" s="2382"/>
      <c r="CG12" s="2383"/>
      <c r="CH12" s="244"/>
      <c r="CI12" s="244"/>
      <c r="CJ12" s="244"/>
      <c r="CK12" s="244"/>
      <c r="CL12" s="244"/>
      <c r="CM12" s="933"/>
      <c r="CN12" s="2448" t="s">
        <v>679</v>
      </c>
      <c r="CO12" s="2449"/>
      <c r="CP12" s="2120" t="s">
        <v>615</v>
      </c>
      <c r="CQ12" s="2443"/>
      <c r="CR12" s="2410" t="s">
        <v>482</v>
      </c>
      <c r="CS12" s="2402"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364" t="s">
        <v>581</v>
      </c>
      <c r="EW12" s="2362" t="s">
        <v>472</v>
      </c>
      <c r="EX12" s="2362" t="s">
        <v>525</v>
      </c>
      <c r="EY12" s="2362" t="s">
        <v>526</v>
      </c>
      <c r="EZ12" s="2362" t="s">
        <v>527</v>
      </c>
      <c r="FA12" s="2362" t="s">
        <v>528</v>
      </c>
      <c r="FB12" s="2362" t="s">
        <v>529</v>
      </c>
      <c r="FC12" s="2362" t="s">
        <v>530</v>
      </c>
      <c r="FD12" s="2362" t="s">
        <v>531</v>
      </c>
      <c r="FE12" s="2362" t="s">
        <v>473</v>
      </c>
      <c r="FF12" s="2362" t="s">
        <v>532</v>
      </c>
      <c r="FG12" s="2362" t="s">
        <v>583</v>
      </c>
      <c r="FH12" s="2362" t="s">
        <v>474</v>
      </c>
      <c r="FI12" s="2362" t="s">
        <v>533</v>
      </c>
      <c r="FJ12" s="2362" t="s">
        <v>475</v>
      </c>
      <c r="FK12" s="2362" t="s">
        <v>534</v>
      </c>
      <c r="FL12" s="2362" t="s">
        <v>584</v>
      </c>
      <c r="FM12" s="2362" t="s">
        <v>476</v>
      </c>
      <c r="FN12" s="2362" t="s">
        <v>477</v>
      </c>
      <c r="FQ12" s="2335" t="s">
        <v>656</v>
      </c>
      <c r="FR12" s="2336"/>
      <c r="GA12" s="374"/>
      <c r="GB12" s="374"/>
      <c r="GC12" s="374"/>
      <c r="GD12" s="374"/>
      <c r="GE12" s="374"/>
      <c r="GF12" s="374"/>
      <c r="GG12" s="374"/>
      <c r="GH12" s="374"/>
      <c r="GI12" s="374"/>
      <c r="GJ12" s="374"/>
      <c r="HA12" s="2470" t="s">
        <v>621</v>
      </c>
      <c r="HB12" s="2471"/>
      <c r="HC12" s="2471"/>
      <c r="HD12" s="2471"/>
      <c r="HE12" s="2471"/>
      <c r="HF12" s="2471"/>
      <c r="HG12" s="2471"/>
      <c r="HH12" s="2471"/>
      <c r="HI12" s="2471"/>
      <c r="HJ12" s="2471"/>
      <c r="HK12" s="2471"/>
      <c r="HL12" s="2471"/>
      <c r="HM12" s="2471"/>
      <c r="HN12" s="2471"/>
      <c r="HO12" s="2471"/>
      <c r="HP12" s="2471"/>
      <c r="HQ12" s="2471"/>
      <c r="HR12" s="2471"/>
      <c r="HS12" s="2471"/>
      <c r="HT12" s="2471"/>
      <c r="HU12" s="2471"/>
      <c r="HV12" s="2472"/>
      <c r="HW12" s="2472"/>
      <c r="HX12" s="2472"/>
      <c r="HY12" s="2473"/>
      <c r="HZ12" s="2473"/>
      <c r="IA12" s="2473"/>
      <c r="IB12" s="2473"/>
      <c r="IC12" s="2473"/>
      <c r="ID12" s="2473"/>
      <c r="IE12" s="2473"/>
      <c r="IF12" s="2474"/>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82" t="s">
        <v>450</v>
      </c>
      <c r="AV13" s="2335" t="s">
        <v>451</v>
      </c>
      <c r="AW13" s="2336"/>
      <c r="AX13" s="465"/>
      <c r="BA13" s="246"/>
      <c r="BB13" s="2493"/>
      <c r="BC13" s="2494"/>
      <c r="BD13" s="2494"/>
      <c r="BE13" s="2494"/>
      <c r="BF13" s="1966"/>
      <c r="BG13" s="2430" t="s">
        <v>469</v>
      </c>
      <c r="BH13" s="2431"/>
      <c r="BI13" s="2431"/>
      <c r="BJ13" s="2431"/>
      <c r="BK13" s="2431"/>
      <c r="BL13" s="2432"/>
      <c r="BM13" s="2433"/>
      <c r="BN13" s="2433"/>
      <c r="BO13" s="2434"/>
      <c r="BP13" s="2434"/>
      <c r="BQ13" s="2434"/>
      <c r="BR13" s="2435"/>
      <c r="BS13" s="2430" t="s">
        <v>470</v>
      </c>
      <c r="BT13" s="2432"/>
      <c r="BU13" s="2432"/>
      <c r="BV13" s="2432"/>
      <c r="BW13" s="2432"/>
      <c r="BX13" s="2432"/>
      <c r="BY13" s="2433"/>
      <c r="BZ13" s="2433"/>
      <c r="CA13" s="2434"/>
      <c r="CB13" s="2434"/>
      <c r="CC13" s="2434"/>
      <c r="CD13" s="2435"/>
      <c r="CE13" s="2484" t="s">
        <v>804</v>
      </c>
      <c r="CF13" s="2463"/>
      <c r="CG13" s="2464"/>
      <c r="CH13" s="244"/>
      <c r="CI13" s="244"/>
      <c r="CJ13" s="244"/>
      <c r="CK13" s="244"/>
      <c r="CL13" s="934"/>
      <c r="CM13" s="935"/>
      <c r="CN13" s="2450"/>
      <c r="CO13" s="2451"/>
      <c r="CP13" s="2444"/>
      <c r="CQ13" s="2445"/>
      <c r="CR13" s="2411"/>
      <c r="CS13" s="2403"/>
      <c r="CU13" s="2413" t="s">
        <v>471</v>
      </c>
      <c r="CV13" s="2414"/>
      <c r="CW13" s="2414"/>
      <c r="CX13" s="2414"/>
      <c r="CY13" s="2414"/>
      <c r="CZ13" s="2414"/>
      <c r="DA13" s="2414"/>
      <c r="DB13" s="2414"/>
      <c r="DC13" s="2414"/>
      <c r="DD13" s="2415"/>
      <c r="DE13" s="2413" t="s">
        <v>470</v>
      </c>
      <c r="DF13" s="2414"/>
      <c r="DG13" s="2414"/>
      <c r="DH13" s="2414"/>
      <c r="DI13" s="2414"/>
      <c r="DJ13" s="2414"/>
      <c r="DK13" s="2414"/>
      <c r="DL13" s="2414"/>
      <c r="DM13" s="2414"/>
      <c r="DN13" s="2415"/>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365"/>
      <c r="EW13" s="2323"/>
      <c r="EX13" s="2363"/>
      <c r="EY13" s="2363"/>
      <c r="EZ13" s="2438"/>
      <c r="FA13" s="2363"/>
      <c r="FB13" s="2363"/>
      <c r="FC13" s="2363"/>
      <c r="FD13" s="2439"/>
      <c r="FE13" s="2439"/>
      <c r="FF13" s="2439"/>
      <c r="FG13" s="2439"/>
      <c r="FH13" s="2439"/>
      <c r="FI13" s="2439"/>
      <c r="FJ13" s="2439"/>
      <c r="FK13" s="2439"/>
      <c r="FL13" s="2439"/>
      <c r="FM13" s="2439"/>
      <c r="FN13" s="2439"/>
      <c r="FQ13" s="2337"/>
      <c r="FR13" s="2338"/>
      <c r="GA13" s="2334" t="s">
        <v>1140</v>
      </c>
      <c r="GB13" s="2334"/>
      <c r="GC13" s="2334"/>
      <c r="GD13" s="2334"/>
      <c r="GE13" s="2334"/>
      <c r="GF13" s="2334"/>
      <c r="GG13" s="1951"/>
      <c r="GH13" s="1951"/>
      <c r="GI13" s="1951"/>
      <c r="GJ13" s="1951"/>
      <c r="HA13" s="2475"/>
      <c r="HB13" s="2476"/>
      <c r="HC13" s="2476"/>
      <c r="HD13" s="2476"/>
      <c r="HE13" s="2476"/>
      <c r="HF13" s="2476"/>
      <c r="HG13" s="2476"/>
      <c r="HH13" s="2476"/>
      <c r="HI13" s="2476"/>
      <c r="HJ13" s="2476"/>
      <c r="HK13" s="2476"/>
      <c r="HL13" s="2476"/>
      <c r="HM13" s="2476"/>
      <c r="HN13" s="2476"/>
      <c r="HO13" s="2476"/>
      <c r="HP13" s="2476"/>
      <c r="HQ13" s="2476"/>
      <c r="HR13" s="2476"/>
      <c r="HS13" s="2476"/>
      <c r="HT13" s="2476"/>
      <c r="HU13" s="2476"/>
      <c r="HV13" s="2477"/>
      <c r="HW13" s="2477"/>
      <c r="HX13" s="2477"/>
      <c r="HY13" s="2478"/>
      <c r="HZ13" s="2478"/>
      <c r="IA13" s="2478"/>
      <c r="IB13" s="2478"/>
      <c r="IC13" s="2478"/>
      <c r="ID13" s="2478"/>
      <c r="IE13" s="2478"/>
      <c r="IF13" s="2479"/>
    </row>
    <row r="14" spans="1:241" ht="12.6" customHeight="1" thickTop="1" thickBot="1" x14ac:dyDescent="0.25">
      <c r="A14" s="2426" t="s">
        <v>40</v>
      </c>
      <c r="B14" s="2400" t="s">
        <v>28</v>
      </c>
      <c r="C14" s="2400" t="s">
        <v>24</v>
      </c>
      <c r="D14" s="2400" t="s">
        <v>25</v>
      </c>
      <c r="E14" s="2480"/>
      <c r="F14" s="2092" t="s">
        <v>9</v>
      </c>
      <c r="G14" s="2093"/>
      <c r="H14" s="2093"/>
      <c r="I14" s="2093" t="s">
        <v>10</v>
      </c>
      <c r="J14" s="2093"/>
      <c r="K14" s="2094"/>
      <c r="L14" s="2092" t="s">
        <v>11</v>
      </c>
      <c r="M14" s="2094"/>
      <c r="N14" s="1985" t="s">
        <v>12</v>
      </c>
      <c r="O14" s="2093"/>
      <c r="P14" s="2093"/>
      <c r="Q14" s="2093" t="s">
        <v>13</v>
      </c>
      <c r="R14" s="2093"/>
      <c r="S14" s="1983"/>
      <c r="T14" s="2092" t="s">
        <v>14</v>
      </c>
      <c r="U14" s="2093"/>
      <c r="V14" s="2093"/>
      <c r="W14" s="2093"/>
      <c r="X14" s="2094"/>
      <c r="Y14" s="2087" t="s">
        <v>111</v>
      </c>
      <c r="Z14" s="2088"/>
      <c r="AA14" s="1059" t="s">
        <v>15</v>
      </c>
      <c r="AB14" s="1411"/>
      <c r="AD14" s="426"/>
      <c r="AE14" s="426"/>
      <c r="AF14" s="426"/>
      <c r="AG14" s="426"/>
      <c r="AH14" s="426"/>
      <c r="AI14" s="426"/>
      <c r="AJ14" s="426"/>
      <c r="AK14" s="426"/>
      <c r="AL14" s="426"/>
      <c r="AM14" s="426"/>
      <c r="AN14" s="426"/>
      <c r="AO14" s="426"/>
      <c r="AP14" s="426"/>
      <c r="AQ14" s="426"/>
      <c r="AR14" s="426"/>
      <c r="AS14" s="426"/>
      <c r="AT14" s="426"/>
      <c r="AU14" s="1913"/>
      <c r="AV14" s="2337"/>
      <c r="AW14" s="2338"/>
      <c r="AX14" s="502"/>
      <c r="AY14" s="426"/>
      <c r="AZ14" s="2353" t="s">
        <v>1059</v>
      </c>
      <c r="BA14" s="246"/>
      <c r="BB14" s="2436" t="s">
        <v>539</v>
      </c>
      <c r="BC14" s="2416" t="s">
        <v>130</v>
      </c>
      <c r="BD14" s="2417" t="s">
        <v>540</v>
      </c>
      <c r="BE14" s="2418" t="s">
        <v>1290</v>
      </c>
      <c r="BF14" s="2419"/>
      <c r="BG14" s="2242" t="s">
        <v>1282</v>
      </c>
      <c r="BH14" s="2417" t="s">
        <v>803</v>
      </c>
      <c r="BI14" s="2245"/>
      <c r="BJ14" s="2384" t="s">
        <v>541</v>
      </c>
      <c r="BK14" s="2417" t="s">
        <v>1072</v>
      </c>
      <c r="BL14" s="2245"/>
      <c r="BM14" s="2416" t="s">
        <v>488</v>
      </c>
      <c r="BN14" s="2504" t="s">
        <v>793</v>
      </c>
      <c r="BO14" s="2491" t="s">
        <v>1275</v>
      </c>
      <c r="BP14" s="1953" t="s">
        <v>1276</v>
      </c>
      <c r="BQ14" s="1954"/>
      <c r="BR14" s="1955"/>
      <c r="BS14" s="2242" t="s">
        <v>1282</v>
      </c>
      <c r="BT14" s="2417" t="s">
        <v>803</v>
      </c>
      <c r="BU14" s="2245"/>
      <c r="BV14" s="2384" t="s">
        <v>541</v>
      </c>
      <c r="BW14" s="2417" t="s">
        <v>1072</v>
      </c>
      <c r="BX14" s="2245"/>
      <c r="BY14" s="2416" t="s">
        <v>488</v>
      </c>
      <c r="BZ14" s="2489" t="s">
        <v>793</v>
      </c>
      <c r="CA14" s="2491" t="s">
        <v>1275</v>
      </c>
      <c r="CB14" s="1953" t="s">
        <v>1276</v>
      </c>
      <c r="CC14" s="1954"/>
      <c r="CD14" s="1955"/>
      <c r="CE14" s="2485"/>
      <c r="CF14" s="2465"/>
      <c r="CG14" s="2464"/>
      <c r="CH14" s="2405" t="s">
        <v>588</v>
      </c>
      <c r="CI14" s="2406"/>
      <c r="CJ14" s="2406"/>
      <c r="CK14" s="2405" t="s">
        <v>589</v>
      </c>
      <c r="CL14" s="2452" t="s">
        <v>786</v>
      </c>
      <c r="CM14" s="2452"/>
      <c r="CN14" s="2450"/>
      <c r="CO14" s="2451"/>
      <c r="CP14" s="2446"/>
      <c r="CQ14" s="2447"/>
      <c r="CR14" s="2411"/>
      <c r="CS14" s="2403"/>
      <c r="CT14" s="426"/>
      <c r="CU14" s="2358" t="s">
        <v>498</v>
      </c>
      <c r="CV14" s="2318" t="s">
        <v>499</v>
      </c>
      <c r="CW14" s="2318" t="s">
        <v>500</v>
      </c>
      <c r="CX14" s="2318" t="s">
        <v>501</v>
      </c>
      <c r="CY14" s="2318" t="s">
        <v>560</v>
      </c>
      <c r="CZ14" s="2318" t="s">
        <v>578</v>
      </c>
      <c r="DA14" s="2318" t="s">
        <v>502</v>
      </c>
      <c r="DB14" s="2318" t="s">
        <v>579</v>
      </c>
      <c r="DC14" s="2318" t="s">
        <v>503</v>
      </c>
      <c r="DD14" s="2318" t="s">
        <v>504</v>
      </c>
      <c r="DE14" s="2358" t="s">
        <v>498</v>
      </c>
      <c r="DF14" s="2318" t="s">
        <v>499</v>
      </c>
      <c r="DG14" s="2318" t="s">
        <v>505</v>
      </c>
      <c r="DH14" s="2318" t="s">
        <v>501</v>
      </c>
      <c r="DI14" s="2318" t="s">
        <v>560</v>
      </c>
      <c r="DJ14" s="2318" t="s">
        <v>578</v>
      </c>
      <c r="DK14" s="2318" t="s">
        <v>502</v>
      </c>
      <c r="DL14" s="2318" t="s">
        <v>579</v>
      </c>
      <c r="DM14" s="2318" t="s">
        <v>503</v>
      </c>
      <c r="DN14" s="2360" t="s">
        <v>504</v>
      </c>
      <c r="DO14" s="2355" t="s">
        <v>491</v>
      </c>
      <c r="DP14" s="2453" t="s">
        <v>506</v>
      </c>
      <c r="DQ14" s="2349" t="s">
        <v>507</v>
      </c>
      <c r="DR14" s="2320" t="s">
        <v>508</v>
      </c>
      <c r="DS14" s="2322" t="s">
        <v>543</v>
      </c>
      <c r="DT14" s="2347" t="s">
        <v>509</v>
      </c>
      <c r="DU14" s="2348"/>
      <c r="DV14" s="2324" t="s">
        <v>1103</v>
      </c>
      <c r="DW14" s="2351" t="s">
        <v>1104</v>
      </c>
      <c r="DX14" s="2353" t="s">
        <v>514</v>
      </c>
      <c r="DY14" s="2322" t="s">
        <v>544</v>
      </c>
      <c r="DZ14" s="2347" t="s">
        <v>511</v>
      </c>
      <c r="EA14" s="2348"/>
      <c r="EB14" s="2351" t="s">
        <v>1105</v>
      </c>
      <c r="EC14" s="2351" t="s">
        <v>1106</v>
      </c>
      <c r="ED14" s="2353" t="s">
        <v>516</v>
      </c>
      <c r="EE14" s="2349" t="s">
        <v>545</v>
      </c>
      <c r="EF14" s="2367" t="s">
        <v>546</v>
      </c>
      <c r="EG14" s="2368"/>
      <c r="EH14" s="2367" t="s">
        <v>547</v>
      </c>
      <c r="EI14" s="2369"/>
      <c r="EJ14" s="2320" t="s">
        <v>548</v>
      </c>
      <c r="EK14" s="2357"/>
      <c r="EL14" s="2349" t="s">
        <v>568</v>
      </c>
      <c r="EM14" s="2367" t="s">
        <v>549</v>
      </c>
      <c r="EN14" s="2368"/>
      <c r="EO14" s="2367" t="s">
        <v>550</v>
      </c>
      <c r="EP14" s="2369"/>
      <c r="EQ14" s="2320" t="s">
        <v>551</v>
      </c>
      <c r="ER14" s="2357"/>
      <c r="ES14" s="2349" t="s">
        <v>12</v>
      </c>
      <c r="ET14" s="2349" t="s">
        <v>13</v>
      </c>
      <c r="EU14" s="2320" t="s">
        <v>582</v>
      </c>
      <c r="EV14" s="2365"/>
      <c r="EW14" s="2323"/>
      <c r="EX14" s="2363"/>
      <c r="EY14" s="2363"/>
      <c r="EZ14" s="2438"/>
      <c r="FA14" s="2363"/>
      <c r="FB14" s="2363"/>
      <c r="FC14" s="2363"/>
      <c r="FD14" s="2439"/>
      <c r="FE14" s="2439"/>
      <c r="FF14" s="2439"/>
      <c r="FG14" s="2439"/>
      <c r="FH14" s="2439"/>
      <c r="FI14" s="2439"/>
      <c r="FJ14" s="2439"/>
      <c r="FK14" s="2439"/>
      <c r="FL14" s="2439"/>
      <c r="FM14" s="2439"/>
      <c r="FN14" s="2439"/>
      <c r="FO14" s="2349" t="s">
        <v>590</v>
      </c>
      <c r="FP14" s="2349" t="s">
        <v>591</v>
      </c>
      <c r="FQ14" s="2455" t="s">
        <v>654</v>
      </c>
      <c r="FR14" s="2458" t="s">
        <v>655</v>
      </c>
      <c r="FS14" s="2453" t="s">
        <v>682</v>
      </c>
      <c r="FT14" s="2466" t="s">
        <v>683</v>
      </c>
      <c r="FU14" s="2175" t="s">
        <v>787</v>
      </c>
      <c r="FV14" s="2176"/>
      <c r="FW14" s="426"/>
      <c r="FX14" s="426"/>
      <c r="FY14" s="426"/>
      <c r="FZ14" s="426"/>
      <c r="GA14" s="2134" t="s">
        <v>708</v>
      </c>
      <c r="GB14" s="2135"/>
      <c r="GC14" s="2134" t="s">
        <v>558</v>
      </c>
      <c r="GD14" s="2135"/>
      <c r="GE14" s="2136" t="s">
        <v>711</v>
      </c>
      <c r="GF14" s="2138" t="s">
        <v>40</v>
      </c>
      <c r="GG14" s="2332" t="s">
        <v>1142</v>
      </c>
      <c r="GH14" s="2333"/>
      <c r="GI14" s="2332" t="s">
        <v>1141</v>
      </c>
      <c r="GJ14" s="2333"/>
      <c r="GK14" s="2139" t="s">
        <v>712</v>
      </c>
      <c r="GL14" s="2139" t="s">
        <v>713</v>
      </c>
      <c r="GM14" s="2139" t="s">
        <v>714</v>
      </c>
      <c r="HA14" s="2456" t="s">
        <v>539</v>
      </c>
      <c r="HB14" s="2330" t="s">
        <v>130</v>
      </c>
      <c r="HC14" s="2330" t="s">
        <v>540</v>
      </c>
      <c r="HD14" s="2440" t="str">
        <f>IF($HA$1,"Joist ""BayLength""","Overall Length")</f>
        <v>Overall Length</v>
      </c>
      <c r="HE14" s="2330"/>
      <c r="HF14" s="2328" t="str">
        <f>IF($HA$1,"Left Sect. #","TCXL Feet")</f>
        <v>TCXL Feet</v>
      </c>
      <c r="HG14" s="2328" t="str">
        <f>IF($HA$1,"L Min Sup Width","TCXL Inch")</f>
        <v>TCXL Inch</v>
      </c>
      <c r="HH14" s="2328" t="str">
        <f>IF($HA$1,"L Max Sup Width","TCXL Type")</f>
        <v>TCXL Type</v>
      </c>
      <c r="HI14" s="2328" t="str">
        <f>IF($HA$1,"Left Bolt ""X""","TCXR Feet")</f>
        <v>TCXR Feet</v>
      </c>
      <c r="HJ14" s="2328" t="str">
        <f>IF($HA$1,"L Min Flg Ga","TCXR Inch")</f>
        <v>TCXR Inch</v>
      </c>
      <c r="HK14" s="2328" t="str">
        <f>IF($HA$1,"L Max Flg Ga","TCXR Type")</f>
        <v>TCXR Type</v>
      </c>
      <c r="HL14" s="2328" t="str">
        <f>IF($HA$1,"Left Skew","BDL")</f>
        <v>BDL</v>
      </c>
      <c r="HM14" s="2328" t="str">
        <f>IF($HA$1,"Left Brg Slp","BDR")</f>
        <v>BDR</v>
      </c>
      <c r="HN14" s="2328" t="str">
        <f>IF($HA$1,"Right Sect. #","BCXL Feet")</f>
        <v>BCXL Feet</v>
      </c>
      <c r="HO14" s="2328" t="str">
        <f>IF($HA$1,"R Min Sup Width","BCXL Inch")</f>
        <v>BCXL Inch</v>
      </c>
      <c r="HP14" s="2328" t="str">
        <f>IF($HA$1,"R Max Sup Width","BCXL Type")</f>
        <v>BCXL Type</v>
      </c>
      <c r="HQ14" s="2328" t="str">
        <f>IF($HA$1,"Right Bolt ""X""","BCXR Feet")</f>
        <v>BCXR Feet</v>
      </c>
      <c r="HR14" s="2328" t="str">
        <f>IF($HA$1,"R Min Flg Ga","BCXR Inch")</f>
        <v>BCXR Inch</v>
      </c>
      <c r="HS14" s="2328" t="str">
        <f>IF($HA$1,"R Max Flg Ga","BCXR Type")</f>
        <v>BCXR Type</v>
      </c>
      <c r="HT14" s="2328" t="str">
        <f>IF($HA$1,"Right Skew","HL Feet")</f>
        <v>HL Feet</v>
      </c>
      <c r="HU14" s="2328" t="str">
        <f>IF($HA$1,"Right Brg Slp","HL Inch")</f>
        <v>HL Inch</v>
      </c>
      <c r="HV14" s="2328" t="str">
        <f>IF($HA$1,"TC Slope","HR Feet")</f>
        <v>HR Feet</v>
      </c>
      <c r="HW14" s="2328" t="str">
        <f>IF($HA$1,"Load Notes","HR Inch")</f>
        <v>HR Inch</v>
      </c>
      <c r="HX14" s="2328" t="str">
        <f>IF($HA$1,"Spcl Notes","Slot Ga")</f>
        <v>Slot Ga</v>
      </c>
      <c r="HY14" s="2328" t="str">
        <f>IF($HA$1,"TC L Override","L Seat Slp")</f>
        <v>L Seat Slp</v>
      </c>
      <c r="HZ14" s="2328" t="str">
        <f>IF($HA$1,"TCR Override","R Seat Slp")</f>
        <v>R Seat Slp</v>
      </c>
      <c r="IA14" s="2328" t="str">
        <f>IF($HA$1,"L-BL Override","Sp Notes")</f>
        <v>Sp Notes</v>
      </c>
      <c r="IB14" s="2328" t="str">
        <f>IF($HA$1,"R-BL Override","Ld Notes")</f>
        <v>Ld Notes</v>
      </c>
      <c r="IC14" s="2328" t="str">
        <f>IF($HA$1,"BCXL ""X""","-")</f>
        <v>-</v>
      </c>
      <c r="ID14" s="2328" t="str">
        <f>IF($HA$1,"BCXR ""X""","-")</f>
        <v>-</v>
      </c>
      <c r="IE14" s="2328" t="str">
        <f>IF($HA$1,"BDL Override","-")</f>
        <v>-</v>
      </c>
      <c r="IF14" s="2468" t="str">
        <f>IF($HA$1,"BDR Override","-")</f>
        <v>-</v>
      </c>
    </row>
    <row r="15" spans="1:241" ht="12.6" customHeight="1" thickTop="1" thickBot="1" x14ac:dyDescent="0.25">
      <c r="A15" s="2427"/>
      <c r="B15" s="2401"/>
      <c r="C15" s="2401"/>
      <c r="D15" s="2401"/>
      <c r="E15" s="2481"/>
      <c r="F15" s="1996" t="s">
        <v>16</v>
      </c>
      <c r="G15" s="2086"/>
      <c r="H15" s="1102" t="s">
        <v>732</v>
      </c>
      <c r="I15" s="2086" t="s">
        <v>16</v>
      </c>
      <c r="J15" s="2086"/>
      <c r="K15" s="461" t="s">
        <v>732</v>
      </c>
      <c r="L15" s="1106" t="s">
        <v>18</v>
      </c>
      <c r="M15" s="461" t="s">
        <v>19</v>
      </c>
      <c r="N15" s="1993" t="s">
        <v>16</v>
      </c>
      <c r="O15" s="2086"/>
      <c r="P15" s="1102" t="s">
        <v>732</v>
      </c>
      <c r="Q15" s="2086" t="s">
        <v>16</v>
      </c>
      <c r="R15" s="2086"/>
      <c r="S15" s="1065" t="s">
        <v>732</v>
      </c>
      <c r="T15" s="1996" t="s">
        <v>80</v>
      </c>
      <c r="U15" s="2086"/>
      <c r="V15" s="2086" t="s">
        <v>81</v>
      </c>
      <c r="W15" s="2086"/>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914"/>
      <c r="AV15" s="2408"/>
      <c r="AW15" s="2409"/>
      <c r="AX15" s="503" t="s">
        <v>632</v>
      </c>
      <c r="AY15" s="503" t="s">
        <v>133</v>
      </c>
      <c r="AZ15" s="2483"/>
      <c r="BA15" s="246"/>
      <c r="BB15" s="2144"/>
      <c r="BC15" s="2073"/>
      <c r="BD15" s="2146"/>
      <c r="BE15" s="2420"/>
      <c r="BF15" s="2421"/>
      <c r="BG15" s="2243"/>
      <c r="BH15" s="2487"/>
      <c r="BI15" s="2488"/>
      <c r="BJ15" s="2385"/>
      <c r="BK15" s="2487"/>
      <c r="BL15" s="2488"/>
      <c r="BM15" s="2073"/>
      <c r="BN15" s="2505"/>
      <c r="BO15" s="2492"/>
      <c r="BP15" s="1546" t="s">
        <v>1277</v>
      </c>
      <c r="BQ15" s="1547" t="s">
        <v>1278</v>
      </c>
      <c r="BR15" s="1548" t="s">
        <v>501</v>
      </c>
      <c r="BS15" s="2243"/>
      <c r="BT15" s="2487"/>
      <c r="BU15" s="2488"/>
      <c r="BV15" s="2385"/>
      <c r="BW15" s="2487"/>
      <c r="BX15" s="2488"/>
      <c r="BY15" s="2073"/>
      <c r="BZ15" s="2490"/>
      <c r="CA15" s="2492"/>
      <c r="CB15" s="1546" t="s">
        <v>1277</v>
      </c>
      <c r="CC15" s="1547" t="s">
        <v>1278</v>
      </c>
      <c r="CD15" s="1548" t="s">
        <v>501</v>
      </c>
      <c r="CE15" s="2486"/>
      <c r="CF15" s="1554" t="s">
        <v>418</v>
      </c>
      <c r="CG15" s="1549" t="s">
        <v>553</v>
      </c>
      <c r="CH15" s="498" t="s">
        <v>585</v>
      </c>
      <c r="CI15" s="433" t="s">
        <v>586</v>
      </c>
      <c r="CJ15" s="434" t="s">
        <v>587</v>
      </c>
      <c r="CK15" s="2407"/>
      <c r="CL15" s="499" t="s">
        <v>606</v>
      </c>
      <c r="CM15" s="500" t="s">
        <v>607</v>
      </c>
      <c r="CN15" s="932" t="s">
        <v>606</v>
      </c>
      <c r="CO15" s="435" t="s">
        <v>607</v>
      </c>
      <c r="CP15" s="436" t="s">
        <v>520</v>
      </c>
      <c r="CQ15" s="437" t="s">
        <v>169</v>
      </c>
      <c r="CR15" s="2412"/>
      <c r="CS15" s="2404"/>
      <c r="CT15" s="426"/>
      <c r="CU15" s="2359"/>
      <c r="CV15" s="2341"/>
      <c r="CW15" s="2341"/>
      <c r="CX15" s="2319"/>
      <c r="CY15" s="2319"/>
      <c r="CZ15" s="2319"/>
      <c r="DA15" s="2319"/>
      <c r="DB15" s="2319"/>
      <c r="DC15" s="2319"/>
      <c r="DD15" s="2319"/>
      <c r="DE15" s="2359"/>
      <c r="DF15" s="2341"/>
      <c r="DG15" s="2341"/>
      <c r="DH15" s="2319"/>
      <c r="DI15" s="2319"/>
      <c r="DJ15" s="2319"/>
      <c r="DK15" s="2319"/>
      <c r="DL15" s="2319"/>
      <c r="DM15" s="2319"/>
      <c r="DN15" s="2361"/>
      <c r="DO15" s="2356"/>
      <c r="DP15" s="2467"/>
      <c r="DQ15" s="2350"/>
      <c r="DR15" s="2321"/>
      <c r="DS15" s="2323"/>
      <c r="DT15" s="438" t="s">
        <v>554</v>
      </c>
      <c r="DU15" s="438" t="s">
        <v>555</v>
      </c>
      <c r="DV15" s="2325"/>
      <c r="DW15" s="2352"/>
      <c r="DX15" s="2354"/>
      <c r="DY15" s="2323"/>
      <c r="DZ15" s="438" t="s">
        <v>554</v>
      </c>
      <c r="EA15" s="438" t="s">
        <v>555</v>
      </c>
      <c r="EB15" s="2352"/>
      <c r="EC15" s="2352"/>
      <c r="ED15" s="2354"/>
      <c r="EE15" s="2370"/>
      <c r="EF15" s="439" t="s">
        <v>521</v>
      </c>
      <c r="EG15" s="440" t="s">
        <v>522</v>
      </c>
      <c r="EH15" s="439" t="s">
        <v>521</v>
      </c>
      <c r="EI15" s="440" t="s">
        <v>522</v>
      </c>
      <c r="EJ15" s="439" t="s">
        <v>521</v>
      </c>
      <c r="EK15" s="440" t="s">
        <v>522</v>
      </c>
      <c r="EL15" s="2370"/>
      <c r="EM15" s="439" t="s">
        <v>521</v>
      </c>
      <c r="EN15" s="440" t="s">
        <v>522</v>
      </c>
      <c r="EO15" s="439" t="s">
        <v>521</v>
      </c>
      <c r="EP15" s="440" t="s">
        <v>522</v>
      </c>
      <c r="EQ15" s="439" t="s">
        <v>521</v>
      </c>
      <c r="ER15" s="440" t="s">
        <v>522</v>
      </c>
      <c r="ES15" s="2373"/>
      <c r="ET15" s="2373"/>
      <c r="EU15" s="2374"/>
      <c r="EV15" s="2366"/>
      <c r="EW15" s="2323"/>
      <c r="EX15" s="2363"/>
      <c r="EY15" s="2363"/>
      <c r="EZ15" s="2438"/>
      <c r="FA15" s="2363"/>
      <c r="FB15" s="2363"/>
      <c r="FC15" s="2363"/>
      <c r="FD15" s="2439"/>
      <c r="FE15" s="2439"/>
      <c r="FF15" s="2439"/>
      <c r="FG15" s="2439"/>
      <c r="FH15" s="2439"/>
      <c r="FI15" s="2439"/>
      <c r="FJ15" s="2439"/>
      <c r="FK15" s="2439"/>
      <c r="FL15" s="2439"/>
      <c r="FM15" s="2439"/>
      <c r="FN15" s="2439"/>
      <c r="FO15" s="2373"/>
      <c r="FP15" s="2373"/>
      <c r="FQ15" s="2373"/>
      <c r="FR15" s="2459"/>
      <c r="FS15" s="2454"/>
      <c r="FT15" s="2459"/>
      <c r="FU15" s="508" t="s">
        <v>606</v>
      </c>
      <c r="FV15" s="509" t="s">
        <v>607</v>
      </c>
      <c r="FW15" s="426"/>
      <c r="FX15" s="426"/>
      <c r="FY15" s="426"/>
      <c r="FZ15" s="426"/>
      <c r="GA15" s="1035" t="s">
        <v>1112</v>
      </c>
      <c r="GB15" s="1036" t="s">
        <v>710</v>
      </c>
      <c r="GC15" s="1031" t="s">
        <v>606</v>
      </c>
      <c r="GD15" s="1032" t="s">
        <v>607</v>
      </c>
      <c r="GE15" s="2137"/>
      <c r="GF15" s="2137"/>
      <c r="GG15" s="1033" t="s">
        <v>1112</v>
      </c>
      <c r="GH15" s="1034" t="s">
        <v>710</v>
      </c>
      <c r="GI15" s="1033" t="s">
        <v>1112</v>
      </c>
      <c r="GJ15" s="1034" t="s">
        <v>710</v>
      </c>
      <c r="GK15" s="2140"/>
      <c r="GL15" s="2140"/>
      <c r="GM15" s="2140"/>
      <c r="HA15" s="2457"/>
      <c r="HB15" s="2331"/>
      <c r="HC15" s="2331"/>
      <c r="HD15" s="2331"/>
      <c r="HE15" s="2331"/>
      <c r="HF15" s="2329"/>
      <c r="HG15" s="2329"/>
      <c r="HH15" s="2329"/>
      <c r="HI15" s="2329"/>
      <c r="HJ15" s="2329"/>
      <c r="HK15" s="2329"/>
      <c r="HL15" s="2329"/>
      <c r="HM15" s="2329"/>
      <c r="HN15" s="2329"/>
      <c r="HO15" s="2329"/>
      <c r="HP15" s="2329"/>
      <c r="HQ15" s="2329"/>
      <c r="HR15" s="2329"/>
      <c r="HS15" s="2329"/>
      <c r="HT15" s="2329"/>
      <c r="HU15" s="2329"/>
      <c r="HV15" s="2329"/>
      <c r="HW15" s="2329"/>
      <c r="HX15" s="2329"/>
      <c r="HY15" s="2329"/>
      <c r="HZ15" s="2329"/>
      <c r="IA15" s="2329"/>
      <c r="IB15" s="2329"/>
      <c r="IC15" s="2329"/>
      <c r="ID15" s="2329"/>
      <c r="IE15" s="2329"/>
      <c r="IF15" s="2469"/>
    </row>
    <row r="16" spans="1:241" ht="12.6" customHeight="1" thickTop="1" x14ac:dyDescent="0.25">
      <c r="A16" s="1448" t="s">
        <v>1472</v>
      </c>
      <c r="B16" s="1681">
        <v>2</v>
      </c>
      <c r="C16" s="1449" t="s">
        <v>1592</v>
      </c>
      <c r="D16" s="1705">
        <v>39</v>
      </c>
      <c r="E16" s="1706">
        <v>11.5</v>
      </c>
      <c r="F16" s="1714" t="str">
        <f t="shared" ref="F16:F44" si="1">IF(DX16=0,"",TRUNC(DX16/12))</f>
        <v/>
      </c>
      <c r="G16" s="1709" t="str">
        <f t="shared" ref="G16:G44" si="2">IF(DX16=0,"",DX16-(F16*12))</f>
        <v/>
      </c>
      <c r="H16" s="1779" t="str">
        <f t="shared" ref="H16:H44" si="3">IF(DX16=0,"",CW16)</f>
        <v/>
      </c>
      <c r="I16" s="1705" t="str">
        <f t="shared" ref="I16:I44" si="4">IF(ED16=0,"",TRUNC(ED16/12))</f>
        <v/>
      </c>
      <c r="J16" s="1709" t="str">
        <f t="shared" ref="J16:J44" si="5">IF(ED16=0,"",ED16-(I16*12))</f>
        <v/>
      </c>
      <c r="K16" s="1796" t="str">
        <f t="shared" ref="K16:K44" si="6">IF(ED16=0,"",DG16)</f>
        <v/>
      </c>
      <c r="L16" s="1712">
        <v>5</v>
      </c>
      <c r="M16" s="1713">
        <v>5</v>
      </c>
      <c r="N16" s="1708" t="str">
        <f t="shared" ref="N16:N45" si="7">IF(ES16="","",IF(AND(ES16&lt;0,ES16&gt;-12),TRUNC(ES16/12)-0.0000001,TRUNC(ES16/12)))</f>
        <v/>
      </c>
      <c r="O16" s="1709" t="str">
        <f t="shared" ref="O16:O45" si="8">IF(ES16="","",IF(AND(ES16-(N16*12)=0,ES16&lt;0),-0.000001,ES16-(N16*12)))</f>
        <v/>
      </c>
      <c r="P16" s="1710" t="str">
        <f t="shared" ref="P16:P45" si="9">IF(ES16="","",IF(OR(CW16="Q",CW16="C"),3,CZ16))</f>
        <v/>
      </c>
      <c r="Q16" s="1705" t="str">
        <f t="shared" ref="Q16:Q45" si="10">IF(ET16="","",IF(AND(ET16&lt;0,ET16&gt;-12),TRUNC(ET16/12)-0.0000001,TRUNC(ET16/12)))</f>
        <v/>
      </c>
      <c r="R16" s="1709" t="str">
        <f t="shared" ref="R16:R45" si="11">IF(ET16="","",IF(AND(ET16-(Q16*12)=0,ET16&lt;0),-0.000001,ET16-(Q16*12)))</f>
        <v/>
      </c>
      <c r="S16" s="1711" t="str">
        <f t="shared" ref="S16:S45" si="12">IF(ET16="","",IF(OR(DG16="Q",DG16="C"),3,DJ16))</f>
        <v/>
      </c>
      <c r="T16" s="1714">
        <v>0</v>
      </c>
      <c r="U16" s="1709">
        <v>2.25</v>
      </c>
      <c r="V16" s="1705">
        <v>0</v>
      </c>
      <c r="W16" s="1709">
        <v>2.25</v>
      </c>
      <c r="X16" s="1713">
        <v>4</v>
      </c>
      <c r="Y16" s="1781" t="str">
        <f t="shared" ref="Y16:Y44" si="13">FG16</f>
        <v/>
      </c>
      <c r="Z16" s="1782" t="str">
        <f t="shared" ref="Z16:Z44" si="14">FL16</f>
        <v/>
      </c>
      <c r="AA16" s="1783" t="s">
        <v>1743</v>
      </c>
      <c r="AB16" s="1413"/>
      <c r="AC16" s="964" t="b">
        <v>0</v>
      </c>
      <c r="AD16" s="441">
        <f t="shared" ref="AD16:AD45" si="15">IF($C16="",0,IF(SUM(AE16:AG16)&gt;0,0,IF(ISERROR(SEARCH("K",$C16,1))=TRUE,0,$B16)))</f>
        <v>0</v>
      </c>
      <c r="AE16" s="442">
        <f t="shared" ref="AE16:AE45" si="16">IF(ISERROR(SEARCH("LH",$C16,1))=TRUE,0,$B16)</f>
        <v>2</v>
      </c>
      <c r="AF16" s="442">
        <f t="shared" ref="AF16:AF45" si="17">IF(ISERROR(SEARCH("JS",$C16))=TRUE,IF(ISERROR(SEARCH("2.5K",$C16))=TRUE,0,$B16),$B16)</f>
        <v>0</v>
      </c>
      <c r="AG16" s="442">
        <f t="shared" ref="AG16:AG45" si="18">IF(ISERROR(SEARCH("HDR",$C16,1))=TRUE,0,$B16)</f>
        <v>0</v>
      </c>
      <c r="AH16" s="443">
        <f t="shared" ref="AH16:AH45" si="19">IF(ISERROR(SEARCH("CJ",$C16,1))=TRUE,0,$B16)</f>
        <v>0</v>
      </c>
      <c r="AI16" s="444" t="b">
        <v>0</v>
      </c>
      <c r="AJ16" s="238">
        <f t="shared" ref="AJ16:AJ45" si="20">IF(OR(ISERROR(VALUE(LEFT(C16,SEARCH(AK16,C16)-1))),AK16=""),0,VALUE(LEFT(C16,SEARCH(AK16,C16)-1)))</f>
        <v>32</v>
      </c>
      <c r="AK16" s="830" t="str">
        <f t="shared" ref="AK16:AK45" si="21">IF(AV16="",AW16,AV16)</f>
        <v>LH</v>
      </c>
      <c r="AL16" s="945" t="str">
        <f t="shared" ref="AL16:AL45" si="22">IF(AK16="","",IF(ISERROR(SEARCH("/",C16)),IF(VALUE(MID(C16,SEARCH(AK16,C16)+LEN(AK16),LEN(C16)))&gt;25,"",VALUE(MID(C16,SEARCH(AK16,C16)+LEN(AK16),LEN(C16)))),""))</f>
        <v/>
      </c>
      <c r="AM16" s="830">
        <f t="shared" ref="AM16:AM45" si="23">IF(AK16="","",IF(ISERROR(SEARCH("/",C16)),IF(VALUE(MID(C16,SEARCH(AK16,C16)+LEN(AK16),LEN(C16)))&lt;26,"",VALUE(MID(C16,SEARCH(AK16,C16)+LEN(AK16),LEN(C16)))),VALUE(MID(C16,SEARCH(AK16,C16)+LEN(AK16),SEARCH("/",C16)-SEARCH(AK16,C16)-LEN(AK16)))))</f>
        <v>305</v>
      </c>
      <c r="AN16" s="830">
        <f t="shared" ref="AN16:AN45" si="24">IF(AK16="","",IF(AK16="CJ",MID(MID(C16,SEARCH("/",C16)+1,LEN(C16)),1,SEARCH("/",MID(C16,SEARCH("/",C16)+1,LEN(C16)))-1),IF(ISERROR(SEARCH("/",C16)),"",VALUE(MID(C16,SEARCH("/",C16)+1,LEN(C16))))))</f>
        <v>180</v>
      </c>
      <c r="AO16" s="830" t="str">
        <f t="shared" ref="AO16:AO45" si="25">IF(AK16="CJ",VALUE(MID(MID(C16,SEARCH("/",C16)+1,LEN(C16)),SEARCH("/",MID(C16,SEARCH("/",C16)+1,LEN(C16)))+1,LEN(MID(C16,SEARCH("/",C16)+1,LEN(C16))))),"")</f>
        <v/>
      </c>
      <c r="AP16" s="830" t="b">
        <f>IF(ISERROR(AJ16),FALSE,IF(OR(AJ16=0,ISERROR(AL16),ISERROR(AM16),ISERROR(AN16),ISERROR(AO16)),FALSE,IF(AL16&lt;&gt;"",IF(ISERROR(VLOOKUP(SUBSTITUTE(SUBSTITUTE(C16,"R",""),"A",""),TblJoistSize!$A:$A,1,FALSE)),FALSE,TRUE),TRUE)))</f>
        <v>1</v>
      </c>
      <c r="AQ16" s="1038">
        <f t="shared" ref="AQ16:AQ45" si="26">VLOOKUP(AK16,$DF$2:$DN$9,4,FALSE)+IF(LEFT(H16,1)="R",IF(ISNUMBER(F16),F16*12,0)+IF(ISNUMBER(G16),G16,0),0)</f>
        <v>6</v>
      </c>
      <c r="AR16" s="945" t="b">
        <f t="shared" ref="AR16:AR45" si="27">IF(IF(ISNUMBER(T16),T16*12,0)+IF(ISNUMBER(U16),U16,0)&gt;0,IF(AND(IF(ISNUMBER(T16),T16*12,0)+IF(ISNUMBER(U16),U16,0)&gt;=VLOOKUP(AU16,$DF$2:$DN$9,8,FALSE)/2+$DQ$2,IF(ISNUMBER(T16),T16*12,0)+IF(ISNUMBER(U16),U16,0)&lt;=(AQ16-(VLOOKUP(AU16,$DF$2:$DN$9,8,FALSE)/2+$DQ$2))+IF(H16="X",2,0)),TRUE,FALSE),FALSE)</f>
        <v>1</v>
      </c>
      <c r="AS16" s="1038">
        <f t="shared" ref="AS16:AS45" si="28">VLOOKUP(AK16,$DF$2:$DN$9,4,FALSE)+IF(LEFT(K16,1)="R",(IF(ISNUMBER(I16),I16*12,0)+IF(ISNUMBER(J16),J16,0)),0)</f>
        <v>6</v>
      </c>
      <c r="AT16" s="945" t="b">
        <f t="shared" ref="AT16:AT45" si="29">IF(IF(ISNUMBER(V16),V16*12,0)+IF(ISNUMBER(W16),W16,0)&gt;0,IF(AND((IF(ISNUMBER(V16),V16*12,0)+IF(ISNUMBER(W16),W16,0))&gt;=VLOOKUP(AU16,$DF$2:$DN$9,8,FALSE)/2+$DQ$2,(IF(ISNUMBER(V16),V16*12,0)+IF(ISNUMBER(W16),W16,0))&lt;=(AS16-(VLOOKUP(AU16,$DF$2:$DN$9,8,FALSE)/2+$DQ$2))+IF(K16="X",2,0)),TRUE,FALSE),FALSE)</f>
        <v>1</v>
      </c>
      <c r="AU16" s="946"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830" t="str">
        <f t="shared" ref="AV16:AV45" si="31">IF(NOT(ISERROR(SEARCH("KCSR",C16))),"KCSR",IF(NOT(ISERROR(SEARCH("KCSA",C16))),"KCSA",IF(NOT(ISERROR(SEARCH("KCS",C16))),"KCS",IF(NOT(ISERROR(SEARCH("KR",C16))),"KR",IF(NOT(ISERROR(SEARCH("KA",C16))),"KA",IF(NOT(ISERROR(SEARCH("K",C16))),"K",IF(NOT(ISERROR(SEARCH("CJ",C16))),"CJ","")))))))</f>
        <v/>
      </c>
      <c r="AW16" s="830" t="str">
        <f t="shared" ref="AW16:AW45" si="32">IF(NOT(ISERROR(SEARCH("HDR",C16))),"HDR",IF(NOT(ISERROR(SEARCH("JS",C16))),"JS",IF(NOT(ISERROR(SEARCH("SLH",C16))),"SLH",IF(NOT(ISERROR(SEARCH("DLH",C16))),"DLH",IF(NOT(ISERROR(SEARCH("LH",C16))),"LH","")))))</f>
        <v>LH</v>
      </c>
      <c r="AX16" s="830" t="str">
        <f>IF(OR(ISBLANK(A16),A16=""),"",A16)</f>
        <v>J42</v>
      </c>
      <c r="AY16" s="1039" t="b">
        <f t="shared" ref="AY16:AY45" si="33">IF($AE$1,IF(AX16=AX15,AY15,IF(AND(AX16&lt;&gt;"",OR(B16=0,B16="")),TRUE,FALSE)),FALSE)</f>
        <v>0</v>
      </c>
      <c r="AZ16" s="856" t="b">
        <f t="shared" ref="AZ16:AZ45" si="34">IF(AND(NOT(ISERROR(AJ16)),AJ16&gt;0),((IF(D16="",0,D16)*12+IF(E16="",0,E16))-(IF(F16="",0,F16)*12+IF(G16="",0,G16))-(IF(I16="",0,I16)*12+IF(J16="",0,J16)))&gt;AJ16*24,"")</f>
        <v>0</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35">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36">IF(ISERROR(DE16),"",IF(DG16="","",IF(DG16="C",DF16,IF(DG16="Q",2,""))))</f>
        <v/>
      </c>
      <c r="CD16" s="909"/>
      <c r="CE16" s="729"/>
      <c r="CF16" s="730"/>
      <c r="CG16" s="731"/>
      <c r="CH16" s="583" t="str">
        <f t="shared" ref="CH16:CH45" si="37">IF(EJ16=EK16,IF(EK16="ERR","ERR",""),CONCATENATE(IF(BM16&lt;0,"NS ","FS "),IF(EK16="ERR","Slot Only",CONCATENATE("Slot @ ",EJ16))))</f>
        <v/>
      </c>
      <c r="CI16" s="584" t="str">
        <f t="shared" ref="CI16:CI45" si="38">IF(EQ16=ER16,IF(ER16="ERR","ERR",""),CONCATENATE(IF(BY16&lt;0,"FS ","NS "),IF(ER16="ERR","Slot Only",CONCATENATE("Slot @ ",EQ16))))</f>
        <v/>
      </c>
      <c r="CJ16" s="585" t="str">
        <f t="shared" ref="CJ16:CJ45" si="39">IF(EV16="","",IF(AND(DB16&lt;&gt;EV16,OR(NOT(ISBLANK(BJ16)),CU16="C")),CONCATENATE("LE slots @ ",DB16," Ga."),IF(AND(DL16&lt;&gt;EV16,OR(NOT(ISBLANK(BV16)),DE16="C")),CONCATENATE("RE slots @ ",DL16," Ga."),"")))</f>
        <v/>
      </c>
      <c r="CK16" s="586" t="str">
        <f t="shared" ref="CK16:CK45" si="40">IF(AND(CP16&lt;&gt;"",BM16&lt;&gt;"",CQ16&lt;&gt;"",BY16&lt;&gt;""),"BE",IF(AND(CP16&lt;&gt;"",BM16&lt;&gt;""),"LE",IF(AND(CQ16&lt;&gt;"",BY16&lt;&gt;""),"RE","")))</f>
        <v/>
      </c>
      <c r="CL16" s="587" t="str">
        <f t="shared" ref="CL16:CL45" si="41">IF(BQ16="","",IF(CEILING(DV16,0.125)&lt;=DW16+VLOOKUP(AU16,$DF$2:$DI$9,4,FALSE),"",CEILING(DV16,0.125)))</f>
        <v/>
      </c>
      <c r="CM16" s="588" t="str">
        <f t="shared" ref="CM16:CM45" si="42">IF(CC16="","",IF(CEILING(EB16,0.125)&lt;=EC16+VLOOKUP(AU16,$DF$2:$DI$9,4,FALSE),"",CEILING(EB16,0.125)))</f>
        <v/>
      </c>
      <c r="CN16" s="589" t="str">
        <f t="shared" ref="CN16:CN45" si="43">IF(AND(CE16&lt;&gt;0,BM16&lt;&gt;0),CE16*COS(RADIANS(90-BM16))/(1/COS(RADIANS(90-BM16)))*-1,"")</f>
        <v/>
      </c>
      <c r="CO16" s="590" t="str">
        <f t="shared" ref="CO16:CO45" si="44">IF(AND(CE16&lt;&gt;0,BY16&lt;&gt;0),CE16*COS(RADIANS(90-BY16))/(1/COS(RADIANS(90-BY16))),"")</f>
        <v/>
      </c>
      <c r="CP16" s="613" t="str">
        <f t="shared" ref="CP16:CP45" si="45">IF(BG16="","",IF(AU16="JS","",IF(VLOOKUP(AU16,$DF$2:$DN$9,5,FALSE)&gt;FO16,IF(FO16&gt;=0.0625,CEILING(FO16-0.0625,0.125),FO16),"")))</f>
        <v/>
      </c>
      <c r="CQ16" s="614" t="str">
        <f t="shared" ref="CQ16:CQ45" si="46">IF(BS16="","",IF(AU16="JS","",IF(VLOOKUP(AU16,$DF$2:$DN$9,5,FALSE)&gt;FP16,IF(FP16&gt;=0.0625,CEILING(FP16-0.0625,0.125),FP16),"")))</f>
        <v/>
      </c>
      <c r="CR16" s="748">
        <f t="shared" ref="CR16:CR45" si="47">IF(AU16="","",IF(ABS(FF16)&lt;ABS($CX$2),VLOOKUP(AU16,$DF$2:$DN$9,3,FALSE),CEILING(VLOOKUP(AU16,$DF$2:$DN$9,3,FALSE)/COS(FE16)+0.375+IF(CU16="M",IF(FE16&gt;0,(DV16-DW16)/12,0),IF(FE16&gt;0,0,(DV16-CV16)/12))*ABS(FF16),0.125)))</f>
        <v>5</v>
      </c>
      <c r="CS16" s="749">
        <f t="shared" ref="CS16:CS45" si="48">IF(AU16="","",IF(ABS(FK16)&lt;ABS($CX$2),VLOOKUP(AU16,$DF$2:$DN$9,3,FALSE),CEILING(VLOOKUP(AU16,$DF$2:$DN$9,3,FALSE)/COS(FJ16)+0.375+IF(DE16="M",IF(FJ16&lt;0,(EB16-EC16)/12,0),IF(FJ16&lt;0,0,(EB16-DF16)/12))*ABS(FK16),0.125)))</f>
        <v>5</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49">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50">BZ16*-1</f>
        <v>0</v>
      </c>
      <c r="DO16" s="860">
        <f t="shared" ref="DO16:DO45" si="51">IF(CE16="",0,ATAN(CE16/12))</f>
        <v>0</v>
      </c>
      <c r="DP16" s="861" t="str">
        <f t="shared" ref="DP16:DP45" si="52">IF(OR(CV16="",BE16="",DF16=""),"",CEILING(IF(AND(BE16="",BF16=""),"",((BE16*12+BF16)+CV16+DF16)/COS(FN16))-0.0625,0.125))</f>
        <v/>
      </c>
      <c r="DQ16" s="861" t="str">
        <f t="shared" ref="DQ16:DQ45" si="53">IF(AU16="","",IF(ABS(FF16)&lt;ABS($CX$2),CX16,IF(FF16=0,CX16,CEILING((CX16+((DW16-CV16)/12)*FF16)-0.0625,0.125))))</f>
        <v/>
      </c>
      <c r="DR16" s="861" t="str">
        <f t="shared" ref="DR16:DR45" si="54">IF(AU16="","",IF(ABS(FK16)&lt;ABS($CX$2),DH16,IF(FK16=0,DH16,CEILING((DH16+((EC16-DF16)/12)*FK16)-0.0625,0.125))))</f>
        <v/>
      </c>
      <c r="DS16" s="862">
        <f t="shared" ref="DS16:DS45" si="55">IF(BM16="",0,RADIANS(ABS(BM16)))</f>
        <v>0</v>
      </c>
      <c r="DT16" s="821">
        <f t="shared" ref="DT16:DT45" si="56">MIN(IF(BH16&gt;0,BH16/2,MAX(BI16/2,DC16)),IF(BI16&gt;0,BI16/2,MAX(BH16/2,DC16)),IF(DC16&gt;0,DC16,MAX(BI16/2,BH16/2)))/IF(OR(CU16="C",AND(CU16="M",$DD$1="N")),1,COS(DS16))</f>
        <v>0</v>
      </c>
      <c r="DU16" s="821" t="str">
        <f t="shared" ref="DU16:DU45" si="57">IF(CV16="","",IF(DC16&gt;=0,MAX(BH16/2,BI16/2,DC16),DC16)/IF(OR(CU16="C",AND(CU16="M",$DD$1="N")),1,COS(DS16)))</f>
        <v/>
      </c>
      <c r="DV16" s="861" t="str">
        <f t="shared" ref="DV16:DV45" si="58">IF(CV16="","",(CV16+DU16+(VLOOKUP(IF(AU16="HDR","K",AU16),$DF$2:$DN$9,2,FALSE))*TAN(DS16))/COS(FD16)-FH16)</f>
        <v/>
      </c>
      <c r="DW16" s="872" t="str">
        <f t="shared" ref="DW16:DW45" si="59">IF(CV16="","",MAX(0,IF(NOT(BQ16=""),CV16-BQ16,DV16-VLOOKUP(IF(AU16="HDR","K",AU16),$DF$2:$DN$9,4,FALSE))))</f>
        <v/>
      </c>
      <c r="DX16" s="1129">
        <f t="shared" ref="DX16:DX45" si="60">IF(CV16="",0,IF(DW16/COS(FN16-FD16)&lt;0.0625,0,CEILING(DW16/COS(FN16-FD16)-0.03125,0.125)))</f>
        <v>0</v>
      </c>
      <c r="DY16" s="861">
        <f t="shared" ref="DY16:DY45" si="61">RADIANS(ABS(BY16))</f>
        <v>0</v>
      </c>
      <c r="DZ16" s="821">
        <f t="shared" ref="DZ16:DZ45" si="62">MIN(IF(BT16&gt;0,BT16/2,MAX(BU16/2,DM16)),IF(BU16&gt;0,BU16/2,MAX(BT16/2,DM16)),IF(DM16&gt;0,DM16,MAX(BU16/2,BT16/2)))/IF(OR(DE16="C",AND(DE16="M",$DD$1="N")),1,COS(DY16))</f>
        <v>0</v>
      </c>
      <c r="EA16" s="821" t="str">
        <f t="shared" ref="EA16:EA45" si="63">IF(DF16="","",IF(DM16&gt;=0,MAX(BT16/2,BU16/2,DM16),DM16)/IF(OR(DE16="C",AND(DE16="M",$DD$1="N")),1,COS(DY16)))</f>
        <v/>
      </c>
      <c r="EB16" s="861" t="str">
        <f t="shared" ref="EB16:EB45" si="64">IF(DF16="","",(DF16+EA16+(VLOOKUP(IF(AU16="HDR","K",AU16),$DF$2:$DN$9,2,FALSE))*TAN(DY16))/COS(FI16)-FM16)</f>
        <v/>
      </c>
      <c r="EC16" s="872" t="str">
        <f t="shared" ref="EC16:EC45" si="65">IF(DF16="","",MAX(0,IF(NOT(CC16=""),DF16-CC16,EB16-VLOOKUP(IF(AU16="HDR","K",AU16),$DF$2:$DN$9,4,FALSE))))</f>
        <v/>
      </c>
      <c r="ED16" s="1129">
        <f t="shared" ref="ED16:ED45" si="66">IF(DF16="",0,IF(EC16/COS(FN16+FI16)&lt;0.0625,0,CEILING(EC16/COS(FN16+FI16)-0.03125,0.125)))</f>
        <v>0</v>
      </c>
      <c r="EE16" s="1339" t="str">
        <f t="shared" ref="EE16:EE45" si="67">IF(AND(EZ16="",DA16=""),"",IF(EZ16="ERR","ERR",IF(CU16="C",DA16,IF(BJ16="","",IF(DA16="",(EZ16/2)*-1,DA16)))))</f>
        <v/>
      </c>
      <c r="EF16" s="1339" t="str">
        <f t="shared" ref="EF16:EF45" si="68">IF(EE16="ERR","ERR",IF(EE16="","",IF(DB16*TAN(DS16)&lt;=(VLOOKUP(AU16,$DF$2:$DN$9,8,FALSE)-(VLOOKUP(AU16,$DF$2:$DN$9,7,FALSE)-0.0625)),CV16-(EE16-FH16)/IF(OR(CU16="C",AND(CU16="M",$DD$1="N")),1,COS(DS16))-IF(MID(CW16,1,1)="R",0,DW16),(ABS(EE16-FH16)/IF(OR(CU16="C",AND(CU16="M",$DD$1="N")),1,COS(DS16))+CV16)-((DB16/2)*TAN(DS16))-IF(MID(CW16,1,1)="R",0,DW16))))</f>
        <v/>
      </c>
      <c r="EG16" s="1339" t="str">
        <f t="shared" ref="EG16:EG45" si="69">IF(EE16="ERR","ERR",IF(EE16="","",IF(DB16*TAN(DS16)&lt;=(VLOOKUP(AU16,$DF$2:$DN$9,8,FALSE)-(VLOOKUP(AU16,$DF$2:$DN$9,7,FALSE)-0.0625)),CV16-(EE16-FH16)/IF(OR(CU16="C",AND(CU16="M",$DD$1="N")),1,COS(DS16))-IF(MID(CW16,1,1)="R",0,DW16),(ABS(EE16-FH16)/IF(OR(CU16="C",AND(CU16="M",$DD$1="N")),1,COS(DS16))+CV16)+((DB16/2)*TAN(DS16))-IF(MID(CW16,1,1)="R",0,DW16))))</f>
        <v/>
      </c>
      <c r="EH16" s="856" t="str">
        <f t="shared" ref="EH16:EH45" si="70">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ERR</v>
      </c>
      <c r="EI16" s="856" t="str">
        <f t="shared" ref="EI16:EI45" si="71">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ERR</v>
      </c>
      <c r="EJ16" s="822" t="str">
        <f t="shared" ref="EJ16:EK45" si="72">IF(ISERROR(EF16),"ERR",IF(EF16="","",IF(EH16="ERR","ERR",CEILING(EH16-0.0625,0.125))))</f>
        <v/>
      </c>
      <c r="EK16" s="822" t="str">
        <f t="shared" si="72"/>
        <v/>
      </c>
      <c r="EL16" s="1293" t="str">
        <f t="shared" ref="EL16:EL45" si="73">IF(AND(FC16="",DK16=""),"",IF(FC16="ERR","ERR",IF(DE16="C",DK16,IF(BV16="","",IF(DK16="",(FC16/2)*-1,DK16)))))</f>
        <v/>
      </c>
      <c r="EM16" s="822" t="str">
        <f t="shared" ref="EM16:EM45" si="74">IF(EL16="ERR","ERR",IF(EL16="","",IF(DL16*TAN(DY16)&lt;=(VLOOKUP(AU16,$DF$2:$DN$9,8,FALSE)-(VLOOKUP(AU16,$DF$2:$DN$9,7,FALSE)-0.0625)),DF16-(EL16-FM16)/IF(OR(DE16="C",AND(DE16="M",$DD$1="N")),1,COS(DY16))-IF(MID(DG16,1,1)="R",0,EC16),(ABS(EL16-FM16)/IF(OR(DE16="C",AND(DE16="M",$DD$1="N")),1,COS(DY16))+DF16)-((DL16/2)*TAN(DY16))-IF(MID(DG16,1,1)="R",0,EC16))))</f>
        <v/>
      </c>
      <c r="EN16" s="822" t="str">
        <f t="shared" ref="EN16:EN45" si="75">IF(EL16="ERR","ERR",IF(EL16="","",IF(DL16*TAN(DY16)&lt;=(VLOOKUP(AU16,$DF$2:$DN$9,8,FALSE)-(VLOOKUP(AU16,$DF$2:$DN$9,7,FALSE)-0.0625)),DF16-(EL16-FM16)/IF(OR(DE16="C",AND(DE16="M",$DD$1="N")),1,COS(DY16))-IF(MID(DG16,1,1)="R",0,EC16),(ABS(EL16-FM16)/IF(OR(DE16="C",AND(DE16="M",$DD$1="N")),1,COS(DY16))+DF16)+((DL16/2)*TAN(DY16))-IF(MID(DG16,1,1)="R",0,EC16))))</f>
        <v/>
      </c>
      <c r="EO16" s="856" t="str">
        <f t="shared" ref="EO16:EO45" si="76">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ERR</v>
      </c>
      <c r="EP16" s="856" t="str">
        <f t="shared" ref="EP16:EP45" si="77">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ERR</v>
      </c>
      <c r="EQ16" s="1339" t="str">
        <f t="shared" ref="EQ16:ER45" si="78">IF(ISERROR(EM16),"ERR",IF(EM16="","",IF(EO16="ERR","ERR",CEILING(EO16-0.0625,0.125))))</f>
        <v/>
      </c>
      <c r="ER16" s="861" t="str">
        <f t="shared" si="78"/>
        <v/>
      </c>
      <c r="ES16" s="822" t="str">
        <f t="shared" ref="ES16:ES45" si="79">IF(OR(CY16="",AU16="JS",AU16="HDR",BO16=""),"",IF((CV16-CY16)/COS(DO16)-FS16&lt;=-0.0625,CEILING((CV16-CY16)/COS(DO16)-FS16+0.0625,-0.125),IF((CV16-CY16)/COS(DO16)-FS16&gt;=0.0625,CEILING((CV16-CY16)/COS(DO16)-FS16-0.0625,0.125),0)))</f>
        <v/>
      </c>
      <c r="ET16" s="822" t="str">
        <f t="shared" ref="ET16:ET45" si="80">IF(OR(DI16="",AU16="JS",AU16="HDR",CA16=""),"",IF((DF16-DI16)/COS(DO16)-FT16&lt;=-0.0625,CEILING((DF16-DI16)/COS(DO16)-FT16+0.0625,-0.125),IF((DF16-DI16)/COS(DO16)-FT16&gt;=0.0625,CEILING((DF16-DI16)/COS(DO16)-FT16-0.0625,0.125),0)))</f>
        <v/>
      </c>
      <c r="EU16" s="863">
        <f t="shared" ref="EU16:EU45" si="81">IF(AU16="","",VLOOKUP(AU16,$DF$2:$DN$9,6,FALSE))</f>
        <v>4</v>
      </c>
      <c r="EV16" s="824" t="str">
        <f t="shared" ref="EV16:EV45" si="82">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83">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84">IF(BV16="X",IF(OR(DE16="M",DE16="C"),"",IF((FB16-FA16)/2&lt;=(VLOOKUP(AU16,$DF$2:$DN$9,8,FALSE)-(VLOOKUP(AU16,$DF$2:$DN$9,7,FALSE)-0.0625)),(FA16+FB16)/2,"ERR")),"")</f>
        <v/>
      </c>
      <c r="FD16" s="862">
        <f>IF(DD16="",0,ATAN(DD16/12))</f>
        <v>0</v>
      </c>
      <c r="FE16" s="862">
        <f t="shared" ref="FE16:FE45" si="85">DO16-FD16</f>
        <v>0</v>
      </c>
      <c r="FF16" s="862">
        <f t="shared" ref="FF16:FF45" si="86">TAN(FE16)*12</f>
        <v>0</v>
      </c>
      <c r="FG16" s="862" t="str">
        <f t="shared" ref="FG16:FG45" si="87">IF(FF16=0,"",IF(ABS(FF16)&lt;$CX$2,IF(AND(ABS(MIN(DV16,FQ16)/12*FF16)&gt;$DD$2,FF16&gt;0),IF(FF16&gt;0,CEILING(FF16-0.0625,0.125),CEILING(FF16+0.0625,-0.125)),""),IF(FF16&gt;0,CEILING(FF16-0.0625,0.125),CEILING(FF16+0.0625,-0.125))))</f>
        <v/>
      </c>
      <c r="FH16" s="861" t="str">
        <f t="shared" ref="FH16:FH45" si="88">IF(CX16="","",CX16*TAN(FD16))</f>
        <v/>
      </c>
      <c r="FI16" s="862">
        <f>IF(DN16="",0,ATAN(DN16/12))</f>
        <v>0</v>
      </c>
      <c r="FJ16" s="862">
        <f t="shared" ref="FJ16:FJ45" si="89">DO16+FI16</f>
        <v>0</v>
      </c>
      <c r="FK16" s="862">
        <f t="shared" ref="FK16:FK45" si="90">TAN(FJ16)*-12</f>
        <v>0</v>
      </c>
      <c r="FL16" s="862" t="str">
        <f t="shared" ref="FL16:FL45" si="91">IF(FK16=0,"",IF(ABS(FK16)&lt;$CX$2,IF(AND(ABS(MIN(EB16,FR16)/12*FK16)&gt;$DD$2,FK16&gt;0),IF(FK16&gt;0,CEILING(FK16-0.0625,0.125),CEILING(FK16+0.0625,-0.125)),""),IF(FK16&gt;0,CEILING(FK16-0.0625,0.125),CEILING(FK16+0.0625,-0.125))))</f>
        <v/>
      </c>
      <c r="FM16" s="861" t="str">
        <f t="shared" ref="FM16:FM45" si="92">IF(DH16="","",DH16*TAN(FI16))</f>
        <v/>
      </c>
      <c r="FN16" s="861" t="e">
        <f t="shared" ref="FN16:FN45" si="93">IF(((BE16*12+BF16)+CV16+DF16)/COS(DO16)-((BE16*12+BF16)+CV16+DF16)&lt;$DB$2,0,DO16)</f>
        <v>#VALUE!</v>
      </c>
      <c r="FO16" s="1388" t="e">
        <f t="shared" ref="FO16:FO45" si="94">MIN(IF(BH16&gt;0,BH16/2,MAX(BI16/2,DC16)),IF(BI16&gt;0,BI16/2,MAX(BH16/2,DC16)),IF(DC16&gt;0,DC16,MAX(BI16/2,BH16/2)))/COS(DS16)+CV16-DW16-FH16</f>
        <v>#VALUE!</v>
      </c>
      <c r="FP16" s="1388" t="e">
        <f t="shared" ref="FP16:FP45" si="95">MIN(IF(BT16&gt;0,BT16/2,MAX(BU16/2,DM16)),IF(BU16&gt;0,BU16/2,MAX(BT16/2,DM16)),IF(DM16&gt;0,DM16,MAX(BU16/2,BT16/2)))/COS(DY16)+DF16-EC16-FM16</f>
        <v>#VALUE!</v>
      </c>
      <c r="FQ16" s="864" t="e">
        <f t="shared" ref="FQ16:FQ45" si="96">IF(OR(CU16="B",CU16="G"),MAX(BH16,BI16),IF(CU16="M",12,DC16+CV16))</f>
        <v>#VALUE!</v>
      </c>
      <c r="FR16" s="865" t="e">
        <f t="shared" ref="FR16:FR45" si="97">IF(OR(DE16="B",DE16="G"),MAX(BT16,BU16),IF(DE16="M",12,DM16+DF16))</f>
        <v>#VALUE!</v>
      </c>
      <c r="FS16" s="866" t="str">
        <f t="shared" ref="FS16:FS45" si="98">IF(CY16="","",IF(ABS(CE16*((AJ16-IF(CE16&gt;0,VLOOKUP(AU16,$DF$2:$DN$9,9,FALSE),0))/12))&gt;$CZ$2,CE16*((AJ16-IF(CE16&gt;0,VLOOKUP(AU16,$DF$2:$DN$9,9,FALSE),0))/12),0))</f>
        <v/>
      </c>
      <c r="FT16" s="867" t="str">
        <f t="shared" ref="FT16:FT45" si="99">IF(DI16="","",IF(ABS(CE16*((AJ16-IF(CE16&lt;0,VLOOKUP(AU16,$DF$2:$DN$9,9,FALSE),0))/12))&gt;$CZ$2,CE16*((AJ16-IF(CE16&lt;0,VLOOKUP(AU16,$DF$2:$DN$9,9,FALSE),0))/12)*-1,0))</f>
        <v/>
      </c>
      <c r="FU16" s="868">
        <f t="shared" ref="FU16:FU45" si="100">IF(CX16="",0,MAX(0,MIN(DV16-VLOOKUP(AU16,DF$2:DN$9,4,FALSE),(MAX(0,CX16-VLOOKUP(AU16,DF$2:DN$9,3,FALSE))+VLOOKUP(AU16,DF$2:DN$9,4,FALSE))*COS(DO16)+((MAX(0,CX16-VLOOKUP(AU16,DF$2:DN$9,3,FALSE))+VLOOKUP(AU16,DF$2:DN$9,4,FALSE))*COS(PI()/2-DO16))/TAN(PI()/2-(DO16+PI()/4))-VLOOKUP(AU16,DF$2:DN$9,4,FALSE))))</f>
        <v>0</v>
      </c>
      <c r="FV16" s="869">
        <f t="shared" ref="FV16:FV45" si="101">IF(DH16="",0,MAX(0,MIN(EB16-VLOOKUP(AU16,DF$2:DN$9,4,FALSE),(MAX(0,DH16-VLOOKUP(AU16,DF$2:DN$9,3,FALSE))+VLOOKUP(AU16,DF$2:DN$9,4,FALSE))*COS(DO16)+((MAX(0,DH16-VLOOKUP(AU16,DF$2:DN$9,3,FALSE))+VLOOKUP(AU16,DF$2:DN$9,4,FALSE))*COS(PI()/2-DO16))/TAN(PI()/2-(DO16+PI()/4))-VLOOKUP(AU16,DF$2:DN$9,4,FALSE))))</f>
        <v>0</v>
      </c>
      <c r="GA16" s="1791">
        <v>40</v>
      </c>
      <c r="GB16" s="1792">
        <v>0</v>
      </c>
      <c r="GC16" s="1793">
        <v>-0.25</v>
      </c>
      <c r="GD16" s="1794">
        <v>-0.25</v>
      </c>
      <c r="GE16" s="1795">
        <f t="shared" ref="GE16:GE45" si="102">IF(GF16="","",IF(ISBLANK(CE16),IF(Y16=Z16,0,MAX(ABS(Y16),ABS(Z16))*IF(Y16&lt;0,-1,1)),CE16))</f>
        <v>0</v>
      </c>
      <c r="GF16" s="600" t="str">
        <f t="shared" ref="GF16:GF45" si="103">IF(A16=0,"",A16)</f>
        <v>J42</v>
      </c>
      <c r="GG16" s="1130">
        <v>0</v>
      </c>
      <c r="GH16" s="1131">
        <v>0</v>
      </c>
      <c r="GI16" s="1130"/>
      <c r="GJ16" s="1131"/>
      <c r="GK16" s="1638">
        <f t="shared" ref="GK16:GK45" si="104">IF(D16="",0,D16*12+E16)</f>
        <v>479.5</v>
      </c>
      <c r="GL16" s="1636">
        <f t="shared" ref="GL16:GL45" si="105">(GA16*12+GB16+GC16+GD16)/COS(ATAN(ABS(GE16/12)))</f>
        <v>479.5</v>
      </c>
      <c r="GM16" s="1637">
        <f>IF(ABS(GK16-GL16)&gt;='Job Info.'!$L$22,ABS(GK16-GL16),0)</f>
        <v>0</v>
      </c>
      <c r="HA16" s="1263" t="s">
        <v>1472</v>
      </c>
      <c r="HB16" s="1264">
        <v>2</v>
      </c>
      <c r="HC16" s="1264" t="s">
        <v>1592</v>
      </c>
      <c r="HD16" s="1265">
        <v>39</v>
      </c>
      <c r="HE16" s="1266">
        <v>11.5</v>
      </c>
      <c r="HF16" s="1264" t="s">
        <v>116</v>
      </c>
      <c r="HG16" s="1264" t="s">
        <v>116</v>
      </c>
      <c r="HH16" s="1264" t="s">
        <v>116</v>
      </c>
      <c r="HI16" s="1267" t="s">
        <v>116</v>
      </c>
      <c r="HJ16" s="1264" t="s">
        <v>116</v>
      </c>
      <c r="HK16" s="1264" t="s">
        <v>116</v>
      </c>
      <c r="HL16" s="1264">
        <v>5</v>
      </c>
      <c r="HM16" s="1264">
        <v>5</v>
      </c>
      <c r="HN16" s="1264" t="s">
        <v>116</v>
      </c>
      <c r="HO16" s="1264" t="s">
        <v>116</v>
      </c>
      <c r="HP16" s="1264" t="s">
        <v>116</v>
      </c>
      <c r="HQ16" s="1267" t="s">
        <v>116</v>
      </c>
      <c r="HR16" s="1264" t="s">
        <v>116</v>
      </c>
      <c r="HS16" s="1264" t="s">
        <v>116</v>
      </c>
      <c r="HT16" s="1264">
        <v>0</v>
      </c>
      <c r="HU16" s="1264">
        <v>2.25</v>
      </c>
      <c r="HV16" s="1264">
        <v>0</v>
      </c>
      <c r="HW16" s="1266">
        <v>2.25</v>
      </c>
      <c r="HX16" s="1266">
        <v>4</v>
      </c>
      <c r="HY16" s="1266" t="s">
        <v>116</v>
      </c>
      <c r="HZ16" s="1266" t="s">
        <v>116</v>
      </c>
      <c r="IA16" s="1266" t="s">
        <v>1673</v>
      </c>
      <c r="IB16" s="1266"/>
      <c r="IC16" s="1266"/>
      <c r="ID16" s="1266"/>
      <c r="IE16" s="1266"/>
      <c r="IF16" s="1268"/>
    </row>
    <row r="17" spans="1:240" ht="12.6" customHeight="1" x14ac:dyDescent="0.25">
      <c r="A17" s="1448" t="s">
        <v>1473</v>
      </c>
      <c r="B17" s="1681">
        <v>84</v>
      </c>
      <c r="C17" s="1449" t="s">
        <v>1592</v>
      </c>
      <c r="D17" s="1705">
        <v>39</v>
      </c>
      <c r="E17" s="1706">
        <v>11.5</v>
      </c>
      <c r="F17" s="1714" t="str">
        <f t="shared" si="1"/>
        <v/>
      </c>
      <c r="G17" s="1709" t="str">
        <f t="shared" si="2"/>
        <v/>
      </c>
      <c r="H17" s="1779" t="str">
        <f t="shared" si="3"/>
        <v/>
      </c>
      <c r="I17" s="1705" t="str">
        <f t="shared" si="4"/>
        <v/>
      </c>
      <c r="J17" s="1709" t="str">
        <f t="shared" si="5"/>
        <v/>
      </c>
      <c r="K17" s="1796" t="str">
        <f t="shared" si="6"/>
        <v/>
      </c>
      <c r="L17" s="1712">
        <v>5</v>
      </c>
      <c r="M17" s="1713">
        <v>5</v>
      </c>
      <c r="N17" s="1708" t="str">
        <f t="shared" si="7"/>
        <v/>
      </c>
      <c r="O17" s="1709" t="str">
        <f t="shared" si="8"/>
        <v/>
      </c>
      <c r="P17" s="1710" t="str">
        <f t="shared" si="9"/>
        <v/>
      </c>
      <c r="Q17" s="1705" t="str">
        <f t="shared" si="10"/>
        <v/>
      </c>
      <c r="R17" s="1709" t="str">
        <f t="shared" si="11"/>
        <v/>
      </c>
      <c r="S17" s="1711" t="str">
        <f t="shared" si="12"/>
        <v/>
      </c>
      <c r="T17" s="1714">
        <v>0</v>
      </c>
      <c r="U17" s="1709">
        <v>2.25</v>
      </c>
      <c r="V17" s="1705">
        <v>0</v>
      </c>
      <c r="W17" s="1709">
        <v>2.25</v>
      </c>
      <c r="X17" s="1713">
        <v>4</v>
      </c>
      <c r="Y17" s="1781" t="str">
        <f t="shared" si="13"/>
        <v/>
      </c>
      <c r="Z17" s="1782" t="str">
        <f t="shared" si="14"/>
        <v/>
      </c>
      <c r="AA17" s="1783" t="s">
        <v>1744</v>
      </c>
      <c r="AB17" s="1413"/>
      <c r="AC17" s="964" t="b">
        <v>0</v>
      </c>
      <c r="AD17" s="441">
        <f t="shared" si="15"/>
        <v>0</v>
      </c>
      <c r="AE17" s="442">
        <f t="shared" si="16"/>
        <v>84</v>
      </c>
      <c r="AF17" s="442">
        <f t="shared" si="17"/>
        <v>0</v>
      </c>
      <c r="AG17" s="442">
        <f t="shared" si="18"/>
        <v>0</v>
      </c>
      <c r="AH17" s="443">
        <f t="shared" si="19"/>
        <v>0</v>
      </c>
      <c r="AI17" s="444" t="b">
        <v>0</v>
      </c>
      <c r="AJ17" s="238">
        <f t="shared" si="20"/>
        <v>32</v>
      </c>
      <c r="AK17" s="830" t="str">
        <f t="shared" si="21"/>
        <v>LH</v>
      </c>
      <c r="AL17" s="945" t="str">
        <f t="shared" si="22"/>
        <v/>
      </c>
      <c r="AM17" s="830">
        <f t="shared" si="23"/>
        <v>305</v>
      </c>
      <c r="AN17" s="830">
        <f t="shared" si="24"/>
        <v>180</v>
      </c>
      <c r="AO17" s="830" t="str">
        <f t="shared" si="25"/>
        <v/>
      </c>
      <c r="AP17" s="830" t="b">
        <f>IF(ISERROR(AJ17),FALSE,IF(OR(AJ17=0,ISERROR(AL17),ISERROR(AM17),ISERROR(AN17),ISERROR(AO17)),FALSE,IF(AL17&lt;&gt;"",IF(ISERROR(VLOOKUP(SUBSTITUTE(SUBSTITUTE(C17,"R",""),"A",""),TblJoistSize!$A:$A,1,FALSE)),FALSE,TRUE),TRUE)))</f>
        <v>1</v>
      </c>
      <c r="AQ17" s="1038">
        <f t="shared" si="26"/>
        <v>6</v>
      </c>
      <c r="AR17" s="945" t="b">
        <f t="shared" si="27"/>
        <v>1</v>
      </c>
      <c r="AS17" s="1038">
        <f t="shared" si="28"/>
        <v>6</v>
      </c>
      <c r="AT17" s="945" t="b">
        <f t="shared" si="29"/>
        <v>1</v>
      </c>
      <c r="AU17" s="946" t="str">
        <f t="shared" si="30"/>
        <v>LH</v>
      </c>
      <c r="AV17" s="830" t="str">
        <f t="shared" si="31"/>
        <v/>
      </c>
      <c r="AW17" s="830" t="str">
        <f t="shared" si="32"/>
        <v>LH</v>
      </c>
      <c r="AX17" s="830" t="str">
        <f t="shared" ref="AX17:AX45" si="106">IF(AND(OR(ISBLANK(A17),A17=""),AA17&lt;&gt;""),AX16,IF(OR(ISBLANK(A17),A17=""),"",A17))</f>
        <v>J43</v>
      </c>
      <c r="AY17" s="1039" t="b">
        <f t="shared" si="33"/>
        <v>0</v>
      </c>
      <c r="AZ17" s="856" t="b">
        <f t="shared" si="34"/>
        <v>0</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35"/>
        <v/>
      </c>
      <c r="BR17" s="910"/>
      <c r="BS17" s="672"/>
      <c r="BT17" s="713"/>
      <c r="BU17" s="714"/>
      <c r="BV17" s="1625"/>
      <c r="BW17" s="713"/>
      <c r="BX17" s="714"/>
      <c r="BY17" s="715"/>
      <c r="BZ17" s="716"/>
      <c r="CA17" s="680" t="str">
        <f>IF(ISERROR(DE17),"",IF(DE17="","",IF(VLOOKUP(BS17,SectInfo!$B:$N,10,FALSE)="","","X")))</f>
        <v/>
      </c>
      <c r="CB17" s="738"/>
      <c r="CC17" s="1551" t="str">
        <f t="shared" si="36"/>
        <v/>
      </c>
      <c r="CD17" s="910"/>
      <c r="CE17" s="717"/>
      <c r="CF17" s="736"/>
      <c r="CG17" s="737"/>
      <c r="CH17" s="591" t="str">
        <f t="shared" si="37"/>
        <v/>
      </c>
      <c r="CI17" s="592" t="str">
        <f t="shared" si="38"/>
        <v/>
      </c>
      <c r="CJ17" s="593" t="str">
        <f t="shared" si="39"/>
        <v/>
      </c>
      <c r="CK17" s="594" t="str">
        <f t="shared" si="40"/>
        <v/>
      </c>
      <c r="CL17" s="595" t="str">
        <f t="shared" si="41"/>
        <v/>
      </c>
      <c r="CM17" s="596" t="str">
        <f t="shared" si="42"/>
        <v/>
      </c>
      <c r="CN17" s="597" t="str">
        <f t="shared" si="43"/>
        <v/>
      </c>
      <c r="CO17" s="598" t="str">
        <f t="shared" si="44"/>
        <v/>
      </c>
      <c r="CP17" s="615" t="str">
        <f t="shared" si="45"/>
        <v/>
      </c>
      <c r="CQ17" s="616" t="str">
        <f t="shared" si="46"/>
        <v/>
      </c>
      <c r="CR17" s="750">
        <f t="shared" si="47"/>
        <v>5</v>
      </c>
      <c r="CS17" s="751">
        <f t="shared" si="48"/>
        <v>5</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49"/>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50"/>
        <v>0</v>
      </c>
      <c r="DO17" s="818">
        <f t="shared" si="51"/>
        <v>0</v>
      </c>
      <c r="DP17" s="822" t="str">
        <f t="shared" si="52"/>
        <v/>
      </c>
      <c r="DQ17" s="822" t="str">
        <f t="shared" si="53"/>
        <v/>
      </c>
      <c r="DR17" s="822" t="str">
        <f t="shared" si="54"/>
        <v/>
      </c>
      <c r="DS17" s="821">
        <f t="shared" si="55"/>
        <v>0</v>
      </c>
      <c r="DT17" s="821">
        <f t="shared" si="56"/>
        <v>0</v>
      </c>
      <c r="DU17" s="821" t="str">
        <f t="shared" si="57"/>
        <v/>
      </c>
      <c r="DV17" s="822" t="str">
        <f t="shared" si="58"/>
        <v/>
      </c>
      <c r="DW17" s="856" t="str">
        <f t="shared" si="59"/>
        <v/>
      </c>
      <c r="DX17" s="1006">
        <f t="shared" si="60"/>
        <v>0</v>
      </c>
      <c r="DY17" s="822">
        <f t="shared" si="61"/>
        <v>0</v>
      </c>
      <c r="DZ17" s="821">
        <f t="shared" si="62"/>
        <v>0</v>
      </c>
      <c r="EA17" s="821" t="str">
        <f t="shared" si="63"/>
        <v/>
      </c>
      <c r="EB17" s="822" t="str">
        <f t="shared" si="64"/>
        <v/>
      </c>
      <c r="EC17" s="856" t="str">
        <f t="shared" si="65"/>
        <v/>
      </c>
      <c r="ED17" s="1006">
        <f t="shared" si="66"/>
        <v>0</v>
      </c>
      <c r="EE17" s="1293" t="str">
        <f t="shared" si="67"/>
        <v/>
      </c>
      <c r="EF17" s="1293" t="str">
        <f t="shared" si="68"/>
        <v/>
      </c>
      <c r="EG17" s="1293" t="str">
        <f t="shared" si="69"/>
        <v/>
      </c>
      <c r="EH17" s="856" t="str">
        <f t="shared" si="70"/>
        <v>ERR</v>
      </c>
      <c r="EI17" s="856" t="str">
        <f t="shared" si="71"/>
        <v>ERR</v>
      </c>
      <c r="EJ17" s="822" t="str">
        <f t="shared" si="72"/>
        <v/>
      </c>
      <c r="EK17" s="822" t="str">
        <f t="shared" si="72"/>
        <v/>
      </c>
      <c r="EL17" s="1293" t="str">
        <f t="shared" si="73"/>
        <v/>
      </c>
      <c r="EM17" s="822" t="str">
        <f t="shared" si="74"/>
        <v/>
      </c>
      <c r="EN17" s="822" t="str">
        <f t="shared" si="75"/>
        <v/>
      </c>
      <c r="EO17" s="856" t="str">
        <f t="shared" si="76"/>
        <v>ERR</v>
      </c>
      <c r="EP17" s="856" t="str">
        <f t="shared" si="77"/>
        <v>ERR</v>
      </c>
      <c r="EQ17" s="1293" t="str">
        <f t="shared" si="78"/>
        <v/>
      </c>
      <c r="ER17" s="822" t="str">
        <f t="shared" si="78"/>
        <v/>
      </c>
      <c r="ES17" s="822" t="str">
        <f t="shared" si="79"/>
        <v/>
      </c>
      <c r="ET17" s="822" t="str">
        <f t="shared" si="80"/>
        <v/>
      </c>
      <c r="EU17" s="829">
        <f t="shared" si="81"/>
        <v>4</v>
      </c>
      <c r="EV17" s="824" t="str">
        <f t="shared" si="82"/>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83"/>
        <v/>
      </c>
      <c r="FA17" s="829" t="str">
        <f>IF(AND(DE17="G", ISBLANK(BW17), ISBLANK(BX17)),VLOOKUP(MIN(BT17:BU17),TblJoistSize!$M$3:$N$10,2),IF(OR(DE17="B", DE17="G"),MIN(BW17:BX17),""))</f>
        <v/>
      </c>
      <c r="FB17" s="829" t="str">
        <f>IF(AND(DE17="G", ISBLANK(BW17), ISBLANK(BX17)),VLOOKUP(MAX(BT17:BU17),TblJoistSize!$M$3:$N$10,2),IF(OR(DE17="B", DE17="G"),MAX(BW17:BX17),""))</f>
        <v/>
      </c>
      <c r="FC17" s="829" t="str">
        <f t="shared" si="84"/>
        <v/>
      </c>
      <c r="FD17" s="821">
        <f t="shared" ref="FD17:FD45" si="107">IF(DD17="",0,ATAN(DD17/12))</f>
        <v>0</v>
      </c>
      <c r="FE17" s="821">
        <f t="shared" si="85"/>
        <v>0</v>
      </c>
      <c r="FF17" s="821">
        <f t="shared" si="86"/>
        <v>0</v>
      </c>
      <c r="FG17" s="821" t="str">
        <f t="shared" si="87"/>
        <v/>
      </c>
      <c r="FH17" s="822" t="str">
        <f t="shared" si="88"/>
        <v/>
      </c>
      <c r="FI17" s="821">
        <f t="shared" ref="FI17:FI45" si="108">IF(DN17="",0,ATAN(DN17/12))</f>
        <v>0</v>
      </c>
      <c r="FJ17" s="821">
        <f t="shared" si="89"/>
        <v>0</v>
      </c>
      <c r="FK17" s="821">
        <f t="shared" si="90"/>
        <v>0</v>
      </c>
      <c r="FL17" s="821" t="str">
        <f t="shared" si="91"/>
        <v/>
      </c>
      <c r="FM17" s="822" t="str">
        <f t="shared" si="92"/>
        <v/>
      </c>
      <c r="FN17" s="822" t="e">
        <f t="shared" si="93"/>
        <v>#VALUE!</v>
      </c>
      <c r="FO17" s="940" t="e">
        <f t="shared" si="94"/>
        <v>#VALUE!</v>
      </c>
      <c r="FP17" s="940" t="e">
        <f t="shared" si="95"/>
        <v>#VALUE!</v>
      </c>
      <c r="FQ17" s="830" t="e">
        <f t="shared" si="96"/>
        <v>#VALUE!</v>
      </c>
      <c r="FR17" s="831" t="e">
        <f t="shared" si="97"/>
        <v>#VALUE!</v>
      </c>
      <c r="FS17" s="832" t="str">
        <f t="shared" si="98"/>
        <v/>
      </c>
      <c r="FT17" s="833" t="str">
        <f t="shared" si="99"/>
        <v/>
      </c>
      <c r="FU17" s="870">
        <f t="shared" si="100"/>
        <v>0</v>
      </c>
      <c r="FV17" s="871">
        <f t="shared" si="101"/>
        <v>0</v>
      </c>
      <c r="GA17" s="1791">
        <v>40</v>
      </c>
      <c r="GB17" s="1792">
        <v>0</v>
      </c>
      <c r="GC17" s="1793">
        <v>-0.25</v>
      </c>
      <c r="GD17" s="1794">
        <v>-0.25</v>
      </c>
      <c r="GE17" s="1795">
        <f t="shared" si="102"/>
        <v>0</v>
      </c>
      <c r="GF17" s="600" t="str">
        <f t="shared" si="103"/>
        <v>J43</v>
      </c>
      <c r="GG17" s="1130">
        <v>0</v>
      </c>
      <c r="GH17" s="1131">
        <v>0</v>
      </c>
      <c r="GI17" s="1130"/>
      <c r="GJ17" s="1131"/>
      <c r="GK17" s="1638">
        <f t="shared" si="104"/>
        <v>479.5</v>
      </c>
      <c r="GL17" s="1636">
        <f t="shared" si="105"/>
        <v>479.5</v>
      </c>
      <c r="GM17" s="1637">
        <f>IF(ABS(GK17-GL17)&gt;='Job Info.'!$L$22,ABS(GK17-GL17),0)</f>
        <v>0</v>
      </c>
      <c r="HA17" s="1269" t="s">
        <v>1473</v>
      </c>
      <c r="HB17" s="1270">
        <v>84</v>
      </c>
      <c r="HC17" s="1270" t="s">
        <v>1592</v>
      </c>
      <c r="HD17" s="1271">
        <v>39</v>
      </c>
      <c r="HE17" s="1272">
        <v>11.5</v>
      </c>
      <c r="HF17" s="1270" t="s">
        <v>116</v>
      </c>
      <c r="HG17" s="1270" t="s">
        <v>116</v>
      </c>
      <c r="HH17" s="1270" t="s">
        <v>116</v>
      </c>
      <c r="HI17" s="1273" t="s">
        <v>116</v>
      </c>
      <c r="HJ17" s="1270" t="s">
        <v>116</v>
      </c>
      <c r="HK17" s="1270" t="s">
        <v>116</v>
      </c>
      <c r="HL17" s="1270">
        <v>5</v>
      </c>
      <c r="HM17" s="1270">
        <v>5</v>
      </c>
      <c r="HN17" s="1270" t="s">
        <v>116</v>
      </c>
      <c r="HO17" s="1270" t="s">
        <v>116</v>
      </c>
      <c r="HP17" s="1270" t="s">
        <v>116</v>
      </c>
      <c r="HQ17" s="1273" t="s">
        <v>116</v>
      </c>
      <c r="HR17" s="1270" t="s">
        <v>116</v>
      </c>
      <c r="HS17" s="1270" t="s">
        <v>116</v>
      </c>
      <c r="HT17" s="1270">
        <v>0</v>
      </c>
      <c r="HU17" s="1270">
        <v>2.25</v>
      </c>
      <c r="HV17" s="1270">
        <v>0</v>
      </c>
      <c r="HW17" s="1272">
        <v>2.25</v>
      </c>
      <c r="HX17" s="1272">
        <v>4</v>
      </c>
      <c r="HY17" s="1272" t="s">
        <v>116</v>
      </c>
      <c r="HZ17" s="1272" t="s">
        <v>116</v>
      </c>
      <c r="IA17" s="1272" t="s">
        <v>1664</v>
      </c>
      <c r="IB17" s="1272"/>
      <c r="IC17" s="1272"/>
      <c r="ID17" s="1272"/>
      <c r="IE17" s="1272"/>
      <c r="IF17" s="1274"/>
    </row>
    <row r="18" spans="1:240" ht="12.6" customHeight="1" x14ac:dyDescent="0.25">
      <c r="A18" s="1448" t="s">
        <v>1474</v>
      </c>
      <c r="B18" s="1681">
        <v>9</v>
      </c>
      <c r="C18" s="1449" t="s">
        <v>1592</v>
      </c>
      <c r="D18" s="1705">
        <v>39</v>
      </c>
      <c r="E18" s="1706">
        <v>11.5</v>
      </c>
      <c r="F18" s="1714" t="str">
        <f t="shared" si="1"/>
        <v/>
      </c>
      <c r="G18" s="1709" t="str">
        <f t="shared" si="2"/>
        <v/>
      </c>
      <c r="H18" s="1779" t="str">
        <f t="shared" si="3"/>
        <v/>
      </c>
      <c r="I18" s="1705" t="str">
        <f t="shared" si="4"/>
        <v/>
      </c>
      <c r="J18" s="1709" t="str">
        <f t="shared" si="5"/>
        <v/>
      </c>
      <c r="K18" s="1796" t="str">
        <f t="shared" si="6"/>
        <v/>
      </c>
      <c r="L18" s="1712">
        <v>5</v>
      </c>
      <c r="M18" s="1713">
        <v>5</v>
      </c>
      <c r="N18" s="1708">
        <v>0</v>
      </c>
      <c r="O18" s="1709">
        <v>6.75</v>
      </c>
      <c r="P18" s="1710">
        <v>2</v>
      </c>
      <c r="Q18" s="1705">
        <v>0</v>
      </c>
      <c r="R18" s="1709">
        <v>6.75</v>
      </c>
      <c r="S18" s="1711">
        <v>2</v>
      </c>
      <c r="T18" s="1714">
        <v>0</v>
      </c>
      <c r="U18" s="1709">
        <v>2.25</v>
      </c>
      <c r="V18" s="1705">
        <v>0</v>
      </c>
      <c r="W18" s="1709">
        <v>2.25</v>
      </c>
      <c r="X18" s="1713">
        <v>4</v>
      </c>
      <c r="Y18" s="1781" t="str">
        <f t="shared" si="13"/>
        <v/>
      </c>
      <c r="Z18" s="1782" t="str">
        <f t="shared" si="14"/>
        <v/>
      </c>
      <c r="AA18" s="1783" t="s">
        <v>1745</v>
      </c>
      <c r="AB18" s="1413"/>
      <c r="AC18" s="964" t="b">
        <v>0</v>
      </c>
      <c r="AD18" s="441">
        <f t="shared" si="15"/>
        <v>0</v>
      </c>
      <c r="AE18" s="442">
        <f t="shared" si="16"/>
        <v>9</v>
      </c>
      <c r="AF18" s="442">
        <f t="shared" si="17"/>
        <v>0</v>
      </c>
      <c r="AG18" s="442">
        <f t="shared" si="18"/>
        <v>0</v>
      </c>
      <c r="AH18" s="443">
        <f t="shared" si="19"/>
        <v>0</v>
      </c>
      <c r="AI18" s="444" t="b">
        <v>0</v>
      </c>
      <c r="AJ18" s="238">
        <f t="shared" si="20"/>
        <v>32</v>
      </c>
      <c r="AK18" s="830" t="str">
        <f t="shared" si="21"/>
        <v>LH</v>
      </c>
      <c r="AL18" s="945" t="str">
        <f t="shared" si="22"/>
        <v/>
      </c>
      <c r="AM18" s="830">
        <f t="shared" si="23"/>
        <v>305</v>
      </c>
      <c r="AN18" s="830">
        <f t="shared" si="24"/>
        <v>180</v>
      </c>
      <c r="AO18" s="830" t="str">
        <f t="shared" si="25"/>
        <v/>
      </c>
      <c r="AP18" s="830" t="b">
        <f>IF(ISERROR(AJ18),FALSE,IF(OR(AJ18=0,ISERROR(AL18),ISERROR(AM18),ISERROR(AN18),ISERROR(AO18)),FALSE,IF(AL18&lt;&gt;"",IF(ISERROR(VLOOKUP(SUBSTITUTE(SUBSTITUTE(C18,"R",""),"A",""),TblJoistSize!$A:$A,1,FALSE)),FALSE,TRUE),TRUE)))</f>
        <v>1</v>
      </c>
      <c r="AQ18" s="1038">
        <f t="shared" si="26"/>
        <v>6</v>
      </c>
      <c r="AR18" s="945" t="b">
        <f t="shared" si="27"/>
        <v>1</v>
      </c>
      <c r="AS18" s="1038">
        <f t="shared" si="28"/>
        <v>6</v>
      </c>
      <c r="AT18" s="945" t="b">
        <f t="shared" si="29"/>
        <v>1</v>
      </c>
      <c r="AU18" s="946" t="str">
        <f t="shared" si="30"/>
        <v>LH</v>
      </c>
      <c r="AV18" s="830" t="str">
        <f t="shared" si="31"/>
        <v/>
      </c>
      <c r="AW18" s="830" t="str">
        <f t="shared" si="32"/>
        <v>LH</v>
      </c>
      <c r="AX18" s="830" t="str">
        <f t="shared" si="106"/>
        <v>TJ44</v>
      </c>
      <c r="AY18" s="1039" t="b">
        <f t="shared" si="33"/>
        <v>0</v>
      </c>
      <c r="AZ18" s="856" t="b">
        <f t="shared" si="34"/>
        <v>0</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35"/>
        <v/>
      </c>
      <c r="BR18" s="910"/>
      <c r="BS18" s="672"/>
      <c r="BT18" s="713"/>
      <c r="BU18" s="714"/>
      <c r="BV18" s="1625"/>
      <c r="BW18" s="713"/>
      <c r="BX18" s="714"/>
      <c r="BY18" s="715"/>
      <c r="BZ18" s="716"/>
      <c r="CA18" s="680" t="str">
        <f>IF(ISERROR(DE18),"",IF(DE18="","",IF(VLOOKUP(BS18,SectInfo!$B:$N,10,FALSE)="","","X")))</f>
        <v/>
      </c>
      <c r="CB18" s="738"/>
      <c r="CC18" s="1551" t="str">
        <f t="shared" si="36"/>
        <v/>
      </c>
      <c r="CD18" s="910"/>
      <c r="CE18" s="717"/>
      <c r="CF18" s="736"/>
      <c r="CG18" s="737"/>
      <c r="CH18" s="591" t="str">
        <f t="shared" si="37"/>
        <v/>
      </c>
      <c r="CI18" s="592" t="str">
        <f t="shared" si="38"/>
        <v/>
      </c>
      <c r="CJ18" s="593" t="str">
        <f t="shared" si="39"/>
        <v/>
      </c>
      <c r="CK18" s="594" t="str">
        <f t="shared" si="40"/>
        <v/>
      </c>
      <c r="CL18" s="595" t="str">
        <f t="shared" si="41"/>
        <v/>
      </c>
      <c r="CM18" s="596" t="str">
        <f t="shared" si="42"/>
        <v/>
      </c>
      <c r="CN18" s="597" t="str">
        <f t="shared" si="43"/>
        <v/>
      </c>
      <c r="CO18" s="598" t="str">
        <f t="shared" si="44"/>
        <v/>
      </c>
      <c r="CP18" s="615" t="str">
        <f t="shared" si="45"/>
        <v/>
      </c>
      <c r="CQ18" s="616" t="str">
        <f t="shared" si="46"/>
        <v/>
      </c>
      <c r="CR18" s="750">
        <f t="shared" si="47"/>
        <v>5</v>
      </c>
      <c r="CS18" s="751">
        <f t="shared" si="48"/>
        <v>5</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49"/>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50"/>
        <v>0</v>
      </c>
      <c r="DO18" s="818">
        <f t="shared" si="51"/>
        <v>0</v>
      </c>
      <c r="DP18" s="822" t="str">
        <f t="shared" si="52"/>
        <v/>
      </c>
      <c r="DQ18" s="822" t="str">
        <f t="shared" si="53"/>
        <v/>
      </c>
      <c r="DR18" s="822" t="str">
        <f t="shared" si="54"/>
        <v/>
      </c>
      <c r="DS18" s="821">
        <f t="shared" si="55"/>
        <v>0</v>
      </c>
      <c r="DT18" s="821">
        <f t="shared" si="56"/>
        <v>0</v>
      </c>
      <c r="DU18" s="821" t="str">
        <f t="shared" si="57"/>
        <v/>
      </c>
      <c r="DV18" s="822" t="str">
        <f t="shared" si="58"/>
        <v/>
      </c>
      <c r="DW18" s="856" t="str">
        <f t="shared" si="59"/>
        <v/>
      </c>
      <c r="DX18" s="1006">
        <f t="shared" si="60"/>
        <v>0</v>
      </c>
      <c r="DY18" s="822">
        <f t="shared" si="61"/>
        <v>0</v>
      </c>
      <c r="DZ18" s="821">
        <f t="shared" si="62"/>
        <v>0</v>
      </c>
      <c r="EA18" s="821" t="str">
        <f t="shared" si="63"/>
        <v/>
      </c>
      <c r="EB18" s="822" t="str">
        <f t="shared" si="64"/>
        <v/>
      </c>
      <c r="EC18" s="856" t="str">
        <f t="shared" si="65"/>
        <v/>
      </c>
      <c r="ED18" s="1006">
        <f t="shared" si="66"/>
        <v>0</v>
      </c>
      <c r="EE18" s="1293" t="str">
        <f t="shared" si="67"/>
        <v/>
      </c>
      <c r="EF18" s="1293" t="str">
        <f t="shared" si="68"/>
        <v/>
      </c>
      <c r="EG18" s="1293" t="str">
        <f t="shared" si="69"/>
        <v/>
      </c>
      <c r="EH18" s="856" t="str">
        <f t="shared" si="70"/>
        <v>ERR</v>
      </c>
      <c r="EI18" s="856" t="str">
        <f t="shared" si="71"/>
        <v>ERR</v>
      </c>
      <c r="EJ18" s="822" t="str">
        <f t="shared" si="72"/>
        <v/>
      </c>
      <c r="EK18" s="822" t="str">
        <f t="shared" si="72"/>
        <v/>
      </c>
      <c r="EL18" s="1293" t="str">
        <f t="shared" si="73"/>
        <v/>
      </c>
      <c r="EM18" s="822" t="str">
        <f t="shared" si="74"/>
        <v/>
      </c>
      <c r="EN18" s="822" t="str">
        <f t="shared" si="75"/>
        <v/>
      </c>
      <c r="EO18" s="856" t="str">
        <f t="shared" si="76"/>
        <v>ERR</v>
      </c>
      <c r="EP18" s="856" t="str">
        <f t="shared" si="77"/>
        <v>ERR</v>
      </c>
      <c r="EQ18" s="1293" t="str">
        <f t="shared" si="78"/>
        <v/>
      </c>
      <c r="ER18" s="822" t="str">
        <f t="shared" si="78"/>
        <v/>
      </c>
      <c r="ES18" s="822" t="str">
        <f t="shared" si="79"/>
        <v/>
      </c>
      <c r="ET18" s="822" t="str">
        <f t="shared" si="80"/>
        <v/>
      </c>
      <c r="EU18" s="829">
        <f t="shared" si="81"/>
        <v>4</v>
      </c>
      <c r="EV18" s="824" t="str">
        <f t="shared" si="82"/>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83"/>
        <v/>
      </c>
      <c r="FA18" s="829" t="str">
        <f>IF(AND(DE18="G", ISBLANK(BW18), ISBLANK(BX18)),VLOOKUP(MIN(BT18:BU18),TblJoistSize!$M$3:$N$10,2),IF(OR(DE18="B", DE18="G"),MIN(BW18:BX18),""))</f>
        <v/>
      </c>
      <c r="FB18" s="829" t="str">
        <f>IF(AND(DE18="G", ISBLANK(BW18), ISBLANK(BX18)),VLOOKUP(MAX(BT18:BU18),TblJoistSize!$M$3:$N$10,2),IF(OR(DE18="B", DE18="G"),MAX(BW18:BX18),""))</f>
        <v/>
      </c>
      <c r="FC18" s="829" t="str">
        <f t="shared" si="84"/>
        <v/>
      </c>
      <c r="FD18" s="821">
        <f t="shared" si="107"/>
        <v>0</v>
      </c>
      <c r="FE18" s="821">
        <f t="shared" si="85"/>
        <v>0</v>
      </c>
      <c r="FF18" s="821">
        <f t="shared" si="86"/>
        <v>0</v>
      </c>
      <c r="FG18" s="821" t="str">
        <f t="shared" si="87"/>
        <v/>
      </c>
      <c r="FH18" s="822" t="str">
        <f t="shared" si="88"/>
        <v/>
      </c>
      <c r="FI18" s="821">
        <f t="shared" si="108"/>
        <v>0</v>
      </c>
      <c r="FJ18" s="821">
        <f t="shared" si="89"/>
        <v>0</v>
      </c>
      <c r="FK18" s="821">
        <f t="shared" si="90"/>
        <v>0</v>
      </c>
      <c r="FL18" s="821" t="str">
        <f t="shared" si="91"/>
        <v/>
      </c>
      <c r="FM18" s="822" t="str">
        <f t="shared" si="92"/>
        <v/>
      </c>
      <c r="FN18" s="822" t="e">
        <f t="shared" si="93"/>
        <v>#VALUE!</v>
      </c>
      <c r="FO18" s="940" t="e">
        <f t="shared" si="94"/>
        <v>#VALUE!</v>
      </c>
      <c r="FP18" s="940" t="e">
        <f t="shared" si="95"/>
        <v>#VALUE!</v>
      </c>
      <c r="FQ18" s="830" t="e">
        <f t="shared" si="96"/>
        <v>#VALUE!</v>
      </c>
      <c r="FR18" s="831" t="e">
        <f t="shared" si="97"/>
        <v>#VALUE!</v>
      </c>
      <c r="FS18" s="832" t="str">
        <f t="shared" si="98"/>
        <v/>
      </c>
      <c r="FT18" s="833" t="str">
        <f t="shared" si="99"/>
        <v/>
      </c>
      <c r="FU18" s="870">
        <f t="shared" si="100"/>
        <v>0</v>
      </c>
      <c r="FV18" s="871">
        <f t="shared" si="101"/>
        <v>0</v>
      </c>
      <c r="GA18" s="1791">
        <v>40</v>
      </c>
      <c r="GB18" s="1792">
        <v>0</v>
      </c>
      <c r="GC18" s="1793">
        <v>-0.25</v>
      </c>
      <c r="GD18" s="1794">
        <v>-0.25</v>
      </c>
      <c r="GE18" s="1795">
        <f t="shared" si="102"/>
        <v>0</v>
      </c>
      <c r="GF18" s="600" t="str">
        <f t="shared" si="103"/>
        <v>TJ44</v>
      </c>
      <c r="GG18" s="1130">
        <v>0</v>
      </c>
      <c r="GH18" s="1131">
        <v>0</v>
      </c>
      <c r="GI18" s="1130"/>
      <c r="GJ18" s="1131"/>
      <c r="GK18" s="1638">
        <f t="shared" si="104"/>
        <v>479.5</v>
      </c>
      <c r="GL18" s="1636">
        <f t="shared" si="105"/>
        <v>479.5</v>
      </c>
      <c r="GM18" s="1637">
        <f>IF(ABS(GK18-GL18)&gt;='Job Info.'!$L$22,ABS(GK18-GL18),0)</f>
        <v>0</v>
      </c>
      <c r="HA18" s="1269" t="s">
        <v>1474</v>
      </c>
      <c r="HB18" s="1270">
        <v>9</v>
      </c>
      <c r="HC18" s="1270" t="s">
        <v>1592</v>
      </c>
      <c r="HD18" s="1271">
        <v>39</v>
      </c>
      <c r="HE18" s="1272">
        <v>11.5</v>
      </c>
      <c r="HF18" s="1270" t="s">
        <v>116</v>
      </c>
      <c r="HG18" s="1270" t="s">
        <v>116</v>
      </c>
      <c r="HH18" s="1270" t="s">
        <v>116</v>
      </c>
      <c r="HI18" s="1273" t="s">
        <v>116</v>
      </c>
      <c r="HJ18" s="1270" t="s">
        <v>116</v>
      </c>
      <c r="HK18" s="1270" t="s">
        <v>116</v>
      </c>
      <c r="HL18" s="1270">
        <v>5</v>
      </c>
      <c r="HM18" s="1270">
        <v>5</v>
      </c>
      <c r="HN18" s="1270">
        <v>0</v>
      </c>
      <c r="HO18" s="1270">
        <v>6.75</v>
      </c>
      <c r="HP18" s="1270">
        <v>2</v>
      </c>
      <c r="HQ18" s="1273">
        <v>0</v>
      </c>
      <c r="HR18" s="1270">
        <v>6.75</v>
      </c>
      <c r="HS18" s="1270">
        <v>2</v>
      </c>
      <c r="HT18" s="1270">
        <v>0</v>
      </c>
      <c r="HU18" s="1270">
        <v>2.25</v>
      </c>
      <c r="HV18" s="1270">
        <v>0</v>
      </c>
      <c r="HW18" s="1272">
        <v>2.25</v>
      </c>
      <c r="HX18" s="1272">
        <v>4</v>
      </c>
      <c r="HY18" s="1272" t="s">
        <v>116</v>
      </c>
      <c r="HZ18" s="1272" t="s">
        <v>116</v>
      </c>
      <c r="IA18" s="1272" t="s">
        <v>1664</v>
      </c>
      <c r="IB18" s="1272"/>
      <c r="IC18" s="1272"/>
      <c r="ID18" s="1272"/>
      <c r="IE18" s="1272"/>
      <c r="IF18" s="1274"/>
    </row>
    <row r="19" spans="1:240" ht="12.6" customHeight="1" x14ac:dyDescent="0.25">
      <c r="A19" s="1448" t="s">
        <v>1475</v>
      </c>
      <c r="B19" s="1681">
        <v>2</v>
      </c>
      <c r="C19" s="1449" t="s">
        <v>1592</v>
      </c>
      <c r="D19" s="1705">
        <v>39</v>
      </c>
      <c r="E19" s="1706">
        <v>11.5</v>
      </c>
      <c r="F19" s="1714" t="str">
        <f t="shared" si="1"/>
        <v/>
      </c>
      <c r="G19" s="1709" t="str">
        <f t="shared" si="2"/>
        <v/>
      </c>
      <c r="H19" s="1779" t="str">
        <f t="shared" si="3"/>
        <v/>
      </c>
      <c r="I19" s="1705" t="str">
        <f t="shared" si="4"/>
        <v/>
      </c>
      <c r="J19" s="1709" t="str">
        <f t="shared" si="5"/>
        <v/>
      </c>
      <c r="K19" s="1796" t="str">
        <f t="shared" si="6"/>
        <v/>
      </c>
      <c r="L19" s="1712">
        <v>5</v>
      </c>
      <c r="M19" s="1713">
        <v>5</v>
      </c>
      <c r="N19" s="1708" t="str">
        <f t="shared" si="7"/>
        <v/>
      </c>
      <c r="O19" s="1709" t="str">
        <f t="shared" si="8"/>
        <v/>
      </c>
      <c r="P19" s="1710" t="str">
        <f t="shared" si="9"/>
        <v/>
      </c>
      <c r="Q19" s="1705" t="str">
        <f t="shared" si="10"/>
        <v/>
      </c>
      <c r="R19" s="1709" t="str">
        <f t="shared" si="11"/>
        <v/>
      </c>
      <c r="S19" s="1711" t="str">
        <f t="shared" si="12"/>
        <v/>
      </c>
      <c r="T19" s="1714">
        <v>0</v>
      </c>
      <c r="U19" s="1709">
        <v>2.25</v>
      </c>
      <c r="V19" s="1705">
        <v>0</v>
      </c>
      <c r="W19" s="1709">
        <v>2.25</v>
      </c>
      <c r="X19" s="1713">
        <v>4</v>
      </c>
      <c r="Y19" s="1781" t="str">
        <f t="shared" si="13"/>
        <v/>
      </c>
      <c r="Z19" s="1782" t="str">
        <f t="shared" si="14"/>
        <v/>
      </c>
      <c r="AA19" s="1783" t="s">
        <v>1746</v>
      </c>
      <c r="AB19" s="1413"/>
      <c r="AC19" s="964" t="b">
        <v>0</v>
      </c>
      <c r="AD19" s="441">
        <f t="shared" si="15"/>
        <v>0</v>
      </c>
      <c r="AE19" s="442">
        <f t="shared" si="16"/>
        <v>2</v>
      </c>
      <c r="AF19" s="442">
        <f t="shared" si="17"/>
        <v>0</v>
      </c>
      <c r="AG19" s="442">
        <f t="shared" si="18"/>
        <v>0</v>
      </c>
      <c r="AH19" s="443">
        <f t="shared" si="19"/>
        <v>0</v>
      </c>
      <c r="AI19" s="444" t="b">
        <v>0</v>
      </c>
      <c r="AJ19" s="238">
        <f t="shared" si="20"/>
        <v>32</v>
      </c>
      <c r="AK19" s="830" t="str">
        <f t="shared" si="21"/>
        <v>LH</v>
      </c>
      <c r="AL19" s="945" t="str">
        <f t="shared" si="22"/>
        <v/>
      </c>
      <c r="AM19" s="830">
        <f t="shared" si="23"/>
        <v>305</v>
      </c>
      <c r="AN19" s="830">
        <f t="shared" si="24"/>
        <v>180</v>
      </c>
      <c r="AO19" s="830" t="str">
        <f t="shared" si="25"/>
        <v/>
      </c>
      <c r="AP19" s="830" t="b">
        <f>IF(ISERROR(AJ19),FALSE,IF(OR(AJ19=0,ISERROR(AL19),ISERROR(AM19),ISERROR(AN19),ISERROR(AO19)),FALSE,IF(AL19&lt;&gt;"",IF(ISERROR(VLOOKUP(SUBSTITUTE(SUBSTITUTE(C19,"R",""),"A",""),TblJoistSize!$A:$A,1,FALSE)),FALSE,TRUE),TRUE)))</f>
        <v>1</v>
      </c>
      <c r="AQ19" s="1038">
        <f t="shared" si="26"/>
        <v>6</v>
      </c>
      <c r="AR19" s="945" t="b">
        <f t="shared" si="27"/>
        <v>1</v>
      </c>
      <c r="AS19" s="1038">
        <f t="shared" si="28"/>
        <v>6</v>
      </c>
      <c r="AT19" s="945" t="b">
        <f t="shared" si="29"/>
        <v>1</v>
      </c>
      <c r="AU19" s="946" t="str">
        <f t="shared" si="30"/>
        <v>LH</v>
      </c>
      <c r="AV19" s="830" t="str">
        <f t="shared" si="31"/>
        <v/>
      </c>
      <c r="AW19" s="830" t="str">
        <f t="shared" si="32"/>
        <v>LH</v>
      </c>
      <c r="AX19" s="830" t="str">
        <f t="shared" si="106"/>
        <v>J45</v>
      </c>
      <c r="AY19" s="1039" t="b">
        <f t="shared" si="33"/>
        <v>0</v>
      </c>
      <c r="AZ19" s="856" t="b">
        <f t="shared" si="34"/>
        <v>0</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35"/>
        <v/>
      </c>
      <c r="BR19" s="910"/>
      <c r="BS19" s="672"/>
      <c r="BT19" s="713"/>
      <c r="BU19" s="714"/>
      <c r="BV19" s="1625"/>
      <c r="BW19" s="713"/>
      <c r="BX19" s="714"/>
      <c r="BY19" s="715"/>
      <c r="BZ19" s="716"/>
      <c r="CA19" s="680" t="str">
        <f>IF(ISERROR(DE19),"",IF(DE19="","",IF(VLOOKUP(BS19,SectInfo!$B:$N,10,FALSE)="","","X")))</f>
        <v/>
      </c>
      <c r="CB19" s="738"/>
      <c r="CC19" s="1551" t="str">
        <f t="shared" si="36"/>
        <v/>
      </c>
      <c r="CD19" s="910"/>
      <c r="CE19" s="717"/>
      <c r="CF19" s="736"/>
      <c r="CG19" s="737"/>
      <c r="CH19" s="591" t="str">
        <f t="shared" si="37"/>
        <v/>
      </c>
      <c r="CI19" s="592" t="str">
        <f t="shared" si="38"/>
        <v/>
      </c>
      <c r="CJ19" s="593" t="str">
        <f t="shared" si="39"/>
        <v/>
      </c>
      <c r="CK19" s="594" t="str">
        <f t="shared" si="40"/>
        <v/>
      </c>
      <c r="CL19" s="595" t="str">
        <f t="shared" si="41"/>
        <v/>
      </c>
      <c r="CM19" s="596" t="str">
        <f t="shared" si="42"/>
        <v/>
      </c>
      <c r="CN19" s="597" t="str">
        <f t="shared" si="43"/>
        <v/>
      </c>
      <c r="CO19" s="598" t="str">
        <f t="shared" si="44"/>
        <v/>
      </c>
      <c r="CP19" s="615" t="str">
        <f t="shared" si="45"/>
        <v/>
      </c>
      <c r="CQ19" s="616" t="str">
        <f t="shared" si="46"/>
        <v/>
      </c>
      <c r="CR19" s="750">
        <f t="shared" si="47"/>
        <v>5</v>
      </c>
      <c r="CS19" s="751">
        <f t="shared" si="48"/>
        <v>5</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49"/>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50"/>
        <v>0</v>
      </c>
      <c r="DO19" s="818">
        <f t="shared" si="51"/>
        <v>0</v>
      </c>
      <c r="DP19" s="822" t="str">
        <f t="shared" si="52"/>
        <v/>
      </c>
      <c r="DQ19" s="822" t="str">
        <f t="shared" si="53"/>
        <v/>
      </c>
      <c r="DR19" s="822" t="str">
        <f t="shared" si="54"/>
        <v/>
      </c>
      <c r="DS19" s="821">
        <f t="shared" si="55"/>
        <v>0</v>
      </c>
      <c r="DT19" s="821">
        <f t="shared" si="56"/>
        <v>0</v>
      </c>
      <c r="DU19" s="821" t="str">
        <f t="shared" si="57"/>
        <v/>
      </c>
      <c r="DV19" s="822" t="str">
        <f t="shared" si="58"/>
        <v/>
      </c>
      <c r="DW19" s="856" t="str">
        <f t="shared" si="59"/>
        <v/>
      </c>
      <c r="DX19" s="1006">
        <f t="shared" si="60"/>
        <v>0</v>
      </c>
      <c r="DY19" s="822">
        <f t="shared" si="61"/>
        <v>0</v>
      </c>
      <c r="DZ19" s="821">
        <f t="shared" si="62"/>
        <v>0</v>
      </c>
      <c r="EA19" s="821" t="str">
        <f t="shared" si="63"/>
        <v/>
      </c>
      <c r="EB19" s="822" t="str">
        <f t="shared" si="64"/>
        <v/>
      </c>
      <c r="EC19" s="856" t="str">
        <f t="shared" si="65"/>
        <v/>
      </c>
      <c r="ED19" s="1006">
        <f t="shared" si="66"/>
        <v>0</v>
      </c>
      <c r="EE19" s="1293" t="str">
        <f t="shared" si="67"/>
        <v/>
      </c>
      <c r="EF19" s="1293" t="str">
        <f t="shared" si="68"/>
        <v/>
      </c>
      <c r="EG19" s="1293" t="str">
        <f t="shared" si="69"/>
        <v/>
      </c>
      <c r="EH19" s="856" t="str">
        <f t="shared" si="70"/>
        <v>ERR</v>
      </c>
      <c r="EI19" s="856" t="str">
        <f t="shared" si="71"/>
        <v>ERR</v>
      </c>
      <c r="EJ19" s="822" t="str">
        <f t="shared" si="72"/>
        <v/>
      </c>
      <c r="EK19" s="822" t="str">
        <f t="shared" si="72"/>
        <v/>
      </c>
      <c r="EL19" s="1293" t="str">
        <f t="shared" si="73"/>
        <v/>
      </c>
      <c r="EM19" s="822" t="str">
        <f t="shared" si="74"/>
        <v/>
      </c>
      <c r="EN19" s="822" t="str">
        <f t="shared" si="75"/>
        <v/>
      </c>
      <c r="EO19" s="856" t="str">
        <f t="shared" si="76"/>
        <v>ERR</v>
      </c>
      <c r="EP19" s="856" t="str">
        <f t="shared" si="77"/>
        <v>ERR</v>
      </c>
      <c r="EQ19" s="1293" t="str">
        <f t="shared" si="78"/>
        <v/>
      </c>
      <c r="ER19" s="822" t="str">
        <f t="shared" si="78"/>
        <v/>
      </c>
      <c r="ES19" s="822" t="str">
        <f t="shared" si="79"/>
        <v/>
      </c>
      <c r="ET19" s="822" t="str">
        <f t="shared" si="80"/>
        <v/>
      </c>
      <c r="EU19" s="829">
        <f t="shared" si="81"/>
        <v>4</v>
      </c>
      <c r="EV19" s="824" t="str">
        <f t="shared" si="82"/>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83"/>
        <v/>
      </c>
      <c r="FA19" s="829" t="str">
        <f>IF(AND(DE19="G", ISBLANK(BW19), ISBLANK(BX19)),VLOOKUP(MIN(BT19:BU19),TblJoistSize!$M$3:$N$10,2),IF(OR(DE19="B", DE19="G"),MIN(BW19:BX19),""))</f>
        <v/>
      </c>
      <c r="FB19" s="829" t="str">
        <f>IF(AND(DE19="G", ISBLANK(BW19), ISBLANK(BX19)),VLOOKUP(MAX(BT19:BU19),TblJoistSize!$M$3:$N$10,2),IF(OR(DE19="B", DE19="G"),MAX(BW19:BX19),""))</f>
        <v/>
      </c>
      <c r="FC19" s="829" t="str">
        <f t="shared" si="84"/>
        <v/>
      </c>
      <c r="FD19" s="821">
        <f t="shared" si="107"/>
        <v>0</v>
      </c>
      <c r="FE19" s="821">
        <f t="shared" si="85"/>
        <v>0</v>
      </c>
      <c r="FF19" s="821">
        <f t="shared" si="86"/>
        <v>0</v>
      </c>
      <c r="FG19" s="821" t="str">
        <f t="shared" si="87"/>
        <v/>
      </c>
      <c r="FH19" s="822" t="str">
        <f t="shared" si="88"/>
        <v/>
      </c>
      <c r="FI19" s="821">
        <f t="shared" si="108"/>
        <v>0</v>
      </c>
      <c r="FJ19" s="821">
        <f t="shared" si="89"/>
        <v>0</v>
      </c>
      <c r="FK19" s="821">
        <f t="shared" si="90"/>
        <v>0</v>
      </c>
      <c r="FL19" s="821" t="str">
        <f t="shared" si="91"/>
        <v/>
      </c>
      <c r="FM19" s="822" t="str">
        <f t="shared" si="92"/>
        <v/>
      </c>
      <c r="FN19" s="822" t="e">
        <f t="shared" si="93"/>
        <v>#VALUE!</v>
      </c>
      <c r="FO19" s="940" t="e">
        <f t="shared" si="94"/>
        <v>#VALUE!</v>
      </c>
      <c r="FP19" s="940" t="e">
        <f t="shared" si="95"/>
        <v>#VALUE!</v>
      </c>
      <c r="FQ19" s="830" t="e">
        <f t="shared" si="96"/>
        <v>#VALUE!</v>
      </c>
      <c r="FR19" s="831" t="e">
        <f t="shared" si="97"/>
        <v>#VALUE!</v>
      </c>
      <c r="FS19" s="832" t="str">
        <f t="shared" si="98"/>
        <v/>
      </c>
      <c r="FT19" s="833" t="str">
        <f t="shared" si="99"/>
        <v/>
      </c>
      <c r="FU19" s="870">
        <f t="shared" si="100"/>
        <v>0</v>
      </c>
      <c r="FV19" s="871">
        <f t="shared" si="101"/>
        <v>0</v>
      </c>
      <c r="GA19" s="1791">
        <v>40</v>
      </c>
      <c r="GB19" s="1792">
        <v>0</v>
      </c>
      <c r="GC19" s="1793">
        <v>-0.25</v>
      </c>
      <c r="GD19" s="1794">
        <v>-0.25</v>
      </c>
      <c r="GE19" s="1795">
        <f t="shared" si="102"/>
        <v>0</v>
      </c>
      <c r="GF19" s="600" t="str">
        <f t="shared" si="103"/>
        <v>J45</v>
      </c>
      <c r="GG19" s="1130">
        <v>0</v>
      </c>
      <c r="GH19" s="1131">
        <v>0</v>
      </c>
      <c r="GI19" s="1130"/>
      <c r="GJ19" s="1131"/>
      <c r="GK19" s="1638">
        <f t="shared" si="104"/>
        <v>479.5</v>
      </c>
      <c r="GL19" s="1636">
        <f t="shared" si="105"/>
        <v>479.5</v>
      </c>
      <c r="GM19" s="1637">
        <f>IF(ABS(GK19-GL19)&gt;='Job Info.'!$L$22,ABS(GK19-GL19),0)</f>
        <v>0</v>
      </c>
      <c r="HA19" s="1269" t="s">
        <v>1475</v>
      </c>
      <c r="HB19" s="1270">
        <v>2</v>
      </c>
      <c r="HC19" s="1270" t="s">
        <v>1592</v>
      </c>
      <c r="HD19" s="1271">
        <v>39</v>
      </c>
      <c r="HE19" s="1272">
        <v>11.5</v>
      </c>
      <c r="HF19" s="1270" t="s">
        <v>116</v>
      </c>
      <c r="HG19" s="1270" t="s">
        <v>116</v>
      </c>
      <c r="HH19" s="1270" t="s">
        <v>116</v>
      </c>
      <c r="HI19" s="1273" t="s">
        <v>116</v>
      </c>
      <c r="HJ19" s="1270" t="s">
        <v>116</v>
      </c>
      <c r="HK19" s="1270" t="s">
        <v>116</v>
      </c>
      <c r="HL19" s="1270">
        <v>5</v>
      </c>
      <c r="HM19" s="1270">
        <v>5</v>
      </c>
      <c r="HN19" s="1270" t="s">
        <v>116</v>
      </c>
      <c r="HO19" s="1270" t="s">
        <v>116</v>
      </c>
      <c r="HP19" s="1270" t="s">
        <v>116</v>
      </c>
      <c r="HQ19" s="1273" t="s">
        <v>116</v>
      </c>
      <c r="HR19" s="1270" t="s">
        <v>116</v>
      </c>
      <c r="HS19" s="1270" t="s">
        <v>116</v>
      </c>
      <c r="HT19" s="1270">
        <v>0</v>
      </c>
      <c r="HU19" s="1270">
        <v>2.25</v>
      </c>
      <c r="HV19" s="1270">
        <v>0</v>
      </c>
      <c r="HW19" s="1272">
        <v>2.25</v>
      </c>
      <c r="HX19" s="1272">
        <v>4</v>
      </c>
      <c r="HY19" s="1272" t="s">
        <v>116</v>
      </c>
      <c r="HZ19" s="1272" t="s">
        <v>116</v>
      </c>
      <c r="IA19" s="1272" t="s">
        <v>1666</v>
      </c>
      <c r="IB19" s="1272"/>
      <c r="IC19" s="1272"/>
      <c r="ID19" s="1272"/>
      <c r="IE19" s="1272"/>
      <c r="IF19" s="1274"/>
    </row>
    <row r="20" spans="1:240" ht="12.6" customHeight="1" x14ac:dyDescent="0.25">
      <c r="A20" s="1448" t="s">
        <v>1476</v>
      </c>
      <c r="B20" s="1681">
        <v>4</v>
      </c>
      <c r="C20" s="1449" t="s">
        <v>1592</v>
      </c>
      <c r="D20" s="1705">
        <v>39</v>
      </c>
      <c r="E20" s="1706">
        <v>11.5</v>
      </c>
      <c r="F20" s="1714" t="str">
        <f t="shared" si="1"/>
        <v/>
      </c>
      <c r="G20" s="1709" t="str">
        <f t="shared" si="2"/>
        <v/>
      </c>
      <c r="H20" s="1779" t="str">
        <f t="shared" si="3"/>
        <v/>
      </c>
      <c r="I20" s="1705" t="str">
        <f t="shared" si="4"/>
        <v/>
      </c>
      <c r="J20" s="1709" t="str">
        <f t="shared" si="5"/>
        <v/>
      </c>
      <c r="K20" s="1796" t="str">
        <f t="shared" si="6"/>
        <v/>
      </c>
      <c r="L20" s="1712">
        <v>5</v>
      </c>
      <c r="M20" s="1713">
        <v>5</v>
      </c>
      <c r="N20" s="1708" t="str">
        <f t="shared" si="7"/>
        <v/>
      </c>
      <c r="O20" s="1709" t="str">
        <f t="shared" si="8"/>
        <v/>
      </c>
      <c r="P20" s="1710" t="str">
        <f t="shared" si="9"/>
        <v/>
      </c>
      <c r="Q20" s="1705" t="str">
        <f t="shared" si="10"/>
        <v/>
      </c>
      <c r="R20" s="1709" t="str">
        <f t="shared" si="11"/>
        <v/>
      </c>
      <c r="S20" s="1711" t="str">
        <f t="shared" si="12"/>
        <v/>
      </c>
      <c r="T20" s="1714">
        <v>0</v>
      </c>
      <c r="U20" s="1709">
        <v>2.25</v>
      </c>
      <c r="V20" s="1705">
        <v>0</v>
      </c>
      <c r="W20" s="1709">
        <v>2.25</v>
      </c>
      <c r="X20" s="1713">
        <v>4</v>
      </c>
      <c r="Y20" s="1781" t="str">
        <f t="shared" si="13"/>
        <v/>
      </c>
      <c r="Z20" s="1782" t="str">
        <f t="shared" si="14"/>
        <v/>
      </c>
      <c r="AA20" s="1783" t="s">
        <v>1747</v>
      </c>
      <c r="AB20" s="1413"/>
      <c r="AC20" s="964" t="b">
        <v>0</v>
      </c>
      <c r="AD20" s="441">
        <f t="shared" si="15"/>
        <v>0</v>
      </c>
      <c r="AE20" s="442">
        <f t="shared" si="16"/>
        <v>4</v>
      </c>
      <c r="AF20" s="442">
        <f t="shared" si="17"/>
        <v>0</v>
      </c>
      <c r="AG20" s="442">
        <f t="shared" si="18"/>
        <v>0</v>
      </c>
      <c r="AH20" s="443">
        <f t="shared" si="19"/>
        <v>0</v>
      </c>
      <c r="AI20" s="444" t="b">
        <v>0</v>
      </c>
      <c r="AJ20" s="238">
        <f t="shared" si="20"/>
        <v>32</v>
      </c>
      <c r="AK20" s="830" t="str">
        <f t="shared" si="21"/>
        <v>LH</v>
      </c>
      <c r="AL20" s="945" t="str">
        <f t="shared" si="22"/>
        <v/>
      </c>
      <c r="AM20" s="830">
        <f t="shared" si="23"/>
        <v>305</v>
      </c>
      <c r="AN20" s="830">
        <f t="shared" si="24"/>
        <v>180</v>
      </c>
      <c r="AO20" s="830" t="str">
        <f t="shared" si="25"/>
        <v/>
      </c>
      <c r="AP20" s="830" t="b">
        <f>IF(ISERROR(AJ20),FALSE,IF(OR(AJ20=0,ISERROR(AL20),ISERROR(AM20),ISERROR(AN20),ISERROR(AO20)),FALSE,IF(AL20&lt;&gt;"",IF(ISERROR(VLOOKUP(SUBSTITUTE(SUBSTITUTE(C20,"R",""),"A",""),TblJoistSize!$A:$A,1,FALSE)),FALSE,TRUE),TRUE)))</f>
        <v>1</v>
      </c>
      <c r="AQ20" s="1038">
        <f t="shared" si="26"/>
        <v>6</v>
      </c>
      <c r="AR20" s="945" t="b">
        <f t="shared" si="27"/>
        <v>1</v>
      </c>
      <c r="AS20" s="1038">
        <f t="shared" si="28"/>
        <v>6</v>
      </c>
      <c r="AT20" s="945" t="b">
        <f t="shared" si="29"/>
        <v>1</v>
      </c>
      <c r="AU20" s="946" t="str">
        <f t="shared" si="30"/>
        <v>LH</v>
      </c>
      <c r="AV20" s="830" t="str">
        <f t="shared" si="31"/>
        <v/>
      </c>
      <c r="AW20" s="830" t="str">
        <f t="shared" si="32"/>
        <v>LH</v>
      </c>
      <c r="AX20" s="830" t="str">
        <f t="shared" si="106"/>
        <v>J46</v>
      </c>
      <c r="AY20" s="1039" t="b">
        <f t="shared" si="33"/>
        <v>0</v>
      </c>
      <c r="AZ20" s="856" t="b">
        <f t="shared" si="34"/>
        <v>0</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35"/>
        <v/>
      </c>
      <c r="BR20" s="910"/>
      <c r="BS20" s="672"/>
      <c r="BT20" s="713"/>
      <c r="BU20" s="714"/>
      <c r="BV20" s="1625"/>
      <c r="BW20" s="713"/>
      <c r="BX20" s="714"/>
      <c r="BY20" s="715"/>
      <c r="BZ20" s="716"/>
      <c r="CA20" s="680" t="str">
        <f>IF(ISERROR(DE20),"",IF(DE20="","",IF(VLOOKUP(BS20,SectInfo!$B:$N,10,FALSE)="","","X")))</f>
        <v/>
      </c>
      <c r="CB20" s="738"/>
      <c r="CC20" s="1551" t="str">
        <f t="shared" si="36"/>
        <v/>
      </c>
      <c r="CD20" s="910"/>
      <c r="CE20" s="717"/>
      <c r="CF20" s="736"/>
      <c r="CG20" s="737"/>
      <c r="CH20" s="591" t="str">
        <f t="shared" si="37"/>
        <v/>
      </c>
      <c r="CI20" s="592" t="str">
        <f t="shared" si="38"/>
        <v/>
      </c>
      <c r="CJ20" s="593" t="str">
        <f t="shared" si="39"/>
        <v/>
      </c>
      <c r="CK20" s="594" t="str">
        <f t="shared" si="40"/>
        <v/>
      </c>
      <c r="CL20" s="595" t="str">
        <f t="shared" si="41"/>
        <v/>
      </c>
      <c r="CM20" s="596" t="str">
        <f t="shared" si="42"/>
        <v/>
      </c>
      <c r="CN20" s="597" t="str">
        <f t="shared" si="43"/>
        <v/>
      </c>
      <c r="CO20" s="598" t="str">
        <f t="shared" si="44"/>
        <v/>
      </c>
      <c r="CP20" s="615" t="str">
        <f t="shared" si="45"/>
        <v/>
      </c>
      <c r="CQ20" s="616" t="str">
        <f t="shared" si="46"/>
        <v/>
      </c>
      <c r="CR20" s="750">
        <f t="shared" si="47"/>
        <v>5</v>
      </c>
      <c r="CS20" s="751">
        <f t="shared" si="48"/>
        <v>5</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49"/>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50"/>
        <v>0</v>
      </c>
      <c r="DO20" s="818">
        <f t="shared" si="51"/>
        <v>0</v>
      </c>
      <c r="DP20" s="822" t="str">
        <f t="shared" si="52"/>
        <v/>
      </c>
      <c r="DQ20" s="822" t="str">
        <f t="shared" si="53"/>
        <v/>
      </c>
      <c r="DR20" s="822" t="str">
        <f t="shared" si="54"/>
        <v/>
      </c>
      <c r="DS20" s="821">
        <f t="shared" si="55"/>
        <v>0</v>
      </c>
      <c r="DT20" s="821">
        <f t="shared" si="56"/>
        <v>0</v>
      </c>
      <c r="DU20" s="821" t="str">
        <f t="shared" si="57"/>
        <v/>
      </c>
      <c r="DV20" s="822" t="str">
        <f t="shared" si="58"/>
        <v/>
      </c>
      <c r="DW20" s="856" t="str">
        <f t="shared" si="59"/>
        <v/>
      </c>
      <c r="DX20" s="1006">
        <f t="shared" si="60"/>
        <v>0</v>
      </c>
      <c r="DY20" s="822">
        <f t="shared" si="61"/>
        <v>0</v>
      </c>
      <c r="DZ20" s="821">
        <f t="shared" si="62"/>
        <v>0</v>
      </c>
      <c r="EA20" s="821" t="str">
        <f t="shared" si="63"/>
        <v/>
      </c>
      <c r="EB20" s="822" t="str">
        <f t="shared" si="64"/>
        <v/>
      </c>
      <c r="EC20" s="856" t="str">
        <f t="shared" si="65"/>
        <v/>
      </c>
      <c r="ED20" s="1006">
        <f t="shared" si="66"/>
        <v>0</v>
      </c>
      <c r="EE20" s="1293" t="str">
        <f t="shared" si="67"/>
        <v/>
      </c>
      <c r="EF20" s="1293" t="str">
        <f t="shared" si="68"/>
        <v/>
      </c>
      <c r="EG20" s="1293" t="str">
        <f t="shared" si="69"/>
        <v/>
      </c>
      <c r="EH20" s="856" t="str">
        <f t="shared" si="70"/>
        <v>ERR</v>
      </c>
      <c r="EI20" s="856" t="str">
        <f t="shared" si="71"/>
        <v>ERR</v>
      </c>
      <c r="EJ20" s="822" t="str">
        <f t="shared" si="72"/>
        <v/>
      </c>
      <c r="EK20" s="822" t="str">
        <f t="shared" si="72"/>
        <v/>
      </c>
      <c r="EL20" s="1293" t="str">
        <f t="shared" si="73"/>
        <v/>
      </c>
      <c r="EM20" s="822" t="str">
        <f t="shared" si="74"/>
        <v/>
      </c>
      <c r="EN20" s="822" t="str">
        <f t="shared" si="75"/>
        <v/>
      </c>
      <c r="EO20" s="856" t="str">
        <f t="shared" si="76"/>
        <v>ERR</v>
      </c>
      <c r="EP20" s="856" t="str">
        <f t="shared" si="77"/>
        <v>ERR</v>
      </c>
      <c r="EQ20" s="1293" t="str">
        <f t="shared" si="78"/>
        <v/>
      </c>
      <c r="ER20" s="822" t="str">
        <f t="shared" si="78"/>
        <v/>
      </c>
      <c r="ES20" s="822" t="str">
        <f t="shared" si="79"/>
        <v/>
      </c>
      <c r="ET20" s="822" t="str">
        <f t="shared" si="80"/>
        <v/>
      </c>
      <c r="EU20" s="829">
        <f t="shared" si="81"/>
        <v>4</v>
      </c>
      <c r="EV20" s="824" t="str">
        <f t="shared" si="82"/>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83"/>
        <v/>
      </c>
      <c r="FA20" s="829" t="str">
        <f>IF(AND(DE20="G", ISBLANK(BW20), ISBLANK(BX20)),VLOOKUP(MIN(BT20:BU20),TblJoistSize!$M$3:$N$10,2),IF(OR(DE20="B", DE20="G"),MIN(BW20:BX20),""))</f>
        <v/>
      </c>
      <c r="FB20" s="829" t="str">
        <f>IF(AND(DE20="G", ISBLANK(BW20), ISBLANK(BX20)),VLOOKUP(MAX(BT20:BU20),TblJoistSize!$M$3:$N$10,2),IF(OR(DE20="B", DE20="G"),MAX(BW20:BX20),""))</f>
        <v/>
      </c>
      <c r="FC20" s="829" t="str">
        <f t="shared" si="84"/>
        <v/>
      </c>
      <c r="FD20" s="821">
        <f t="shared" si="107"/>
        <v>0</v>
      </c>
      <c r="FE20" s="821">
        <f t="shared" si="85"/>
        <v>0</v>
      </c>
      <c r="FF20" s="821">
        <f t="shared" si="86"/>
        <v>0</v>
      </c>
      <c r="FG20" s="821" t="str">
        <f t="shared" si="87"/>
        <v/>
      </c>
      <c r="FH20" s="822" t="str">
        <f t="shared" si="88"/>
        <v/>
      </c>
      <c r="FI20" s="821">
        <f t="shared" si="108"/>
        <v>0</v>
      </c>
      <c r="FJ20" s="821">
        <f t="shared" si="89"/>
        <v>0</v>
      </c>
      <c r="FK20" s="821">
        <f t="shared" si="90"/>
        <v>0</v>
      </c>
      <c r="FL20" s="821" t="str">
        <f t="shared" si="91"/>
        <v/>
      </c>
      <c r="FM20" s="822" t="str">
        <f t="shared" si="92"/>
        <v/>
      </c>
      <c r="FN20" s="822" t="e">
        <f t="shared" si="93"/>
        <v>#VALUE!</v>
      </c>
      <c r="FO20" s="940" t="e">
        <f t="shared" si="94"/>
        <v>#VALUE!</v>
      </c>
      <c r="FP20" s="940" t="e">
        <f t="shared" si="95"/>
        <v>#VALUE!</v>
      </c>
      <c r="FQ20" s="830" t="e">
        <f t="shared" si="96"/>
        <v>#VALUE!</v>
      </c>
      <c r="FR20" s="831" t="e">
        <f t="shared" si="97"/>
        <v>#VALUE!</v>
      </c>
      <c r="FS20" s="832" t="str">
        <f t="shared" si="98"/>
        <v/>
      </c>
      <c r="FT20" s="833" t="str">
        <f t="shared" si="99"/>
        <v/>
      </c>
      <c r="FU20" s="870">
        <f t="shared" si="100"/>
        <v>0</v>
      </c>
      <c r="FV20" s="871">
        <f t="shared" si="101"/>
        <v>0</v>
      </c>
      <c r="GA20" s="1791">
        <v>40</v>
      </c>
      <c r="GB20" s="1792">
        <v>0</v>
      </c>
      <c r="GC20" s="1793">
        <v>-0.25</v>
      </c>
      <c r="GD20" s="1794">
        <v>-0.25</v>
      </c>
      <c r="GE20" s="1795">
        <f t="shared" si="102"/>
        <v>0</v>
      </c>
      <c r="GF20" s="600" t="str">
        <f t="shared" si="103"/>
        <v>J46</v>
      </c>
      <c r="GG20" s="1130">
        <v>0</v>
      </c>
      <c r="GH20" s="1131">
        <v>0</v>
      </c>
      <c r="GI20" s="1130"/>
      <c r="GJ20" s="1131"/>
      <c r="GK20" s="1638">
        <f t="shared" si="104"/>
        <v>479.5</v>
      </c>
      <c r="GL20" s="1636">
        <f t="shared" si="105"/>
        <v>479.5</v>
      </c>
      <c r="GM20" s="1637">
        <f>IF(ABS(GK20-GL20)&gt;='Job Info.'!$L$22,ABS(GK20-GL20),0)</f>
        <v>0</v>
      </c>
      <c r="HA20" s="1269" t="s">
        <v>1476</v>
      </c>
      <c r="HB20" s="1270">
        <v>4</v>
      </c>
      <c r="HC20" s="1270" t="s">
        <v>1592</v>
      </c>
      <c r="HD20" s="1271">
        <v>39</v>
      </c>
      <c r="HE20" s="1272">
        <v>11.5</v>
      </c>
      <c r="HF20" s="1270" t="s">
        <v>116</v>
      </c>
      <c r="HG20" s="1270" t="s">
        <v>116</v>
      </c>
      <c r="HH20" s="1270" t="s">
        <v>116</v>
      </c>
      <c r="HI20" s="1273" t="s">
        <v>116</v>
      </c>
      <c r="HJ20" s="1270" t="s">
        <v>116</v>
      </c>
      <c r="HK20" s="1270" t="s">
        <v>116</v>
      </c>
      <c r="HL20" s="1270">
        <v>5</v>
      </c>
      <c r="HM20" s="1270">
        <v>5</v>
      </c>
      <c r="HN20" s="1270" t="s">
        <v>116</v>
      </c>
      <c r="HO20" s="1270" t="s">
        <v>116</v>
      </c>
      <c r="HP20" s="1270" t="s">
        <v>116</v>
      </c>
      <c r="HQ20" s="1273" t="s">
        <v>116</v>
      </c>
      <c r="HR20" s="1270" t="s">
        <v>116</v>
      </c>
      <c r="HS20" s="1270" t="s">
        <v>116</v>
      </c>
      <c r="HT20" s="1270">
        <v>0</v>
      </c>
      <c r="HU20" s="1270">
        <v>2.25</v>
      </c>
      <c r="HV20" s="1270">
        <v>0</v>
      </c>
      <c r="HW20" s="1272">
        <v>2.25</v>
      </c>
      <c r="HX20" s="1272">
        <v>4</v>
      </c>
      <c r="HY20" s="1272" t="s">
        <v>116</v>
      </c>
      <c r="HZ20" s="1272" t="s">
        <v>116</v>
      </c>
      <c r="IA20" s="1272" t="s">
        <v>1667</v>
      </c>
      <c r="IB20" s="1272"/>
      <c r="IC20" s="1272"/>
      <c r="ID20" s="1272"/>
      <c r="IE20" s="1272"/>
      <c r="IF20" s="1274"/>
    </row>
    <row r="21" spans="1:240" ht="12.6" customHeight="1" x14ac:dyDescent="0.25">
      <c r="A21" s="1448" t="s">
        <v>1477</v>
      </c>
      <c r="B21" s="1681">
        <v>2</v>
      </c>
      <c r="C21" s="1449" t="s">
        <v>1593</v>
      </c>
      <c r="D21" s="1705">
        <v>69</v>
      </c>
      <c r="E21" s="1706">
        <v>1.5</v>
      </c>
      <c r="F21" s="1714" t="str">
        <f t="shared" si="1"/>
        <v/>
      </c>
      <c r="G21" s="1709" t="str">
        <f t="shared" si="2"/>
        <v/>
      </c>
      <c r="H21" s="1779" t="str">
        <f t="shared" si="3"/>
        <v/>
      </c>
      <c r="I21" s="1705" t="str">
        <f t="shared" si="4"/>
        <v/>
      </c>
      <c r="J21" s="1709" t="str">
        <f t="shared" si="5"/>
        <v/>
      </c>
      <c r="K21" s="1796" t="str">
        <f t="shared" si="6"/>
        <v/>
      </c>
      <c r="L21" s="1712">
        <v>5</v>
      </c>
      <c r="M21" s="1713">
        <v>5</v>
      </c>
      <c r="N21" s="1708" t="str">
        <f t="shared" si="7"/>
        <v/>
      </c>
      <c r="O21" s="1709" t="str">
        <f t="shared" si="8"/>
        <v/>
      </c>
      <c r="P21" s="1710" t="str">
        <f t="shared" si="9"/>
        <v/>
      </c>
      <c r="Q21" s="1705" t="str">
        <f t="shared" si="10"/>
        <v/>
      </c>
      <c r="R21" s="1709" t="str">
        <f t="shared" si="11"/>
        <v/>
      </c>
      <c r="S21" s="1711" t="str">
        <f t="shared" si="12"/>
        <v/>
      </c>
      <c r="T21" s="1714">
        <v>0</v>
      </c>
      <c r="U21" s="1709">
        <v>2.25</v>
      </c>
      <c r="V21" s="1705">
        <v>0</v>
      </c>
      <c r="W21" s="1709">
        <v>2</v>
      </c>
      <c r="X21" s="1713">
        <v>4</v>
      </c>
      <c r="Y21" s="1781" t="str">
        <f t="shared" si="13"/>
        <v/>
      </c>
      <c r="Z21" s="1782" t="str">
        <f t="shared" si="14"/>
        <v/>
      </c>
      <c r="AA21" s="1783" t="s">
        <v>1748</v>
      </c>
      <c r="AB21" s="1413"/>
      <c r="AC21" s="964" t="b">
        <v>0</v>
      </c>
      <c r="AD21" s="441">
        <f t="shared" si="15"/>
        <v>0</v>
      </c>
      <c r="AE21" s="442">
        <f t="shared" si="16"/>
        <v>2</v>
      </c>
      <c r="AF21" s="442">
        <f t="shared" si="17"/>
        <v>0</v>
      </c>
      <c r="AG21" s="442">
        <f t="shared" si="18"/>
        <v>0</v>
      </c>
      <c r="AH21" s="443">
        <f t="shared" si="19"/>
        <v>0</v>
      </c>
      <c r="AI21" s="444" t="b">
        <v>0</v>
      </c>
      <c r="AJ21" s="238">
        <f t="shared" si="20"/>
        <v>44</v>
      </c>
      <c r="AK21" s="830" t="str">
        <f t="shared" si="21"/>
        <v>LH</v>
      </c>
      <c r="AL21" s="945" t="str">
        <f t="shared" si="22"/>
        <v/>
      </c>
      <c r="AM21" s="830">
        <f t="shared" si="23"/>
        <v>305</v>
      </c>
      <c r="AN21" s="830">
        <f t="shared" si="24"/>
        <v>180</v>
      </c>
      <c r="AO21" s="830" t="str">
        <f t="shared" si="25"/>
        <v/>
      </c>
      <c r="AP21" s="830" t="b">
        <f>IF(ISERROR(AJ21),FALSE,IF(OR(AJ21=0,ISERROR(AL21),ISERROR(AM21),ISERROR(AN21),ISERROR(AO21)),FALSE,IF(AL21&lt;&gt;"",IF(ISERROR(VLOOKUP(SUBSTITUTE(SUBSTITUTE(C21,"R",""),"A",""),TblJoistSize!$A:$A,1,FALSE)),FALSE,TRUE),TRUE)))</f>
        <v>1</v>
      </c>
      <c r="AQ21" s="1038">
        <f t="shared" si="26"/>
        <v>6</v>
      </c>
      <c r="AR21" s="945" t="b">
        <f t="shared" si="27"/>
        <v>1</v>
      </c>
      <c r="AS21" s="1038">
        <f t="shared" si="28"/>
        <v>6</v>
      </c>
      <c r="AT21" s="945" t="b">
        <f t="shared" si="29"/>
        <v>1</v>
      </c>
      <c r="AU21" s="946" t="str">
        <f t="shared" si="30"/>
        <v>LH</v>
      </c>
      <c r="AV21" s="830" t="str">
        <f t="shared" si="31"/>
        <v/>
      </c>
      <c r="AW21" s="830" t="str">
        <f t="shared" si="32"/>
        <v>LH</v>
      </c>
      <c r="AX21" s="830" t="str">
        <f t="shared" si="106"/>
        <v>J47</v>
      </c>
      <c r="AY21" s="1039" t="b">
        <f t="shared" si="33"/>
        <v>0</v>
      </c>
      <c r="AZ21" s="856" t="b">
        <f t="shared" si="34"/>
        <v>0</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35"/>
        <v/>
      </c>
      <c r="BR21" s="910"/>
      <c r="BS21" s="672"/>
      <c r="BT21" s="713"/>
      <c r="BU21" s="714"/>
      <c r="BV21" s="1625"/>
      <c r="BW21" s="713"/>
      <c r="BX21" s="714"/>
      <c r="BY21" s="715"/>
      <c r="BZ21" s="716"/>
      <c r="CA21" s="680" t="str">
        <f>IF(ISERROR(DE21),"",IF(DE21="","",IF(VLOOKUP(BS21,SectInfo!$B:$N,10,FALSE)="","","X")))</f>
        <v/>
      </c>
      <c r="CB21" s="738"/>
      <c r="CC21" s="1551" t="str">
        <f t="shared" si="36"/>
        <v/>
      </c>
      <c r="CD21" s="910"/>
      <c r="CE21" s="717"/>
      <c r="CF21" s="736"/>
      <c r="CG21" s="737"/>
      <c r="CH21" s="591" t="str">
        <f t="shared" si="37"/>
        <v/>
      </c>
      <c r="CI21" s="592" t="str">
        <f t="shared" si="38"/>
        <v/>
      </c>
      <c r="CJ21" s="593" t="str">
        <f t="shared" si="39"/>
        <v/>
      </c>
      <c r="CK21" s="594" t="str">
        <f t="shared" si="40"/>
        <v/>
      </c>
      <c r="CL21" s="595" t="str">
        <f t="shared" si="41"/>
        <v/>
      </c>
      <c r="CM21" s="596" t="str">
        <f t="shared" si="42"/>
        <v/>
      </c>
      <c r="CN21" s="597" t="str">
        <f t="shared" si="43"/>
        <v/>
      </c>
      <c r="CO21" s="598" t="str">
        <f t="shared" si="44"/>
        <v/>
      </c>
      <c r="CP21" s="615" t="str">
        <f t="shared" si="45"/>
        <v/>
      </c>
      <c r="CQ21" s="616" t="str">
        <f t="shared" si="46"/>
        <v/>
      </c>
      <c r="CR21" s="750">
        <f t="shared" si="47"/>
        <v>5</v>
      </c>
      <c r="CS21" s="751">
        <f t="shared" si="48"/>
        <v>5</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49"/>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50"/>
        <v>0</v>
      </c>
      <c r="DO21" s="818">
        <f t="shared" si="51"/>
        <v>0</v>
      </c>
      <c r="DP21" s="822" t="str">
        <f t="shared" si="52"/>
        <v/>
      </c>
      <c r="DQ21" s="822" t="str">
        <f t="shared" si="53"/>
        <v/>
      </c>
      <c r="DR21" s="822" t="str">
        <f t="shared" si="54"/>
        <v/>
      </c>
      <c r="DS21" s="821">
        <f t="shared" si="55"/>
        <v>0</v>
      </c>
      <c r="DT21" s="821">
        <f t="shared" si="56"/>
        <v>0</v>
      </c>
      <c r="DU21" s="821" t="str">
        <f t="shared" si="57"/>
        <v/>
      </c>
      <c r="DV21" s="822" t="str">
        <f t="shared" si="58"/>
        <v/>
      </c>
      <c r="DW21" s="856" t="str">
        <f t="shared" si="59"/>
        <v/>
      </c>
      <c r="DX21" s="1006">
        <f t="shared" si="60"/>
        <v>0</v>
      </c>
      <c r="DY21" s="822">
        <f t="shared" si="61"/>
        <v>0</v>
      </c>
      <c r="DZ21" s="821">
        <f t="shared" si="62"/>
        <v>0</v>
      </c>
      <c r="EA21" s="821" t="str">
        <f t="shared" si="63"/>
        <v/>
      </c>
      <c r="EB21" s="822" t="str">
        <f t="shared" si="64"/>
        <v/>
      </c>
      <c r="EC21" s="856" t="str">
        <f t="shared" si="65"/>
        <v/>
      </c>
      <c r="ED21" s="1006">
        <f t="shared" si="66"/>
        <v>0</v>
      </c>
      <c r="EE21" s="1293" t="str">
        <f t="shared" si="67"/>
        <v/>
      </c>
      <c r="EF21" s="1293" t="str">
        <f t="shared" si="68"/>
        <v/>
      </c>
      <c r="EG21" s="1293" t="str">
        <f t="shared" si="69"/>
        <v/>
      </c>
      <c r="EH21" s="856" t="str">
        <f t="shared" si="70"/>
        <v>ERR</v>
      </c>
      <c r="EI21" s="856" t="str">
        <f t="shared" si="71"/>
        <v>ERR</v>
      </c>
      <c r="EJ21" s="822" t="str">
        <f t="shared" si="72"/>
        <v/>
      </c>
      <c r="EK21" s="822" t="str">
        <f t="shared" si="72"/>
        <v/>
      </c>
      <c r="EL21" s="1293" t="str">
        <f t="shared" si="73"/>
        <v/>
      </c>
      <c r="EM21" s="822" t="str">
        <f t="shared" si="74"/>
        <v/>
      </c>
      <c r="EN21" s="822" t="str">
        <f t="shared" si="75"/>
        <v/>
      </c>
      <c r="EO21" s="856" t="str">
        <f t="shared" si="76"/>
        <v>ERR</v>
      </c>
      <c r="EP21" s="856" t="str">
        <f t="shared" si="77"/>
        <v>ERR</v>
      </c>
      <c r="EQ21" s="1293" t="str">
        <f t="shared" si="78"/>
        <v/>
      </c>
      <c r="ER21" s="822" t="str">
        <f t="shared" si="78"/>
        <v/>
      </c>
      <c r="ES21" s="822" t="str">
        <f t="shared" si="79"/>
        <v/>
      </c>
      <c r="ET21" s="822" t="str">
        <f t="shared" si="80"/>
        <v/>
      </c>
      <c r="EU21" s="829">
        <f t="shared" si="81"/>
        <v>4</v>
      </c>
      <c r="EV21" s="824" t="str">
        <f t="shared" si="82"/>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83"/>
        <v/>
      </c>
      <c r="FA21" s="829" t="str">
        <f>IF(AND(DE21="G", ISBLANK(BW21), ISBLANK(BX21)),VLOOKUP(MIN(BT21:BU21),TblJoistSize!$M$3:$N$10,2),IF(OR(DE21="B", DE21="G"),MIN(BW21:BX21),""))</f>
        <v/>
      </c>
      <c r="FB21" s="829" t="str">
        <f>IF(AND(DE21="G", ISBLANK(BW21), ISBLANK(BX21)),VLOOKUP(MAX(BT21:BU21),TblJoistSize!$M$3:$N$10,2),IF(OR(DE21="B", DE21="G"),MAX(BW21:BX21),""))</f>
        <v/>
      </c>
      <c r="FC21" s="829" t="str">
        <f t="shared" si="84"/>
        <v/>
      </c>
      <c r="FD21" s="821">
        <f t="shared" si="107"/>
        <v>0</v>
      </c>
      <c r="FE21" s="821">
        <f t="shared" si="85"/>
        <v>0</v>
      </c>
      <c r="FF21" s="821">
        <f t="shared" si="86"/>
        <v>0</v>
      </c>
      <c r="FG21" s="821" t="str">
        <f t="shared" si="87"/>
        <v/>
      </c>
      <c r="FH21" s="822" t="str">
        <f t="shared" si="88"/>
        <v/>
      </c>
      <c r="FI21" s="821">
        <f t="shared" si="108"/>
        <v>0</v>
      </c>
      <c r="FJ21" s="821">
        <f t="shared" si="89"/>
        <v>0</v>
      </c>
      <c r="FK21" s="821">
        <f t="shared" si="90"/>
        <v>0</v>
      </c>
      <c r="FL21" s="821" t="str">
        <f t="shared" si="91"/>
        <v/>
      </c>
      <c r="FM21" s="822" t="str">
        <f t="shared" si="92"/>
        <v/>
      </c>
      <c r="FN21" s="822" t="e">
        <f t="shared" si="93"/>
        <v>#VALUE!</v>
      </c>
      <c r="FO21" s="940" t="e">
        <f t="shared" si="94"/>
        <v>#VALUE!</v>
      </c>
      <c r="FP21" s="940" t="e">
        <f t="shared" si="95"/>
        <v>#VALUE!</v>
      </c>
      <c r="FQ21" s="830" t="e">
        <f t="shared" si="96"/>
        <v>#VALUE!</v>
      </c>
      <c r="FR21" s="831" t="e">
        <f t="shared" si="97"/>
        <v>#VALUE!</v>
      </c>
      <c r="FS21" s="832" t="str">
        <f t="shared" si="98"/>
        <v/>
      </c>
      <c r="FT21" s="833" t="str">
        <f t="shared" si="99"/>
        <v/>
      </c>
      <c r="FU21" s="870">
        <f t="shared" si="100"/>
        <v>0</v>
      </c>
      <c r="FV21" s="871">
        <f t="shared" si="101"/>
        <v>0</v>
      </c>
      <c r="GA21" s="1791">
        <v>69</v>
      </c>
      <c r="GB21" s="1792">
        <v>2.25</v>
      </c>
      <c r="GC21" s="1793">
        <v>-0.25</v>
      </c>
      <c r="GD21" s="1794">
        <v>-0.5</v>
      </c>
      <c r="GE21" s="1795">
        <f t="shared" si="102"/>
        <v>0</v>
      </c>
      <c r="GF21" s="600" t="str">
        <f t="shared" si="103"/>
        <v>J47</v>
      </c>
      <c r="GG21" s="1130">
        <v>0</v>
      </c>
      <c r="GH21" s="1131">
        <v>0</v>
      </c>
      <c r="GI21" s="1130"/>
      <c r="GJ21" s="1131"/>
      <c r="GK21" s="1638">
        <f t="shared" si="104"/>
        <v>829.5</v>
      </c>
      <c r="GL21" s="1636">
        <f t="shared" si="105"/>
        <v>829.5</v>
      </c>
      <c r="GM21" s="1637">
        <f>IF(ABS(GK21-GL21)&gt;='Job Info.'!$L$22,ABS(GK21-GL21),0)</f>
        <v>0</v>
      </c>
      <c r="HA21" s="1269" t="s">
        <v>1477</v>
      </c>
      <c r="HB21" s="1270">
        <v>2</v>
      </c>
      <c r="HC21" s="1270" t="s">
        <v>1593</v>
      </c>
      <c r="HD21" s="1271">
        <v>69</v>
      </c>
      <c r="HE21" s="1272">
        <v>1.5</v>
      </c>
      <c r="HF21" s="1270" t="s">
        <v>116</v>
      </c>
      <c r="HG21" s="1270" t="s">
        <v>116</v>
      </c>
      <c r="HH21" s="1270" t="s">
        <v>116</v>
      </c>
      <c r="HI21" s="1273" t="s">
        <v>116</v>
      </c>
      <c r="HJ21" s="1270" t="s">
        <v>116</v>
      </c>
      <c r="HK21" s="1270" t="s">
        <v>116</v>
      </c>
      <c r="HL21" s="1270">
        <v>5</v>
      </c>
      <c r="HM21" s="1270">
        <v>5</v>
      </c>
      <c r="HN21" s="1270" t="s">
        <v>116</v>
      </c>
      <c r="HO21" s="1270" t="s">
        <v>116</v>
      </c>
      <c r="HP21" s="1270" t="s">
        <v>116</v>
      </c>
      <c r="HQ21" s="1273" t="s">
        <v>116</v>
      </c>
      <c r="HR21" s="1270" t="s">
        <v>116</v>
      </c>
      <c r="HS21" s="1270" t="s">
        <v>116</v>
      </c>
      <c r="HT21" s="1270">
        <v>0</v>
      </c>
      <c r="HU21" s="1270">
        <v>2.25</v>
      </c>
      <c r="HV21" s="1270">
        <v>0</v>
      </c>
      <c r="HW21" s="1272">
        <v>2</v>
      </c>
      <c r="HX21" s="1272">
        <v>4</v>
      </c>
      <c r="HY21" s="1272" t="s">
        <v>116</v>
      </c>
      <c r="HZ21" s="1272" t="s">
        <v>116</v>
      </c>
      <c r="IA21" s="1272" t="s">
        <v>1643</v>
      </c>
      <c r="IB21" s="1272"/>
      <c r="IC21" s="1272"/>
      <c r="ID21" s="1272"/>
      <c r="IE21" s="1272"/>
      <c r="IF21" s="1274"/>
    </row>
    <row r="22" spans="1:240" ht="12.6" customHeight="1" x14ac:dyDescent="0.25">
      <c r="A22" s="1448" t="s">
        <v>1478</v>
      </c>
      <c r="B22" s="1681">
        <v>2</v>
      </c>
      <c r="C22" s="1449" t="s">
        <v>1593</v>
      </c>
      <c r="D22" s="1705">
        <v>69</v>
      </c>
      <c r="E22" s="1706">
        <v>1.5</v>
      </c>
      <c r="F22" s="1714" t="str">
        <f t="shared" si="1"/>
        <v/>
      </c>
      <c r="G22" s="1709" t="str">
        <f t="shared" si="2"/>
        <v/>
      </c>
      <c r="H22" s="1779" t="str">
        <f t="shared" si="3"/>
        <v/>
      </c>
      <c r="I22" s="1705" t="str">
        <f t="shared" si="4"/>
        <v/>
      </c>
      <c r="J22" s="1709" t="str">
        <f t="shared" si="5"/>
        <v/>
      </c>
      <c r="K22" s="1796" t="str">
        <f t="shared" si="6"/>
        <v/>
      </c>
      <c r="L22" s="1712">
        <v>5</v>
      </c>
      <c r="M22" s="1713">
        <v>5</v>
      </c>
      <c r="N22" s="1708" t="str">
        <f t="shared" si="7"/>
        <v/>
      </c>
      <c r="O22" s="1709" t="str">
        <f t="shared" si="8"/>
        <v/>
      </c>
      <c r="P22" s="1710" t="str">
        <f t="shared" si="9"/>
        <v/>
      </c>
      <c r="Q22" s="1705" t="str">
        <f t="shared" si="10"/>
        <v/>
      </c>
      <c r="R22" s="1709" t="str">
        <f t="shared" si="11"/>
        <v/>
      </c>
      <c r="S22" s="1711" t="str">
        <f t="shared" si="12"/>
        <v/>
      </c>
      <c r="T22" s="1714">
        <v>0</v>
      </c>
      <c r="U22" s="1709">
        <v>2.25</v>
      </c>
      <c r="V22" s="1705">
        <v>0</v>
      </c>
      <c r="W22" s="1709">
        <v>2</v>
      </c>
      <c r="X22" s="1713">
        <v>4</v>
      </c>
      <c r="Y22" s="1781" t="str">
        <f t="shared" si="13"/>
        <v/>
      </c>
      <c r="Z22" s="1782" t="str">
        <f t="shared" si="14"/>
        <v/>
      </c>
      <c r="AA22" s="1783" t="s">
        <v>1749</v>
      </c>
      <c r="AB22" s="1413"/>
      <c r="AC22" s="964" t="b">
        <v>0</v>
      </c>
      <c r="AD22" s="441">
        <f t="shared" si="15"/>
        <v>0</v>
      </c>
      <c r="AE22" s="442">
        <f t="shared" si="16"/>
        <v>2</v>
      </c>
      <c r="AF22" s="442">
        <f t="shared" si="17"/>
        <v>0</v>
      </c>
      <c r="AG22" s="442">
        <f t="shared" si="18"/>
        <v>0</v>
      </c>
      <c r="AH22" s="443">
        <f t="shared" si="19"/>
        <v>0</v>
      </c>
      <c r="AI22" s="444" t="b">
        <v>0</v>
      </c>
      <c r="AJ22" s="238">
        <f t="shared" si="20"/>
        <v>44</v>
      </c>
      <c r="AK22" s="830" t="str">
        <f t="shared" si="21"/>
        <v>LH</v>
      </c>
      <c r="AL22" s="945" t="str">
        <f t="shared" si="22"/>
        <v/>
      </c>
      <c r="AM22" s="830">
        <f t="shared" si="23"/>
        <v>305</v>
      </c>
      <c r="AN22" s="830">
        <f t="shared" si="24"/>
        <v>180</v>
      </c>
      <c r="AO22" s="830" t="str">
        <f t="shared" si="25"/>
        <v/>
      </c>
      <c r="AP22" s="830" t="b">
        <f>IF(ISERROR(AJ22),FALSE,IF(OR(AJ22=0,ISERROR(AL22),ISERROR(AM22),ISERROR(AN22),ISERROR(AO22)),FALSE,IF(AL22&lt;&gt;"",IF(ISERROR(VLOOKUP(SUBSTITUTE(SUBSTITUTE(C22,"R",""),"A",""),TblJoistSize!$A:$A,1,FALSE)),FALSE,TRUE),TRUE)))</f>
        <v>1</v>
      </c>
      <c r="AQ22" s="1038">
        <f t="shared" si="26"/>
        <v>6</v>
      </c>
      <c r="AR22" s="945" t="b">
        <f t="shared" si="27"/>
        <v>1</v>
      </c>
      <c r="AS22" s="1038">
        <f t="shared" si="28"/>
        <v>6</v>
      </c>
      <c r="AT22" s="945" t="b">
        <f t="shared" si="29"/>
        <v>1</v>
      </c>
      <c r="AU22" s="946" t="str">
        <f t="shared" si="30"/>
        <v>LH</v>
      </c>
      <c r="AV22" s="830" t="str">
        <f t="shared" si="31"/>
        <v/>
      </c>
      <c r="AW22" s="830" t="str">
        <f t="shared" si="32"/>
        <v>LH</v>
      </c>
      <c r="AX22" s="830" t="str">
        <f t="shared" si="106"/>
        <v>J48</v>
      </c>
      <c r="AY22" s="1039" t="b">
        <f t="shared" si="33"/>
        <v>0</v>
      </c>
      <c r="AZ22" s="856" t="b">
        <f t="shared" si="34"/>
        <v>0</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35"/>
        <v/>
      </c>
      <c r="BR22" s="910"/>
      <c r="BS22" s="672"/>
      <c r="BT22" s="713"/>
      <c r="BU22" s="714"/>
      <c r="BV22" s="1625"/>
      <c r="BW22" s="713"/>
      <c r="BX22" s="714"/>
      <c r="BY22" s="715"/>
      <c r="BZ22" s="716"/>
      <c r="CA22" s="680" t="str">
        <f>IF(ISERROR(DE22),"",IF(DE22="","",IF(VLOOKUP(BS22,SectInfo!$B:$N,10,FALSE)="","","X")))</f>
        <v/>
      </c>
      <c r="CB22" s="738"/>
      <c r="CC22" s="1551" t="str">
        <f t="shared" si="36"/>
        <v/>
      </c>
      <c r="CD22" s="910"/>
      <c r="CE22" s="717"/>
      <c r="CF22" s="736"/>
      <c r="CG22" s="737"/>
      <c r="CH22" s="591" t="str">
        <f t="shared" si="37"/>
        <v/>
      </c>
      <c r="CI22" s="592" t="str">
        <f t="shared" si="38"/>
        <v/>
      </c>
      <c r="CJ22" s="593" t="str">
        <f t="shared" si="39"/>
        <v/>
      </c>
      <c r="CK22" s="594" t="str">
        <f t="shared" si="40"/>
        <v/>
      </c>
      <c r="CL22" s="595" t="str">
        <f t="shared" si="41"/>
        <v/>
      </c>
      <c r="CM22" s="596" t="str">
        <f t="shared" si="42"/>
        <v/>
      </c>
      <c r="CN22" s="597" t="str">
        <f t="shared" si="43"/>
        <v/>
      </c>
      <c r="CO22" s="598" t="str">
        <f t="shared" si="44"/>
        <v/>
      </c>
      <c r="CP22" s="615" t="str">
        <f t="shared" si="45"/>
        <v/>
      </c>
      <c r="CQ22" s="616" t="str">
        <f t="shared" si="46"/>
        <v/>
      </c>
      <c r="CR22" s="750">
        <f t="shared" si="47"/>
        <v>5</v>
      </c>
      <c r="CS22" s="751">
        <f t="shared" si="48"/>
        <v>5</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49"/>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50"/>
        <v>0</v>
      </c>
      <c r="DO22" s="818">
        <f t="shared" si="51"/>
        <v>0</v>
      </c>
      <c r="DP22" s="822" t="str">
        <f t="shared" si="52"/>
        <v/>
      </c>
      <c r="DQ22" s="822" t="str">
        <f t="shared" si="53"/>
        <v/>
      </c>
      <c r="DR22" s="822" t="str">
        <f t="shared" si="54"/>
        <v/>
      </c>
      <c r="DS22" s="821">
        <f t="shared" si="55"/>
        <v>0</v>
      </c>
      <c r="DT22" s="821">
        <f t="shared" si="56"/>
        <v>0</v>
      </c>
      <c r="DU22" s="821" t="str">
        <f t="shared" si="57"/>
        <v/>
      </c>
      <c r="DV22" s="822" t="str">
        <f t="shared" si="58"/>
        <v/>
      </c>
      <c r="DW22" s="856" t="str">
        <f t="shared" si="59"/>
        <v/>
      </c>
      <c r="DX22" s="1006">
        <f t="shared" si="60"/>
        <v>0</v>
      </c>
      <c r="DY22" s="822">
        <f t="shared" si="61"/>
        <v>0</v>
      </c>
      <c r="DZ22" s="821">
        <f t="shared" si="62"/>
        <v>0</v>
      </c>
      <c r="EA22" s="821" t="str">
        <f t="shared" si="63"/>
        <v/>
      </c>
      <c r="EB22" s="822" t="str">
        <f t="shared" si="64"/>
        <v/>
      </c>
      <c r="EC22" s="856" t="str">
        <f t="shared" si="65"/>
        <v/>
      </c>
      <c r="ED22" s="1006">
        <f t="shared" si="66"/>
        <v>0</v>
      </c>
      <c r="EE22" s="1293" t="str">
        <f t="shared" si="67"/>
        <v/>
      </c>
      <c r="EF22" s="1293" t="str">
        <f t="shared" si="68"/>
        <v/>
      </c>
      <c r="EG22" s="1293" t="str">
        <f t="shared" si="69"/>
        <v/>
      </c>
      <c r="EH22" s="856" t="str">
        <f t="shared" si="70"/>
        <v>ERR</v>
      </c>
      <c r="EI22" s="856" t="str">
        <f t="shared" si="71"/>
        <v>ERR</v>
      </c>
      <c r="EJ22" s="822" t="str">
        <f t="shared" si="72"/>
        <v/>
      </c>
      <c r="EK22" s="822" t="str">
        <f t="shared" si="72"/>
        <v/>
      </c>
      <c r="EL22" s="1293" t="str">
        <f t="shared" si="73"/>
        <v/>
      </c>
      <c r="EM22" s="822" t="str">
        <f t="shared" si="74"/>
        <v/>
      </c>
      <c r="EN22" s="822" t="str">
        <f t="shared" si="75"/>
        <v/>
      </c>
      <c r="EO22" s="856" t="str">
        <f t="shared" si="76"/>
        <v>ERR</v>
      </c>
      <c r="EP22" s="856" t="str">
        <f t="shared" si="77"/>
        <v>ERR</v>
      </c>
      <c r="EQ22" s="1293" t="str">
        <f t="shared" si="78"/>
        <v/>
      </c>
      <c r="ER22" s="822" t="str">
        <f t="shared" si="78"/>
        <v/>
      </c>
      <c r="ES22" s="822" t="str">
        <f t="shared" si="79"/>
        <v/>
      </c>
      <c r="ET22" s="822" t="str">
        <f t="shared" si="80"/>
        <v/>
      </c>
      <c r="EU22" s="829">
        <f t="shared" si="81"/>
        <v>4</v>
      </c>
      <c r="EV22" s="824" t="str">
        <f t="shared" si="82"/>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83"/>
        <v/>
      </c>
      <c r="FA22" s="829" t="str">
        <f>IF(AND(DE22="G", ISBLANK(BW22), ISBLANK(BX22)),VLOOKUP(MIN(BT22:BU22),TblJoistSize!$M$3:$N$10,2),IF(OR(DE22="B", DE22="G"),MIN(BW22:BX22),""))</f>
        <v/>
      </c>
      <c r="FB22" s="829" t="str">
        <f>IF(AND(DE22="G", ISBLANK(BW22), ISBLANK(BX22)),VLOOKUP(MAX(BT22:BU22),TblJoistSize!$M$3:$N$10,2),IF(OR(DE22="B", DE22="G"),MAX(BW22:BX22),""))</f>
        <v/>
      </c>
      <c r="FC22" s="829" t="str">
        <f t="shared" si="84"/>
        <v/>
      </c>
      <c r="FD22" s="821">
        <f t="shared" si="107"/>
        <v>0</v>
      </c>
      <c r="FE22" s="821">
        <f t="shared" si="85"/>
        <v>0</v>
      </c>
      <c r="FF22" s="821">
        <f t="shared" si="86"/>
        <v>0</v>
      </c>
      <c r="FG22" s="821" t="str">
        <f t="shared" si="87"/>
        <v/>
      </c>
      <c r="FH22" s="822" t="str">
        <f t="shared" si="88"/>
        <v/>
      </c>
      <c r="FI22" s="821">
        <f t="shared" si="108"/>
        <v>0</v>
      </c>
      <c r="FJ22" s="821">
        <f t="shared" si="89"/>
        <v>0</v>
      </c>
      <c r="FK22" s="821">
        <f t="shared" si="90"/>
        <v>0</v>
      </c>
      <c r="FL22" s="821" t="str">
        <f t="shared" si="91"/>
        <v/>
      </c>
      <c r="FM22" s="822" t="str">
        <f t="shared" si="92"/>
        <v/>
      </c>
      <c r="FN22" s="822" t="e">
        <f t="shared" si="93"/>
        <v>#VALUE!</v>
      </c>
      <c r="FO22" s="940" t="e">
        <f t="shared" si="94"/>
        <v>#VALUE!</v>
      </c>
      <c r="FP22" s="940" t="e">
        <f t="shared" si="95"/>
        <v>#VALUE!</v>
      </c>
      <c r="FQ22" s="830" t="e">
        <f t="shared" si="96"/>
        <v>#VALUE!</v>
      </c>
      <c r="FR22" s="831" t="e">
        <f t="shared" si="97"/>
        <v>#VALUE!</v>
      </c>
      <c r="FS22" s="832" t="str">
        <f t="shared" si="98"/>
        <v/>
      </c>
      <c r="FT22" s="833" t="str">
        <f t="shared" si="99"/>
        <v/>
      </c>
      <c r="FU22" s="870">
        <f t="shared" si="100"/>
        <v>0</v>
      </c>
      <c r="FV22" s="871">
        <f t="shared" si="101"/>
        <v>0</v>
      </c>
      <c r="GA22" s="1791">
        <v>69</v>
      </c>
      <c r="GB22" s="1792">
        <v>2.25</v>
      </c>
      <c r="GC22" s="1793">
        <v>-0.25</v>
      </c>
      <c r="GD22" s="1794">
        <v>-0.5</v>
      </c>
      <c r="GE22" s="1795">
        <f t="shared" si="102"/>
        <v>0</v>
      </c>
      <c r="GF22" s="600" t="str">
        <f t="shared" si="103"/>
        <v>J48</v>
      </c>
      <c r="GG22" s="1130">
        <v>0</v>
      </c>
      <c r="GH22" s="1131">
        <v>0</v>
      </c>
      <c r="GI22" s="1130"/>
      <c r="GJ22" s="1131"/>
      <c r="GK22" s="1638">
        <f t="shared" si="104"/>
        <v>829.5</v>
      </c>
      <c r="GL22" s="1636">
        <f t="shared" si="105"/>
        <v>829.5</v>
      </c>
      <c r="GM22" s="1637">
        <f>IF(ABS(GK22-GL22)&gt;='Job Info.'!$L$22,ABS(GK22-GL22),0)</f>
        <v>0</v>
      </c>
      <c r="HA22" s="1269" t="s">
        <v>1478</v>
      </c>
      <c r="HB22" s="1270">
        <v>2</v>
      </c>
      <c r="HC22" s="1270" t="s">
        <v>1593</v>
      </c>
      <c r="HD22" s="1271">
        <v>69</v>
      </c>
      <c r="HE22" s="1272">
        <v>1.5</v>
      </c>
      <c r="HF22" s="1270" t="s">
        <v>116</v>
      </c>
      <c r="HG22" s="1270" t="s">
        <v>116</v>
      </c>
      <c r="HH22" s="1270" t="s">
        <v>116</v>
      </c>
      <c r="HI22" s="1273" t="s">
        <v>116</v>
      </c>
      <c r="HJ22" s="1270" t="s">
        <v>116</v>
      </c>
      <c r="HK22" s="1270" t="s">
        <v>116</v>
      </c>
      <c r="HL22" s="1270">
        <v>5</v>
      </c>
      <c r="HM22" s="1270">
        <v>5</v>
      </c>
      <c r="HN22" s="1270" t="s">
        <v>116</v>
      </c>
      <c r="HO22" s="1270" t="s">
        <v>116</v>
      </c>
      <c r="HP22" s="1270" t="s">
        <v>116</v>
      </c>
      <c r="HQ22" s="1273" t="s">
        <v>116</v>
      </c>
      <c r="HR22" s="1270" t="s">
        <v>116</v>
      </c>
      <c r="HS22" s="1270" t="s">
        <v>116</v>
      </c>
      <c r="HT22" s="1270">
        <v>0</v>
      </c>
      <c r="HU22" s="1270">
        <v>2.25</v>
      </c>
      <c r="HV22" s="1270">
        <v>0</v>
      </c>
      <c r="HW22" s="1272">
        <v>2</v>
      </c>
      <c r="HX22" s="1272">
        <v>4</v>
      </c>
      <c r="HY22" s="1272" t="s">
        <v>116</v>
      </c>
      <c r="HZ22" s="1272" t="s">
        <v>116</v>
      </c>
      <c r="IA22" s="1272" t="s">
        <v>1644</v>
      </c>
      <c r="IB22" s="1272"/>
      <c r="IC22" s="1272"/>
      <c r="ID22" s="1272"/>
      <c r="IE22" s="1272"/>
      <c r="IF22" s="1274"/>
    </row>
    <row r="23" spans="1:240" ht="12.6" customHeight="1" x14ac:dyDescent="0.25">
      <c r="A23" s="1448" t="s">
        <v>1479</v>
      </c>
      <c r="B23" s="1681">
        <v>2</v>
      </c>
      <c r="C23" s="1449" t="s">
        <v>1593</v>
      </c>
      <c r="D23" s="1705">
        <v>69</v>
      </c>
      <c r="E23" s="1706">
        <v>1.5</v>
      </c>
      <c r="F23" s="1714" t="str">
        <f t="shared" si="1"/>
        <v/>
      </c>
      <c r="G23" s="1709" t="str">
        <f t="shared" si="2"/>
        <v/>
      </c>
      <c r="H23" s="1779" t="str">
        <f t="shared" si="3"/>
        <v/>
      </c>
      <c r="I23" s="1705" t="str">
        <f t="shared" si="4"/>
        <v/>
      </c>
      <c r="J23" s="1709" t="str">
        <f t="shared" si="5"/>
        <v/>
      </c>
      <c r="K23" s="1796" t="str">
        <f t="shared" si="6"/>
        <v/>
      </c>
      <c r="L23" s="1712">
        <v>5</v>
      </c>
      <c r="M23" s="1713">
        <v>5</v>
      </c>
      <c r="N23" s="1708" t="str">
        <f t="shared" si="7"/>
        <v/>
      </c>
      <c r="O23" s="1709" t="str">
        <f t="shared" si="8"/>
        <v/>
      </c>
      <c r="P23" s="1710" t="str">
        <f t="shared" si="9"/>
        <v/>
      </c>
      <c r="Q23" s="1705" t="str">
        <f t="shared" si="10"/>
        <v/>
      </c>
      <c r="R23" s="1709" t="str">
        <f t="shared" si="11"/>
        <v/>
      </c>
      <c r="S23" s="1711" t="str">
        <f t="shared" si="12"/>
        <v/>
      </c>
      <c r="T23" s="1714">
        <v>0</v>
      </c>
      <c r="U23" s="1709">
        <v>2.25</v>
      </c>
      <c r="V23" s="1705">
        <v>0</v>
      </c>
      <c r="W23" s="1709">
        <v>2</v>
      </c>
      <c r="X23" s="1713">
        <v>4</v>
      </c>
      <c r="Y23" s="1781" t="str">
        <f t="shared" si="13"/>
        <v/>
      </c>
      <c r="Z23" s="1782" t="str">
        <f t="shared" si="14"/>
        <v/>
      </c>
      <c r="AA23" s="1783" t="s">
        <v>1750</v>
      </c>
      <c r="AB23" s="1413"/>
      <c r="AC23" s="964" t="b">
        <v>0</v>
      </c>
      <c r="AD23" s="441">
        <f t="shared" si="15"/>
        <v>0</v>
      </c>
      <c r="AE23" s="442">
        <f t="shared" si="16"/>
        <v>2</v>
      </c>
      <c r="AF23" s="442">
        <f t="shared" si="17"/>
        <v>0</v>
      </c>
      <c r="AG23" s="442">
        <f t="shared" si="18"/>
        <v>0</v>
      </c>
      <c r="AH23" s="443">
        <f t="shared" si="19"/>
        <v>0</v>
      </c>
      <c r="AI23" s="444" t="b">
        <v>0</v>
      </c>
      <c r="AJ23" s="238">
        <f t="shared" si="20"/>
        <v>44</v>
      </c>
      <c r="AK23" s="830" t="str">
        <f t="shared" si="21"/>
        <v>LH</v>
      </c>
      <c r="AL23" s="945" t="str">
        <f t="shared" si="22"/>
        <v/>
      </c>
      <c r="AM23" s="830">
        <f t="shared" si="23"/>
        <v>305</v>
      </c>
      <c r="AN23" s="830">
        <f t="shared" si="24"/>
        <v>180</v>
      </c>
      <c r="AO23" s="830" t="str">
        <f t="shared" si="25"/>
        <v/>
      </c>
      <c r="AP23" s="830" t="b">
        <f>IF(ISERROR(AJ23),FALSE,IF(OR(AJ23=0,ISERROR(AL23),ISERROR(AM23),ISERROR(AN23),ISERROR(AO23)),FALSE,IF(AL23&lt;&gt;"",IF(ISERROR(VLOOKUP(SUBSTITUTE(SUBSTITUTE(C23,"R",""),"A",""),TblJoistSize!$A:$A,1,FALSE)),FALSE,TRUE),TRUE)))</f>
        <v>1</v>
      </c>
      <c r="AQ23" s="1038">
        <f t="shared" si="26"/>
        <v>6</v>
      </c>
      <c r="AR23" s="945" t="b">
        <f t="shared" si="27"/>
        <v>1</v>
      </c>
      <c r="AS23" s="1038">
        <f t="shared" si="28"/>
        <v>6</v>
      </c>
      <c r="AT23" s="945" t="b">
        <f t="shared" si="29"/>
        <v>1</v>
      </c>
      <c r="AU23" s="946" t="str">
        <f t="shared" si="30"/>
        <v>LH</v>
      </c>
      <c r="AV23" s="830" t="str">
        <f t="shared" si="31"/>
        <v/>
      </c>
      <c r="AW23" s="830" t="str">
        <f t="shared" si="32"/>
        <v>LH</v>
      </c>
      <c r="AX23" s="830" t="str">
        <f t="shared" si="106"/>
        <v>J49</v>
      </c>
      <c r="AY23" s="1039" t="b">
        <f t="shared" si="33"/>
        <v>0</v>
      </c>
      <c r="AZ23" s="856" t="b">
        <f t="shared" si="34"/>
        <v>0</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35"/>
        <v/>
      </c>
      <c r="BR23" s="910"/>
      <c r="BS23" s="672"/>
      <c r="BT23" s="713"/>
      <c r="BU23" s="714"/>
      <c r="BV23" s="1625"/>
      <c r="BW23" s="713"/>
      <c r="BX23" s="714"/>
      <c r="BY23" s="715"/>
      <c r="BZ23" s="716"/>
      <c r="CA23" s="680" t="str">
        <f>IF(ISERROR(DE23),"",IF(DE23="","",IF(VLOOKUP(BS23,SectInfo!$B:$N,10,FALSE)="","","X")))</f>
        <v/>
      </c>
      <c r="CB23" s="738"/>
      <c r="CC23" s="1551" t="str">
        <f t="shared" si="36"/>
        <v/>
      </c>
      <c r="CD23" s="910"/>
      <c r="CE23" s="717"/>
      <c r="CF23" s="736"/>
      <c r="CG23" s="737"/>
      <c r="CH23" s="591" t="str">
        <f t="shared" si="37"/>
        <v/>
      </c>
      <c r="CI23" s="592" t="str">
        <f t="shared" si="38"/>
        <v/>
      </c>
      <c r="CJ23" s="593" t="str">
        <f t="shared" si="39"/>
        <v/>
      </c>
      <c r="CK23" s="594" t="str">
        <f t="shared" si="40"/>
        <v/>
      </c>
      <c r="CL23" s="595" t="str">
        <f t="shared" si="41"/>
        <v/>
      </c>
      <c r="CM23" s="596" t="str">
        <f t="shared" si="42"/>
        <v/>
      </c>
      <c r="CN23" s="597" t="str">
        <f t="shared" si="43"/>
        <v/>
      </c>
      <c r="CO23" s="598" t="str">
        <f t="shared" si="44"/>
        <v/>
      </c>
      <c r="CP23" s="615" t="str">
        <f t="shared" si="45"/>
        <v/>
      </c>
      <c r="CQ23" s="616" t="str">
        <f t="shared" si="46"/>
        <v/>
      </c>
      <c r="CR23" s="750">
        <f t="shared" si="47"/>
        <v>5</v>
      </c>
      <c r="CS23" s="751">
        <f t="shared" si="48"/>
        <v>5</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49"/>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50"/>
        <v>0</v>
      </c>
      <c r="DO23" s="818">
        <f t="shared" si="51"/>
        <v>0</v>
      </c>
      <c r="DP23" s="822" t="str">
        <f t="shared" si="52"/>
        <v/>
      </c>
      <c r="DQ23" s="822" t="str">
        <f t="shared" si="53"/>
        <v/>
      </c>
      <c r="DR23" s="822" t="str">
        <f t="shared" si="54"/>
        <v/>
      </c>
      <c r="DS23" s="821">
        <f t="shared" si="55"/>
        <v>0</v>
      </c>
      <c r="DT23" s="821">
        <f t="shared" si="56"/>
        <v>0</v>
      </c>
      <c r="DU23" s="821" t="str">
        <f t="shared" si="57"/>
        <v/>
      </c>
      <c r="DV23" s="822" t="str">
        <f t="shared" si="58"/>
        <v/>
      </c>
      <c r="DW23" s="856" t="str">
        <f t="shared" si="59"/>
        <v/>
      </c>
      <c r="DX23" s="1006">
        <f t="shared" si="60"/>
        <v>0</v>
      </c>
      <c r="DY23" s="822">
        <f t="shared" si="61"/>
        <v>0</v>
      </c>
      <c r="DZ23" s="821">
        <f t="shared" si="62"/>
        <v>0</v>
      </c>
      <c r="EA23" s="821" t="str">
        <f t="shared" si="63"/>
        <v/>
      </c>
      <c r="EB23" s="822" t="str">
        <f t="shared" si="64"/>
        <v/>
      </c>
      <c r="EC23" s="856" t="str">
        <f t="shared" si="65"/>
        <v/>
      </c>
      <c r="ED23" s="1006">
        <f t="shared" si="66"/>
        <v>0</v>
      </c>
      <c r="EE23" s="1293" t="str">
        <f t="shared" si="67"/>
        <v/>
      </c>
      <c r="EF23" s="1293" t="str">
        <f t="shared" si="68"/>
        <v/>
      </c>
      <c r="EG23" s="1293" t="str">
        <f t="shared" si="69"/>
        <v/>
      </c>
      <c r="EH23" s="856" t="str">
        <f t="shared" si="70"/>
        <v>ERR</v>
      </c>
      <c r="EI23" s="856" t="str">
        <f t="shared" si="71"/>
        <v>ERR</v>
      </c>
      <c r="EJ23" s="822" t="str">
        <f t="shared" si="72"/>
        <v/>
      </c>
      <c r="EK23" s="822" t="str">
        <f t="shared" si="72"/>
        <v/>
      </c>
      <c r="EL23" s="1293" t="str">
        <f t="shared" si="73"/>
        <v/>
      </c>
      <c r="EM23" s="822" t="str">
        <f t="shared" si="74"/>
        <v/>
      </c>
      <c r="EN23" s="822" t="str">
        <f t="shared" si="75"/>
        <v/>
      </c>
      <c r="EO23" s="856" t="str">
        <f t="shared" si="76"/>
        <v>ERR</v>
      </c>
      <c r="EP23" s="856" t="str">
        <f t="shared" si="77"/>
        <v>ERR</v>
      </c>
      <c r="EQ23" s="1293" t="str">
        <f t="shared" si="78"/>
        <v/>
      </c>
      <c r="ER23" s="822" t="str">
        <f t="shared" si="78"/>
        <v/>
      </c>
      <c r="ES23" s="822" t="str">
        <f t="shared" si="79"/>
        <v/>
      </c>
      <c r="ET23" s="822" t="str">
        <f t="shared" si="80"/>
        <v/>
      </c>
      <c r="EU23" s="829">
        <f t="shared" si="81"/>
        <v>4</v>
      </c>
      <c r="EV23" s="824" t="str">
        <f t="shared" si="82"/>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83"/>
        <v/>
      </c>
      <c r="FA23" s="829" t="str">
        <f>IF(AND(DE23="G", ISBLANK(BW23), ISBLANK(BX23)),VLOOKUP(MIN(BT23:BU23),TblJoistSize!$M$3:$N$10,2),IF(OR(DE23="B", DE23="G"),MIN(BW23:BX23),""))</f>
        <v/>
      </c>
      <c r="FB23" s="829" t="str">
        <f>IF(AND(DE23="G", ISBLANK(BW23), ISBLANK(BX23)),VLOOKUP(MAX(BT23:BU23),TblJoistSize!$M$3:$N$10,2),IF(OR(DE23="B", DE23="G"),MAX(BW23:BX23),""))</f>
        <v/>
      </c>
      <c r="FC23" s="829" t="str">
        <f t="shared" si="84"/>
        <v/>
      </c>
      <c r="FD23" s="821">
        <f t="shared" si="107"/>
        <v>0</v>
      </c>
      <c r="FE23" s="821">
        <f t="shared" si="85"/>
        <v>0</v>
      </c>
      <c r="FF23" s="821">
        <f t="shared" si="86"/>
        <v>0</v>
      </c>
      <c r="FG23" s="821" t="str">
        <f t="shared" si="87"/>
        <v/>
      </c>
      <c r="FH23" s="822" t="str">
        <f t="shared" si="88"/>
        <v/>
      </c>
      <c r="FI23" s="821">
        <f t="shared" si="108"/>
        <v>0</v>
      </c>
      <c r="FJ23" s="821">
        <f t="shared" si="89"/>
        <v>0</v>
      </c>
      <c r="FK23" s="821">
        <f t="shared" si="90"/>
        <v>0</v>
      </c>
      <c r="FL23" s="821" t="str">
        <f t="shared" si="91"/>
        <v/>
      </c>
      <c r="FM23" s="822" t="str">
        <f t="shared" si="92"/>
        <v/>
      </c>
      <c r="FN23" s="822" t="e">
        <f t="shared" si="93"/>
        <v>#VALUE!</v>
      </c>
      <c r="FO23" s="940" t="e">
        <f t="shared" si="94"/>
        <v>#VALUE!</v>
      </c>
      <c r="FP23" s="940" t="e">
        <f t="shared" si="95"/>
        <v>#VALUE!</v>
      </c>
      <c r="FQ23" s="830" t="e">
        <f t="shared" si="96"/>
        <v>#VALUE!</v>
      </c>
      <c r="FR23" s="831" t="e">
        <f t="shared" si="97"/>
        <v>#VALUE!</v>
      </c>
      <c r="FS23" s="832" t="str">
        <f t="shared" si="98"/>
        <v/>
      </c>
      <c r="FT23" s="833" t="str">
        <f t="shared" si="99"/>
        <v/>
      </c>
      <c r="FU23" s="870">
        <f t="shared" si="100"/>
        <v>0</v>
      </c>
      <c r="FV23" s="871">
        <f t="shared" si="101"/>
        <v>0</v>
      </c>
      <c r="GA23" s="1791">
        <v>69</v>
      </c>
      <c r="GB23" s="1792">
        <v>2.25</v>
      </c>
      <c r="GC23" s="1793">
        <v>-0.25</v>
      </c>
      <c r="GD23" s="1794">
        <v>-0.5</v>
      </c>
      <c r="GE23" s="1795">
        <f t="shared" si="102"/>
        <v>0</v>
      </c>
      <c r="GF23" s="600" t="str">
        <f t="shared" si="103"/>
        <v>J49</v>
      </c>
      <c r="GG23" s="1130">
        <v>0</v>
      </c>
      <c r="GH23" s="1131">
        <v>0</v>
      </c>
      <c r="GI23" s="1130"/>
      <c r="GJ23" s="1131"/>
      <c r="GK23" s="1638">
        <f t="shared" si="104"/>
        <v>829.5</v>
      </c>
      <c r="GL23" s="1636">
        <f t="shared" si="105"/>
        <v>829.5</v>
      </c>
      <c r="GM23" s="1637">
        <f>IF(ABS(GK23-GL23)&gt;='Job Info.'!$L$22,ABS(GK23-GL23),0)</f>
        <v>0</v>
      </c>
      <c r="HA23" s="1269" t="s">
        <v>1479</v>
      </c>
      <c r="HB23" s="1270">
        <v>2</v>
      </c>
      <c r="HC23" s="1270" t="s">
        <v>1593</v>
      </c>
      <c r="HD23" s="1271">
        <v>69</v>
      </c>
      <c r="HE23" s="1272">
        <v>1.5</v>
      </c>
      <c r="HF23" s="1270" t="s">
        <v>116</v>
      </c>
      <c r="HG23" s="1270" t="s">
        <v>116</v>
      </c>
      <c r="HH23" s="1270" t="s">
        <v>116</v>
      </c>
      <c r="HI23" s="1273" t="s">
        <v>116</v>
      </c>
      <c r="HJ23" s="1270" t="s">
        <v>116</v>
      </c>
      <c r="HK23" s="1270" t="s">
        <v>116</v>
      </c>
      <c r="HL23" s="1270">
        <v>5</v>
      </c>
      <c r="HM23" s="1270">
        <v>5</v>
      </c>
      <c r="HN23" s="1270" t="s">
        <v>116</v>
      </c>
      <c r="HO23" s="1270" t="s">
        <v>116</v>
      </c>
      <c r="HP23" s="1270" t="s">
        <v>116</v>
      </c>
      <c r="HQ23" s="1273" t="s">
        <v>116</v>
      </c>
      <c r="HR23" s="1270" t="s">
        <v>116</v>
      </c>
      <c r="HS23" s="1270" t="s">
        <v>116</v>
      </c>
      <c r="HT23" s="1270">
        <v>0</v>
      </c>
      <c r="HU23" s="1270">
        <v>2.25</v>
      </c>
      <c r="HV23" s="1270">
        <v>0</v>
      </c>
      <c r="HW23" s="1272">
        <v>2</v>
      </c>
      <c r="HX23" s="1272">
        <v>4</v>
      </c>
      <c r="HY23" s="1272" t="s">
        <v>116</v>
      </c>
      <c r="HZ23" s="1272" t="s">
        <v>116</v>
      </c>
      <c r="IA23" s="1272" t="s">
        <v>1645</v>
      </c>
      <c r="IB23" s="1272"/>
      <c r="IC23" s="1272"/>
      <c r="ID23" s="1272"/>
      <c r="IE23" s="1272"/>
      <c r="IF23" s="1274"/>
    </row>
    <row r="24" spans="1:240" ht="12.6" customHeight="1" x14ac:dyDescent="0.25">
      <c r="A24" s="1448" t="s">
        <v>1480</v>
      </c>
      <c r="B24" s="1681">
        <v>2</v>
      </c>
      <c r="C24" s="1449" t="s">
        <v>1593</v>
      </c>
      <c r="D24" s="1705">
        <v>69</v>
      </c>
      <c r="E24" s="1706">
        <v>1.5</v>
      </c>
      <c r="F24" s="1714" t="str">
        <f t="shared" si="1"/>
        <v/>
      </c>
      <c r="G24" s="1709" t="str">
        <f t="shared" si="2"/>
        <v/>
      </c>
      <c r="H24" s="1779" t="str">
        <f t="shared" si="3"/>
        <v/>
      </c>
      <c r="I24" s="1705" t="str">
        <f t="shared" si="4"/>
        <v/>
      </c>
      <c r="J24" s="1709" t="str">
        <f t="shared" si="5"/>
        <v/>
      </c>
      <c r="K24" s="1796" t="str">
        <f t="shared" si="6"/>
        <v/>
      </c>
      <c r="L24" s="1712">
        <v>5</v>
      </c>
      <c r="M24" s="1713">
        <v>5</v>
      </c>
      <c r="N24" s="1708" t="str">
        <f t="shared" si="7"/>
        <v/>
      </c>
      <c r="O24" s="1709" t="str">
        <f t="shared" si="8"/>
        <v/>
      </c>
      <c r="P24" s="1710" t="str">
        <f t="shared" si="9"/>
        <v/>
      </c>
      <c r="Q24" s="1705" t="str">
        <f t="shared" si="10"/>
        <v/>
      </c>
      <c r="R24" s="1709" t="str">
        <f t="shared" si="11"/>
        <v/>
      </c>
      <c r="S24" s="1711" t="str">
        <f t="shared" si="12"/>
        <v/>
      </c>
      <c r="T24" s="1714">
        <v>0</v>
      </c>
      <c r="U24" s="1709">
        <v>2.25</v>
      </c>
      <c r="V24" s="1705">
        <v>0</v>
      </c>
      <c r="W24" s="1709">
        <v>2</v>
      </c>
      <c r="X24" s="1713">
        <v>4</v>
      </c>
      <c r="Y24" s="1781" t="str">
        <f t="shared" si="13"/>
        <v/>
      </c>
      <c r="Z24" s="1782" t="str">
        <f t="shared" si="14"/>
        <v/>
      </c>
      <c r="AA24" s="1783" t="s">
        <v>1751</v>
      </c>
      <c r="AB24" s="1413"/>
      <c r="AC24" s="964" t="b">
        <v>0</v>
      </c>
      <c r="AD24" s="441">
        <f t="shared" si="15"/>
        <v>0</v>
      </c>
      <c r="AE24" s="442">
        <f t="shared" si="16"/>
        <v>2</v>
      </c>
      <c r="AF24" s="442">
        <f t="shared" si="17"/>
        <v>0</v>
      </c>
      <c r="AG24" s="442">
        <f t="shared" si="18"/>
        <v>0</v>
      </c>
      <c r="AH24" s="443">
        <f t="shared" si="19"/>
        <v>0</v>
      </c>
      <c r="AI24" s="444" t="b">
        <v>0</v>
      </c>
      <c r="AJ24" s="238">
        <f t="shared" si="20"/>
        <v>44</v>
      </c>
      <c r="AK24" s="830" t="str">
        <f t="shared" si="21"/>
        <v>LH</v>
      </c>
      <c r="AL24" s="945" t="str">
        <f t="shared" si="22"/>
        <v/>
      </c>
      <c r="AM24" s="830">
        <f t="shared" si="23"/>
        <v>305</v>
      </c>
      <c r="AN24" s="830">
        <f t="shared" si="24"/>
        <v>180</v>
      </c>
      <c r="AO24" s="830" t="str">
        <f t="shared" si="25"/>
        <v/>
      </c>
      <c r="AP24" s="830" t="b">
        <f>IF(ISERROR(AJ24),FALSE,IF(OR(AJ24=0,ISERROR(AL24),ISERROR(AM24),ISERROR(AN24),ISERROR(AO24)),FALSE,IF(AL24&lt;&gt;"",IF(ISERROR(VLOOKUP(SUBSTITUTE(SUBSTITUTE(C24,"R",""),"A",""),TblJoistSize!$A:$A,1,FALSE)),FALSE,TRUE),TRUE)))</f>
        <v>1</v>
      </c>
      <c r="AQ24" s="1038">
        <f t="shared" si="26"/>
        <v>6</v>
      </c>
      <c r="AR24" s="945" t="b">
        <f t="shared" si="27"/>
        <v>1</v>
      </c>
      <c r="AS24" s="1038">
        <f t="shared" si="28"/>
        <v>6</v>
      </c>
      <c r="AT24" s="945" t="b">
        <f t="shared" si="29"/>
        <v>1</v>
      </c>
      <c r="AU24" s="946" t="str">
        <f t="shared" si="30"/>
        <v>LH</v>
      </c>
      <c r="AV24" s="830" t="str">
        <f t="shared" si="31"/>
        <v/>
      </c>
      <c r="AW24" s="830" t="str">
        <f t="shared" si="32"/>
        <v>LH</v>
      </c>
      <c r="AX24" s="830" t="str">
        <f t="shared" si="106"/>
        <v>J50</v>
      </c>
      <c r="AY24" s="1039" t="b">
        <f t="shared" si="33"/>
        <v>0</v>
      </c>
      <c r="AZ24" s="856" t="b">
        <f t="shared" si="34"/>
        <v>0</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35"/>
        <v/>
      </c>
      <c r="BR24" s="910"/>
      <c r="BS24" s="672"/>
      <c r="BT24" s="713"/>
      <c r="BU24" s="714"/>
      <c r="BV24" s="1625"/>
      <c r="BW24" s="713"/>
      <c r="BX24" s="714"/>
      <c r="BY24" s="715"/>
      <c r="BZ24" s="716"/>
      <c r="CA24" s="680" t="str">
        <f>IF(ISERROR(DE24),"",IF(DE24="","",IF(VLOOKUP(BS24,SectInfo!$B:$N,10,FALSE)="","","X")))</f>
        <v/>
      </c>
      <c r="CB24" s="738"/>
      <c r="CC24" s="1551" t="str">
        <f t="shared" si="36"/>
        <v/>
      </c>
      <c r="CD24" s="910"/>
      <c r="CE24" s="717"/>
      <c r="CF24" s="736"/>
      <c r="CG24" s="737"/>
      <c r="CH24" s="591" t="str">
        <f t="shared" si="37"/>
        <v/>
      </c>
      <c r="CI24" s="592" t="str">
        <f t="shared" si="38"/>
        <v/>
      </c>
      <c r="CJ24" s="593" t="str">
        <f t="shared" si="39"/>
        <v/>
      </c>
      <c r="CK24" s="594" t="str">
        <f t="shared" si="40"/>
        <v/>
      </c>
      <c r="CL24" s="595" t="str">
        <f t="shared" si="41"/>
        <v/>
      </c>
      <c r="CM24" s="596" t="str">
        <f t="shared" si="42"/>
        <v/>
      </c>
      <c r="CN24" s="597" t="str">
        <f t="shared" si="43"/>
        <v/>
      </c>
      <c r="CO24" s="598" t="str">
        <f t="shared" si="44"/>
        <v/>
      </c>
      <c r="CP24" s="615" t="str">
        <f t="shared" si="45"/>
        <v/>
      </c>
      <c r="CQ24" s="616" t="str">
        <f t="shared" si="46"/>
        <v/>
      </c>
      <c r="CR24" s="750">
        <f t="shared" si="47"/>
        <v>5</v>
      </c>
      <c r="CS24" s="751">
        <f t="shared" si="48"/>
        <v>5</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49"/>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50"/>
        <v>0</v>
      </c>
      <c r="DO24" s="818">
        <f t="shared" si="51"/>
        <v>0</v>
      </c>
      <c r="DP24" s="822" t="str">
        <f t="shared" si="52"/>
        <v/>
      </c>
      <c r="DQ24" s="822" t="str">
        <f t="shared" si="53"/>
        <v/>
      </c>
      <c r="DR24" s="822" t="str">
        <f t="shared" si="54"/>
        <v/>
      </c>
      <c r="DS24" s="821">
        <f t="shared" si="55"/>
        <v>0</v>
      </c>
      <c r="DT24" s="821">
        <f t="shared" si="56"/>
        <v>0</v>
      </c>
      <c r="DU24" s="821" t="str">
        <f t="shared" si="57"/>
        <v/>
      </c>
      <c r="DV24" s="822" t="str">
        <f t="shared" si="58"/>
        <v/>
      </c>
      <c r="DW24" s="856" t="str">
        <f t="shared" si="59"/>
        <v/>
      </c>
      <c r="DX24" s="1006">
        <f t="shared" si="60"/>
        <v>0</v>
      </c>
      <c r="DY24" s="822">
        <f t="shared" si="61"/>
        <v>0</v>
      </c>
      <c r="DZ24" s="821">
        <f t="shared" si="62"/>
        <v>0</v>
      </c>
      <c r="EA24" s="821" t="str">
        <f t="shared" si="63"/>
        <v/>
      </c>
      <c r="EB24" s="822" t="str">
        <f t="shared" si="64"/>
        <v/>
      </c>
      <c r="EC24" s="856" t="str">
        <f t="shared" si="65"/>
        <v/>
      </c>
      <c r="ED24" s="1006">
        <f t="shared" si="66"/>
        <v>0</v>
      </c>
      <c r="EE24" s="1293" t="str">
        <f t="shared" si="67"/>
        <v/>
      </c>
      <c r="EF24" s="1293" t="str">
        <f t="shared" si="68"/>
        <v/>
      </c>
      <c r="EG24" s="1293" t="str">
        <f t="shared" si="69"/>
        <v/>
      </c>
      <c r="EH24" s="856" t="str">
        <f t="shared" si="70"/>
        <v>ERR</v>
      </c>
      <c r="EI24" s="856" t="str">
        <f t="shared" si="71"/>
        <v>ERR</v>
      </c>
      <c r="EJ24" s="822" t="str">
        <f t="shared" si="72"/>
        <v/>
      </c>
      <c r="EK24" s="822" t="str">
        <f t="shared" si="72"/>
        <v/>
      </c>
      <c r="EL24" s="1293" t="str">
        <f t="shared" si="73"/>
        <v/>
      </c>
      <c r="EM24" s="822" t="str">
        <f t="shared" si="74"/>
        <v/>
      </c>
      <c r="EN24" s="822" t="str">
        <f t="shared" si="75"/>
        <v/>
      </c>
      <c r="EO24" s="856" t="str">
        <f t="shared" si="76"/>
        <v>ERR</v>
      </c>
      <c r="EP24" s="856" t="str">
        <f t="shared" si="77"/>
        <v>ERR</v>
      </c>
      <c r="EQ24" s="1293" t="str">
        <f t="shared" si="78"/>
        <v/>
      </c>
      <c r="ER24" s="822" t="str">
        <f t="shared" si="78"/>
        <v/>
      </c>
      <c r="ES24" s="822" t="str">
        <f t="shared" si="79"/>
        <v/>
      </c>
      <c r="ET24" s="822" t="str">
        <f t="shared" si="80"/>
        <v/>
      </c>
      <c r="EU24" s="829">
        <f t="shared" si="81"/>
        <v>4</v>
      </c>
      <c r="EV24" s="824" t="str">
        <f t="shared" si="82"/>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83"/>
        <v/>
      </c>
      <c r="FA24" s="829" t="str">
        <f>IF(AND(DE24="G", ISBLANK(BW24), ISBLANK(BX24)),VLOOKUP(MIN(BT24:BU24),TblJoistSize!$M$3:$N$10,2),IF(OR(DE24="B", DE24="G"),MIN(BW24:BX24),""))</f>
        <v/>
      </c>
      <c r="FB24" s="829" t="str">
        <f>IF(AND(DE24="G", ISBLANK(BW24), ISBLANK(BX24)),VLOOKUP(MAX(BT24:BU24),TblJoistSize!$M$3:$N$10,2),IF(OR(DE24="B", DE24="G"),MAX(BW24:BX24),""))</f>
        <v/>
      </c>
      <c r="FC24" s="829" t="str">
        <f t="shared" si="84"/>
        <v/>
      </c>
      <c r="FD24" s="821">
        <f t="shared" si="107"/>
        <v>0</v>
      </c>
      <c r="FE24" s="821">
        <f t="shared" si="85"/>
        <v>0</v>
      </c>
      <c r="FF24" s="821">
        <f t="shared" si="86"/>
        <v>0</v>
      </c>
      <c r="FG24" s="821" t="str">
        <f t="shared" si="87"/>
        <v/>
      </c>
      <c r="FH24" s="822" t="str">
        <f t="shared" si="88"/>
        <v/>
      </c>
      <c r="FI24" s="821">
        <f t="shared" si="108"/>
        <v>0</v>
      </c>
      <c r="FJ24" s="821">
        <f t="shared" si="89"/>
        <v>0</v>
      </c>
      <c r="FK24" s="821">
        <f t="shared" si="90"/>
        <v>0</v>
      </c>
      <c r="FL24" s="821" t="str">
        <f t="shared" si="91"/>
        <v/>
      </c>
      <c r="FM24" s="822" t="str">
        <f t="shared" si="92"/>
        <v/>
      </c>
      <c r="FN24" s="822" t="e">
        <f t="shared" si="93"/>
        <v>#VALUE!</v>
      </c>
      <c r="FO24" s="940" t="e">
        <f t="shared" si="94"/>
        <v>#VALUE!</v>
      </c>
      <c r="FP24" s="940" t="e">
        <f t="shared" si="95"/>
        <v>#VALUE!</v>
      </c>
      <c r="FQ24" s="830" t="e">
        <f t="shared" si="96"/>
        <v>#VALUE!</v>
      </c>
      <c r="FR24" s="831" t="e">
        <f t="shared" si="97"/>
        <v>#VALUE!</v>
      </c>
      <c r="FS24" s="832" t="str">
        <f t="shared" si="98"/>
        <v/>
      </c>
      <c r="FT24" s="833" t="str">
        <f t="shared" si="99"/>
        <v/>
      </c>
      <c r="FU24" s="870">
        <f t="shared" si="100"/>
        <v>0</v>
      </c>
      <c r="FV24" s="871">
        <f t="shared" si="101"/>
        <v>0</v>
      </c>
      <c r="GA24" s="1791">
        <v>69</v>
      </c>
      <c r="GB24" s="1792">
        <v>2.25</v>
      </c>
      <c r="GC24" s="1793">
        <v>-0.25</v>
      </c>
      <c r="GD24" s="1794">
        <v>-0.5</v>
      </c>
      <c r="GE24" s="1795">
        <f t="shared" si="102"/>
        <v>0</v>
      </c>
      <c r="GF24" s="600" t="str">
        <f t="shared" si="103"/>
        <v>J50</v>
      </c>
      <c r="GG24" s="1130">
        <v>0</v>
      </c>
      <c r="GH24" s="1131">
        <v>0</v>
      </c>
      <c r="GI24" s="1130"/>
      <c r="GJ24" s="1131"/>
      <c r="GK24" s="1638">
        <f t="shared" si="104"/>
        <v>829.5</v>
      </c>
      <c r="GL24" s="1636">
        <f t="shared" si="105"/>
        <v>829.5</v>
      </c>
      <c r="GM24" s="1637">
        <f>IF(ABS(GK24-GL24)&gt;='Job Info.'!$L$22,ABS(GK24-GL24),0)</f>
        <v>0</v>
      </c>
      <c r="HA24" s="1269" t="s">
        <v>1480</v>
      </c>
      <c r="HB24" s="1270">
        <v>2</v>
      </c>
      <c r="HC24" s="1270" t="s">
        <v>1593</v>
      </c>
      <c r="HD24" s="1271">
        <v>69</v>
      </c>
      <c r="HE24" s="1272">
        <v>1.5</v>
      </c>
      <c r="HF24" s="1270" t="s">
        <v>116</v>
      </c>
      <c r="HG24" s="1270" t="s">
        <v>116</v>
      </c>
      <c r="HH24" s="1270" t="s">
        <v>116</v>
      </c>
      <c r="HI24" s="1273" t="s">
        <v>116</v>
      </c>
      <c r="HJ24" s="1270" t="s">
        <v>116</v>
      </c>
      <c r="HK24" s="1270" t="s">
        <v>116</v>
      </c>
      <c r="HL24" s="1270">
        <v>5</v>
      </c>
      <c r="HM24" s="1270">
        <v>5</v>
      </c>
      <c r="HN24" s="1270" t="s">
        <v>116</v>
      </c>
      <c r="HO24" s="1270" t="s">
        <v>116</v>
      </c>
      <c r="HP24" s="1270" t="s">
        <v>116</v>
      </c>
      <c r="HQ24" s="1273" t="s">
        <v>116</v>
      </c>
      <c r="HR24" s="1270" t="s">
        <v>116</v>
      </c>
      <c r="HS24" s="1270" t="s">
        <v>116</v>
      </c>
      <c r="HT24" s="1270">
        <v>0</v>
      </c>
      <c r="HU24" s="1270">
        <v>2.25</v>
      </c>
      <c r="HV24" s="1270">
        <v>0</v>
      </c>
      <c r="HW24" s="1272">
        <v>2</v>
      </c>
      <c r="HX24" s="1272">
        <v>4</v>
      </c>
      <c r="HY24" s="1272" t="s">
        <v>116</v>
      </c>
      <c r="HZ24" s="1272" t="s">
        <v>116</v>
      </c>
      <c r="IA24" s="1272" t="s">
        <v>1646</v>
      </c>
      <c r="IB24" s="1272"/>
      <c r="IC24" s="1272"/>
      <c r="ID24" s="1272"/>
      <c r="IE24" s="1272"/>
      <c r="IF24" s="1274"/>
    </row>
    <row r="25" spans="1:240" ht="12.6" customHeight="1" x14ac:dyDescent="0.25">
      <c r="A25" s="1448" t="s">
        <v>1481</v>
      </c>
      <c r="B25" s="1681">
        <v>1</v>
      </c>
      <c r="C25" s="1449" t="s">
        <v>1593</v>
      </c>
      <c r="D25" s="1705">
        <v>69</v>
      </c>
      <c r="E25" s="1706">
        <v>1.5</v>
      </c>
      <c r="F25" s="1714" t="str">
        <f t="shared" si="1"/>
        <v/>
      </c>
      <c r="G25" s="1709" t="str">
        <f t="shared" si="2"/>
        <v/>
      </c>
      <c r="H25" s="1779" t="str">
        <f t="shared" si="3"/>
        <v/>
      </c>
      <c r="I25" s="1705" t="str">
        <f t="shared" si="4"/>
        <v/>
      </c>
      <c r="J25" s="1709" t="str">
        <f t="shared" si="5"/>
        <v/>
      </c>
      <c r="K25" s="1796" t="str">
        <f t="shared" si="6"/>
        <v/>
      </c>
      <c r="L25" s="1712">
        <v>5</v>
      </c>
      <c r="M25" s="1713">
        <v>5</v>
      </c>
      <c r="N25" s="1708" t="str">
        <f t="shared" si="7"/>
        <v/>
      </c>
      <c r="O25" s="1709" t="str">
        <f t="shared" si="8"/>
        <v/>
      </c>
      <c r="P25" s="1710" t="str">
        <f t="shared" si="9"/>
        <v/>
      </c>
      <c r="Q25" s="1705" t="str">
        <f t="shared" si="10"/>
        <v/>
      </c>
      <c r="R25" s="1709" t="str">
        <f t="shared" si="11"/>
        <v/>
      </c>
      <c r="S25" s="1711" t="str">
        <f t="shared" si="12"/>
        <v/>
      </c>
      <c r="T25" s="1714">
        <v>0</v>
      </c>
      <c r="U25" s="1709">
        <v>2.25</v>
      </c>
      <c r="V25" s="1705">
        <v>0</v>
      </c>
      <c r="W25" s="1709">
        <v>2</v>
      </c>
      <c r="X25" s="1713">
        <v>4</v>
      </c>
      <c r="Y25" s="1781" t="str">
        <f t="shared" si="13"/>
        <v/>
      </c>
      <c r="Z25" s="1782" t="str">
        <f t="shared" si="14"/>
        <v/>
      </c>
      <c r="AA25" s="1783" t="s">
        <v>1752</v>
      </c>
      <c r="AB25" s="1413"/>
      <c r="AC25" s="964" t="b">
        <v>0</v>
      </c>
      <c r="AD25" s="441">
        <f t="shared" si="15"/>
        <v>0</v>
      </c>
      <c r="AE25" s="442">
        <f t="shared" si="16"/>
        <v>1</v>
      </c>
      <c r="AF25" s="442">
        <f t="shared" si="17"/>
        <v>0</v>
      </c>
      <c r="AG25" s="442">
        <f t="shared" si="18"/>
        <v>0</v>
      </c>
      <c r="AH25" s="443">
        <f t="shared" si="19"/>
        <v>0</v>
      </c>
      <c r="AI25" s="444" t="b">
        <v>0</v>
      </c>
      <c r="AJ25" s="238">
        <f t="shared" si="20"/>
        <v>44</v>
      </c>
      <c r="AK25" s="830" t="str">
        <f t="shared" si="21"/>
        <v>LH</v>
      </c>
      <c r="AL25" s="945" t="str">
        <f t="shared" si="22"/>
        <v/>
      </c>
      <c r="AM25" s="830">
        <f t="shared" si="23"/>
        <v>305</v>
      </c>
      <c r="AN25" s="830">
        <f t="shared" si="24"/>
        <v>180</v>
      </c>
      <c r="AO25" s="830" t="str">
        <f t="shared" si="25"/>
        <v/>
      </c>
      <c r="AP25" s="830" t="b">
        <f>IF(ISERROR(AJ25),FALSE,IF(OR(AJ25=0,ISERROR(AL25),ISERROR(AM25),ISERROR(AN25),ISERROR(AO25)),FALSE,IF(AL25&lt;&gt;"",IF(ISERROR(VLOOKUP(SUBSTITUTE(SUBSTITUTE(C25,"R",""),"A",""),TblJoistSize!$A:$A,1,FALSE)),FALSE,TRUE),TRUE)))</f>
        <v>1</v>
      </c>
      <c r="AQ25" s="1038">
        <f t="shared" si="26"/>
        <v>6</v>
      </c>
      <c r="AR25" s="945" t="b">
        <f t="shared" si="27"/>
        <v>1</v>
      </c>
      <c r="AS25" s="1038">
        <f t="shared" si="28"/>
        <v>6</v>
      </c>
      <c r="AT25" s="945" t="b">
        <f t="shared" si="29"/>
        <v>1</v>
      </c>
      <c r="AU25" s="946" t="str">
        <f t="shared" si="30"/>
        <v>LH</v>
      </c>
      <c r="AV25" s="830" t="str">
        <f t="shared" si="31"/>
        <v/>
      </c>
      <c r="AW25" s="830" t="str">
        <f t="shared" si="32"/>
        <v>LH</v>
      </c>
      <c r="AX25" s="830" t="str">
        <f t="shared" si="106"/>
        <v>J51</v>
      </c>
      <c r="AY25" s="1039" t="b">
        <f t="shared" si="33"/>
        <v>0</v>
      </c>
      <c r="AZ25" s="856" t="b">
        <f t="shared" si="34"/>
        <v>0</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35"/>
        <v/>
      </c>
      <c r="BR25" s="910"/>
      <c r="BS25" s="672"/>
      <c r="BT25" s="713"/>
      <c r="BU25" s="714"/>
      <c r="BV25" s="1625"/>
      <c r="BW25" s="713"/>
      <c r="BX25" s="714"/>
      <c r="BY25" s="715"/>
      <c r="BZ25" s="716"/>
      <c r="CA25" s="680" t="str">
        <f>IF(ISERROR(DE25),"",IF(DE25="","",IF(VLOOKUP(BS25,SectInfo!$B:$N,10,FALSE)="","","X")))</f>
        <v/>
      </c>
      <c r="CB25" s="738"/>
      <c r="CC25" s="1551" t="str">
        <f t="shared" si="36"/>
        <v/>
      </c>
      <c r="CD25" s="910"/>
      <c r="CE25" s="717"/>
      <c r="CF25" s="736"/>
      <c r="CG25" s="737"/>
      <c r="CH25" s="591" t="str">
        <f t="shared" si="37"/>
        <v/>
      </c>
      <c r="CI25" s="592" t="str">
        <f t="shared" si="38"/>
        <v/>
      </c>
      <c r="CJ25" s="593" t="str">
        <f t="shared" si="39"/>
        <v/>
      </c>
      <c r="CK25" s="594" t="str">
        <f t="shared" si="40"/>
        <v/>
      </c>
      <c r="CL25" s="595" t="str">
        <f t="shared" si="41"/>
        <v/>
      </c>
      <c r="CM25" s="596" t="str">
        <f t="shared" si="42"/>
        <v/>
      </c>
      <c r="CN25" s="597" t="str">
        <f t="shared" si="43"/>
        <v/>
      </c>
      <c r="CO25" s="598" t="str">
        <f t="shared" si="44"/>
        <v/>
      </c>
      <c r="CP25" s="615" t="str">
        <f t="shared" si="45"/>
        <v/>
      </c>
      <c r="CQ25" s="616" t="str">
        <f t="shared" si="46"/>
        <v/>
      </c>
      <c r="CR25" s="750">
        <f t="shared" si="47"/>
        <v>5</v>
      </c>
      <c r="CS25" s="751">
        <f t="shared" si="48"/>
        <v>5</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49"/>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50"/>
        <v>0</v>
      </c>
      <c r="DO25" s="818">
        <f t="shared" si="51"/>
        <v>0</v>
      </c>
      <c r="DP25" s="822" t="str">
        <f t="shared" si="52"/>
        <v/>
      </c>
      <c r="DQ25" s="822" t="str">
        <f t="shared" si="53"/>
        <v/>
      </c>
      <c r="DR25" s="822" t="str">
        <f t="shared" si="54"/>
        <v/>
      </c>
      <c r="DS25" s="821">
        <f t="shared" si="55"/>
        <v>0</v>
      </c>
      <c r="DT25" s="821">
        <f t="shared" si="56"/>
        <v>0</v>
      </c>
      <c r="DU25" s="821" t="str">
        <f t="shared" si="57"/>
        <v/>
      </c>
      <c r="DV25" s="822" t="str">
        <f t="shared" si="58"/>
        <v/>
      </c>
      <c r="DW25" s="856" t="str">
        <f t="shared" si="59"/>
        <v/>
      </c>
      <c r="DX25" s="1006">
        <f t="shared" si="60"/>
        <v>0</v>
      </c>
      <c r="DY25" s="822">
        <f t="shared" si="61"/>
        <v>0</v>
      </c>
      <c r="DZ25" s="821">
        <f t="shared" si="62"/>
        <v>0</v>
      </c>
      <c r="EA25" s="821" t="str">
        <f t="shared" si="63"/>
        <v/>
      </c>
      <c r="EB25" s="822" t="str">
        <f t="shared" si="64"/>
        <v/>
      </c>
      <c r="EC25" s="856" t="str">
        <f t="shared" si="65"/>
        <v/>
      </c>
      <c r="ED25" s="1006">
        <f t="shared" si="66"/>
        <v>0</v>
      </c>
      <c r="EE25" s="1293" t="str">
        <f t="shared" si="67"/>
        <v/>
      </c>
      <c r="EF25" s="1293" t="str">
        <f t="shared" si="68"/>
        <v/>
      </c>
      <c r="EG25" s="1293" t="str">
        <f t="shared" si="69"/>
        <v/>
      </c>
      <c r="EH25" s="856" t="str">
        <f t="shared" si="70"/>
        <v>ERR</v>
      </c>
      <c r="EI25" s="856" t="str">
        <f t="shared" si="71"/>
        <v>ERR</v>
      </c>
      <c r="EJ25" s="822" t="str">
        <f t="shared" si="72"/>
        <v/>
      </c>
      <c r="EK25" s="822" t="str">
        <f t="shared" si="72"/>
        <v/>
      </c>
      <c r="EL25" s="1293" t="str">
        <f t="shared" si="73"/>
        <v/>
      </c>
      <c r="EM25" s="822" t="str">
        <f t="shared" si="74"/>
        <v/>
      </c>
      <c r="EN25" s="822" t="str">
        <f t="shared" si="75"/>
        <v/>
      </c>
      <c r="EO25" s="856" t="str">
        <f t="shared" si="76"/>
        <v>ERR</v>
      </c>
      <c r="EP25" s="856" t="str">
        <f t="shared" si="77"/>
        <v>ERR</v>
      </c>
      <c r="EQ25" s="1293" t="str">
        <f t="shared" si="78"/>
        <v/>
      </c>
      <c r="ER25" s="822" t="str">
        <f t="shared" si="78"/>
        <v/>
      </c>
      <c r="ES25" s="822" t="str">
        <f t="shared" si="79"/>
        <v/>
      </c>
      <c r="ET25" s="822" t="str">
        <f t="shared" si="80"/>
        <v/>
      </c>
      <c r="EU25" s="829">
        <f t="shared" si="81"/>
        <v>4</v>
      </c>
      <c r="EV25" s="824" t="str">
        <f t="shared" si="82"/>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83"/>
        <v/>
      </c>
      <c r="FA25" s="829" t="str">
        <f>IF(AND(DE25="G", ISBLANK(BW25), ISBLANK(BX25)),VLOOKUP(MIN(BT25:BU25),TblJoistSize!$M$3:$N$10,2),IF(OR(DE25="B", DE25="G"),MIN(BW25:BX25),""))</f>
        <v/>
      </c>
      <c r="FB25" s="829" t="str">
        <f>IF(AND(DE25="G", ISBLANK(BW25), ISBLANK(BX25)),VLOOKUP(MAX(BT25:BU25),TblJoistSize!$M$3:$N$10,2),IF(OR(DE25="B", DE25="G"),MAX(BW25:BX25),""))</f>
        <v/>
      </c>
      <c r="FC25" s="829" t="str">
        <f t="shared" si="84"/>
        <v/>
      </c>
      <c r="FD25" s="821">
        <f t="shared" si="107"/>
        <v>0</v>
      </c>
      <c r="FE25" s="821">
        <f t="shared" si="85"/>
        <v>0</v>
      </c>
      <c r="FF25" s="821">
        <f t="shared" si="86"/>
        <v>0</v>
      </c>
      <c r="FG25" s="821" t="str">
        <f t="shared" si="87"/>
        <v/>
      </c>
      <c r="FH25" s="822" t="str">
        <f t="shared" si="88"/>
        <v/>
      </c>
      <c r="FI25" s="821">
        <f t="shared" si="108"/>
        <v>0</v>
      </c>
      <c r="FJ25" s="821">
        <f t="shared" si="89"/>
        <v>0</v>
      </c>
      <c r="FK25" s="821">
        <f t="shared" si="90"/>
        <v>0</v>
      </c>
      <c r="FL25" s="821" t="str">
        <f t="shared" si="91"/>
        <v/>
      </c>
      <c r="FM25" s="822" t="str">
        <f t="shared" si="92"/>
        <v/>
      </c>
      <c r="FN25" s="822" t="e">
        <f t="shared" si="93"/>
        <v>#VALUE!</v>
      </c>
      <c r="FO25" s="940" t="e">
        <f t="shared" si="94"/>
        <v>#VALUE!</v>
      </c>
      <c r="FP25" s="940" t="e">
        <f t="shared" si="95"/>
        <v>#VALUE!</v>
      </c>
      <c r="FQ25" s="830" t="e">
        <f t="shared" si="96"/>
        <v>#VALUE!</v>
      </c>
      <c r="FR25" s="831" t="e">
        <f t="shared" si="97"/>
        <v>#VALUE!</v>
      </c>
      <c r="FS25" s="832" t="str">
        <f t="shared" si="98"/>
        <v/>
      </c>
      <c r="FT25" s="833" t="str">
        <f t="shared" si="99"/>
        <v/>
      </c>
      <c r="FU25" s="870">
        <f t="shared" si="100"/>
        <v>0</v>
      </c>
      <c r="FV25" s="871">
        <f t="shared" si="101"/>
        <v>0</v>
      </c>
      <c r="GA25" s="1791">
        <v>69</v>
      </c>
      <c r="GB25" s="1792">
        <v>2.25</v>
      </c>
      <c r="GC25" s="1793">
        <v>-0.25</v>
      </c>
      <c r="GD25" s="1794">
        <v>-0.5</v>
      </c>
      <c r="GE25" s="1795">
        <f t="shared" si="102"/>
        <v>0</v>
      </c>
      <c r="GF25" s="600" t="str">
        <f t="shared" si="103"/>
        <v>J51</v>
      </c>
      <c r="GG25" s="1130">
        <v>0</v>
      </c>
      <c r="GH25" s="1131">
        <v>0</v>
      </c>
      <c r="GI25" s="1130"/>
      <c r="GJ25" s="1131"/>
      <c r="GK25" s="1638">
        <f t="shared" si="104"/>
        <v>829.5</v>
      </c>
      <c r="GL25" s="1636">
        <f t="shared" si="105"/>
        <v>829.5</v>
      </c>
      <c r="GM25" s="1637">
        <f>IF(ABS(GK25-GL25)&gt;='Job Info.'!$L$22,ABS(GK25-GL25),0)</f>
        <v>0</v>
      </c>
      <c r="HA25" s="1269" t="s">
        <v>1481</v>
      </c>
      <c r="HB25" s="1270">
        <v>1</v>
      </c>
      <c r="HC25" s="1270" t="s">
        <v>1593</v>
      </c>
      <c r="HD25" s="1271">
        <v>69</v>
      </c>
      <c r="HE25" s="1272">
        <v>1.5</v>
      </c>
      <c r="HF25" s="1270" t="s">
        <v>116</v>
      </c>
      <c r="HG25" s="1270" t="s">
        <v>116</v>
      </c>
      <c r="HH25" s="1270" t="s">
        <v>116</v>
      </c>
      <c r="HI25" s="1273" t="s">
        <v>116</v>
      </c>
      <c r="HJ25" s="1270" t="s">
        <v>116</v>
      </c>
      <c r="HK25" s="1270" t="s">
        <v>116</v>
      </c>
      <c r="HL25" s="1270">
        <v>5</v>
      </c>
      <c r="HM25" s="1270">
        <v>5</v>
      </c>
      <c r="HN25" s="1270" t="s">
        <v>116</v>
      </c>
      <c r="HO25" s="1270" t="s">
        <v>116</v>
      </c>
      <c r="HP25" s="1270" t="s">
        <v>116</v>
      </c>
      <c r="HQ25" s="1273" t="s">
        <v>116</v>
      </c>
      <c r="HR25" s="1270" t="s">
        <v>116</v>
      </c>
      <c r="HS25" s="1270" t="s">
        <v>116</v>
      </c>
      <c r="HT25" s="1270">
        <v>0</v>
      </c>
      <c r="HU25" s="1270">
        <v>2.25</v>
      </c>
      <c r="HV25" s="1270">
        <v>0</v>
      </c>
      <c r="HW25" s="1272">
        <v>2</v>
      </c>
      <c r="HX25" s="1272">
        <v>4</v>
      </c>
      <c r="HY25" s="1272" t="s">
        <v>116</v>
      </c>
      <c r="HZ25" s="1272" t="s">
        <v>116</v>
      </c>
      <c r="IA25" s="1272" t="s">
        <v>1647</v>
      </c>
      <c r="IB25" s="1272"/>
      <c r="IC25" s="1272"/>
      <c r="ID25" s="1272"/>
      <c r="IE25" s="1272"/>
      <c r="IF25" s="1274"/>
    </row>
    <row r="26" spans="1:240" ht="12.6" customHeight="1" x14ac:dyDescent="0.25">
      <c r="A26" s="1448" t="s">
        <v>1482</v>
      </c>
      <c r="B26" s="1681">
        <v>2</v>
      </c>
      <c r="C26" s="1449" t="s">
        <v>1593</v>
      </c>
      <c r="D26" s="1705">
        <v>69</v>
      </c>
      <c r="E26" s="1706">
        <v>1.5</v>
      </c>
      <c r="F26" s="1714" t="str">
        <f t="shared" si="1"/>
        <v/>
      </c>
      <c r="G26" s="1709" t="str">
        <f t="shared" si="2"/>
        <v/>
      </c>
      <c r="H26" s="1779" t="str">
        <f t="shared" si="3"/>
        <v/>
      </c>
      <c r="I26" s="1705" t="str">
        <f t="shared" si="4"/>
        <v/>
      </c>
      <c r="J26" s="1709" t="str">
        <f t="shared" si="5"/>
        <v/>
      </c>
      <c r="K26" s="1796" t="str">
        <f t="shared" si="6"/>
        <v/>
      </c>
      <c r="L26" s="1712">
        <v>5</v>
      </c>
      <c r="M26" s="1713">
        <v>5</v>
      </c>
      <c r="N26" s="1708" t="str">
        <f t="shared" si="7"/>
        <v/>
      </c>
      <c r="O26" s="1709" t="str">
        <f t="shared" si="8"/>
        <v/>
      </c>
      <c r="P26" s="1710" t="str">
        <f t="shared" si="9"/>
        <v/>
      </c>
      <c r="Q26" s="1705" t="str">
        <f t="shared" si="10"/>
        <v/>
      </c>
      <c r="R26" s="1709" t="str">
        <f t="shared" si="11"/>
        <v/>
      </c>
      <c r="S26" s="1711" t="str">
        <f t="shared" si="12"/>
        <v/>
      </c>
      <c r="T26" s="1714">
        <v>0</v>
      </c>
      <c r="U26" s="1709">
        <v>2.25</v>
      </c>
      <c r="V26" s="1705">
        <v>0</v>
      </c>
      <c r="W26" s="1709">
        <v>2</v>
      </c>
      <c r="X26" s="1713">
        <v>4</v>
      </c>
      <c r="Y26" s="1781" t="str">
        <f t="shared" si="13"/>
        <v/>
      </c>
      <c r="Z26" s="1782" t="str">
        <f t="shared" si="14"/>
        <v/>
      </c>
      <c r="AA26" s="1783" t="s">
        <v>1753</v>
      </c>
      <c r="AB26" s="1413"/>
      <c r="AC26" s="964" t="b">
        <v>0</v>
      </c>
      <c r="AD26" s="441">
        <f t="shared" si="15"/>
        <v>0</v>
      </c>
      <c r="AE26" s="442">
        <f t="shared" si="16"/>
        <v>2</v>
      </c>
      <c r="AF26" s="442">
        <f t="shared" si="17"/>
        <v>0</v>
      </c>
      <c r="AG26" s="442">
        <f t="shared" si="18"/>
        <v>0</v>
      </c>
      <c r="AH26" s="443">
        <f t="shared" si="19"/>
        <v>0</v>
      </c>
      <c r="AI26" s="444" t="b">
        <v>0</v>
      </c>
      <c r="AJ26" s="238">
        <f t="shared" si="20"/>
        <v>44</v>
      </c>
      <c r="AK26" s="830" t="str">
        <f t="shared" si="21"/>
        <v>LH</v>
      </c>
      <c r="AL26" s="945" t="str">
        <f t="shared" si="22"/>
        <v/>
      </c>
      <c r="AM26" s="830">
        <f t="shared" si="23"/>
        <v>305</v>
      </c>
      <c r="AN26" s="830">
        <f t="shared" si="24"/>
        <v>180</v>
      </c>
      <c r="AO26" s="830" t="str">
        <f t="shared" si="25"/>
        <v/>
      </c>
      <c r="AP26" s="830" t="b">
        <f>IF(ISERROR(AJ26),FALSE,IF(OR(AJ26=0,ISERROR(AL26),ISERROR(AM26),ISERROR(AN26),ISERROR(AO26)),FALSE,IF(AL26&lt;&gt;"",IF(ISERROR(VLOOKUP(SUBSTITUTE(SUBSTITUTE(C26,"R",""),"A",""),TblJoistSize!$A:$A,1,FALSE)),FALSE,TRUE),TRUE)))</f>
        <v>1</v>
      </c>
      <c r="AQ26" s="1038">
        <f t="shared" si="26"/>
        <v>6</v>
      </c>
      <c r="AR26" s="945" t="b">
        <f t="shared" si="27"/>
        <v>1</v>
      </c>
      <c r="AS26" s="1038">
        <f t="shared" si="28"/>
        <v>6</v>
      </c>
      <c r="AT26" s="945" t="b">
        <f t="shared" si="29"/>
        <v>1</v>
      </c>
      <c r="AU26" s="946" t="str">
        <f t="shared" si="30"/>
        <v>LH</v>
      </c>
      <c r="AV26" s="830" t="str">
        <f t="shared" si="31"/>
        <v/>
      </c>
      <c r="AW26" s="830" t="str">
        <f t="shared" si="32"/>
        <v>LH</v>
      </c>
      <c r="AX26" s="830" t="str">
        <f t="shared" si="106"/>
        <v>J52</v>
      </c>
      <c r="AY26" s="1039" t="b">
        <f t="shared" si="33"/>
        <v>0</v>
      </c>
      <c r="AZ26" s="856" t="b">
        <f t="shared" si="34"/>
        <v>0</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35"/>
        <v/>
      </c>
      <c r="BR26" s="910"/>
      <c r="BS26" s="672"/>
      <c r="BT26" s="713"/>
      <c r="BU26" s="714"/>
      <c r="BV26" s="1625"/>
      <c r="BW26" s="713"/>
      <c r="BX26" s="714"/>
      <c r="BY26" s="715"/>
      <c r="BZ26" s="716"/>
      <c r="CA26" s="680" t="str">
        <f>IF(ISERROR(DE26),"",IF(DE26="","",IF(VLOOKUP(BS26,SectInfo!$B:$N,10,FALSE)="","","X")))</f>
        <v/>
      </c>
      <c r="CB26" s="738"/>
      <c r="CC26" s="1551" t="str">
        <f t="shared" si="36"/>
        <v/>
      </c>
      <c r="CD26" s="910"/>
      <c r="CE26" s="717"/>
      <c r="CF26" s="736"/>
      <c r="CG26" s="737"/>
      <c r="CH26" s="591" t="str">
        <f t="shared" si="37"/>
        <v/>
      </c>
      <c r="CI26" s="592" t="str">
        <f t="shared" si="38"/>
        <v/>
      </c>
      <c r="CJ26" s="593" t="str">
        <f t="shared" si="39"/>
        <v/>
      </c>
      <c r="CK26" s="594" t="str">
        <f t="shared" si="40"/>
        <v/>
      </c>
      <c r="CL26" s="595" t="str">
        <f t="shared" si="41"/>
        <v/>
      </c>
      <c r="CM26" s="596" t="str">
        <f t="shared" si="42"/>
        <v/>
      </c>
      <c r="CN26" s="597" t="str">
        <f t="shared" si="43"/>
        <v/>
      </c>
      <c r="CO26" s="598" t="str">
        <f t="shared" si="44"/>
        <v/>
      </c>
      <c r="CP26" s="615" t="str">
        <f t="shared" si="45"/>
        <v/>
      </c>
      <c r="CQ26" s="616" t="str">
        <f t="shared" si="46"/>
        <v/>
      </c>
      <c r="CR26" s="750">
        <f t="shared" si="47"/>
        <v>5</v>
      </c>
      <c r="CS26" s="751">
        <f t="shared" si="48"/>
        <v>5</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49"/>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50"/>
        <v>0</v>
      </c>
      <c r="DO26" s="818">
        <f t="shared" si="51"/>
        <v>0</v>
      </c>
      <c r="DP26" s="822" t="str">
        <f t="shared" si="52"/>
        <v/>
      </c>
      <c r="DQ26" s="822" t="str">
        <f t="shared" si="53"/>
        <v/>
      </c>
      <c r="DR26" s="822" t="str">
        <f t="shared" si="54"/>
        <v/>
      </c>
      <c r="DS26" s="821">
        <f t="shared" si="55"/>
        <v>0</v>
      </c>
      <c r="DT26" s="821">
        <f t="shared" si="56"/>
        <v>0</v>
      </c>
      <c r="DU26" s="821" t="str">
        <f t="shared" si="57"/>
        <v/>
      </c>
      <c r="DV26" s="822" t="str">
        <f t="shared" si="58"/>
        <v/>
      </c>
      <c r="DW26" s="856" t="str">
        <f t="shared" si="59"/>
        <v/>
      </c>
      <c r="DX26" s="1006">
        <f t="shared" si="60"/>
        <v>0</v>
      </c>
      <c r="DY26" s="822">
        <f t="shared" si="61"/>
        <v>0</v>
      </c>
      <c r="DZ26" s="821">
        <f t="shared" si="62"/>
        <v>0</v>
      </c>
      <c r="EA26" s="821" t="str">
        <f t="shared" si="63"/>
        <v/>
      </c>
      <c r="EB26" s="822" t="str">
        <f t="shared" si="64"/>
        <v/>
      </c>
      <c r="EC26" s="856" t="str">
        <f t="shared" si="65"/>
        <v/>
      </c>
      <c r="ED26" s="1006">
        <f t="shared" si="66"/>
        <v>0</v>
      </c>
      <c r="EE26" s="1293" t="str">
        <f t="shared" si="67"/>
        <v/>
      </c>
      <c r="EF26" s="1293" t="str">
        <f t="shared" si="68"/>
        <v/>
      </c>
      <c r="EG26" s="1293" t="str">
        <f t="shared" si="69"/>
        <v/>
      </c>
      <c r="EH26" s="856" t="str">
        <f t="shared" si="70"/>
        <v>ERR</v>
      </c>
      <c r="EI26" s="856" t="str">
        <f t="shared" si="71"/>
        <v>ERR</v>
      </c>
      <c r="EJ26" s="822" t="str">
        <f t="shared" si="72"/>
        <v/>
      </c>
      <c r="EK26" s="822" t="str">
        <f t="shared" si="72"/>
        <v/>
      </c>
      <c r="EL26" s="1293" t="str">
        <f t="shared" si="73"/>
        <v/>
      </c>
      <c r="EM26" s="822" t="str">
        <f t="shared" si="74"/>
        <v/>
      </c>
      <c r="EN26" s="822" t="str">
        <f t="shared" si="75"/>
        <v/>
      </c>
      <c r="EO26" s="856" t="str">
        <f t="shared" si="76"/>
        <v>ERR</v>
      </c>
      <c r="EP26" s="856" t="str">
        <f t="shared" si="77"/>
        <v>ERR</v>
      </c>
      <c r="EQ26" s="1293" t="str">
        <f t="shared" si="78"/>
        <v/>
      </c>
      <c r="ER26" s="822" t="str">
        <f t="shared" si="78"/>
        <v/>
      </c>
      <c r="ES26" s="822" t="str">
        <f t="shared" si="79"/>
        <v/>
      </c>
      <c r="ET26" s="822" t="str">
        <f t="shared" si="80"/>
        <v/>
      </c>
      <c r="EU26" s="829">
        <f t="shared" si="81"/>
        <v>4</v>
      </c>
      <c r="EV26" s="824" t="str">
        <f t="shared" si="82"/>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83"/>
        <v/>
      </c>
      <c r="FA26" s="829" t="str">
        <f>IF(AND(DE26="G", ISBLANK(BW26), ISBLANK(BX26)),VLOOKUP(MIN(BT26:BU26),TblJoistSize!$M$3:$N$10,2),IF(OR(DE26="B", DE26="G"),MIN(BW26:BX26),""))</f>
        <v/>
      </c>
      <c r="FB26" s="829" t="str">
        <f>IF(AND(DE26="G", ISBLANK(BW26), ISBLANK(BX26)),VLOOKUP(MAX(BT26:BU26),TblJoistSize!$M$3:$N$10,2),IF(OR(DE26="B", DE26="G"),MAX(BW26:BX26),""))</f>
        <v/>
      </c>
      <c r="FC26" s="829" t="str">
        <f t="shared" si="84"/>
        <v/>
      </c>
      <c r="FD26" s="821">
        <f t="shared" si="107"/>
        <v>0</v>
      </c>
      <c r="FE26" s="821">
        <f t="shared" si="85"/>
        <v>0</v>
      </c>
      <c r="FF26" s="821">
        <f t="shared" si="86"/>
        <v>0</v>
      </c>
      <c r="FG26" s="821" t="str">
        <f t="shared" si="87"/>
        <v/>
      </c>
      <c r="FH26" s="822" t="str">
        <f t="shared" si="88"/>
        <v/>
      </c>
      <c r="FI26" s="821">
        <f t="shared" si="108"/>
        <v>0</v>
      </c>
      <c r="FJ26" s="821">
        <f t="shared" si="89"/>
        <v>0</v>
      </c>
      <c r="FK26" s="821">
        <f t="shared" si="90"/>
        <v>0</v>
      </c>
      <c r="FL26" s="821" t="str">
        <f t="shared" si="91"/>
        <v/>
      </c>
      <c r="FM26" s="822" t="str">
        <f t="shared" si="92"/>
        <v/>
      </c>
      <c r="FN26" s="822" t="e">
        <f t="shared" si="93"/>
        <v>#VALUE!</v>
      </c>
      <c r="FO26" s="940" t="e">
        <f t="shared" si="94"/>
        <v>#VALUE!</v>
      </c>
      <c r="FP26" s="940" t="e">
        <f t="shared" si="95"/>
        <v>#VALUE!</v>
      </c>
      <c r="FQ26" s="830" t="e">
        <f t="shared" si="96"/>
        <v>#VALUE!</v>
      </c>
      <c r="FR26" s="831" t="e">
        <f t="shared" si="97"/>
        <v>#VALUE!</v>
      </c>
      <c r="FS26" s="832" t="str">
        <f t="shared" si="98"/>
        <v/>
      </c>
      <c r="FT26" s="833" t="str">
        <f t="shared" si="99"/>
        <v/>
      </c>
      <c r="FU26" s="870">
        <f t="shared" si="100"/>
        <v>0</v>
      </c>
      <c r="FV26" s="871">
        <f t="shared" si="101"/>
        <v>0</v>
      </c>
      <c r="GA26" s="1791">
        <v>69</v>
      </c>
      <c r="GB26" s="1792">
        <v>2.25</v>
      </c>
      <c r="GC26" s="1793">
        <v>-0.25</v>
      </c>
      <c r="GD26" s="1794">
        <v>-0.5</v>
      </c>
      <c r="GE26" s="1795">
        <f t="shared" si="102"/>
        <v>0</v>
      </c>
      <c r="GF26" s="600" t="str">
        <f t="shared" si="103"/>
        <v>J52</v>
      </c>
      <c r="GG26" s="1130">
        <v>0</v>
      </c>
      <c r="GH26" s="1131">
        <v>0</v>
      </c>
      <c r="GI26" s="1130"/>
      <c r="GJ26" s="1131"/>
      <c r="GK26" s="1638">
        <f t="shared" si="104"/>
        <v>829.5</v>
      </c>
      <c r="GL26" s="1636">
        <f t="shared" si="105"/>
        <v>829.5</v>
      </c>
      <c r="GM26" s="1637">
        <f>IF(ABS(GK26-GL26)&gt;='Job Info.'!$L$22,ABS(GK26-GL26),0)</f>
        <v>0</v>
      </c>
      <c r="HA26" s="1269" t="s">
        <v>1482</v>
      </c>
      <c r="HB26" s="1270">
        <v>2</v>
      </c>
      <c r="HC26" s="1270" t="s">
        <v>1593</v>
      </c>
      <c r="HD26" s="1271">
        <v>69</v>
      </c>
      <c r="HE26" s="1272">
        <v>1.5</v>
      </c>
      <c r="HF26" s="1270" t="s">
        <v>116</v>
      </c>
      <c r="HG26" s="1270" t="s">
        <v>116</v>
      </c>
      <c r="HH26" s="1270" t="s">
        <v>116</v>
      </c>
      <c r="HI26" s="1273" t="s">
        <v>116</v>
      </c>
      <c r="HJ26" s="1270" t="s">
        <v>116</v>
      </c>
      <c r="HK26" s="1270" t="s">
        <v>116</v>
      </c>
      <c r="HL26" s="1270">
        <v>5</v>
      </c>
      <c r="HM26" s="1270">
        <v>5</v>
      </c>
      <c r="HN26" s="1270" t="s">
        <v>116</v>
      </c>
      <c r="HO26" s="1270" t="s">
        <v>116</v>
      </c>
      <c r="HP26" s="1270" t="s">
        <v>116</v>
      </c>
      <c r="HQ26" s="1273" t="s">
        <v>116</v>
      </c>
      <c r="HR26" s="1270" t="s">
        <v>116</v>
      </c>
      <c r="HS26" s="1270" t="s">
        <v>116</v>
      </c>
      <c r="HT26" s="1270">
        <v>0</v>
      </c>
      <c r="HU26" s="1270">
        <v>2.25</v>
      </c>
      <c r="HV26" s="1270">
        <v>0</v>
      </c>
      <c r="HW26" s="1272">
        <v>2</v>
      </c>
      <c r="HX26" s="1272">
        <v>4</v>
      </c>
      <c r="HY26" s="1272" t="s">
        <v>116</v>
      </c>
      <c r="HZ26" s="1272" t="s">
        <v>116</v>
      </c>
      <c r="IA26" s="1272" t="s">
        <v>1648</v>
      </c>
      <c r="IB26" s="1272"/>
      <c r="IC26" s="1272"/>
      <c r="ID26" s="1272"/>
      <c r="IE26" s="1272"/>
      <c r="IF26" s="1274"/>
    </row>
    <row r="27" spans="1:240" ht="12.6" customHeight="1" x14ac:dyDescent="0.25">
      <c r="A27" s="1448" t="s">
        <v>1483</v>
      </c>
      <c r="B27" s="1681">
        <v>50</v>
      </c>
      <c r="C27" s="1449" t="s">
        <v>1593</v>
      </c>
      <c r="D27" s="1705">
        <v>69</v>
      </c>
      <c r="E27" s="1706">
        <v>1.5</v>
      </c>
      <c r="F27" s="1714" t="str">
        <f t="shared" si="1"/>
        <v/>
      </c>
      <c r="G27" s="1709" t="str">
        <f t="shared" si="2"/>
        <v/>
      </c>
      <c r="H27" s="1779" t="str">
        <f t="shared" si="3"/>
        <v/>
      </c>
      <c r="I27" s="1705" t="str">
        <f t="shared" si="4"/>
        <v/>
      </c>
      <c r="J27" s="1709" t="str">
        <f t="shared" si="5"/>
        <v/>
      </c>
      <c r="K27" s="1796" t="str">
        <f t="shared" si="6"/>
        <v/>
      </c>
      <c r="L27" s="1712">
        <v>5</v>
      </c>
      <c r="M27" s="1713">
        <v>5</v>
      </c>
      <c r="N27" s="1708" t="str">
        <f t="shared" si="7"/>
        <v/>
      </c>
      <c r="O27" s="1709" t="str">
        <f t="shared" si="8"/>
        <v/>
      </c>
      <c r="P27" s="1710" t="str">
        <f t="shared" si="9"/>
        <v/>
      </c>
      <c r="Q27" s="1705" t="str">
        <f t="shared" si="10"/>
        <v/>
      </c>
      <c r="R27" s="1709" t="str">
        <f t="shared" si="11"/>
        <v/>
      </c>
      <c r="S27" s="1711" t="str">
        <f t="shared" si="12"/>
        <v/>
      </c>
      <c r="T27" s="1714">
        <v>0</v>
      </c>
      <c r="U27" s="1709">
        <v>2.25</v>
      </c>
      <c r="V27" s="1705">
        <v>0</v>
      </c>
      <c r="W27" s="1709">
        <v>2</v>
      </c>
      <c r="X27" s="1713">
        <v>4</v>
      </c>
      <c r="Y27" s="1781" t="str">
        <f t="shared" si="13"/>
        <v/>
      </c>
      <c r="Z27" s="1782" t="str">
        <f t="shared" si="14"/>
        <v/>
      </c>
      <c r="AA27" s="1783" t="s">
        <v>1754</v>
      </c>
      <c r="AB27" s="1413"/>
      <c r="AC27" s="964" t="b">
        <v>0</v>
      </c>
      <c r="AD27" s="441">
        <f t="shared" si="15"/>
        <v>0</v>
      </c>
      <c r="AE27" s="442">
        <f t="shared" si="16"/>
        <v>50</v>
      </c>
      <c r="AF27" s="442">
        <f t="shared" si="17"/>
        <v>0</v>
      </c>
      <c r="AG27" s="442">
        <f t="shared" si="18"/>
        <v>0</v>
      </c>
      <c r="AH27" s="443">
        <f t="shared" si="19"/>
        <v>0</v>
      </c>
      <c r="AI27" s="444" t="b">
        <v>0</v>
      </c>
      <c r="AJ27" s="238">
        <f t="shared" si="20"/>
        <v>44</v>
      </c>
      <c r="AK27" s="830" t="str">
        <f t="shared" si="21"/>
        <v>LH</v>
      </c>
      <c r="AL27" s="945" t="str">
        <f t="shared" si="22"/>
        <v/>
      </c>
      <c r="AM27" s="830">
        <f t="shared" si="23"/>
        <v>305</v>
      </c>
      <c r="AN27" s="830">
        <f t="shared" si="24"/>
        <v>180</v>
      </c>
      <c r="AO27" s="830" t="str">
        <f t="shared" si="25"/>
        <v/>
      </c>
      <c r="AP27" s="830" t="b">
        <f>IF(ISERROR(AJ27),FALSE,IF(OR(AJ27=0,ISERROR(AL27),ISERROR(AM27),ISERROR(AN27),ISERROR(AO27)),FALSE,IF(AL27&lt;&gt;"",IF(ISERROR(VLOOKUP(SUBSTITUTE(SUBSTITUTE(C27,"R",""),"A",""),TblJoistSize!$A:$A,1,FALSE)),FALSE,TRUE),TRUE)))</f>
        <v>1</v>
      </c>
      <c r="AQ27" s="1038">
        <f t="shared" si="26"/>
        <v>6</v>
      </c>
      <c r="AR27" s="945" t="b">
        <f t="shared" si="27"/>
        <v>1</v>
      </c>
      <c r="AS27" s="1038">
        <f t="shared" si="28"/>
        <v>6</v>
      </c>
      <c r="AT27" s="945" t="b">
        <f t="shared" si="29"/>
        <v>1</v>
      </c>
      <c r="AU27" s="946" t="str">
        <f t="shared" si="30"/>
        <v>LH</v>
      </c>
      <c r="AV27" s="830" t="str">
        <f t="shared" si="31"/>
        <v/>
      </c>
      <c r="AW27" s="830" t="str">
        <f t="shared" si="32"/>
        <v>LH</v>
      </c>
      <c r="AX27" s="830" t="str">
        <f t="shared" si="106"/>
        <v>J53</v>
      </c>
      <c r="AY27" s="1039" t="b">
        <f t="shared" si="33"/>
        <v>0</v>
      </c>
      <c r="AZ27" s="856" t="b">
        <f t="shared" si="34"/>
        <v>0</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35"/>
        <v/>
      </c>
      <c r="BR27" s="910"/>
      <c r="BS27" s="672"/>
      <c r="BT27" s="713"/>
      <c r="BU27" s="714"/>
      <c r="BV27" s="1625"/>
      <c r="BW27" s="713"/>
      <c r="BX27" s="714"/>
      <c r="BY27" s="715"/>
      <c r="BZ27" s="716"/>
      <c r="CA27" s="680" t="str">
        <f>IF(ISERROR(DE27),"",IF(DE27="","",IF(VLOOKUP(BS27,SectInfo!$B:$N,10,FALSE)="","","X")))</f>
        <v/>
      </c>
      <c r="CB27" s="738"/>
      <c r="CC27" s="1551" t="str">
        <f t="shared" si="36"/>
        <v/>
      </c>
      <c r="CD27" s="910"/>
      <c r="CE27" s="717"/>
      <c r="CF27" s="736"/>
      <c r="CG27" s="737"/>
      <c r="CH27" s="591" t="str">
        <f t="shared" si="37"/>
        <v/>
      </c>
      <c r="CI27" s="592" t="str">
        <f t="shared" si="38"/>
        <v/>
      </c>
      <c r="CJ27" s="593" t="str">
        <f t="shared" si="39"/>
        <v/>
      </c>
      <c r="CK27" s="594" t="str">
        <f t="shared" si="40"/>
        <v/>
      </c>
      <c r="CL27" s="595" t="str">
        <f t="shared" si="41"/>
        <v/>
      </c>
      <c r="CM27" s="596" t="str">
        <f t="shared" si="42"/>
        <v/>
      </c>
      <c r="CN27" s="597" t="str">
        <f t="shared" si="43"/>
        <v/>
      </c>
      <c r="CO27" s="598" t="str">
        <f t="shared" si="44"/>
        <v/>
      </c>
      <c r="CP27" s="615" t="str">
        <f t="shared" si="45"/>
        <v/>
      </c>
      <c r="CQ27" s="616" t="str">
        <f t="shared" si="46"/>
        <v/>
      </c>
      <c r="CR27" s="750">
        <f t="shared" si="47"/>
        <v>5</v>
      </c>
      <c r="CS27" s="751">
        <f t="shared" si="48"/>
        <v>5</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49"/>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50"/>
        <v>0</v>
      </c>
      <c r="DO27" s="818">
        <f t="shared" si="51"/>
        <v>0</v>
      </c>
      <c r="DP27" s="822" t="str">
        <f t="shared" si="52"/>
        <v/>
      </c>
      <c r="DQ27" s="822" t="str">
        <f t="shared" si="53"/>
        <v/>
      </c>
      <c r="DR27" s="822" t="str">
        <f t="shared" si="54"/>
        <v/>
      </c>
      <c r="DS27" s="821">
        <f t="shared" si="55"/>
        <v>0</v>
      </c>
      <c r="DT27" s="821">
        <f t="shared" si="56"/>
        <v>0</v>
      </c>
      <c r="DU27" s="821" t="str">
        <f t="shared" si="57"/>
        <v/>
      </c>
      <c r="DV27" s="822" t="str">
        <f t="shared" si="58"/>
        <v/>
      </c>
      <c r="DW27" s="856" t="str">
        <f t="shared" si="59"/>
        <v/>
      </c>
      <c r="DX27" s="1006">
        <f t="shared" si="60"/>
        <v>0</v>
      </c>
      <c r="DY27" s="822">
        <f t="shared" si="61"/>
        <v>0</v>
      </c>
      <c r="DZ27" s="821">
        <f t="shared" si="62"/>
        <v>0</v>
      </c>
      <c r="EA27" s="821" t="str">
        <f t="shared" si="63"/>
        <v/>
      </c>
      <c r="EB27" s="822" t="str">
        <f t="shared" si="64"/>
        <v/>
      </c>
      <c r="EC27" s="856" t="str">
        <f t="shared" si="65"/>
        <v/>
      </c>
      <c r="ED27" s="1006">
        <f t="shared" si="66"/>
        <v>0</v>
      </c>
      <c r="EE27" s="1293" t="str">
        <f t="shared" si="67"/>
        <v/>
      </c>
      <c r="EF27" s="1293" t="str">
        <f t="shared" si="68"/>
        <v/>
      </c>
      <c r="EG27" s="1293" t="str">
        <f t="shared" si="69"/>
        <v/>
      </c>
      <c r="EH27" s="856" t="str">
        <f t="shared" si="70"/>
        <v>ERR</v>
      </c>
      <c r="EI27" s="856" t="str">
        <f t="shared" si="71"/>
        <v>ERR</v>
      </c>
      <c r="EJ27" s="822" t="str">
        <f t="shared" si="72"/>
        <v/>
      </c>
      <c r="EK27" s="822" t="str">
        <f t="shared" si="72"/>
        <v/>
      </c>
      <c r="EL27" s="1293" t="str">
        <f t="shared" si="73"/>
        <v/>
      </c>
      <c r="EM27" s="822" t="str">
        <f t="shared" si="74"/>
        <v/>
      </c>
      <c r="EN27" s="822" t="str">
        <f t="shared" si="75"/>
        <v/>
      </c>
      <c r="EO27" s="856" t="str">
        <f t="shared" si="76"/>
        <v>ERR</v>
      </c>
      <c r="EP27" s="856" t="str">
        <f t="shared" si="77"/>
        <v>ERR</v>
      </c>
      <c r="EQ27" s="1293" t="str">
        <f t="shared" si="78"/>
        <v/>
      </c>
      <c r="ER27" s="822" t="str">
        <f t="shared" si="78"/>
        <v/>
      </c>
      <c r="ES27" s="822" t="str">
        <f t="shared" si="79"/>
        <v/>
      </c>
      <c r="ET27" s="822" t="str">
        <f t="shared" si="80"/>
        <v/>
      </c>
      <c r="EU27" s="829">
        <f t="shared" si="81"/>
        <v>4</v>
      </c>
      <c r="EV27" s="824" t="str">
        <f t="shared" si="82"/>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83"/>
        <v/>
      </c>
      <c r="FA27" s="829" t="str">
        <f>IF(AND(DE27="G", ISBLANK(BW27), ISBLANK(BX27)),VLOOKUP(MIN(BT27:BU27),TblJoistSize!$M$3:$N$10,2),IF(OR(DE27="B", DE27="G"),MIN(BW27:BX27),""))</f>
        <v/>
      </c>
      <c r="FB27" s="829" t="str">
        <f>IF(AND(DE27="G", ISBLANK(BW27), ISBLANK(BX27)),VLOOKUP(MAX(BT27:BU27),TblJoistSize!$M$3:$N$10,2),IF(OR(DE27="B", DE27="G"),MAX(BW27:BX27),""))</f>
        <v/>
      </c>
      <c r="FC27" s="829" t="str">
        <f t="shared" si="84"/>
        <v/>
      </c>
      <c r="FD27" s="821">
        <f t="shared" si="107"/>
        <v>0</v>
      </c>
      <c r="FE27" s="821">
        <f t="shared" si="85"/>
        <v>0</v>
      </c>
      <c r="FF27" s="821">
        <f t="shared" si="86"/>
        <v>0</v>
      </c>
      <c r="FG27" s="821" t="str">
        <f t="shared" si="87"/>
        <v/>
      </c>
      <c r="FH27" s="822" t="str">
        <f t="shared" si="88"/>
        <v/>
      </c>
      <c r="FI27" s="821">
        <f t="shared" si="108"/>
        <v>0</v>
      </c>
      <c r="FJ27" s="821">
        <f t="shared" si="89"/>
        <v>0</v>
      </c>
      <c r="FK27" s="821">
        <f t="shared" si="90"/>
        <v>0</v>
      </c>
      <c r="FL27" s="821" t="str">
        <f t="shared" si="91"/>
        <v/>
      </c>
      <c r="FM27" s="822" t="str">
        <f t="shared" si="92"/>
        <v/>
      </c>
      <c r="FN27" s="822" t="e">
        <f t="shared" si="93"/>
        <v>#VALUE!</v>
      </c>
      <c r="FO27" s="940" t="e">
        <f t="shared" si="94"/>
        <v>#VALUE!</v>
      </c>
      <c r="FP27" s="940" t="e">
        <f t="shared" si="95"/>
        <v>#VALUE!</v>
      </c>
      <c r="FQ27" s="830" t="e">
        <f t="shared" si="96"/>
        <v>#VALUE!</v>
      </c>
      <c r="FR27" s="831" t="e">
        <f t="shared" si="97"/>
        <v>#VALUE!</v>
      </c>
      <c r="FS27" s="832" t="str">
        <f t="shared" si="98"/>
        <v/>
      </c>
      <c r="FT27" s="833" t="str">
        <f t="shared" si="99"/>
        <v/>
      </c>
      <c r="FU27" s="870">
        <f t="shared" si="100"/>
        <v>0</v>
      </c>
      <c r="FV27" s="871">
        <f t="shared" si="101"/>
        <v>0</v>
      </c>
      <c r="GA27" s="1791">
        <v>69</v>
      </c>
      <c r="GB27" s="1792">
        <v>2.25</v>
      </c>
      <c r="GC27" s="1793">
        <v>-0.25</v>
      </c>
      <c r="GD27" s="1794">
        <v>-0.5</v>
      </c>
      <c r="GE27" s="1795">
        <f t="shared" si="102"/>
        <v>0</v>
      </c>
      <c r="GF27" s="600" t="str">
        <f t="shared" si="103"/>
        <v>J53</v>
      </c>
      <c r="GG27" s="1130">
        <v>0</v>
      </c>
      <c r="GH27" s="1131">
        <v>0</v>
      </c>
      <c r="GI27" s="1130"/>
      <c r="GJ27" s="1131"/>
      <c r="GK27" s="1638">
        <f t="shared" si="104"/>
        <v>829.5</v>
      </c>
      <c r="GL27" s="1636">
        <f t="shared" si="105"/>
        <v>829.5</v>
      </c>
      <c r="GM27" s="1637">
        <f>IF(ABS(GK27-GL27)&gt;='Job Info.'!$L$22,ABS(GK27-GL27),0)</f>
        <v>0</v>
      </c>
      <c r="HA27" s="1269" t="s">
        <v>1483</v>
      </c>
      <c r="HB27" s="1270">
        <v>50</v>
      </c>
      <c r="HC27" s="1270" t="s">
        <v>1593</v>
      </c>
      <c r="HD27" s="1271">
        <v>69</v>
      </c>
      <c r="HE27" s="1272">
        <v>1.5</v>
      </c>
      <c r="HF27" s="1270" t="s">
        <v>116</v>
      </c>
      <c r="HG27" s="1270" t="s">
        <v>116</v>
      </c>
      <c r="HH27" s="1270" t="s">
        <v>116</v>
      </c>
      <c r="HI27" s="1273" t="s">
        <v>116</v>
      </c>
      <c r="HJ27" s="1270" t="s">
        <v>116</v>
      </c>
      <c r="HK27" s="1270" t="s">
        <v>116</v>
      </c>
      <c r="HL27" s="1270">
        <v>5</v>
      </c>
      <c r="HM27" s="1270">
        <v>5</v>
      </c>
      <c r="HN27" s="1270" t="s">
        <v>116</v>
      </c>
      <c r="HO27" s="1270" t="s">
        <v>116</v>
      </c>
      <c r="HP27" s="1270" t="s">
        <v>116</v>
      </c>
      <c r="HQ27" s="1273" t="s">
        <v>116</v>
      </c>
      <c r="HR27" s="1270" t="s">
        <v>116</v>
      </c>
      <c r="HS27" s="1270" t="s">
        <v>116</v>
      </c>
      <c r="HT27" s="1270">
        <v>0</v>
      </c>
      <c r="HU27" s="1270">
        <v>2.25</v>
      </c>
      <c r="HV27" s="1270">
        <v>0</v>
      </c>
      <c r="HW27" s="1272">
        <v>2</v>
      </c>
      <c r="HX27" s="1272">
        <v>4</v>
      </c>
      <c r="HY27" s="1272" t="s">
        <v>116</v>
      </c>
      <c r="HZ27" s="1272" t="s">
        <v>116</v>
      </c>
      <c r="IA27" s="1272" t="s">
        <v>1650</v>
      </c>
      <c r="IB27" s="1272"/>
      <c r="IC27" s="1272"/>
      <c r="ID27" s="1272"/>
      <c r="IE27" s="1272"/>
      <c r="IF27" s="1274"/>
    </row>
    <row r="28" spans="1:240" ht="12.6" customHeight="1" x14ac:dyDescent="0.25">
      <c r="A28" s="1448" t="s">
        <v>1484</v>
      </c>
      <c r="B28" s="1681">
        <v>6</v>
      </c>
      <c r="C28" s="1449" t="s">
        <v>1593</v>
      </c>
      <c r="D28" s="1705">
        <v>69</v>
      </c>
      <c r="E28" s="1706">
        <v>1.5</v>
      </c>
      <c r="F28" s="1714" t="str">
        <f t="shared" si="1"/>
        <v/>
      </c>
      <c r="G28" s="1709" t="str">
        <f t="shared" si="2"/>
        <v/>
      </c>
      <c r="H28" s="1779" t="str">
        <f t="shared" si="3"/>
        <v/>
      </c>
      <c r="I28" s="1705" t="str">
        <f t="shared" si="4"/>
        <v/>
      </c>
      <c r="J28" s="1709" t="str">
        <f t="shared" si="5"/>
        <v/>
      </c>
      <c r="K28" s="1796" t="str">
        <f t="shared" si="6"/>
        <v/>
      </c>
      <c r="L28" s="1712">
        <v>5</v>
      </c>
      <c r="M28" s="1713">
        <v>5</v>
      </c>
      <c r="N28" s="1708">
        <v>0</v>
      </c>
      <c r="O28" s="1709">
        <v>6.75</v>
      </c>
      <c r="P28" s="1710">
        <v>2</v>
      </c>
      <c r="Q28" s="1705" t="str">
        <f t="shared" si="10"/>
        <v/>
      </c>
      <c r="R28" s="1709" t="str">
        <f t="shared" si="11"/>
        <v/>
      </c>
      <c r="S28" s="1711" t="str">
        <f t="shared" si="12"/>
        <v/>
      </c>
      <c r="T28" s="1714">
        <v>0</v>
      </c>
      <c r="U28" s="1709">
        <v>2.25</v>
      </c>
      <c r="V28" s="1705">
        <v>0</v>
      </c>
      <c r="W28" s="1709">
        <v>2</v>
      </c>
      <c r="X28" s="1713">
        <v>4</v>
      </c>
      <c r="Y28" s="1781" t="str">
        <f t="shared" si="13"/>
        <v/>
      </c>
      <c r="Z28" s="1782" t="str">
        <f t="shared" si="14"/>
        <v/>
      </c>
      <c r="AA28" s="1783" t="s">
        <v>1755</v>
      </c>
      <c r="AB28" s="1413"/>
      <c r="AC28" s="964" t="b">
        <v>0</v>
      </c>
      <c r="AD28" s="441">
        <f t="shared" si="15"/>
        <v>0</v>
      </c>
      <c r="AE28" s="442">
        <f t="shared" si="16"/>
        <v>6</v>
      </c>
      <c r="AF28" s="442">
        <f t="shared" si="17"/>
        <v>0</v>
      </c>
      <c r="AG28" s="442">
        <f t="shared" si="18"/>
        <v>0</v>
      </c>
      <c r="AH28" s="443">
        <f t="shared" si="19"/>
        <v>0</v>
      </c>
      <c r="AI28" s="444" t="b">
        <v>0</v>
      </c>
      <c r="AJ28" s="238">
        <f t="shared" si="20"/>
        <v>44</v>
      </c>
      <c r="AK28" s="830" t="str">
        <f t="shared" si="21"/>
        <v>LH</v>
      </c>
      <c r="AL28" s="945" t="str">
        <f t="shared" si="22"/>
        <v/>
      </c>
      <c r="AM28" s="830">
        <f t="shared" si="23"/>
        <v>305</v>
      </c>
      <c r="AN28" s="830">
        <f t="shared" si="24"/>
        <v>180</v>
      </c>
      <c r="AO28" s="830" t="str">
        <f t="shared" si="25"/>
        <v/>
      </c>
      <c r="AP28" s="830" t="b">
        <f>IF(ISERROR(AJ28),FALSE,IF(OR(AJ28=0,ISERROR(AL28),ISERROR(AM28),ISERROR(AN28),ISERROR(AO28)),FALSE,IF(AL28&lt;&gt;"",IF(ISERROR(VLOOKUP(SUBSTITUTE(SUBSTITUTE(C28,"R",""),"A",""),TblJoistSize!$A:$A,1,FALSE)),FALSE,TRUE),TRUE)))</f>
        <v>1</v>
      </c>
      <c r="AQ28" s="1038">
        <f t="shared" si="26"/>
        <v>6</v>
      </c>
      <c r="AR28" s="945" t="b">
        <f t="shared" si="27"/>
        <v>1</v>
      </c>
      <c r="AS28" s="1038">
        <f t="shared" si="28"/>
        <v>6</v>
      </c>
      <c r="AT28" s="945" t="b">
        <f t="shared" si="29"/>
        <v>1</v>
      </c>
      <c r="AU28" s="946" t="str">
        <f t="shared" si="30"/>
        <v>LH</v>
      </c>
      <c r="AV28" s="830" t="str">
        <f t="shared" si="31"/>
        <v/>
      </c>
      <c r="AW28" s="830" t="str">
        <f t="shared" si="32"/>
        <v>LH</v>
      </c>
      <c r="AX28" s="830" t="str">
        <f t="shared" si="106"/>
        <v>TJ54</v>
      </c>
      <c r="AY28" s="1039" t="b">
        <f t="shared" si="33"/>
        <v>0</v>
      </c>
      <c r="AZ28" s="856" t="b">
        <f t="shared" si="34"/>
        <v>0</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35"/>
        <v/>
      </c>
      <c r="BR28" s="910"/>
      <c r="BS28" s="672"/>
      <c r="BT28" s="713"/>
      <c r="BU28" s="714"/>
      <c r="BV28" s="1625"/>
      <c r="BW28" s="713"/>
      <c r="BX28" s="714"/>
      <c r="BY28" s="715"/>
      <c r="BZ28" s="716"/>
      <c r="CA28" s="680" t="str">
        <f>IF(ISERROR(DE28),"",IF(DE28="","",IF(VLOOKUP(BS28,SectInfo!$B:$N,10,FALSE)="","","X")))</f>
        <v/>
      </c>
      <c r="CB28" s="738"/>
      <c r="CC28" s="1551" t="str">
        <f t="shared" si="36"/>
        <v/>
      </c>
      <c r="CD28" s="910"/>
      <c r="CE28" s="717"/>
      <c r="CF28" s="736"/>
      <c r="CG28" s="737"/>
      <c r="CH28" s="591" t="str">
        <f t="shared" si="37"/>
        <v/>
      </c>
      <c r="CI28" s="592" t="str">
        <f t="shared" si="38"/>
        <v/>
      </c>
      <c r="CJ28" s="593" t="str">
        <f t="shared" si="39"/>
        <v/>
      </c>
      <c r="CK28" s="594" t="str">
        <f t="shared" si="40"/>
        <v/>
      </c>
      <c r="CL28" s="595" t="str">
        <f t="shared" si="41"/>
        <v/>
      </c>
      <c r="CM28" s="596" t="str">
        <f t="shared" si="42"/>
        <v/>
      </c>
      <c r="CN28" s="597" t="str">
        <f t="shared" si="43"/>
        <v/>
      </c>
      <c r="CO28" s="598" t="str">
        <f t="shared" si="44"/>
        <v/>
      </c>
      <c r="CP28" s="615" t="str">
        <f t="shared" si="45"/>
        <v/>
      </c>
      <c r="CQ28" s="616" t="str">
        <f t="shared" si="46"/>
        <v/>
      </c>
      <c r="CR28" s="750">
        <f t="shared" si="47"/>
        <v>5</v>
      </c>
      <c r="CS28" s="751">
        <f t="shared" si="48"/>
        <v>5</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49"/>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50"/>
        <v>0</v>
      </c>
      <c r="DO28" s="818">
        <f t="shared" si="51"/>
        <v>0</v>
      </c>
      <c r="DP28" s="822" t="str">
        <f t="shared" si="52"/>
        <v/>
      </c>
      <c r="DQ28" s="822" t="str">
        <f t="shared" si="53"/>
        <v/>
      </c>
      <c r="DR28" s="822" t="str">
        <f t="shared" si="54"/>
        <v/>
      </c>
      <c r="DS28" s="821">
        <f t="shared" si="55"/>
        <v>0</v>
      </c>
      <c r="DT28" s="821">
        <f t="shared" si="56"/>
        <v>0</v>
      </c>
      <c r="DU28" s="821" t="str">
        <f t="shared" si="57"/>
        <v/>
      </c>
      <c r="DV28" s="822" t="str">
        <f t="shared" si="58"/>
        <v/>
      </c>
      <c r="DW28" s="856" t="str">
        <f t="shared" si="59"/>
        <v/>
      </c>
      <c r="DX28" s="1006">
        <f t="shared" si="60"/>
        <v>0</v>
      </c>
      <c r="DY28" s="822">
        <f t="shared" si="61"/>
        <v>0</v>
      </c>
      <c r="DZ28" s="821">
        <f t="shared" si="62"/>
        <v>0</v>
      </c>
      <c r="EA28" s="821" t="str">
        <f t="shared" si="63"/>
        <v/>
      </c>
      <c r="EB28" s="822" t="str">
        <f t="shared" si="64"/>
        <v/>
      </c>
      <c r="EC28" s="856" t="str">
        <f t="shared" si="65"/>
        <v/>
      </c>
      <c r="ED28" s="1006">
        <f t="shared" si="66"/>
        <v>0</v>
      </c>
      <c r="EE28" s="1293" t="str">
        <f t="shared" si="67"/>
        <v/>
      </c>
      <c r="EF28" s="1293" t="str">
        <f t="shared" si="68"/>
        <v/>
      </c>
      <c r="EG28" s="1293" t="str">
        <f t="shared" si="69"/>
        <v/>
      </c>
      <c r="EH28" s="856" t="str">
        <f t="shared" si="70"/>
        <v>ERR</v>
      </c>
      <c r="EI28" s="856" t="str">
        <f t="shared" si="71"/>
        <v>ERR</v>
      </c>
      <c r="EJ28" s="822" t="str">
        <f t="shared" si="72"/>
        <v/>
      </c>
      <c r="EK28" s="822" t="str">
        <f t="shared" si="72"/>
        <v/>
      </c>
      <c r="EL28" s="1293" t="str">
        <f t="shared" si="73"/>
        <v/>
      </c>
      <c r="EM28" s="822" t="str">
        <f t="shared" si="74"/>
        <v/>
      </c>
      <c r="EN28" s="822" t="str">
        <f t="shared" si="75"/>
        <v/>
      </c>
      <c r="EO28" s="856" t="str">
        <f t="shared" si="76"/>
        <v>ERR</v>
      </c>
      <c r="EP28" s="856" t="str">
        <f t="shared" si="77"/>
        <v>ERR</v>
      </c>
      <c r="EQ28" s="1293" t="str">
        <f t="shared" si="78"/>
        <v/>
      </c>
      <c r="ER28" s="822" t="str">
        <f t="shared" si="78"/>
        <v/>
      </c>
      <c r="ES28" s="822" t="str">
        <f t="shared" si="79"/>
        <v/>
      </c>
      <c r="ET28" s="822" t="str">
        <f t="shared" si="80"/>
        <v/>
      </c>
      <c r="EU28" s="829">
        <f t="shared" si="81"/>
        <v>4</v>
      </c>
      <c r="EV28" s="824" t="str">
        <f t="shared" si="82"/>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83"/>
        <v/>
      </c>
      <c r="FA28" s="829" t="str">
        <f>IF(AND(DE28="G", ISBLANK(BW28), ISBLANK(BX28)),VLOOKUP(MIN(BT28:BU28),TblJoistSize!$M$3:$N$10,2),IF(OR(DE28="B", DE28="G"),MIN(BW28:BX28),""))</f>
        <v/>
      </c>
      <c r="FB28" s="829" t="str">
        <f>IF(AND(DE28="G", ISBLANK(BW28), ISBLANK(BX28)),VLOOKUP(MAX(BT28:BU28),TblJoistSize!$M$3:$N$10,2),IF(OR(DE28="B", DE28="G"),MAX(BW28:BX28),""))</f>
        <v/>
      </c>
      <c r="FC28" s="829" t="str">
        <f t="shared" si="84"/>
        <v/>
      </c>
      <c r="FD28" s="821">
        <f t="shared" si="107"/>
        <v>0</v>
      </c>
      <c r="FE28" s="821">
        <f t="shared" si="85"/>
        <v>0</v>
      </c>
      <c r="FF28" s="821">
        <f t="shared" si="86"/>
        <v>0</v>
      </c>
      <c r="FG28" s="821" t="str">
        <f t="shared" si="87"/>
        <v/>
      </c>
      <c r="FH28" s="822" t="str">
        <f t="shared" si="88"/>
        <v/>
      </c>
      <c r="FI28" s="821">
        <f t="shared" si="108"/>
        <v>0</v>
      </c>
      <c r="FJ28" s="821">
        <f t="shared" si="89"/>
        <v>0</v>
      </c>
      <c r="FK28" s="821">
        <f t="shared" si="90"/>
        <v>0</v>
      </c>
      <c r="FL28" s="821" t="str">
        <f t="shared" si="91"/>
        <v/>
      </c>
      <c r="FM28" s="822" t="str">
        <f t="shared" si="92"/>
        <v/>
      </c>
      <c r="FN28" s="822" t="e">
        <f t="shared" si="93"/>
        <v>#VALUE!</v>
      </c>
      <c r="FO28" s="940" t="e">
        <f t="shared" si="94"/>
        <v>#VALUE!</v>
      </c>
      <c r="FP28" s="940" t="e">
        <f t="shared" si="95"/>
        <v>#VALUE!</v>
      </c>
      <c r="FQ28" s="830" t="e">
        <f t="shared" si="96"/>
        <v>#VALUE!</v>
      </c>
      <c r="FR28" s="831" t="e">
        <f t="shared" si="97"/>
        <v>#VALUE!</v>
      </c>
      <c r="FS28" s="832" t="str">
        <f t="shared" si="98"/>
        <v/>
      </c>
      <c r="FT28" s="833" t="str">
        <f t="shared" si="99"/>
        <v/>
      </c>
      <c r="FU28" s="870">
        <f t="shared" si="100"/>
        <v>0</v>
      </c>
      <c r="FV28" s="871">
        <f t="shared" si="101"/>
        <v>0</v>
      </c>
      <c r="GA28" s="1791">
        <v>69</v>
      </c>
      <c r="GB28" s="1792">
        <v>2.25</v>
      </c>
      <c r="GC28" s="1793">
        <v>-0.25</v>
      </c>
      <c r="GD28" s="1794">
        <v>-0.5</v>
      </c>
      <c r="GE28" s="1795">
        <f t="shared" si="102"/>
        <v>0</v>
      </c>
      <c r="GF28" s="600" t="str">
        <f t="shared" si="103"/>
        <v>TJ54</v>
      </c>
      <c r="GG28" s="1130">
        <v>0</v>
      </c>
      <c r="GH28" s="1131">
        <v>0</v>
      </c>
      <c r="GI28" s="1130"/>
      <c r="GJ28" s="1131"/>
      <c r="GK28" s="1638">
        <f t="shared" si="104"/>
        <v>829.5</v>
      </c>
      <c r="GL28" s="1636">
        <f t="shared" si="105"/>
        <v>829.5</v>
      </c>
      <c r="GM28" s="1637">
        <f>IF(ABS(GK28-GL28)&gt;='Job Info.'!$L$22,ABS(GK28-GL28),0)</f>
        <v>0</v>
      </c>
      <c r="HA28" s="1269" t="s">
        <v>1484</v>
      </c>
      <c r="HB28" s="1270">
        <v>6</v>
      </c>
      <c r="HC28" s="1270" t="s">
        <v>1593</v>
      </c>
      <c r="HD28" s="1271">
        <v>69</v>
      </c>
      <c r="HE28" s="1272">
        <v>1.5</v>
      </c>
      <c r="HF28" s="1270" t="s">
        <v>116</v>
      </c>
      <c r="HG28" s="1270" t="s">
        <v>116</v>
      </c>
      <c r="HH28" s="1270" t="s">
        <v>116</v>
      </c>
      <c r="HI28" s="1273" t="s">
        <v>116</v>
      </c>
      <c r="HJ28" s="1270" t="s">
        <v>116</v>
      </c>
      <c r="HK28" s="1270" t="s">
        <v>116</v>
      </c>
      <c r="HL28" s="1270">
        <v>5</v>
      </c>
      <c r="HM28" s="1270">
        <v>5</v>
      </c>
      <c r="HN28" s="1270">
        <v>0</v>
      </c>
      <c r="HO28" s="1270">
        <v>6.75</v>
      </c>
      <c r="HP28" s="1270">
        <v>2</v>
      </c>
      <c r="HQ28" s="1273" t="s">
        <v>116</v>
      </c>
      <c r="HR28" s="1270" t="s">
        <v>116</v>
      </c>
      <c r="HS28" s="1270" t="s">
        <v>116</v>
      </c>
      <c r="HT28" s="1270">
        <v>0</v>
      </c>
      <c r="HU28" s="1270">
        <v>2.25</v>
      </c>
      <c r="HV28" s="1270">
        <v>0</v>
      </c>
      <c r="HW28" s="1272">
        <v>2</v>
      </c>
      <c r="HX28" s="1272">
        <v>4</v>
      </c>
      <c r="HY28" s="1272" t="s">
        <v>116</v>
      </c>
      <c r="HZ28" s="1272" t="s">
        <v>116</v>
      </c>
      <c r="IA28" s="1272" t="s">
        <v>1650</v>
      </c>
      <c r="IB28" s="1272"/>
      <c r="IC28" s="1272"/>
      <c r="ID28" s="1272"/>
      <c r="IE28" s="1272"/>
      <c r="IF28" s="1274"/>
    </row>
    <row r="29" spans="1:240" ht="12.6" customHeight="1" x14ac:dyDescent="0.25">
      <c r="A29" s="1448" t="s">
        <v>1485</v>
      </c>
      <c r="B29" s="1681">
        <v>7</v>
      </c>
      <c r="C29" s="1449" t="s">
        <v>1593</v>
      </c>
      <c r="D29" s="1705">
        <v>69</v>
      </c>
      <c r="E29" s="1706">
        <v>1.5</v>
      </c>
      <c r="F29" s="1714" t="str">
        <f t="shared" si="1"/>
        <v/>
      </c>
      <c r="G29" s="1709" t="str">
        <f t="shared" si="2"/>
        <v/>
      </c>
      <c r="H29" s="1779" t="str">
        <f t="shared" si="3"/>
        <v/>
      </c>
      <c r="I29" s="1705" t="str">
        <f t="shared" si="4"/>
        <v/>
      </c>
      <c r="J29" s="1709" t="str">
        <f t="shared" si="5"/>
        <v/>
      </c>
      <c r="K29" s="1796" t="str">
        <f t="shared" si="6"/>
        <v/>
      </c>
      <c r="L29" s="1712">
        <v>5</v>
      </c>
      <c r="M29" s="1713">
        <v>5</v>
      </c>
      <c r="N29" s="1708" t="str">
        <f t="shared" si="7"/>
        <v/>
      </c>
      <c r="O29" s="1709" t="str">
        <f t="shared" si="8"/>
        <v/>
      </c>
      <c r="P29" s="1710" t="str">
        <f t="shared" si="9"/>
        <v/>
      </c>
      <c r="Q29" s="1705" t="str">
        <f t="shared" si="10"/>
        <v/>
      </c>
      <c r="R29" s="1709" t="str">
        <f t="shared" si="11"/>
        <v/>
      </c>
      <c r="S29" s="1711" t="str">
        <f t="shared" si="12"/>
        <v/>
      </c>
      <c r="T29" s="1714">
        <v>0</v>
      </c>
      <c r="U29" s="1709">
        <v>2.25</v>
      </c>
      <c r="V29" s="1705">
        <v>0</v>
      </c>
      <c r="W29" s="1709">
        <v>2</v>
      </c>
      <c r="X29" s="1713">
        <v>4</v>
      </c>
      <c r="Y29" s="1781" t="str">
        <f t="shared" si="13"/>
        <v/>
      </c>
      <c r="Z29" s="1782" t="str">
        <f t="shared" si="14"/>
        <v/>
      </c>
      <c r="AA29" s="1783" t="s">
        <v>1756</v>
      </c>
      <c r="AB29" s="1413"/>
      <c r="AC29" s="964" t="b">
        <v>0</v>
      </c>
      <c r="AD29" s="441">
        <f t="shared" si="15"/>
        <v>0</v>
      </c>
      <c r="AE29" s="442">
        <f t="shared" si="16"/>
        <v>7</v>
      </c>
      <c r="AF29" s="442">
        <f t="shared" si="17"/>
        <v>0</v>
      </c>
      <c r="AG29" s="442">
        <f t="shared" si="18"/>
        <v>0</v>
      </c>
      <c r="AH29" s="443">
        <f t="shared" si="19"/>
        <v>0</v>
      </c>
      <c r="AI29" s="444" t="b">
        <v>0</v>
      </c>
      <c r="AJ29" s="238">
        <f t="shared" si="20"/>
        <v>44</v>
      </c>
      <c r="AK29" s="830" t="str">
        <f t="shared" si="21"/>
        <v>LH</v>
      </c>
      <c r="AL29" s="945" t="str">
        <f t="shared" si="22"/>
        <v/>
      </c>
      <c r="AM29" s="830">
        <f t="shared" si="23"/>
        <v>305</v>
      </c>
      <c r="AN29" s="830">
        <f t="shared" si="24"/>
        <v>180</v>
      </c>
      <c r="AO29" s="830" t="str">
        <f t="shared" si="25"/>
        <v/>
      </c>
      <c r="AP29" s="830" t="b">
        <f>IF(ISERROR(AJ29),FALSE,IF(OR(AJ29=0,ISERROR(AL29),ISERROR(AM29),ISERROR(AN29),ISERROR(AO29)),FALSE,IF(AL29&lt;&gt;"",IF(ISERROR(VLOOKUP(SUBSTITUTE(SUBSTITUTE(C29,"R",""),"A",""),TblJoistSize!$A:$A,1,FALSE)),FALSE,TRUE),TRUE)))</f>
        <v>1</v>
      </c>
      <c r="AQ29" s="1038">
        <f t="shared" si="26"/>
        <v>6</v>
      </c>
      <c r="AR29" s="945" t="b">
        <f t="shared" si="27"/>
        <v>1</v>
      </c>
      <c r="AS29" s="1038">
        <f t="shared" si="28"/>
        <v>6</v>
      </c>
      <c r="AT29" s="945" t="b">
        <f t="shared" si="29"/>
        <v>1</v>
      </c>
      <c r="AU29" s="946" t="str">
        <f t="shared" si="30"/>
        <v>LH</v>
      </c>
      <c r="AV29" s="830" t="str">
        <f t="shared" si="31"/>
        <v/>
      </c>
      <c r="AW29" s="830" t="str">
        <f t="shared" si="32"/>
        <v>LH</v>
      </c>
      <c r="AX29" s="830" t="str">
        <f t="shared" si="106"/>
        <v>J55</v>
      </c>
      <c r="AY29" s="1039" t="b">
        <f t="shared" si="33"/>
        <v>0</v>
      </c>
      <c r="AZ29" s="856" t="b">
        <f t="shared" si="34"/>
        <v>0</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35"/>
        <v/>
      </c>
      <c r="BR29" s="910"/>
      <c r="BS29" s="672"/>
      <c r="BT29" s="713"/>
      <c r="BU29" s="714"/>
      <c r="BV29" s="1625"/>
      <c r="BW29" s="713"/>
      <c r="BX29" s="714"/>
      <c r="BY29" s="715"/>
      <c r="BZ29" s="716"/>
      <c r="CA29" s="680" t="str">
        <f>IF(ISERROR(DE29),"",IF(DE29="","",IF(VLOOKUP(BS29,SectInfo!$B:$N,10,FALSE)="","","X")))</f>
        <v/>
      </c>
      <c r="CB29" s="738"/>
      <c r="CC29" s="1551" t="str">
        <f t="shared" si="36"/>
        <v/>
      </c>
      <c r="CD29" s="910"/>
      <c r="CE29" s="717"/>
      <c r="CF29" s="736"/>
      <c r="CG29" s="737"/>
      <c r="CH29" s="591" t="str">
        <f t="shared" si="37"/>
        <v/>
      </c>
      <c r="CI29" s="592" t="str">
        <f t="shared" si="38"/>
        <v/>
      </c>
      <c r="CJ29" s="593" t="str">
        <f t="shared" si="39"/>
        <v/>
      </c>
      <c r="CK29" s="594" t="str">
        <f t="shared" si="40"/>
        <v/>
      </c>
      <c r="CL29" s="595" t="str">
        <f t="shared" si="41"/>
        <v/>
      </c>
      <c r="CM29" s="596" t="str">
        <f t="shared" si="42"/>
        <v/>
      </c>
      <c r="CN29" s="597" t="str">
        <f t="shared" si="43"/>
        <v/>
      </c>
      <c r="CO29" s="598" t="str">
        <f t="shared" si="44"/>
        <v/>
      </c>
      <c r="CP29" s="615" t="str">
        <f t="shared" si="45"/>
        <v/>
      </c>
      <c r="CQ29" s="616" t="str">
        <f t="shared" si="46"/>
        <v/>
      </c>
      <c r="CR29" s="750">
        <f t="shared" si="47"/>
        <v>5</v>
      </c>
      <c r="CS29" s="751">
        <f t="shared" si="48"/>
        <v>5</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49"/>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50"/>
        <v>0</v>
      </c>
      <c r="DO29" s="818">
        <f t="shared" si="51"/>
        <v>0</v>
      </c>
      <c r="DP29" s="822" t="str">
        <f t="shared" si="52"/>
        <v/>
      </c>
      <c r="DQ29" s="822" t="str">
        <f t="shared" si="53"/>
        <v/>
      </c>
      <c r="DR29" s="822" t="str">
        <f t="shared" si="54"/>
        <v/>
      </c>
      <c r="DS29" s="821">
        <f t="shared" si="55"/>
        <v>0</v>
      </c>
      <c r="DT29" s="821">
        <f t="shared" si="56"/>
        <v>0</v>
      </c>
      <c r="DU29" s="821" t="str">
        <f t="shared" si="57"/>
        <v/>
      </c>
      <c r="DV29" s="822" t="str">
        <f t="shared" si="58"/>
        <v/>
      </c>
      <c r="DW29" s="856" t="str">
        <f t="shared" si="59"/>
        <v/>
      </c>
      <c r="DX29" s="1006">
        <f t="shared" si="60"/>
        <v>0</v>
      </c>
      <c r="DY29" s="822">
        <f t="shared" si="61"/>
        <v>0</v>
      </c>
      <c r="DZ29" s="821">
        <f t="shared" si="62"/>
        <v>0</v>
      </c>
      <c r="EA29" s="821" t="str">
        <f t="shared" si="63"/>
        <v/>
      </c>
      <c r="EB29" s="822" t="str">
        <f t="shared" si="64"/>
        <v/>
      </c>
      <c r="EC29" s="856" t="str">
        <f t="shared" si="65"/>
        <v/>
      </c>
      <c r="ED29" s="1006">
        <f t="shared" si="66"/>
        <v>0</v>
      </c>
      <c r="EE29" s="1293" t="str">
        <f t="shared" si="67"/>
        <v/>
      </c>
      <c r="EF29" s="1293" t="str">
        <f t="shared" si="68"/>
        <v/>
      </c>
      <c r="EG29" s="1293" t="str">
        <f t="shared" si="69"/>
        <v/>
      </c>
      <c r="EH29" s="856" t="str">
        <f t="shared" si="70"/>
        <v>ERR</v>
      </c>
      <c r="EI29" s="856" t="str">
        <f t="shared" si="71"/>
        <v>ERR</v>
      </c>
      <c r="EJ29" s="822" t="str">
        <f t="shared" si="72"/>
        <v/>
      </c>
      <c r="EK29" s="822" t="str">
        <f t="shared" si="72"/>
        <v/>
      </c>
      <c r="EL29" s="1293" t="str">
        <f t="shared" si="73"/>
        <v/>
      </c>
      <c r="EM29" s="822" t="str">
        <f t="shared" si="74"/>
        <v/>
      </c>
      <c r="EN29" s="822" t="str">
        <f t="shared" si="75"/>
        <v/>
      </c>
      <c r="EO29" s="856" t="str">
        <f t="shared" si="76"/>
        <v>ERR</v>
      </c>
      <c r="EP29" s="856" t="str">
        <f t="shared" si="77"/>
        <v>ERR</v>
      </c>
      <c r="EQ29" s="1293" t="str">
        <f t="shared" si="78"/>
        <v/>
      </c>
      <c r="ER29" s="822" t="str">
        <f t="shared" si="78"/>
        <v/>
      </c>
      <c r="ES29" s="822" t="str">
        <f t="shared" si="79"/>
        <v/>
      </c>
      <c r="ET29" s="822" t="str">
        <f t="shared" si="80"/>
        <v/>
      </c>
      <c r="EU29" s="829">
        <f t="shared" si="81"/>
        <v>4</v>
      </c>
      <c r="EV29" s="824" t="str">
        <f t="shared" si="82"/>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83"/>
        <v/>
      </c>
      <c r="FA29" s="829" t="str">
        <f>IF(AND(DE29="G", ISBLANK(BW29), ISBLANK(BX29)),VLOOKUP(MIN(BT29:BU29),TblJoistSize!$M$3:$N$10,2),IF(OR(DE29="B", DE29="G"),MIN(BW29:BX29),""))</f>
        <v/>
      </c>
      <c r="FB29" s="829" t="str">
        <f>IF(AND(DE29="G", ISBLANK(BW29), ISBLANK(BX29)),VLOOKUP(MAX(BT29:BU29),TblJoistSize!$M$3:$N$10,2),IF(OR(DE29="B", DE29="G"),MAX(BW29:BX29),""))</f>
        <v/>
      </c>
      <c r="FC29" s="829" t="str">
        <f t="shared" si="84"/>
        <v/>
      </c>
      <c r="FD29" s="821">
        <f t="shared" si="107"/>
        <v>0</v>
      </c>
      <c r="FE29" s="821">
        <f t="shared" si="85"/>
        <v>0</v>
      </c>
      <c r="FF29" s="821">
        <f t="shared" si="86"/>
        <v>0</v>
      </c>
      <c r="FG29" s="821" t="str">
        <f t="shared" si="87"/>
        <v/>
      </c>
      <c r="FH29" s="822" t="str">
        <f t="shared" si="88"/>
        <v/>
      </c>
      <c r="FI29" s="821">
        <f t="shared" si="108"/>
        <v>0</v>
      </c>
      <c r="FJ29" s="821">
        <f t="shared" si="89"/>
        <v>0</v>
      </c>
      <c r="FK29" s="821">
        <f t="shared" si="90"/>
        <v>0</v>
      </c>
      <c r="FL29" s="821" t="str">
        <f t="shared" si="91"/>
        <v/>
      </c>
      <c r="FM29" s="822" t="str">
        <f t="shared" si="92"/>
        <v/>
      </c>
      <c r="FN29" s="822" t="e">
        <f t="shared" si="93"/>
        <v>#VALUE!</v>
      </c>
      <c r="FO29" s="940" t="e">
        <f t="shared" si="94"/>
        <v>#VALUE!</v>
      </c>
      <c r="FP29" s="940" t="e">
        <f t="shared" si="95"/>
        <v>#VALUE!</v>
      </c>
      <c r="FQ29" s="830" t="e">
        <f t="shared" si="96"/>
        <v>#VALUE!</v>
      </c>
      <c r="FR29" s="831" t="e">
        <f t="shared" si="97"/>
        <v>#VALUE!</v>
      </c>
      <c r="FS29" s="832" t="str">
        <f t="shared" si="98"/>
        <v/>
      </c>
      <c r="FT29" s="833" t="str">
        <f t="shared" si="99"/>
        <v/>
      </c>
      <c r="FU29" s="870">
        <f t="shared" si="100"/>
        <v>0</v>
      </c>
      <c r="FV29" s="871">
        <f t="shared" si="101"/>
        <v>0</v>
      </c>
      <c r="GA29" s="1791">
        <v>69</v>
      </c>
      <c r="GB29" s="1792">
        <v>2.25</v>
      </c>
      <c r="GC29" s="1793">
        <v>-0.25</v>
      </c>
      <c r="GD29" s="1794">
        <v>-0.5</v>
      </c>
      <c r="GE29" s="1795">
        <f t="shared" si="102"/>
        <v>0</v>
      </c>
      <c r="GF29" s="600" t="str">
        <f t="shared" si="103"/>
        <v>J55</v>
      </c>
      <c r="GG29" s="1130">
        <v>0</v>
      </c>
      <c r="GH29" s="1131">
        <v>0</v>
      </c>
      <c r="GI29" s="1130"/>
      <c r="GJ29" s="1131"/>
      <c r="GK29" s="1638">
        <f t="shared" si="104"/>
        <v>829.5</v>
      </c>
      <c r="GL29" s="1636">
        <f t="shared" si="105"/>
        <v>829.5</v>
      </c>
      <c r="GM29" s="1637">
        <f>IF(ABS(GK29-GL29)&gt;='Job Info.'!$L$22,ABS(GK29-GL29),0)</f>
        <v>0</v>
      </c>
      <c r="HA29" s="1269" t="s">
        <v>1485</v>
      </c>
      <c r="HB29" s="1270">
        <v>7</v>
      </c>
      <c r="HC29" s="1270" t="s">
        <v>1593</v>
      </c>
      <c r="HD29" s="1271">
        <v>69</v>
      </c>
      <c r="HE29" s="1272">
        <v>1.5</v>
      </c>
      <c r="HF29" s="1270" t="s">
        <v>116</v>
      </c>
      <c r="HG29" s="1270" t="s">
        <v>116</v>
      </c>
      <c r="HH29" s="1270" t="s">
        <v>116</v>
      </c>
      <c r="HI29" s="1273" t="s">
        <v>116</v>
      </c>
      <c r="HJ29" s="1270" t="s">
        <v>116</v>
      </c>
      <c r="HK29" s="1270" t="s">
        <v>116</v>
      </c>
      <c r="HL29" s="1270">
        <v>5</v>
      </c>
      <c r="HM29" s="1270">
        <v>5</v>
      </c>
      <c r="HN29" s="1270" t="s">
        <v>116</v>
      </c>
      <c r="HO29" s="1270" t="s">
        <v>116</v>
      </c>
      <c r="HP29" s="1270" t="s">
        <v>116</v>
      </c>
      <c r="HQ29" s="1273" t="s">
        <v>116</v>
      </c>
      <c r="HR29" s="1270" t="s">
        <v>116</v>
      </c>
      <c r="HS29" s="1270" t="s">
        <v>116</v>
      </c>
      <c r="HT29" s="1270">
        <v>0</v>
      </c>
      <c r="HU29" s="1270">
        <v>2.25</v>
      </c>
      <c r="HV29" s="1270">
        <v>0</v>
      </c>
      <c r="HW29" s="1272">
        <v>2</v>
      </c>
      <c r="HX29" s="1272">
        <v>4</v>
      </c>
      <c r="HY29" s="1272" t="s">
        <v>116</v>
      </c>
      <c r="HZ29" s="1272" t="s">
        <v>116</v>
      </c>
      <c r="IA29" s="1272" t="s">
        <v>1651</v>
      </c>
      <c r="IB29" s="1272"/>
      <c r="IC29" s="1272"/>
      <c r="ID29" s="1272"/>
      <c r="IE29" s="1272"/>
      <c r="IF29" s="1274"/>
    </row>
    <row r="30" spans="1:240" ht="12.6" customHeight="1" x14ac:dyDescent="0.25">
      <c r="A30" s="1448" t="s">
        <v>1486</v>
      </c>
      <c r="B30" s="1681">
        <v>7</v>
      </c>
      <c r="C30" s="1449" t="s">
        <v>1593</v>
      </c>
      <c r="D30" s="1705">
        <v>69</v>
      </c>
      <c r="E30" s="1706">
        <v>1.5</v>
      </c>
      <c r="F30" s="1714" t="str">
        <f t="shared" si="1"/>
        <v/>
      </c>
      <c r="G30" s="1709" t="str">
        <f t="shared" si="2"/>
        <v/>
      </c>
      <c r="H30" s="1779" t="str">
        <f t="shared" si="3"/>
        <v/>
      </c>
      <c r="I30" s="1705" t="str">
        <f t="shared" si="4"/>
        <v/>
      </c>
      <c r="J30" s="1709" t="str">
        <f t="shared" si="5"/>
        <v/>
      </c>
      <c r="K30" s="1796" t="str">
        <f t="shared" si="6"/>
        <v/>
      </c>
      <c r="L30" s="1712">
        <v>5</v>
      </c>
      <c r="M30" s="1713">
        <v>5</v>
      </c>
      <c r="N30" s="1708" t="str">
        <f t="shared" si="7"/>
        <v/>
      </c>
      <c r="O30" s="1709" t="str">
        <f t="shared" si="8"/>
        <v/>
      </c>
      <c r="P30" s="1710" t="str">
        <f t="shared" si="9"/>
        <v/>
      </c>
      <c r="Q30" s="1705" t="str">
        <f t="shared" si="10"/>
        <v/>
      </c>
      <c r="R30" s="1709" t="str">
        <f t="shared" si="11"/>
        <v/>
      </c>
      <c r="S30" s="1711" t="str">
        <f t="shared" si="12"/>
        <v/>
      </c>
      <c r="T30" s="1714">
        <v>0</v>
      </c>
      <c r="U30" s="1709">
        <v>2.25</v>
      </c>
      <c r="V30" s="1705">
        <v>0</v>
      </c>
      <c r="W30" s="1709">
        <v>2</v>
      </c>
      <c r="X30" s="1713">
        <v>4</v>
      </c>
      <c r="Y30" s="1781" t="str">
        <f t="shared" si="13"/>
        <v/>
      </c>
      <c r="Z30" s="1782" t="str">
        <f t="shared" si="14"/>
        <v/>
      </c>
      <c r="AA30" s="1783" t="s">
        <v>1757</v>
      </c>
      <c r="AB30" s="1413"/>
      <c r="AC30" s="964" t="b">
        <v>0</v>
      </c>
      <c r="AD30" s="441">
        <f t="shared" si="15"/>
        <v>0</v>
      </c>
      <c r="AE30" s="442">
        <f t="shared" si="16"/>
        <v>7</v>
      </c>
      <c r="AF30" s="442">
        <f t="shared" si="17"/>
        <v>0</v>
      </c>
      <c r="AG30" s="442">
        <f t="shared" si="18"/>
        <v>0</v>
      </c>
      <c r="AH30" s="443">
        <f t="shared" si="19"/>
        <v>0</v>
      </c>
      <c r="AI30" s="444" t="b">
        <v>0</v>
      </c>
      <c r="AJ30" s="238">
        <f t="shared" si="20"/>
        <v>44</v>
      </c>
      <c r="AK30" s="830" t="str">
        <f t="shared" si="21"/>
        <v>LH</v>
      </c>
      <c r="AL30" s="945" t="str">
        <f t="shared" si="22"/>
        <v/>
      </c>
      <c r="AM30" s="830">
        <f t="shared" si="23"/>
        <v>305</v>
      </c>
      <c r="AN30" s="830">
        <f t="shared" si="24"/>
        <v>180</v>
      </c>
      <c r="AO30" s="830" t="str">
        <f t="shared" si="25"/>
        <v/>
      </c>
      <c r="AP30" s="830" t="b">
        <f>IF(ISERROR(AJ30),FALSE,IF(OR(AJ30=0,ISERROR(AL30),ISERROR(AM30),ISERROR(AN30),ISERROR(AO30)),FALSE,IF(AL30&lt;&gt;"",IF(ISERROR(VLOOKUP(SUBSTITUTE(SUBSTITUTE(C30,"R",""),"A",""),TblJoistSize!$A:$A,1,FALSE)),FALSE,TRUE),TRUE)))</f>
        <v>1</v>
      </c>
      <c r="AQ30" s="1038">
        <f t="shared" si="26"/>
        <v>6</v>
      </c>
      <c r="AR30" s="945" t="b">
        <f t="shared" si="27"/>
        <v>1</v>
      </c>
      <c r="AS30" s="1038">
        <f t="shared" si="28"/>
        <v>6</v>
      </c>
      <c r="AT30" s="945" t="b">
        <f t="shared" si="29"/>
        <v>1</v>
      </c>
      <c r="AU30" s="946" t="str">
        <f t="shared" si="30"/>
        <v>LH</v>
      </c>
      <c r="AV30" s="830" t="str">
        <f t="shared" si="31"/>
        <v/>
      </c>
      <c r="AW30" s="830" t="str">
        <f t="shared" si="32"/>
        <v>LH</v>
      </c>
      <c r="AX30" s="830" t="str">
        <f t="shared" si="106"/>
        <v>J56</v>
      </c>
      <c r="AY30" s="1039" t="b">
        <f t="shared" si="33"/>
        <v>0</v>
      </c>
      <c r="AZ30" s="856" t="b">
        <f t="shared" si="34"/>
        <v>0</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35"/>
        <v/>
      </c>
      <c r="BR30" s="910"/>
      <c r="BS30" s="672"/>
      <c r="BT30" s="713"/>
      <c r="BU30" s="714"/>
      <c r="BV30" s="1625"/>
      <c r="BW30" s="713"/>
      <c r="BX30" s="714"/>
      <c r="BY30" s="715"/>
      <c r="BZ30" s="716"/>
      <c r="CA30" s="680" t="str">
        <f>IF(ISERROR(DE30),"",IF(DE30="","",IF(VLOOKUP(BS30,SectInfo!$B:$N,10,FALSE)="","","X")))</f>
        <v/>
      </c>
      <c r="CB30" s="738"/>
      <c r="CC30" s="1551" t="str">
        <f t="shared" si="36"/>
        <v/>
      </c>
      <c r="CD30" s="910"/>
      <c r="CE30" s="717"/>
      <c r="CF30" s="736"/>
      <c r="CG30" s="737"/>
      <c r="CH30" s="591" t="str">
        <f t="shared" si="37"/>
        <v/>
      </c>
      <c r="CI30" s="592" t="str">
        <f t="shared" si="38"/>
        <v/>
      </c>
      <c r="CJ30" s="593" t="str">
        <f t="shared" si="39"/>
        <v/>
      </c>
      <c r="CK30" s="594" t="str">
        <f t="shared" si="40"/>
        <v/>
      </c>
      <c r="CL30" s="595" t="str">
        <f t="shared" si="41"/>
        <v/>
      </c>
      <c r="CM30" s="596" t="str">
        <f t="shared" si="42"/>
        <v/>
      </c>
      <c r="CN30" s="597" t="str">
        <f t="shared" si="43"/>
        <v/>
      </c>
      <c r="CO30" s="598" t="str">
        <f t="shared" si="44"/>
        <v/>
      </c>
      <c r="CP30" s="615" t="str">
        <f t="shared" si="45"/>
        <v/>
      </c>
      <c r="CQ30" s="616" t="str">
        <f t="shared" si="46"/>
        <v/>
      </c>
      <c r="CR30" s="750">
        <f t="shared" si="47"/>
        <v>5</v>
      </c>
      <c r="CS30" s="751">
        <f t="shared" si="48"/>
        <v>5</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49"/>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50"/>
        <v>0</v>
      </c>
      <c r="DO30" s="818">
        <f t="shared" si="51"/>
        <v>0</v>
      </c>
      <c r="DP30" s="822" t="str">
        <f t="shared" si="52"/>
        <v/>
      </c>
      <c r="DQ30" s="822" t="str">
        <f t="shared" si="53"/>
        <v/>
      </c>
      <c r="DR30" s="822" t="str">
        <f t="shared" si="54"/>
        <v/>
      </c>
      <c r="DS30" s="821">
        <f t="shared" si="55"/>
        <v>0</v>
      </c>
      <c r="DT30" s="821">
        <f t="shared" si="56"/>
        <v>0</v>
      </c>
      <c r="DU30" s="821" t="str">
        <f t="shared" si="57"/>
        <v/>
      </c>
      <c r="DV30" s="822" t="str">
        <f t="shared" si="58"/>
        <v/>
      </c>
      <c r="DW30" s="856" t="str">
        <f t="shared" si="59"/>
        <v/>
      </c>
      <c r="DX30" s="1006">
        <f t="shared" si="60"/>
        <v>0</v>
      </c>
      <c r="DY30" s="822">
        <f t="shared" si="61"/>
        <v>0</v>
      </c>
      <c r="DZ30" s="821">
        <f t="shared" si="62"/>
        <v>0</v>
      </c>
      <c r="EA30" s="821" t="str">
        <f t="shared" si="63"/>
        <v/>
      </c>
      <c r="EB30" s="822" t="str">
        <f t="shared" si="64"/>
        <v/>
      </c>
      <c r="EC30" s="856" t="str">
        <f t="shared" si="65"/>
        <v/>
      </c>
      <c r="ED30" s="1006">
        <f t="shared" si="66"/>
        <v>0</v>
      </c>
      <c r="EE30" s="1293" t="str">
        <f t="shared" si="67"/>
        <v/>
      </c>
      <c r="EF30" s="1293" t="str">
        <f t="shared" si="68"/>
        <v/>
      </c>
      <c r="EG30" s="1293" t="str">
        <f t="shared" si="69"/>
        <v/>
      </c>
      <c r="EH30" s="856" t="str">
        <f t="shared" si="70"/>
        <v>ERR</v>
      </c>
      <c r="EI30" s="856" t="str">
        <f t="shared" si="71"/>
        <v>ERR</v>
      </c>
      <c r="EJ30" s="822" t="str">
        <f t="shared" si="72"/>
        <v/>
      </c>
      <c r="EK30" s="822" t="str">
        <f t="shared" si="72"/>
        <v/>
      </c>
      <c r="EL30" s="1293" t="str">
        <f t="shared" si="73"/>
        <v/>
      </c>
      <c r="EM30" s="822" t="str">
        <f t="shared" si="74"/>
        <v/>
      </c>
      <c r="EN30" s="822" t="str">
        <f t="shared" si="75"/>
        <v/>
      </c>
      <c r="EO30" s="856" t="str">
        <f t="shared" si="76"/>
        <v>ERR</v>
      </c>
      <c r="EP30" s="856" t="str">
        <f t="shared" si="77"/>
        <v>ERR</v>
      </c>
      <c r="EQ30" s="1293" t="str">
        <f t="shared" si="78"/>
        <v/>
      </c>
      <c r="ER30" s="822" t="str">
        <f t="shared" si="78"/>
        <v/>
      </c>
      <c r="ES30" s="822" t="str">
        <f t="shared" si="79"/>
        <v/>
      </c>
      <c r="ET30" s="822" t="str">
        <f t="shared" si="80"/>
        <v/>
      </c>
      <c r="EU30" s="829">
        <f t="shared" si="81"/>
        <v>4</v>
      </c>
      <c r="EV30" s="824" t="str">
        <f t="shared" si="82"/>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83"/>
        <v/>
      </c>
      <c r="FA30" s="829" t="str">
        <f>IF(AND(DE30="G", ISBLANK(BW30), ISBLANK(BX30)),VLOOKUP(MIN(BT30:BU30),TblJoistSize!$M$3:$N$10,2),IF(OR(DE30="B", DE30="G"),MIN(BW30:BX30),""))</f>
        <v/>
      </c>
      <c r="FB30" s="829" t="str">
        <f>IF(AND(DE30="G", ISBLANK(BW30), ISBLANK(BX30)),VLOOKUP(MAX(BT30:BU30),TblJoistSize!$M$3:$N$10,2),IF(OR(DE30="B", DE30="G"),MAX(BW30:BX30),""))</f>
        <v/>
      </c>
      <c r="FC30" s="829" t="str">
        <f t="shared" si="84"/>
        <v/>
      </c>
      <c r="FD30" s="821">
        <f t="shared" si="107"/>
        <v>0</v>
      </c>
      <c r="FE30" s="821">
        <f t="shared" si="85"/>
        <v>0</v>
      </c>
      <c r="FF30" s="821">
        <f t="shared" si="86"/>
        <v>0</v>
      </c>
      <c r="FG30" s="821" t="str">
        <f t="shared" si="87"/>
        <v/>
      </c>
      <c r="FH30" s="822" t="str">
        <f t="shared" si="88"/>
        <v/>
      </c>
      <c r="FI30" s="821">
        <f t="shared" si="108"/>
        <v>0</v>
      </c>
      <c r="FJ30" s="821">
        <f t="shared" si="89"/>
        <v>0</v>
      </c>
      <c r="FK30" s="821">
        <f t="shared" si="90"/>
        <v>0</v>
      </c>
      <c r="FL30" s="821" t="str">
        <f t="shared" si="91"/>
        <v/>
      </c>
      <c r="FM30" s="822" t="str">
        <f t="shared" si="92"/>
        <v/>
      </c>
      <c r="FN30" s="822" t="e">
        <f t="shared" si="93"/>
        <v>#VALUE!</v>
      </c>
      <c r="FO30" s="940" t="e">
        <f t="shared" si="94"/>
        <v>#VALUE!</v>
      </c>
      <c r="FP30" s="940" t="e">
        <f t="shared" si="95"/>
        <v>#VALUE!</v>
      </c>
      <c r="FQ30" s="830" t="e">
        <f t="shared" si="96"/>
        <v>#VALUE!</v>
      </c>
      <c r="FR30" s="831" t="e">
        <f t="shared" si="97"/>
        <v>#VALUE!</v>
      </c>
      <c r="FS30" s="832" t="str">
        <f t="shared" si="98"/>
        <v/>
      </c>
      <c r="FT30" s="833" t="str">
        <f t="shared" si="99"/>
        <v/>
      </c>
      <c r="FU30" s="870">
        <f t="shared" si="100"/>
        <v>0</v>
      </c>
      <c r="FV30" s="871">
        <f t="shared" si="101"/>
        <v>0</v>
      </c>
      <c r="GA30" s="1791">
        <v>69</v>
      </c>
      <c r="GB30" s="1792">
        <v>2.25</v>
      </c>
      <c r="GC30" s="1793">
        <v>-0.25</v>
      </c>
      <c r="GD30" s="1794">
        <v>-0.5</v>
      </c>
      <c r="GE30" s="1795">
        <f t="shared" si="102"/>
        <v>0</v>
      </c>
      <c r="GF30" s="600" t="str">
        <f t="shared" si="103"/>
        <v>J56</v>
      </c>
      <c r="GG30" s="1130">
        <v>0</v>
      </c>
      <c r="GH30" s="1131">
        <v>0</v>
      </c>
      <c r="GI30" s="1130"/>
      <c r="GJ30" s="1131"/>
      <c r="GK30" s="1638">
        <f t="shared" si="104"/>
        <v>829.5</v>
      </c>
      <c r="GL30" s="1636">
        <f t="shared" si="105"/>
        <v>829.5</v>
      </c>
      <c r="GM30" s="1637">
        <f>IF(ABS(GK30-GL30)&gt;='Job Info.'!$L$22,ABS(GK30-GL30),0)</f>
        <v>0</v>
      </c>
      <c r="HA30" s="1269" t="s">
        <v>1486</v>
      </c>
      <c r="HB30" s="1270">
        <v>7</v>
      </c>
      <c r="HC30" s="1270" t="s">
        <v>1593</v>
      </c>
      <c r="HD30" s="1271">
        <v>69</v>
      </c>
      <c r="HE30" s="1272">
        <v>1.5</v>
      </c>
      <c r="HF30" s="1270" t="s">
        <v>116</v>
      </c>
      <c r="HG30" s="1270" t="s">
        <v>116</v>
      </c>
      <c r="HH30" s="1270" t="s">
        <v>116</v>
      </c>
      <c r="HI30" s="1273" t="s">
        <v>116</v>
      </c>
      <c r="HJ30" s="1270" t="s">
        <v>116</v>
      </c>
      <c r="HK30" s="1270" t="s">
        <v>116</v>
      </c>
      <c r="HL30" s="1270">
        <v>5</v>
      </c>
      <c r="HM30" s="1270">
        <v>5</v>
      </c>
      <c r="HN30" s="1270" t="s">
        <v>116</v>
      </c>
      <c r="HO30" s="1270" t="s">
        <v>116</v>
      </c>
      <c r="HP30" s="1270" t="s">
        <v>116</v>
      </c>
      <c r="HQ30" s="1273" t="s">
        <v>116</v>
      </c>
      <c r="HR30" s="1270" t="s">
        <v>116</v>
      </c>
      <c r="HS30" s="1270" t="s">
        <v>116</v>
      </c>
      <c r="HT30" s="1270">
        <v>0</v>
      </c>
      <c r="HU30" s="1270">
        <v>2.25</v>
      </c>
      <c r="HV30" s="1270">
        <v>0</v>
      </c>
      <c r="HW30" s="1272">
        <v>2</v>
      </c>
      <c r="HX30" s="1272">
        <v>4</v>
      </c>
      <c r="HY30" s="1272" t="s">
        <v>116</v>
      </c>
      <c r="HZ30" s="1272" t="s">
        <v>116</v>
      </c>
      <c r="IA30" s="1272" t="s">
        <v>1652</v>
      </c>
      <c r="IB30" s="1272"/>
      <c r="IC30" s="1272"/>
      <c r="ID30" s="1272"/>
      <c r="IE30" s="1272"/>
      <c r="IF30" s="1274"/>
    </row>
    <row r="31" spans="1:240" ht="12.6" customHeight="1" x14ac:dyDescent="0.25">
      <c r="A31" s="1448" t="s">
        <v>1487</v>
      </c>
      <c r="B31" s="1681">
        <v>2</v>
      </c>
      <c r="C31" s="1449" t="s">
        <v>1593</v>
      </c>
      <c r="D31" s="1705">
        <v>69</v>
      </c>
      <c r="E31" s="1706">
        <v>1.5</v>
      </c>
      <c r="F31" s="1714" t="str">
        <f t="shared" si="1"/>
        <v/>
      </c>
      <c r="G31" s="1709" t="str">
        <f t="shared" si="2"/>
        <v/>
      </c>
      <c r="H31" s="1779" t="str">
        <f t="shared" si="3"/>
        <v/>
      </c>
      <c r="I31" s="1705" t="str">
        <f t="shared" si="4"/>
        <v/>
      </c>
      <c r="J31" s="1709" t="str">
        <f t="shared" si="5"/>
        <v/>
      </c>
      <c r="K31" s="1796" t="str">
        <f t="shared" si="6"/>
        <v/>
      </c>
      <c r="L31" s="1712">
        <v>5</v>
      </c>
      <c r="M31" s="1713">
        <v>5</v>
      </c>
      <c r="N31" s="1708" t="str">
        <f t="shared" si="7"/>
        <v/>
      </c>
      <c r="O31" s="1709" t="str">
        <f t="shared" si="8"/>
        <v/>
      </c>
      <c r="P31" s="1710" t="str">
        <f t="shared" si="9"/>
        <v/>
      </c>
      <c r="Q31" s="1705" t="str">
        <f t="shared" si="10"/>
        <v/>
      </c>
      <c r="R31" s="1709" t="str">
        <f t="shared" si="11"/>
        <v/>
      </c>
      <c r="S31" s="1711" t="str">
        <f t="shared" si="12"/>
        <v/>
      </c>
      <c r="T31" s="1714">
        <v>0</v>
      </c>
      <c r="U31" s="1709">
        <v>2.25</v>
      </c>
      <c r="V31" s="1705">
        <v>0</v>
      </c>
      <c r="W31" s="1709">
        <v>2</v>
      </c>
      <c r="X31" s="1713">
        <v>4</v>
      </c>
      <c r="Y31" s="1781" t="str">
        <f t="shared" si="13"/>
        <v/>
      </c>
      <c r="Z31" s="1782" t="str">
        <f t="shared" si="14"/>
        <v/>
      </c>
      <c r="AA31" s="1783" t="s">
        <v>1758</v>
      </c>
      <c r="AB31" s="1413"/>
      <c r="AC31" s="964" t="b">
        <v>0</v>
      </c>
      <c r="AD31" s="441">
        <f t="shared" si="15"/>
        <v>0</v>
      </c>
      <c r="AE31" s="442">
        <f t="shared" si="16"/>
        <v>2</v>
      </c>
      <c r="AF31" s="442">
        <f t="shared" si="17"/>
        <v>0</v>
      </c>
      <c r="AG31" s="442">
        <f t="shared" si="18"/>
        <v>0</v>
      </c>
      <c r="AH31" s="443">
        <f t="shared" si="19"/>
        <v>0</v>
      </c>
      <c r="AI31" s="444" t="b">
        <v>0</v>
      </c>
      <c r="AJ31" s="238">
        <f t="shared" si="20"/>
        <v>44</v>
      </c>
      <c r="AK31" s="830" t="str">
        <f t="shared" si="21"/>
        <v>LH</v>
      </c>
      <c r="AL31" s="945" t="str">
        <f t="shared" si="22"/>
        <v/>
      </c>
      <c r="AM31" s="830">
        <f t="shared" si="23"/>
        <v>305</v>
      </c>
      <c r="AN31" s="830">
        <f t="shared" si="24"/>
        <v>180</v>
      </c>
      <c r="AO31" s="830" t="str">
        <f t="shared" si="25"/>
        <v/>
      </c>
      <c r="AP31" s="830" t="b">
        <f>IF(ISERROR(AJ31),FALSE,IF(OR(AJ31=0,ISERROR(AL31),ISERROR(AM31),ISERROR(AN31),ISERROR(AO31)),FALSE,IF(AL31&lt;&gt;"",IF(ISERROR(VLOOKUP(SUBSTITUTE(SUBSTITUTE(C31,"R",""),"A",""),TblJoistSize!$A:$A,1,FALSE)),FALSE,TRUE),TRUE)))</f>
        <v>1</v>
      </c>
      <c r="AQ31" s="1038">
        <f t="shared" si="26"/>
        <v>6</v>
      </c>
      <c r="AR31" s="945" t="b">
        <f t="shared" si="27"/>
        <v>1</v>
      </c>
      <c r="AS31" s="1038">
        <f t="shared" si="28"/>
        <v>6</v>
      </c>
      <c r="AT31" s="945" t="b">
        <f t="shared" si="29"/>
        <v>1</v>
      </c>
      <c r="AU31" s="946" t="str">
        <f t="shared" si="30"/>
        <v>LH</v>
      </c>
      <c r="AV31" s="830" t="str">
        <f t="shared" si="31"/>
        <v/>
      </c>
      <c r="AW31" s="830" t="str">
        <f t="shared" si="32"/>
        <v>LH</v>
      </c>
      <c r="AX31" s="830" t="str">
        <f t="shared" si="106"/>
        <v>J57</v>
      </c>
      <c r="AY31" s="1039" t="b">
        <f t="shared" si="33"/>
        <v>0</v>
      </c>
      <c r="AZ31" s="856" t="b">
        <f t="shared" si="34"/>
        <v>0</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35"/>
        <v/>
      </c>
      <c r="BR31" s="910"/>
      <c r="BS31" s="672"/>
      <c r="BT31" s="713"/>
      <c r="BU31" s="714"/>
      <c r="BV31" s="1625"/>
      <c r="BW31" s="713"/>
      <c r="BX31" s="714"/>
      <c r="BY31" s="715"/>
      <c r="BZ31" s="716"/>
      <c r="CA31" s="680" t="str">
        <f>IF(ISERROR(DE31),"",IF(DE31="","",IF(VLOOKUP(BS31,SectInfo!$B:$N,10,FALSE)="","","X")))</f>
        <v/>
      </c>
      <c r="CB31" s="738"/>
      <c r="CC31" s="1551" t="str">
        <f t="shared" si="36"/>
        <v/>
      </c>
      <c r="CD31" s="910"/>
      <c r="CE31" s="717"/>
      <c r="CF31" s="736"/>
      <c r="CG31" s="737"/>
      <c r="CH31" s="591" t="str">
        <f t="shared" si="37"/>
        <v/>
      </c>
      <c r="CI31" s="592" t="str">
        <f t="shared" si="38"/>
        <v/>
      </c>
      <c r="CJ31" s="593" t="str">
        <f t="shared" si="39"/>
        <v/>
      </c>
      <c r="CK31" s="594" t="str">
        <f t="shared" si="40"/>
        <v/>
      </c>
      <c r="CL31" s="595" t="str">
        <f t="shared" si="41"/>
        <v/>
      </c>
      <c r="CM31" s="596" t="str">
        <f t="shared" si="42"/>
        <v/>
      </c>
      <c r="CN31" s="597" t="str">
        <f t="shared" si="43"/>
        <v/>
      </c>
      <c r="CO31" s="598" t="str">
        <f t="shared" si="44"/>
        <v/>
      </c>
      <c r="CP31" s="615" t="str">
        <f t="shared" si="45"/>
        <v/>
      </c>
      <c r="CQ31" s="616" t="str">
        <f t="shared" si="46"/>
        <v/>
      </c>
      <c r="CR31" s="750">
        <f t="shared" si="47"/>
        <v>5</v>
      </c>
      <c r="CS31" s="751">
        <f t="shared" si="48"/>
        <v>5</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49"/>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50"/>
        <v>0</v>
      </c>
      <c r="DO31" s="818">
        <f t="shared" si="51"/>
        <v>0</v>
      </c>
      <c r="DP31" s="822" t="str">
        <f t="shared" si="52"/>
        <v/>
      </c>
      <c r="DQ31" s="822" t="str">
        <f t="shared" si="53"/>
        <v/>
      </c>
      <c r="DR31" s="822" t="str">
        <f t="shared" si="54"/>
        <v/>
      </c>
      <c r="DS31" s="821">
        <f t="shared" si="55"/>
        <v>0</v>
      </c>
      <c r="DT31" s="821">
        <f t="shared" si="56"/>
        <v>0</v>
      </c>
      <c r="DU31" s="821" t="str">
        <f t="shared" si="57"/>
        <v/>
      </c>
      <c r="DV31" s="822" t="str">
        <f t="shared" si="58"/>
        <v/>
      </c>
      <c r="DW31" s="856" t="str">
        <f t="shared" si="59"/>
        <v/>
      </c>
      <c r="DX31" s="1006">
        <f t="shared" si="60"/>
        <v>0</v>
      </c>
      <c r="DY31" s="822">
        <f t="shared" si="61"/>
        <v>0</v>
      </c>
      <c r="DZ31" s="821">
        <f t="shared" si="62"/>
        <v>0</v>
      </c>
      <c r="EA31" s="821" t="str">
        <f t="shared" si="63"/>
        <v/>
      </c>
      <c r="EB31" s="822" t="str">
        <f t="shared" si="64"/>
        <v/>
      </c>
      <c r="EC31" s="856" t="str">
        <f t="shared" si="65"/>
        <v/>
      </c>
      <c r="ED31" s="1006">
        <f t="shared" si="66"/>
        <v>0</v>
      </c>
      <c r="EE31" s="1293" t="str">
        <f t="shared" si="67"/>
        <v/>
      </c>
      <c r="EF31" s="1293" t="str">
        <f t="shared" si="68"/>
        <v/>
      </c>
      <c r="EG31" s="1293" t="str">
        <f t="shared" si="69"/>
        <v/>
      </c>
      <c r="EH31" s="856" t="str">
        <f t="shared" si="70"/>
        <v>ERR</v>
      </c>
      <c r="EI31" s="856" t="str">
        <f t="shared" si="71"/>
        <v>ERR</v>
      </c>
      <c r="EJ31" s="822" t="str">
        <f t="shared" si="72"/>
        <v/>
      </c>
      <c r="EK31" s="822" t="str">
        <f t="shared" si="72"/>
        <v/>
      </c>
      <c r="EL31" s="1293" t="str">
        <f t="shared" si="73"/>
        <v/>
      </c>
      <c r="EM31" s="822" t="str">
        <f t="shared" si="74"/>
        <v/>
      </c>
      <c r="EN31" s="822" t="str">
        <f t="shared" si="75"/>
        <v/>
      </c>
      <c r="EO31" s="856" t="str">
        <f t="shared" si="76"/>
        <v>ERR</v>
      </c>
      <c r="EP31" s="856" t="str">
        <f t="shared" si="77"/>
        <v>ERR</v>
      </c>
      <c r="EQ31" s="1293" t="str">
        <f t="shared" si="78"/>
        <v/>
      </c>
      <c r="ER31" s="822" t="str">
        <f t="shared" si="78"/>
        <v/>
      </c>
      <c r="ES31" s="822" t="str">
        <f t="shared" si="79"/>
        <v/>
      </c>
      <c r="ET31" s="822" t="str">
        <f t="shared" si="80"/>
        <v/>
      </c>
      <c r="EU31" s="829">
        <f t="shared" si="81"/>
        <v>4</v>
      </c>
      <c r="EV31" s="824" t="str">
        <f t="shared" si="82"/>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83"/>
        <v/>
      </c>
      <c r="FA31" s="829" t="str">
        <f>IF(AND(DE31="G", ISBLANK(BW31), ISBLANK(BX31)),VLOOKUP(MIN(BT31:BU31),TblJoistSize!$M$3:$N$10,2),IF(OR(DE31="B", DE31="G"),MIN(BW31:BX31),""))</f>
        <v/>
      </c>
      <c r="FB31" s="829" t="str">
        <f>IF(AND(DE31="G", ISBLANK(BW31), ISBLANK(BX31)),VLOOKUP(MAX(BT31:BU31),TblJoistSize!$M$3:$N$10,2),IF(OR(DE31="B", DE31="G"),MAX(BW31:BX31),""))</f>
        <v/>
      </c>
      <c r="FC31" s="829" t="str">
        <f t="shared" si="84"/>
        <v/>
      </c>
      <c r="FD31" s="821">
        <f t="shared" si="107"/>
        <v>0</v>
      </c>
      <c r="FE31" s="821">
        <f t="shared" si="85"/>
        <v>0</v>
      </c>
      <c r="FF31" s="821">
        <f t="shared" si="86"/>
        <v>0</v>
      </c>
      <c r="FG31" s="821" t="str">
        <f t="shared" si="87"/>
        <v/>
      </c>
      <c r="FH31" s="822" t="str">
        <f t="shared" si="88"/>
        <v/>
      </c>
      <c r="FI31" s="821">
        <f t="shared" si="108"/>
        <v>0</v>
      </c>
      <c r="FJ31" s="821">
        <f t="shared" si="89"/>
        <v>0</v>
      </c>
      <c r="FK31" s="821">
        <f t="shared" si="90"/>
        <v>0</v>
      </c>
      <c r="FL31" s="821" t="str">
        <f t="shared" si="91"/>
        <v/>
      </c>
      <c r="FM31" s="822" t="str">
        <f t="shared" si="92"/>
        <v/>
      </c>
      <c r="FN31" s="822" t="e">
        <f t="shared" si="93"/>
        <v>#VALUE!</v>
      </c>
      <c r="FO31" s="940" t="e">
        <f t="shared" si="94"/>
        <v>#VALUE!</v>
      </c>
      <c r="FP31" s="940" t="e">
        <f t="shared" si="95"/>
        <v>#VALUE!</v>
      </c>
      <c r="FQ31" s="830" t="e">
        <f t="shared" si="96"/>
        <v>#VALUE!</v>
      </c>
      <c r="FR31" s="831" t="e">
        <f t="shared" si="97"/>
        <v>#VALUE!</v>
      </c>
      <c r="FS31" s="832" t="str">
        <f t="shared" si="98"/>
        <v/>
      </c>
      <c r="FT31" s="833" t="str">
        <f t="shared" si="99"/>
        <v/>
      </c>
      <c r="FU31" s="870">
        <f t="shared" si="100"/>
        <v>0</v>
      </c>
      <c r="FV31" s="871">
        <f t="shared" si="101"/>
        <v>0</v>
      </c>
      <c r="GA31" s="1791">
        <v>69</v>
      </c>
      <c r="GB31" s="1792">
        <v>2.25</v>
      </c>
      <c r="GC31" s="1793">
        <v>-0.25</v>
      </c>
      <c r="GD31" s="1794">
        <v>-0.5</v>
      </c>
      <c r="GE31" s="1795">
        <f t="shared" si="102"/>
        <v>0</v>
      </c>
      <c r="GF31" s="600" t="str">
        <f t="shared" si="103"/>
        <v>J57</v>
      </c>
      <c r="GG31" s="1130">
        <v>0</v>
      </c>
      <c r="GH31" s="1131">
        <v>0</v>
      </c>
      <c r="GI31" s="1130"/>
      <c r="GJ31" s="1131"/>
      <c r="GK31" s="1638">
        <f t="shared" si="104"/>
        <v>829.5</v>
      </c>
      <c r="GL31" s="1636">
        <f t="shared" si="105"/>
        <v>829.5</v>
      </c>
      <c r="GM31" s="1637">
        <f>IF(ABS(GK31-GL31)&gt;='Job Info.'!$L$22,ABS(GK31-GL31),0)</f>
        <v>0</v>
      </c>
      <c r="HA31" s="1269" t="s">
        <v>1487</v>
      </c>
      <c r="HB31" s="1270">
        <v>2</v>
      </c>
      <c r="HC31" s="1270" t="s">
        <v>1593</v>
      </c>
      <c r="HD31" s="1271">
        <v>69</v>
      </c>
      <c r="HE31" s="1272">
        <v>1.5</v>
      </c>
      <c r="HF31" s="1270" t="s">
        <v>116</v>
      </c>
      <c r="HG31" s="1270" t="s">
        <v>116</v>
      </c>
      <c r="HH31" s="1270" t="s">
        <v>116</v>
      </c>
      <c r="HI31" s="1273" t="s">
        <v>116</v>
      </c>
      <c r="HJ31" s="1270" t="s">
        <v>116</v>
      </c>
      <c r="HK31" s="1270" t="s">
        <v>116</v>
      </c>
      <c r="HL31" s="1270">
        <v>5</v>
      </c>
      <c r="HM31" s="1270">
        <v>5</v>
      </c>
      <c r="HN31" s="1270" t="s">
        <v>116</v>
      </c>
      <c r="HO31" s="1270" t="s">
        <v>116</v>
      </c>
      <c r="HP31" s="1270" t="s">
        <v>116</v>
      </c>
      <c r="HQ31" s="1273" t="s">
        <v>116</v>
      </c>
      <c r="HR31" s="1270" t="s">
        <v>116</v>
      </c>
      <c r="HS31" s="1270" t="s">
        <v>116</v>
      </c>
      <c r="HT31" s="1270">
        <v>0</v>
      </c>
      <c r="HU31" s="1270">
        <v>2.25</v>
      </c>
      <c r="HV31" s="1270">
        <v>0</v>
      </c>
      <c r="HW31" s="1272">
        <v>2</v>
      </c>
      <c r="HX31" s="1272">
        <v>4</v>
      </c>
      <c r="HY31" s="1272" t="s">
        <v>116</v>
      </c>
      <c r="HZ31" s="1272" t="s">
        <v>116</v>
      </c>
      <c r="IA31" s="1272" t="s">
        <v>1677</v>
      </c>
      <c r="IB31" s="1272"/>
      <c r="IC31" s="1272"/>
      <c r="ID31" s="1272"/>
      <c r="IE31" s="1272"/>
      <c r="IF31" s="1274"/>
    </row>
    <row r="32" spans="1:240" ht="12.6" customHeight="1" x14ac:dyDescent="0.25">
      <c r="A32" s="1448" t="s">
        <v>1488</v>
      </c>
      <c r="B32" s="1681">
        <v>4</v>
      </c>
      <c r="C32" s="1449" t="s">
        <v>1593</v>
      </c>
      <c r="D32" s="1705">
        <v>69</v>
      </c>
      <c r="E32" s="1706">
        <v>1.5</v>
      </c>
      <c r="F32" s="1714" t="str">
        <f t="shared" si="1"/>
        <v/>
      </c>
      <c r="G32" s="1709" t="str">
        <f t="shared" si="2"/>
        <v/>
      </c>
      <c r="H32" s="1779" t="str">
        <f t="shared" si="3"/>
        <v/>
      </c>
      <c r="I32" s="1705" t="str">
        <f t="shared" si="4"/>
        <v/>
      </c>
      <c r="J32" s="1709" t="str">
        <f t="shared" si="5"/>
        <v/>
      </c>
      <c r="K32" s="1796" t="str">
        <f t="shared" si="6"/>
        <v/>
      </c>
      <c r="L32" s="1712">
        <v>5</v>
      </c>
      <c r="M32" s="1713">
        <v>5</v>
      </c>
      <c r="N32" s="1708" t="str">
        <f t="shared" si="7"/>
        <v/>
      </c>
      <c r="O32" s="1709" t="str">
        <f t="shared" si="8"/>
        <v/>
      </c>
      <c r="P32" s="1710" t="str">
        <f t="shared" si="9"/>
        <v/>
      </c>
      <c r="Q32" s="1705" t="str">
        <f t="shared" si="10"/>
        <v/>
      </c>
      <c r="R32" s="1709" t="str">
        <f t="shared" si="11"/>
        <v/>
      </c>
      <c r="S32" s="1711" t="str">
        <f t="shared" si="12"/>
        <v/>
      </c>
      <c r="T32" s="1714">
        <v>0</v>
      </c>
      <c r="U32" s="1709">
        <v>2.25</v>
      </c>
      <c r="V32" s="1705">
        <v>0</v>
      </c>
      <c r="W32" s="1709">
        <v>2</v>
      </c>
      <c r="X32" s="1713">
        <v>4</v>
      </c>
      <c r="Y32" s="1781" t="str">
        <f t="shared" si="13"/>
        <v/>
      </c>
      <c r="Z32" s="1782" t="str">
        <f t="shared" si="14"/>
        <v/>
      </c>
      <c r="AA32" s="1783" t="s">
        <v>1759</v>
      </c>
      <c r="AB32" s="1413"/>
      <c r="AC32" s="964" t="b">
        <v>0</v>
      </c>
      <c r="AD32" s="441">
        <f t="shared" si="15"/>
        <v>0</v>
      </c>
      <c r="AE32" s="442">
        <f t="shared" si="16"/>
        <v>4</v>
      </c>
      <c r="AF32" s="442">
        <f t="shared" si="17"/>
        <v>0</v>
      </c>
      <c r="AG32" s="442">
        <f t="shared" si="18"/>
        <v>0</v>
      </c>
      <c r="AH32" s="443">
        <f t="shared" si="19"/>
        <v>0</v>
      </c>
      <c r="AI32" s="444" t="b">
        <v>0</v>
      </c>
      <c r="AJ32" s="238">
        <f t="shared" si="20"/>
        <v>44</v>
      </c>
      <c r="AK32" s="830" t="str">
        <f t="shared" si="21"/>
        <v>LH</v>
      </c>
      <c r="AL32" s="945" t="str">
        <f t="shared" si="22"/>
        <v/>
      </c>
      <c r="AM32" s="830">
        <f t="shared" si="23"/>
        <v>305</v>
      </c>
      <c r="AN32" s="830">
        <f t="shared" si="24"/>
        <v>180</v>
      </c>
      <c r="AO32" s="830" t="str">
        <f t="shared" si="25"/>
        <v/>
      </c>
      <c r="AP32" s="830" t="b">
        <f>IF(ISERROR(AJ32),FALSE,IF(OR(AJ32=0,ISERROR(AL32),ISERROR(AM32),ISERROR(AN32),ISERROR(AO32)),FALSE,IF(AL32&lt;&gt;"",IF(ISERROR(VLOOKUP(SUBSTITUTE(SUBSTITUTE(C32,"R",""),"A",""),TblJoistSize!$A:$A,1,FALSE)),FALSE,TRUE),TRUE)))</f>
        <v>1</v>
      </c>
      <c r="AQ32" s="1038">
        <f t="shared" si="26"/>
        <v>6</v>
      </c>
      <c r="AR32" s="945" t="b">
        <f t="shared" si="27"/>
        <v>1</v>
      </c>
      <c r="AS32" s="1038">
        <f t="shared" si="28"/>
        <v>6</v>
      </c>
      <c r="AT32" s="945" t="b">
        <f t="shared" si="29"/>
        <v>1</v>
      </c>
      <c r="AU32" s="946" t="str">
        <f t="shared" si="30"/>
        <v>LH</v>
      </c>
      <c r="AV32" s="830" t="str">
        <f t="shared" si="31"/>
        <v/>
      </c>
      <c r="AW32" s="830" t="str">
        <f t="shared" si="32"/>
        <v>LH</v>
      </c>
      <c r="AX32" s="830" t="str">
        <f t="shared" si="106"/>
        <v>J58</v>
      </c>
      <c r="AY32" s="1039" t="b">
        <f t="shared" si="33"/>
        <v>0</v>
      </c>
      <c r="AZ32" s="856" t="b">
        <f t="shared" si="34"/>
        <v>0</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35"/>
        <v/>
      </c>
      <c r="BR32" s="910"/>
      <c r="BS32" s="672"/>
      <c r="BT32" s="713"/>
      <c r="BU32" s="714"/>
      <c r="BV32" s="1625"/>
      <c r="BW32" s="713"/>
      <c r="BX32" s="714"/>
      <c r="BY32" s="715"/>
      <c r="BZ32" s="716"/>
      <c r="CA32" s="680" t="str">
        <f>IF(ISERROR(DE32),"",IF(DE32="","",IF(VLOOKUP(BS32,SectInfo!$B:$N,10,FALSE)="","","X")))</f>
        <v/>
      </c>
      <c r="CB32" s="738"/>
      <c r="CC32" s="1551" t="str">
        <f t="shared" si="36"/>
        <v/>
      </c>
      <c r="CD32" s="910"/>
      <c r="CE32" s="717"/>
      <c r="CF32" s="736"/>
      <c r="CG32" s="737"/>
      <c r="CH32" s="591" t="str">
        <f t="shared" si="37"/>
        <v/>
      </c>
      <c r="CI32" s="592" t="str">
        <f t="shared" si="38"/>
        <v/>
      </c>
      <c r="CJ32" s="593" t="str">
        <f t="shared" si="39"/>
        <v/>
      </c>
      <c r="CK32" s="594" t="str">
        <f t="shared" si="40"/>
        <v/>
      </c>
      <c r="CL32" s="595" t="str">
        <f t="shared" si="41"/>
        <v/>
      </c>
      <c r="CM32" s="596" t="str">
        <f t="shared" si="42"/>
        <v/>
      </c>
      <c r="CN32" s="597" t="str">
        <f t="shared" si="43"/>
        <v/>
      </c>
      <c r="CO32" s="598" t="str">
        <f t="shared" si="44"/>
        <v/>
      </c>
      <c r="CP32" s="615" t="str">
        <f t="shared" si="45"/>
        <v/>
      </c>
      <c r="CQ32" s="616" t="str">
        <f t="shared" si="46"/>
        <v/>
      </c>
      <c r="CR32" s="750">
        <f t="shared" si="47"/>
        <v>5</v>
      </c>
      <c r="CS32" s="751">
        <f t="shared" si="48"/>
        <v>5</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49"/>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50"/>
        <v>0</v>
      </c>
      <c r="DO32" s="818">
        <f t="shared" si="51"/>
        <v>0</v>
      </c>
      <c r="DP32" s="822" t="str">
        <f t="shared" si="52"/>
        <v/>
      </c>
      <c r="DQ32" s="822" t="str">
        <f t="shared" si="53"/>
        <v/>
      </c>
      <c r="DR32" s="822" t="str">
        <f t="shared" si="54"/>
        <v/>
      </c>
      <c r="DS32" s="821">
        <f t="shared" si="55"/>
        <v>0</v>
      </c>
      <c r="DT32" s="821">
        <f t="shared" si="56"/>
        <v>0</v>
      </c>
      <c r="DU32" s="821" t="str">
        <f t="shared" si="57"/>
        <v/>
      </c>
      <c r="DV32" s="822" t="str">
        <f t="shared" si="58"/>
        <v/>
      </c>
      <c r="DW32" s="856" t="str">
        <f t="shared" si="59"/>
        <v/>
      </c>
      <c r="DX32" s="1006">
        <f t="shared" si="60"/>
        <v>0</v>
      </c>
      <c r="DY32" s="822">
        <f t="shared" si="61"/>
        <v>0</v>
      </c>
      <c r="DZ32" s="821">
        <f t="shared" si="62"/>
        <v>0</v>
      </c>
      <c r="EA32" s="821" t="str">
        <f t="shared" si="63"/>
        <v/>
      </c>
      <c r="EB32" s="822" t="str">
        <f t="shared" si="64"/>
        <v/>
      </c>
      <c r="EC32" s="856" t="str">
        <f t="shared" si="65"/>
        <v/>
      </c>
      <c r="ED32" s="1006">
        <f t="shared" si="66"/>
        <v>0</v>
      </c>
      <c r="EE32" s="1293" t="str">
        <f t="shared" si="67"/>
        <v/>
      </c>
      <c r="EF32" s="1293" t="str">
        <f t="shared" si="68"/>
        <v/>
      </c>
      <c r="EG32" s="1293" t="str">
        <f t="shared" si="69"/>
        <v/>
      </c>
      <c r="EH32" s="856" t="str">
        <f t="shared" si="70"/>
        <v>ERR</v>
      </c>
      <c r="EI32" s="856" t="str">
        <f t="shared" si="71"/>
        <v>ERR</v>
      </c>
      <c r="EJ32" s="822" t="str">
        <f t="shared" si="72"/>
        <v/>
      </c>
      <c r="EK32" s="822" t="str">
        <f t="shared" si="72"/>
        <v/>
      </c>
      <c r="EL32" s="1293" t="str">
        <f t="shared" si="73"/>
        <v/>
      </c>
      <c r="EM32" s="822" t="str">
        <f t="shared" si="74"/>
        <v/>
      </c>
      <c r="EN32" s="822" t="str">
        <f t="shared" si="75"/>
        <v/>
      </c>
      <c r="EO32" s="856" t="str">
        <f t="shared" si="76"/>
        <v>ERR</v>
      </c>
      <c r="EP32" s="856" t="str">
        <f t="shared" si="77"/>
        <v>ERR</v>
      </c>
      <c r="EQ32" s="1293" t="str">
        <f t="shared" si="78"/>
        <v/>
      </c>
      <c r="ER32" s="822" t="str">
        <f t="shared" si="78"/>
        <v/>
      </c>
      <c r="ES32" s="822" t="str">
        <f t="shared" si="79"/>
        <v/>
      </c>
      <c r="ET32" s="822" t="str">
        <f t="shared" si="80"/>
        <v/>
      </c>
      <c r="EU32" s="829">
        <f t="shared" si="81"/>
        <v>4</v>
      </c>
      <c r="EV32" s="824" t="str">
        <f t="shared" si="82"/>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83"/>
        <v/>
      </c>
      <c r="FA32" s="829" t="str">
        <f>IF(AND(DE32="G", ISBLANK(BW32), ISBLANK(BX32)),VLOOKUP(MIN(BT32:BU32),TblJoistSize!$M$3:$N$10,2),IF(OR(DE32="B", DE32="G"),MIN(BW32:BX32),""))</f>
        <v/>
      </c>
      <c r="FB32" s="829" t="str">
        <f>IF(AND(DE32="G", ISBLANK(BW32), ISBLANK(BX32)),VLOOKUP(MAX(BT32:BU32),TblJoistSize!$M$3:$N$10,2),IF(OR(DE32="B", DE32="G"),MAX(BW32:BX32),""))</f>
        <v/>
      </c>
      <c r="FC32" s="829" t="str">
        <f t="shared" si="84"/>
        <v/>
      </c>
      <c r="FD32" s="821">
        <f t="shared" si="107"/>
        <v>0</v>
      </c>
      <c r="FE32" s="821">
        <f t="shared" si="85"/>
        <v>0</v>
      </c>
      <c r="FF32" s="821">
        <f t="shared" si="86"/>
        <v>0</v>
      </c>
      <c r="FG32" s="821" t="str">
        <f t="shared" si="87"/>
        <v/>
      </c>
      <c r="FH32" s="822" t="str">
        <f t="shared" si="88"/>
        <v/>
      </c>
      <c r="FI32" s="821">
        <f t="shared" si="108"/>
        <v>0</v>
      </c>
      <c r="FJ32" s="821">
        <f t="shared" si="89"/>
        <v>0</v>
      </c>
      <c r="FK32" s="821">
        <f t="shared" si="90"/>
        <v>0</v>
      </c>
      <c r="FL32" s="821" t="str">
        <f t="shared" si="91"/>
        <v/>
      </c>
      <c r="FM32" s="822" t="str">
        <f t="shared" si="92"/>
        <v/>
      </c>
      <c r="FN32" s="822" t="e">
        <f t="shared" si="93"/>
        <v>#VALUE!</v>
      </c>
      <c r="FO32" s="940" t="e">
        <f t="shared" si="94"/>
        <v>#VALUE!</v>
      </c>
      <c r="FP32" s="940" t="e">
        <f t="shared" si="95"/>
        <v>#VALUE!</v>
      </c>
      <c r="FQ32" s="830" t="e">
        <f t="shared" si="96"/>
        <v>#VALUE!</v>
      </c>
      <c r="FR32" s="831" t="e">
        <f t="shared" si="97"/>
        <v>#VALUE!</v>
      </c>
      <c r="FS32" s="832" t="str">
        <f t="shared" si="98"/>
        <v/>
      </c>
      <c r="FT32" s="833" t="str">
        <f t="shared" si="99"/>
        <v/>
      </c>
      <c r="FU32" s="870">
        <f t="shared" si="100"/>
        <v>0</v>
      </c>
      <c r="FV32" s="871">
        <f t="shared" si="101"/>
        <v>0</v>
      </c>
      <c r="GA32" s="1791">
        <v>69</v>
      </c>
      <c r="GB32" s="1792">
        <v>2.25</v>
      </c>
      <c r="GC32" s="1793">
        <v>-0.25</v>
      </c>
      <c r="GD32" s="1794">
        <v>-0.5</v>
      </c>
      <c r="GE32" s="1795">
        <f t="shared" si="102"/>
        <v>0</v>
      </c>
      <c r="GF32" s="600" t="str">
        <f t="shared" si="103"/>
        <v>J58</v>
      </c>
      <c r="GG32" s="1130">
        <v>0</v>
      </c>
      <c r="GH32" s="1131">
        <v>0</v>
      </c>
      <c r="GI32" s="1130"/>
      <c r="GJ32" s="1131"/>
      <c r="GK32" s="1638">
        <f t="shared" si="104"/>
        <v>829.5</v>
      </c>
      <c r="GL32" s="1636">
        <f t="shared" si="105"/>
        <v>829.5</v>
      </c>
      <c r="GM32" s="1637">
        <f>IF(ABS(GK32-GL32)&gt;='Job Info.'!$L$22,ABS(GK32-GL32),0)</f>
        <v>0</v>
      </c>
      <c r="HA32" s="1269" t="s">
        <v>1488</v>
      </c>
      <c r="HB32" s="1270">
        <v>4</v>
      </c>
      <c r="HC32" s="1270" t="s">
        <v>1593</v>
      </c>
      <c r="HD32" s="1271">
        <v>69</v>
      </c>
      <c r="HE32" s="1272">
        <v>1.5</v>
      </c>
      <c r="HF32" s="1270" t="s">
        <v>116</v>
      </c>
      <c r="HG32" s="1270" t="s">
        <v>116</v>
      </c>
      <c r="HH32" s="1270" t="s">
        <v>116</v>
      </c>
      <c r="HI32" s="1273" t="s">
        <v>116</v>
      </c>
      <c r="HJ32" s="1270" t="s">
        <v>116</v>
      </c>
      <c r="HK32" s="1270" t="s">
        <v>116</v>
      </c>
      <c r="HL32" s="1270">
        <v>5</v>
      </c>
      <c r="HM32" s="1270">
        <v>5</v>
      </c>
      <c r="HN32" s="1270" t="s">
        <v>116</v>
      </c>
      <c r="HO32" s="1270" t="s">
        <v>116</v>
      </c>
      <c r="HP32" s="1270" t="s">
        <v>116</v>
      </c>
      <c r="HQ32" s="1273" t="s">
        <v>116</v>
      </c>
      <c r="HR32" s="1270" t="s">
        <v>116</v>
      </c>
      <c r="HS32" s="1270" t="s">
        <v>116</v>
      </c>
      <c r="HT32" s="1270">
        <v>0</v>
      </c>
      <c r="HU32" s="1270">
        <v>2.25</v>
      </c>
      <c r="HV32" s="1270">
        <v>0</v>
      </c>
      <c r="HW32" s="1272">
        <v>2</v>
      </c>
      <c r="HX32" s="1272">
        <v>4</v>
      </c>
      <c r="HY32" s="1272" t="s">
        <v>116</v>
      </c>
      <c r="HZ32" s="1272" t="s">
        <v>116</v>
      </c>
      <c r="IA32" s="1272" t="s">
        <v>1678</v>
      </c>
      <c r="IB32" s="1272"/>
      <c r="IC32" s="1272"/>
      <c r="ID32" s="1272"/>
      <c r="IE32" s="1272"/>
      <c r="IF32" s="1274"/>
    </row>
    <row r="33" spans="1:240" ht="12.6" customHeight="1" x14ac:dyDescent="0.25">
      <c r="A33" s="1448" t="s">
        <v>1489</v>
      </c>
      <c r="B33" s="1681">
        <v>3</v>
      </c>
      <c r="C33" s="1449" t="s">
        <v>1593</v>
      </c>
      <c r="D33" s="1705">
        <v>69</v>
      </c>
      <c r="E33" s="1706">
        <v>1.5</v>
      </c>
      <c r="F33" s="1714" t="str">
        <f t="shared" si="1"/>
        <v/>
      </c>
      <c r="G33" s="1709" t="str">
        <f t="shared" si="2"/>
        <v/>
      </c>
      <c r="H33" s="1779" t="str">
        <f t="shared" si="3"/>
        <v/>
      </c>
      <c r="I33" s="1705" t="str">
        <f t="shared" si="4"/>
        <v/>
      </c>
      <c r="J33" s="1709" t="str">
        <f t="shared" si="5"/>
        <v/>
      </c>
      <c r="K33" s="1796" t="str">
        <f t="shared" si="6"/>
        <v/>
      </c>
      <c r="L33" s="1712">
        <v>5</v>
      </c>
      <c r="M33" s="1713">
        <v>5</v>
      </c>
      <c r="N33" s="1708">
        <v>0</v>
      </c>
      <c r="O33" s="1709">
        <v>6.75</v>
      </c>
      <c r="P33" s="1710">
        <v>2</v>
      </c>
      <c r="Q33" s="1705" t="str">
        <f t="shared" si="10"/>
        <v/>
      </c>
      <c r="R33" s="1709" t="str">
        <f t="shared" si="11"/>
        <v/>
      </c>
      <c r="S33" s="1711" t="str">
        <f t="shared" si="12"/>
        <v/>
      </c>
      <c r="T33" s="1714">
        <v>0</v>
      </c>
      <c r="U33" s="1709">
        <v>2.25</v>
      </c>
      <c r="V33" s="1705">
        <v>0</v>
      </c>
      <c r="W33" s="1709">
        <v>2</v>
      </c>
      <c r="X33" s="1713">
        <v>4</v>
      </c>
      <c r="Y33" s="1781" t="str">
        <f t="shared" si="13"/>
        <v/>
      </c>
      <c r="Z33" s="1782" t="str">
        <f t="shared" si="14"/>
        <v/>
      </c>
      <c r="AA33" s="1783" t="s">
        <v>1760</v>
      </c>
      <c r="AB33" s="1413"/>
      <c r="AC33" s="964" t="b">
        <v>0</v>
      </c>
      <c r="AD33" s="441">
        <f t="shared" si="15"/>
        <v>0</v>
      </c>
      <c r="AE33" s="442">
        <f t="shared" si="16"/>
        <v>3</v>
      </c>
      <c r="AF33" s="442">
        <f t="shared" si="17"/>
        <v>0</v>
      </c>
      <c r="AG33" s="442">
        <f t="shared" si="18"/>
        <v>0</v>
      </c>
      <c r="AH33" s="443">
        <f t="shared" si="19"/>
        <v>0</v>
      </c>
      <c r="AI33" s="444" t="b">
        <v>0</v>
      </c>
      <c r="AJ33" s="238">
        <f t="shared" si="20"/>
        <v>44</v>
      </c>
      <c r="AK33" s="830" t="str">
        <f t="shared" si="21"/>
        <v>LH</v>
      </c>
      <c r="AL33" s="945" t="str">
        <f t="shared" si="22"/>
        <v/>
      </c>
      <c r="AM33" s="830">
        <f t="shared" si="23"/>
        <v>305</v>
      </c>
      <c r="AN33" s="830">
        <f t="shared" si="24"/>
        <v>180</v>
      </c>
      <c r="AO33" s="830" t="str">
        <f t="shared" si="25"/>
        <v/>
      </c>
      <c r="AP33" s="830" t="b">
        <f>IF(ISERROR(AJ33),FALSE,IF(OR(AJ33=0,ISERROR(AL33),ISERROR(AM33),ISERROR(AN33),ISERROR(AO33)),FALSE,IF(AL33&lt;&gt;"",IF(ISERROR(VLOOKUP(SUBSTITUTE(SUBSTITUTE(C33,"R",""),"A",""),TblJoistSize!$A:$A,1,FALSE)),FALSE,TRUE),TRUE)))</f>
        <v>1</v>
      </c>
      <c r="AQ33" s="1038">
        <f t="shared" si="26"/>
        <v>6</v>
      </c>
      <c r="AR33" s="945" t="b">
        <f t="shared" si="27"/>
        <v>1</v>
      </c>
      <c r="AS33" s="1038">
        <f t="shared" si="28"/>
        <v>6</v>
      </c>
      <c r="AT33" s="945" t="b">
        <f t="shared" si="29"/>
        <v>1</v>
      </c>
      <c r="AU33" s="946" t="str">
        <f t="shared" si="30"/>
        <v>LH</v>
      </c>
      <c r="AV33" s="830" t="str">
        <f t="shared" si="31"/>
        <v/>
      </c>
      <c r="AW33" s="830" t="str">
        <f t="shared" si="32"/>
        <v>LH</v>
      </c>
      <c r="AX33" s="830" t="str">
        <f t="shared" si="106"/>
        <v>TJ59</v>
      </c>
      <c r="AY33" s="1039" t="b">
        <f t="shared" si="33"/>
        <v>0</v>
      </c>
      <c r="AZ33" s="856" t="b">
        <f t="shared" si="34"/>
        <v>0</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35"/>
        <v/>
      </c>
      <c r="BR33" s="910"/>
      <c r="BS33" s="672"/>
      <c r="BT33" s="713"/>
      <c r="BU33" s="714"/>
      <c r="BV33" s="1625"/>
      <c r="BW33" s="713"/>
      <c r="BX33" s="714"/>
      <c r="BY33" s="715"/>
      <c r="BZ33" s="716"/>
      <c r="CA33" s="680" t="str">
        <f>IF(ISERROR(DE33),"",IF(DE33="","",IF(VLOOKUP(BS33,SectInfo!$B:$N,10,FALSE)="","","X")))</f>
        <v/>
      </c>
      <c r="CB33" s="738"/>
      <c r="CC33" s="1551" t="str">
        <f t="shared" si="36"/>
        <v/>
      </c>
      <c r="CD33" s="910"/>
      <c r="CE33" s="717"/>
      <c r="CF33" s="736"/>
      <c r="CG33" s="737"/>
      <c r="CH33" s="591" t="str">
        <f t="shared" si="37"/>
        <v/>
      </c>
      <c r="CI33" s="592" t="str">
        <f t="shared" si="38"/>
        <v/>
      </c>
      <c r="CJ33" s="593" t="str">
        <f t="shared" si="39"/>
        <v/>
      </c>
      <c r="CK33" s="594" t="str">
        <f t="shared" si="40"/>
        <v/>
      </c>
      <c r="CL33" s="595" t="str">
        <f t="shared" si="41"/>
        <v/>
      </c>
      <c r="CM33" s="596" t="str">
        <f t="shared" si="42"/>
        <v/>
      </c>
      <c r="CN33" s="597" t="str">
        <f t="shared" si="43"/>
        <v/>
      </c>
      <c r="CO33" s="598" t="str">
        <f t="shared" si="44"/>
        <v/>
      </c>
      <c r="CP33" s="615" t="str">
        <f t="shared" si="45"/>
        <v/>
      </c>
      <c r="CQ33" s="616" t="str">
        <f t="shared" si="46"/>
        <v/>
      </c>
      <c r="CR33" s="750">
        <f t="shared" si="47"/>
        <v>5</v>
      </c>
      <c r="CS33" s="751">
        <f t="shared" si="48"/>
        <v>5</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49"/>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50"/>
        <v>0</v>
      </c>
      <c r="DO33" s="818">
        <f t="shared" si="51"/>
        <v>0</v>
      </c>
      <c r="DP33" s="822" t="str">
        <f t="shared" si="52"/>
        <v/>
      </c>
      <c r="DQ33" s="822" t="str">
        <f t="shared" si="53"/>
        <v/>
      </c>
      <c r="DR33" s="822" t="str">
        <f t="shared" si="54"/>
        <v/>
      </c>
      <c r="DS33" s="821">
        <f t="shared" si="55"/>
        <v>0</v>
      </c>
      <c r="DT33" s="821">
        <f t="shared" si="56"/>
        <v>0</v>
      </c>
      <c r="DU33" s="821" t="str">
        <f t="shared" si="57"/>
        <v/>
      </c>
      <c r="DV33" s="822" t="str">
        <f t="shared" si="58"/>
        <v/>
      </c>
      <c r="DW33" s="856" t="str">
        <f t="shared" si="59"/>
        <v/>
      </c>
      <c r="DX33" s="1006">
        <f t="shared" si="60"/>
        <v>0</v>
      </c>
      <c r="DY33" s="822">
        <f t="shared" si="61"/>
        <v>0</v>
      </c>
      <c r="DZ33" s="821">
        <f t="shared" si="62"/>
        <v>0</v>
      </c>
      <c r="EA33" s="821" t="str">
        <f t="shared" si="63"/>
        <v/>
      </c>
      <c r="EB33" s="822" t="str">
        <f t="shared" si="64"/>
        <v/>
      </c>
      <c r="EC33" s="856" t="str">
        <f t="shared" si="65"/>
        <v/>
      </c>
      <c r="ED33" s="1006">
        <f t="shared" si="66"/>
        <v>0</v>
      </c>
      <c r="EE33" s="1293" t="str">
        <f t="shared" si="67"/>
        <v/>
      </c>
      <c r="EF33" s="1293" t="str">
        <f t="shared" si="68"/>
        <v/>
      </c>
      <c r="EG33" s="1293" t="str">
        <f t="shared" si="69"/>
        <v/>
      </c>
      <c r="EH33" s="856" t="str">
        <f t="shared" si="70"/>
        <v>ERR</v>
      </c>
      <c r="EI33" s="856" t="str">
        <f t="shared" si="71"/>
        <v>ERR</v>
      </c>
      <c r="EJ33" s="822" t="str">
        <f t="shared" si="72"/>
        <v/>
      </c>
      <c r="EK33" s="822" t="str">
        <f t="shared" si="72"/>
        <v/>
      </c>
      <c r="EL33" s="1293" t="str">
        <f t="shared" si="73"/>
        <v/>
      </c>
      <c r="EM33" s="822" t="str">
        <f t="shared" si="74"/>
        <v/>
      </c>
      <c r="EN33" s="822" t="str">
        <f t="shared" si="75"/>
        <v/>
      </c>
      <c r="EO33" s="856" t="str">
        <f t="shared" si="76"/>
        <v>ERR</v>
      </c>
      <c r="EP33" s="856" t="str">
        <f t="shared" si="77"/>
        <v>ERR</v>
      </c>
      <c r="EQ33" s="1293" t="str">
        <f t="shared" si="78"/>
        <v/>
      </c>
      <c r="ER33" s="822" t="str">
        <f t="shared" si="78"/>
        <v/>
      </c>
      <c r="ES33" s="822" t="str">
        <f t="shared" si="79"/>
        <v/>
      </c>
      <c r="ET33" s="822" t="str">
        <f t="shared" si="80"/>
        <v/>
      </c>
      <c r="EU33" s="829">
        <f t="shared" si="81"/>
        <v>4</v>
      </c>
      <c r="EV33" s="824" t="str">
        <f t="shared" si="82"/>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83"/>
        <v/>
      </c>
      <c r="FA33" s="829" t="str">
        <f>IF(AND(DE33="G", ISBLANK(BW33), ISBLANK(BX33)),VLOOKUP(MIN(BT33:BU33),TblJoistSize!$M$3:$N$10,2),IF(OR(DE33="B", DE33="G"),MIN(BW33:BX33),""))</f>
        <v/>
      </c>
      <c r="FB33" s="829" t="str">
        <f>IF(AND(DE33="G", ISBLANK(BW33), ISBLANK(BX33)),VLOOKUP(MAX(BT33:BU33),TblJoistSize!$M$3:$N$10,2),IF(OR(DE33="B", DE33="G"),MAX(BW33:BX33),""))</f>
        <v/>
      </c>
      <c r="FC33" s="829" t="str">
        <f t="shared" si="84"/>
        <v/>
      </c>
      <c r="FD33" s="821">
        <f t="shared" si="107"/>
        <v>0</v>
      </c>
      <c r="FE33" s="821">
        <f t="shared" si="85"/>
        <v>0</v>
      </c>
      <c r="FF33" s="821">
        <f t="shared" si="86"/>
        <v>0</v>
      </c>
      <c r="FG33" s="821" t="str">
        <f t="shared" si="87"/>
        <v/>
      </c>
      <c r="FH33" s="822" t="str">
        <f t="shared" si="88"/>
        <v/>
      </c>
      <c r="FI33" s="821">
        <f t="shared" si="108"/>
        <v>0</v>
      </c>
      <c r="FJ33" s="821">
        <f t="shared" si="89"/>
        <v>0</v>
      </c>
      <c r="FK33" s="821">
        <f t="shared" si="90"/>
        <v>0</v>
      </c>
      <c r="FL33" s="821" t="str">
        <f t="shared" si="91"/>
        <v/>
      </c>
      <c r="FM33" s="822" t="str">
        <f t="shared" si="92"/>
        <v/>
      </c>
      <c r="FN33" s="822" t="e">
        <f t="shared" si="93"/>
        <v>#VALUE!</v>
      </c>
      <c r="FO33" s="940" t="e">
        <f t="shared" si="94"/>
        <v>#VALUE!</v>
      </c>
      <c r="FP33" s="940" t="e">
        <f t="shared" si="95"/>
        <v>#VALUE!</v>
      </c>
      <c r="FQ33" s="830" t="e">
        <f t="shared" si="96"/>
        <v>#VALUE!</v>
      </c>
      <c r="FR33" s="831" t="e">
        <f t="shared" si="97"/>
        <v>#VALUE!</v>
      </c>
      <c r="FS33" s="832" t="str">
        <f t="shared" si="98"/>
        <v/>
      </c>
      <c r="FT33" s="833" t="str">
        <f t="shared" si="99"/>
        <v/>
      </c>
      <c r="FU33" s="870">
        <f t="shared" si="100"/>
        <v>0</v>
      </c>
      <c r="FV33" s="871">
        <f t="shared" si="101"/>
        <v>0</v>
      </c>
      <c r="GA33" s="1791">
        <v>69</v>
      </c>
      <c r="GB33" s="1792">
        <v>2.25</v>
      </c>
      <c r="GC33" s="1793">
        <v>-0.25</v>
      </c>
      <c r="GD33" s="1794">
        <v>-0.5</v>
      </c>
      <c r="GE33" s="1795">
        <f t="shared" si="102"/>
        <v>0</v>
      </c>
      <c r="GF33" s="600" t="str">
        <f t="shared" si="103"/>
        <v>TJ59</v>
      </c>
      <c r="GG33" s="1130">
        <v>0</v>
      </c>
      <c r="GH33" s="1131">
        <v>0</v>
      </c>
      <c r="GI33" s="1130"/>
      <c r="GJ33" s="1131"/>
      <c r="GK33" s="1638">
        <f t="shared" si="104"/>
        <v>829.5</v>
      </c>
      <c r="GL33" s="1636">
        <f t="shared" si="105"/>
        <v>829.5</v>
      </c>
      <c r="GM33" s="1637">
        <f>IF(ABS(GK33-GL33)&gt;='Job Info.'!$L$22,ABS(GK33-GL33),0)</f>
        <v>0</v>
      </c>
      <c r="HA33" s="1269" t="s">
        <v>1489</v>
      </c>
      <c r="HB33" s="1270">
        <v>3</v>
      </c>
      <c r="HC33" s="1270" t="s">
        <v>1593</v>
      </c>
      <c r="HD33" s="1271">
        <v>69</v>
      </c>
      <c r="HE33" s="1272">
        <v>1.5</v>
      </c>
      <c r="HF33" s="1270" t="s">
        <v>116</v>
      </c>
      <c r="HG33" s="1270" t="s">
        <v>116</v>
      </c>
      <c r="HH33" s="1270" t="s">
        <v>116</v>
      </c>
      <c r="HI33" s="1273" t="s">
        <v>116</v>
      </c>
      <c r="HJ33" s="1270" t="s">
        <v>116</v>
      </c>
      <c r="HK33" s="1270" t="s">
        <v>116</v>
      </c>
      <c r="HL33" s="1270">
        <v>5</v>
      </c>
      <c r="HM33" s="1270">
        <v>5</v>
      </c>
      <c r="HN33" s="1270">
        <v>0</v>
      </c>
      <c r="HO33" s="1270">
        <v>6.75</v>
      </c>
      <c r="HP33" s="1270">
        <v>2</v>
      </c>
      <c r="HQ33" s="1273" t="s">
        <v>116</v>
      </c>
      <c r="HR33" s="1270" t="s">
        <v>116</v>
      </c>
      <c r="HS33" s="1270" t="s">
        <v>116</v>
      </c>
      <c r="HT33" s="1270">
        <v>0</v>
      </c>
      <c r="HU33" s="1270">
        <v>2.25</v>
      </c>
      <c r="HV33" s="1270">
        <v>0</v>
      </c>
      <c r="HW33" s="1272">
        <v>2</v>
      </c>
      <c r="HX33" s="1272">
        <v>4</v>
      </c>
      <c r="HY33" s="1272" t="s">
        <v>116</v>
      </c>
      <c r="HZ33" s="1272" t="s">
        <v>116</v>
      </c>
      <c r="IA33" s="1272" t="s">
        <v>1679</v>
      </c>
      <c r="IB33" s="1272"/>
      <c r="IC33" s="1272"/>
      <c r="ID33" s="1272"/>
      <c r="IE33" s="1272"/>
      <c r="IF33" s="1274"/>
    </row>
    <row r="34" spans="1:240" ht="12.6" customHeight="1" x14ac:dyDescent="0.25">
      <c r="A34" s="1448" t="s">
        <v>1490</v>
      </c>
      <c r="B34" s="1681">
        <v>10</v>
      </c>
      <c r="C34" s="1449" t="s">
        <v>1593</v>
      </c>
      <c r="D34" s="1705">
        <v>69</v>
      </c>
      <c r="E34" s="1706">
        <v>1.5</v>
      </c>
      <c r="F34" s="1714" t="str">
        <f t="shared" si="1"/>
        <v/>
      </c>
      <c r="G34" s="1709" t="str">
        <f t="shared" si="2"/>
        <v/>
      </c>
      <c r="H34" s="1779" t="str">
        <f t="shared" si="3"/>
        <v/>
      </c>
      <c r="I34" s="1705" t="str">
        <f t="shared" si="4"/>
        <v/>
      </c>
      <c r="J34" s="1709" t="str">
        <f t="shared" si="5"/>
        <v/>
      </c>
      <c r="K34" s="1796" t="str">
        <f t="shared" si="6"/>
        <v/>
      </c>
      <c r="L34" s="1712">
        <v>5</v>
      </c>
      <c r="M34" s="1713">
        <v>5</v>
      </c>
      <c r="N34" s="1708" t="str">
        <f t="shared" si="7"/>
        <v/>
      </c>
      <c r="O34" s="1709" t="str">
        <f t="shared" si="8"/>
        <v/>
      </c>
      <c r="P34" s="1710" t="str">
        <f t="shared" si="9"/>
        <v/>
      </c>
      <c r="Q34" s="1705" t="str">
        <f t="shared" si="10"/>
        <v/>
      </c>
      <c r="R34" s="1709" t="str">
        <f t="shared" si="11"/>
        <v/>
      </c>
      <c r="S34" s="1711" t="str">
        <f t="shared" si="12"/>
        <v/>
      </c>
      <c r="T34" s="1714">
        <v>0</v>
      </c>
      <c r="U34" s="1709">
        <v>2.25</v>
      </c>
      <c r="V34" s="1705">
        <v>0</v>
      </c>
      <c r="W34" s="1709">
        <v>2</v>
      </c>
      <c r="X34" s="1713">
        <v>4</v>
      </c>
      <c r="Y34" s="1781" t="str">
        <f t="shared" si="13"/>
        <v/>
      </c>
      <c r="Z34" s="1782" t="str">
        <f t="shared" si="14"/>
        <v/>
      </c>
      <c r="AA34" s="1783" t="s">
        <v>1761</v>
      </c>
      <c r="AB34" s="1413"/>
      <c r="AC34" s="964" t="b">
        <v>0</v>
      </c>
      <c r="AD34" s="441">
        <f t="shared" si="15"/>
        <v>0</v>
      </c>
      <c r="AE34" s="442">
        <f t="shared" si="16"/>
        <v>10</v>
      </c>
      <c r="AF34" s="442">
        <f t="shared" si="17"/>
        <v>0</v>
      </c>
      <c r="AG34" s="442">
        <f t="shared" si="18"/>
        <v>0</v>
      </c>
      <c r="AH34" s="443">
        <f t="shared" si="19"/>
        <v>0</v>
      </c>
      <c r="AI34" s="444" t="b">
        <v>0</v>
      </c>
      <c r="AJ34" s="238">
        <f t="shared" si="20"/>
        <v>44</v>
      </c>
      <c r="AK34" s="830" t="str">
        <f t="shared" si="21"/>
        <v>LH</v>
      </c>
      <c r="AL34" s="945" t="str">
        <f t="shared" si="22"/>
        <v/>
      </c>
      <c r="AM34" s="830">
        <f t="shared" si="23"/>
        <v>305</v>
      </c>
      <c r="AN34" s="830">
        <f t="shared" si="24"/>
        <v>180</v>
      </c>
      <c r="AO34" s="830" t="str">
        <f t="shared" si="25"/>
        <v/>
      </c>
      <c r="AP34" s="830" t="b">
        <f>IF(ISERROR(AJ34),FALSE,IF(OR(AJ34=0,ISERROR(AL34),ISERROR(AM34),ISERROR(AN34),ISERROR(AO34)),FALSE,IF(AL34&lt;&gt;"",IF(ISERROR(VLOOKUP(SUBSTITUTE(SUBSTITUTE(C34,"R",""),"A",""),TblJoistSize!$A:$A,1,FALSE)),FALSE,TRUE),TRUE)))</f>
        <v>1</v>
      </c>
      <c r="AQ34" s="1038">
        <f t="shared" si="26"/>
        <v>6</v>
      </c>
      <c r="AR34" s="945" t="b">
        <f t="shared" si="27"/>
        <v>1</v>
      </c>
      <c r="AS34" s="1038">
        <f t="shared" si="28"/>
        <v>6</v>
      </c>
      <c r="AT34" s="945" t="b">
        <f t="shared" si="29"/>
        <v>1</v>
      </c>
      <c r="AU34" s="946" t="str">
        <f t="shared" si="30"/>
        <v>LH</v>
      </c>
      <c r="AV34" s="830" t="str">
        <f t="shared" si="31"/>
        <v/>
      </c>
      <c r="AW34" s="830" t="str">
        <f t="shared" si="32"/>
        <v>LH</v>
      </c>
      <c r="AX34" s="830" t="str">
        <f t="shared" si="106"/>
        <v>J60</v>
      </c>
      <c r="AY34" s="1039" t="b">
        <f t="shared" si="33"/>
        <v>0</v>
      </c>
      <c r="AZ34" s="856" t="b">
        <f t="shared" si="34"/>
        <v>0</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35"/>
        <v/>
      </c>
      <c r="BR34" s="910"/>
      <c r="BS34" s="672"/>
      <c r="BT34" s="713"/>
      <c r="BU34" s="714"/>
      <c r="BV34" s="1625"/>
      <c r="BW34" s="713"/>
      <c r="BX34" s="714"/>
      <c r="BY34" s="715"/>
      <c r="BZ34" s="716"/>
      <c r="CA34" s="680" t="str">
        <f>IF(ISERROR(DE34),"",IF(DE34="","",IF(VLOOKUP(BS34,SectInfo!$B:$N,10,FALSE)="","","X")))</f>
        <v/>
      </c>
      <c r="CB34" s="738"/>
      <c r="CC34" s="1551" t="str">
        <f t="shared" si="36"/>
        <v/>
      </c>
      <c r="CD34" s="910"/>
      <c r="CE34" s="717"/>
      <c r="CF34" s="736"/>
      <c r="CG34" s="737"/>
      <c r="CH34" s="591" t="str">
        <f t="shared" si="37"/>
        <v/>
      </c>
      <c r="CI34" s="592" t="str">
        <f t="shared" si="38"/>
        <v/>
      </c>
      <c r="CJ34" s="593" t="str">
        <f t="shared" si="39"/>
        <v/>
      </c>
      <c r="CK34" s="594" t="str">
        <f t="shared" si="40"/>
        <v/>
      </c>
      <c r="CL34" s="595" t="str">
        <f t="shared" si="41"/>
        <v/>
      </c>
      <c r="CM34" s="596" t="str">
        <f t="shared" si="42"/>
        <v/>
      </c>
      <c r="CN34" s="597" t="str">
        <f t="shared" si="43"/>
        <v/>
      </c>
      <c r="CO34" s="598" t="str">
        <f t="shared" si="44"/>
        <v/>
      </c>
      <c r="CP34" s="615" t="str">
        <f t="shared" si="45"/>
        <v/>
      </c>
      <c r="CQ34" s="616" t="str">
        <f t="shared" si="46"/>
        <v/>
      </c>
      <c r="CR34" s="750">
        <f t="shared" si="47"/>
        <v>5</v>
      </c>
      <c r="CS34" s="751">
        <f t="shared" si="48"/>
        <v>5</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49"/>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50"/>
        <v>0</v>
      </c>
      <c r="DO34" s="818">
        <f t="shared" si="51"/>
        <v>0</v>
      </c>
      <c r="DP34" s="822" t="str">
        <f t="shared" si="52"/>
        <v/>
      </c>
      <c r="DQ34" s="822" t="str">
        <f t="shared" si="53"/>
        <v/>
      </c>
      <c r="DR34" s="822" t="str">
        <f t="shared" si="54"/>
        <v/>
      </c>
      <c r="DS34" s="821">
        <f t="shared" si="55"/>
        <v>0</v>
      </c>
      <c r="DT34" s="821">
        <f t="shared" si="56"/>
        <v>0</v>
      </c>
      <c r="DU34" s="821" t="str">
        <f t="shared" si="57"/>
        <v/>
      </c>
      <c r="DV34" s="822" t="str">
        <f t="shared" si="58"/>
        <v/>
      </c>
      <c r="DW34" s="856" t="str">
        <f t="shared" si="59"/>
        <v/>
      </c>
      <c r="DX34" s="1006">
        <f t="shared" si="60"/>
        <v>0</v>
      </c>
      <c r="DY34" s="822">
        <f t="shared" si="61"/>
        <v>0</v>
      </c>
      <c r="DZ34" s="821">
        <f t="shared" si="62"/>
        <v>0</v>
      </c>
      <c r="EA34" s="821" t="str">
        <f t="shared" si="63"/>
        <v/>
      </c>
      <c r="EB34" s="822" t="str">
        <f t="shared" si="64"/>
        <v/>
      </c>
      <c r="EC34" s="856" t="str">
        <f t="shared" si="65"/>
        <v/>
      </c>
      <c r="ED34" s="1006">
        <f t="shared" si="66"/>
        <v>0</v>
      </c>
      <c r="EE34" s="1293" t="str">
        <f t="shared" si="67"/>
        <v/>
      </c>
      <c r="EF34" s="1293" t="str">
        <f t="shared" si="68"/>
        <v/>
      </c>
      <c r="EG34" s="1293" t="str">
        <f t="shared" si="69"/>
        <v/>
      </c>
      <c r="EH34" s="856" t="str">
        <f t="shared" si="70"/>
        <v>ERR</v>
      </c>
      <c r="EI34" s="856" t="str">
        <f t="shared" si="71"/>
        <v>ERR</v>
      </c>
      <c r="EJ34" s="822" t="str">
        <f t="shared" si="72"/>
        <v/>
      </c>
      <c r="EK34" s="822" t="str">
        <f t="shared" si="72"/>
        <v/>
      </c>
      <c r="EL34" s="1293" t="str">
        <f t="shared" si="73"/>
        <v/>
      </c>
      <c r="EM34" s="822" t="str">
        <f t="shared" si="74"/>
        <v/>
      </c>
      <c r="EN34" s="822" t="str">
        <f t="shared" si="75"/>
        <v/>
      </c>
      <c r="EO34" s="856" t="str">
        <f t="shared" si="76"/>
        <v>ERR</v>
      </c>
      <c r="EP34" s="856" t="str">
        <f t="shared" si="77"/>
        <v>ERR</v>
      </c>
      <c r="EQ34" s="1293" t="str">
        <f t="shared" si="78"/>
        <v/>
      </c>
      <c r="ER34" s="822" t="str">
        <f t="shared" si="78"/>
        <v/>
      </c>
      <c r="ES34" s="822" t="str">
        <f t="shared" si="79"/>
        <v/>
      </c>
      <c r="ET34" s="822" t="str">
        <f t="shared" si="80"/>
        <v/>
      </c>
      <c r="EU34" s="829">
        <f t="shared" si="81"/>
        <v>4</v>
      </c>
      <c r="EV34" s="824" t="str">
        <f t="shared" si="82"/>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83"/>
        <v/>
      </c>
      <c r="FA34" s="829" t="str">
        <f>IF(AND(DE34="G", ISBLANK(BW34), ISBLANK(BX34)),VLOOKUP(MIN(BT34:BU34),TblJoistSize!$M$3:$N$10,2),IF(OR(DE34="B", DE34="G"),MIN(BW34:BX34),""))</f>
        <v/>
      </c>
      <c r="FB34" s="829" t="str">
        <f>IF(AND(DE34="G", ISBLANK(BW34), ISBLANK(BX34)),VLOOKUP(MAX(BT34:BU34),TblJoistSize!$M$3:$N$10,2),IF(OR(DE34="B", DE34="G"),MAX(BW34:BX34),""))</f>
        <v/>
      </c>
      <c r="FC34" s="829" t="str">
        <f t="shared" si="84"/>
        <v/>
      </c>
      <c r="FD34" s="821">
        <f t="shared" si="107"/>
        <v>0</v>
      </c>
      <c r="FE34" s="821">
        <f t="shared" si="85"/>
        <v>0</v>
      </c>
      <c r="FF34" s="821">
        <f t="shared" si="86"/>
        <v>0</v>
      </c>
      <c r="FG34" s="821" t="str">
        <f t="shared" si="87"/>
        <v/>
      </c>
      <c r="FH34" s="822" t="str">
        <f t="shared" si="88"/>
        <v/>
      </c>
      <c r="FI34" s="821">
        <f t="shared" si="108"/>
        <v>0</v>
      </c>
      <c r="FJ34" s="821">
        <f t="shared" si="89"/>
        <v>0</v>
      </c>
      <c r="FK34" s="821">
        <f t="shared" si="90"/>
        <v>0</v>
      </c>
      <c r="FL34" s="821" t="str">
        <f t="shared" si="91"/>
        <v/>
      </c>
      <c r="FM34" s="822" t="str">
        <f t="shared" si="92"/>
        <v/>
      </c>
      <c r="FN34" s="822" t="e">
        <f t="shared" si="93"/>
        <v>#VALUE!</v>
      </c>
      <c r="FO34" s="940" t="e">
        <f t="shared" si="94"/>
        <v>#VALUE!</v>
      </c>
      <c r="FP34" s="940" t="e">
        <f t="shared" si="95"/>
        <v>#VALUE!</v>
      </c>
      <c r="FQ34" s="830" t="e">
        <f t="shared" si="96"/>
        <v>#VALUE!</v>
      </c>
      <c r="FR34" s="831" t="e">
        <f t="shared" si="97"/>
        <v>#VALUE!</v>
      </c>
      <c r="FS34" s="832" t="str">
        <f t="shared" si="98"/>
        <v/>
      </c>
      <c r="FT34" s="833" t="str">
        <f t="shared" si="99"/>
        <v/>
      </c>
      <c r="FU34" s="870">
        <f t="shared" si="100"/>
        <v>0</v>
      </c>
      <c r="FV34" s="871">
        <f t="shared" si="101"/>
        <v>0</v>
      </c>
      <c r="GA34" s="1791">
        <v>69</v>
      </c>
      <c r="GB34" s="1792">
        <v>2.25</v>
      </c>
      <c r="GC34" s="1793">
        <v>-0.25</v>
      </c>
      <c r="GD34" s="1794">
        <v>-0.5</v>
      </c>
      <c r="GE34" s="1795">
        <f t="shared" si="102"/>
        <v>0</v>
      </c>
      <c r="GF34" s="600" t="str">
        <f t="shared" si="103"/>
        <v>J60</v>
      </c>
      <c r="GG34" s="1130">
        <v>0</v>
      </c>
      <c r="GH34" s="1131">
        <v>0</v>
      </c>
      <c r="GI34" s="1130"/>
      <c r="GJ34" s="1131"/>
      <c r="GK34" s="1638">
        <f t="shared" si="104"/>
        <v>829.5</v>
      </c>
      <c r="GL34" s="1636">
        <f t="shared" si="105"/>
        <v>829.5</v>
      </c>
      <c r="GM34" s="1637">
        <f>IF(ABS(GK34-GL34)&gt;='Job Info.'!$L$22,ABS(GK34-GL34),0)</f>
        <v>0</v>
      </c>
      <c r="HA34" s="1269" t="s">
        <v>1490</v>
      </c>
      <c r="HB34" s="1270">
        <v>10</v>
      </c>
      <c r="HC34" s="1270" t="s">
        <v>1593</v>
      </c>
      <c r="HD34" s="1271">
        <v>69</v>
      </c>
      <c r="HE34" s="1272">
        <v>1.5</v>
      </c>
      <c r="HF34" s="1270" t="s">
        <v>116</v>
      </c>
      <c r="HG34" s="1270" t="s">
        <v>116</v>
      </c>
      <c r="HH34" s="1270" t="s">
        <v>116</v>
      </c>
      <c r="HI34" s="1273" t="s">
        <v>116</v>
      </c>
      <c r="HJ34" s="1270" t="s">
        <v>116</v>
      </c>
      <c r="HK34" s="1270" t="s">
        <v>116</v>
      </c>
      <c r="HL34" s="1270">
        <v>5</v>
      </c>
      <c r="HM34" s="1270">
        <v>5</v>
      </c>
      <c r="HN34" s="1270" t="s">
        <v>116</v>
      </c>
      <c r="HO34" s="1270" t="s">
        <v>116</v>
      </c>
      <c r="HP34" s="1270" t="s">
        <v>116</v>
      </c>
      <c r="HQ34" s="1273" t="s">
        <v>116</v>
      </c>
      <c r="HR34" s="1270" t="s">
        <v>116</v>
      </c>
      <c r="HS34" s="1270" t="s">
        <v>116</v>
      </c>
      <c r="HT34" s="1270">
        <v>0</v>
      </c>
      <c r="HU34" s="1270">
        <v>2.25</v>
      </c>
      <c r="HV34" s="1270">
        <v>0</v>
      </c>
      <c r="HW34" s="1272">
        <v>2</v>
      </c>
      <c r="HX34" s="1272">
        <v>4</v>
      </c>
      <c r="HY34" s="1272" t="s">
        <v>116</v>
      </c>
      <c r="HZ34" s="1272" t="s">
        <v>116</v>
      </c>
      <c r="IA34" s="1272" t="s">
        <v>1679</v>
      </c>
      <c r="IB34" s="1272"/>
      <c r="IC34" s="1272"/>
      <c r="ID34" s="1272"/>
      <c r="IE34" s="1272"/>
      <c r="IF34" s="1274"/>
    </row>
    <row r="35" spans="1:240" ht="12.6" customHeight="1" x14ac:dyDescent="0.25">
      <c r="A35" s="1448" t="s">
        <v>1491</v>
      </c>
      <c r="B35" s="1681">
        <v>4</v>
      </c>
      <c r="C35" s="1449" t="s">
        <v>1593</v>
      </c>
      <c r="D35" s="1705">
        <v>69</v>
      </c>
      <c r="E35" s="1706">
        <v>1.5</v>
      </c>
      <c r="F35" s="1714" t="str">
        <f t="shared" si="1"/>
        <v/>
      </c>
      <c r="G35" s="1709" t="str">
        <f t="shared" si="2"/>
        <v/>
      </c>
      <c r="H35" s="1779" t="str">
        <f t="shared" si="3"/>
        <v/>
      </c>
      <c r="I35" s="1705" t="str">
        <f t="shared" si="4"/>
        <v/>
      </c>
      <c r="J35" s="1709" t="str">
        <f t="shared" si="5"/>
        <v/>
      </c>
      <c r="K35" s="1796" t="str">
        <f t="shared" si="6"/>
        <v/>
      </c>
      <c r="L35" s="1712">
        <v>5</v>
      </c>
      <c r="M35" s="1713">
        <v>5</v>
      </c>
      <c r="N35" s="1708" t="str">
        <f t="shared" si="7"/>
        <v/>
      </c>
      <c r="O35" s="1709" t="str">
        <f t="shared" si="8"/>
        <v/>
      </c>
      <c r="P35" s="1710" t="str">
        <f t="shared" si="9"/>
        <v/>
      </c>
      <c r="Q35" s="1705" t="str">
        <f t="shared" si="10"/>
        <v/>
      </c>
      <c r="R35" s="1709" t="str">
        <f t="shared" si="11"/>
        <v/>
      </c>
      <c r="S35" s="1711" t="str">
        <f t="shared" si="12"/>
        <v/>
      </c>
      <c r="T35" s="1714">
        <v>0</v>
      </c>
      <c r="U35" s="1709">
        <v>2.25</v>
      </c>
      <c r="V35" s="1705">
        <v>0</v>
      </c>
      <c r="W35" s="1709">
        <v>2</v>
      </c>
      <c r="X35" s="1713">
        <v>4</v>
      </c>
      <c r="Y35" s="1781" t="str">
        <f t="shared" si="13"/>
        <v/>
      </c>
      <c r="Z35" s="1782" t="str">
        <f t="shared" si="14"/>
        <v/>
      </c>
      <c r="AA35" s="1783" t="s">
        <v>1762</v>
      </c>
      <c r="AB35" s="1413"/>
      <c r="AC35" s="964" t="b">
        <v>0</v>
      </c>
      <c r="AD35" s="441">
        <f t="shared" si="15"/>
        <v>0</v>
      </c>
      <c r="AE35" s="442">
        <f t="shared" si="16"/>
        <v>4</v>
      </c>
      <c r="AF35" s="442">
        <f t="shared" si="17"/>
        <v>0</v>
      </c>
      <c r="AG35" s="442">
        <f t="shared" si="18"/>
        <v>0</v>
      </c>
      <c r="AH35" s="443">
        <f t="shared" si="19"/>
        <v>0</v>
      </c>
      <c r="AI35" s="444" t="b">
        <v>0</v>
      </c>
      <c r="AJ35" s="238">
        <f t="shared" si="20"/>
        <v>44</v>
      </c>
      <c r="AK35" s="830" t="str">
        <f t="shared" si="21"/>
        <v>LH</v>
      </c>
      <c r="AL35" s="945" t="str">
        <f t="shared" si="22"/>
        <v/>
      </c>
      <c r="AM35" s="830">
        <f t="shared" si="23"/>
        <v>305</v>
      </c>
      <c r="AN35" s="830">
        <f t="shared" si="24"/>
        <v>180</v>
      </c>
      <c r="AO35" s="830" t="str">
        <f t="shared" si="25"/>
        <v/>
      </c>
      <c r="AP35" s="830" t="b">
        <f>IF(ISERROR(AJ35),FALSE,IF(OR(AJ35=0,ISERROR(AL35),ISERROR(AM35),ISERROR(AN35),ISERROR(AO35)),FALSE,IF(AL35&lt;&gt;"",IF(ISERROR(VLOOKUP(SUBSTITUTE(SUBSTITUTE(C35,"R",""),"A",""),TblJoistSize!$A:$A,1,FALSE)),FALSE,TRUE),TRUE)))</f>
        <v>1</v>
      </c>
      <c r="AQ35" s="1038">
        <f t="shared" si="26"/>
        <v>6</v>
      </c>
      <c r="AR35" s="945" t="b">
        <f t="shared" si="27"/>
        <v>1</v>
      </c>
      <c r="AS35" s="1038">
        <f t="shared" si="28"/>
        <v>6</v>
      </c>
      <c r="AT35" s="945" t="b">
        <f t="shared" si="29"/>
        <v>1</v>
      </c>
      <c r="AU35" s="946" t="str">
        <f t="shared" si="30"/>
        <v>LH</v>
      </c>
      <c r="AV35" s="830" t="str">
        <f t="shared" si="31"/>
        <v/>
      </c>
      <c r="AW35" s="830" t="str">
        <f t="shared" si="32"/>
        <v>LH</v>
      </c>
      <c r="AX35" s="830" t="str">
        <f t="shared" si="106"/>
        <v>J61</v>
      </c>
      <c r="AY35" s="1039" t="b">
        <f t="shared" si="33"/>
        <v>0</v>
      </c>
      <c r="AZ35" s="856" t="b">
        <f t="shared" si="34"/>
        <v>0</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35"/>
        <v/>
      </c>
      <c r="BR35" s="910"/>
      <c r="BS35" s="672"/>
      <c r="BT35" s="713"/>
      <c r="BU35" s="714"/>
      <c r="BV35" s="1625"/>
      <c r="BW35" s="713"/>
      <c r="BX35" s="714"/>
      <c r="BY35" s="715"/>
      <c r="BZ35" s="716"/>
      <c r="CA35" s="680" t="str">
        <f>IF(ISERROR(DE35),"",IF(DE35="","",IF(VLOOKUP(BS35,SectInfo!$B:$N,10,FALSE)="","","X")))</f>
        <v/>
      </c>
      <c r="CB35" s="738"/>
      <c r="CC35" s="1551" t="str">
        <f t="shared" si="36"/>
        <v/>
      </c>
      <c r="CD35" s="910"/>
      <c r="CE35" s="717"/>
      <c r="CF35" s="736"/>
      <c r="CG35" s="737"/>
      <c r="CH35" s="591" t="str">
        <f t="shared" si="37"/>
        <v/>
      </c>
      <c r="CI35" s="592" t="str">
        <f t="shared" si="38"/>
        <v/>
      </c>
      <c r="CJ35" s="593" t="str">
        <f t="shared" si="39"/>
        <v/>
      </c>
      <c r="CK35" s="594" t="str">
        <f t="shared" si="40"/>
        <v/>
      </c>
      <c r="CL35" s="595" t="str">
        <f t="shared" si="41"/>
        <v/>
      </c>
      <c r="CM35" s="596" t="str">
        <f t="shared" si="42"/>
        <v/>
      </c>
      <c r="CN35" s="597" t="str">
        <f t="shared" si="43"/>
        <v/>
      </c>
      <c r="CO35" s="598" t="str">
        <f t="shared" si="44"/>
        <v/>
      </c>
      <c r="CP35" s="615" t="str">
        <f t="shared" si="45"/>
        <v/>
      </c>
      <c r="CQ35" s="616" t="str">
        <f t="shared" si="46"/>
        <v/>
      </c>
      <c r="CR35" s="750">
        <f t="shared" si="47"/>
        <v>5</v>
      </c>
      <c r="CS35" s="751">
        <f t="shared" si="48"/>
        <v>5</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49"/>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50"/>
        <v>0</v>
      </c>
      <c r="DO35" s="818">
        <f t="shared" si="51"/>
        <v>0</v>
      </c>
      <c r="DP35" s="822" t="str">
        <f t="shared" si="52"/>
        <v/>
      </c>
      <c r="DQ35" s="822" t="str">
        <f t="shared" si="53"/>
        <v/>
      </c>
      <c r="DR35" s="822" t="str">
        <f t="shared" si="54"/>
        <v/>
      </c>
      <c r="DS35" s="821">
        <f t="shared" si="55"/>
        <v>0</v>
      </c>
      <c r="DT35" s="821">
        <f t="shared" si="56"/>
        <v>0</v>
      </c>
      <c r="DU35" s="821" t="str">
        <f t="shared" si="57"/>
        <v/>
      </c>
      <c r="DV35" s="822" t="str">
        <f t="shared" si="58"/>
        <v/>
      </c>
      <c r="DW35" s="856" t="str">
        <f t="shared" si="59"/>
        <v/>
      </c>
      <c r="DX35" s="1006">
        <f t="shared" si="60"/>
        <v>0</v>
      </c>
      <c r="DY35" s="822">
        <f t="shared" si="61"/>
        <v>0</v>
      </c>
      <c r="DZ35" s="821">
        <f t="shared" si="62"/>
        <v>0</v>
      </c>
      <c r="EA35" s="821" t="str">
        <f t="shared" si="63"/>
        <v/>
      </c>
      <c r="EB35" s="822" t="str">
        <f t="shared" si="64"/>
        <v/>
      </c>
      <c r="EC35" s="856" t="str">
        <f t="shared" si="65"/>
        <v/>
      </c>
      <c r="ED35" s="1006">
        <f t="shared" si="66"/>
        <v>0</v>
      </c>
      <c r="EE35" s="1293" t="str">
        <f t="shared" si="67"/>
        <v/>
      </c>
      <c r="EF35" s="1293" t="str">
        <f t="shared" si="68"/>
        <v/>
      </c>
      <c r="EG35" s="1293" t="str">
        <f t="shared" si="69"/>
        <v/>
      </c>
      <c r="EH35" s="856" t="str">
        <f t="shared" si="70"/>
        <v>ERR</v>
      </c>
      <c r="EI35" s="856" t="str">
        <f t="shared" si="71"/>
        <v>ERR</v>
      </c>
      <c r="EJ35" s="822" t="str">
        <f t="shared" si="72"/>
        <v/>
      </c>
      <c r="EK35" s="822" t="str">
        <f t="shared" si="72"/>
        <v/>
      </c>
      <c r="EL35" s="1293" t="str">
        <f t="shared" si="73"/>
        <v/>
      </c>
      <c r="EM35" s="822" t="str">
        <f t="shared" si="74"/>
        <v/>
      </c>
      <c r="EN35" s="822" t="str">
        <f t="shared" si="75"/>
        <v/>
      </c>
      <c r="EO35" s="856" t="str">
        <f t="shared" si="76"/>
        <v>ERR</v>
      </c>
      <c r="EP35" s="856" t="str">
        <f t="shared" si="77"/>
        <v>ERR</v>
      </c>
      <c r="EQ35" s="1293" t="str">
        <f t="shared" si="78"/>
        <v/>
      </c>
      <c r="ER35" s="822" t="str">
        <f t="shared" si="78"/>
        <v/>
      </c>
      <c r="ES35" s="822" t="str">
        <f t="shared" si="79"/>
        <v/>
      </c>
      <c r="ET35" s="822" t="str">
        <f t="shared" si="80"/>
        <v/>
      </c>
      <c r="EU35" s="829">
        <f t="shared" si="81"/>
        <v>4</v>
      </c>
      <c r="EV35" s="824" t="str">
        <f t="shared" si="82"/>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83"/>
        <v/>
      </c>
      <c r="FA35" s="829" t="str">
        <f>IF(AND(DE35="G", ISBLANK(BW35), ISBLANK(BX35)),VLOOKUP(MIN(BT35:BU35),TblJoistSize!$M$3:$N$10,2),IF(OR(DE35="B", DE35="G"),MIN(BW35:BX35),""))</f>
        <v/>
      </c>
      <c r="FB35" s="829" t="str">
        <f>IF(AND(DE35="G", ISBLANK(BW35), ISBLANK(BX35)),VLOOKUP(MAX(BT35:BU35),TblJoistSize!$M$3:$N$10,2),IF(OR(DE35="B", DE35="G"),MAX(BW35:BX35),""))</f>
        <v/>
      </c>
      <c r="FC35" s="829" t="str">
        <f t="shared" si="84"/>
        <v/>
      </c>
      <c r="FD35" s="821">
        <f t="shared" si="107"/>
        <v>0</v>
      </c>
      <c r="FE35" s="821">
        <f t="shared" si="85"/>
        <v>0</v>
      </c>
      <c r="FF35" s="821">
        <f t="shared" si="86"/>
        <v>0</v>
      </c>
      <c r="FG35" s="821" t="str">
        <f t="shared" si="87"/>
        <v/>
      </c>
      <c r="FH35" s="822" t="str">
        <f t="shared" si="88"/>
        <v/>
      </c>
      <c r="FI35" s="821">
        <f t="shared" si="108"/>
        <v>0</v>
      </c>
      <c r="FJ35" s="821">
        <f t="shared" si="89"/>
        <v>0</v>
      </c>
      <c r="FK35" s="821">
        <f t="shared" si="90"/>
        <v>0</v>
      </c>
      <c r="FL35" s="821" t="str">
        <f t="shared" si="91"/>
        <v/>
      </c>
      <c r="FM35" s="822" t="str">
        <f t="shared" si="92"/>
        <v/>
      </c>
      <c r="FN35" s="822" t="e">
        <f t="shared" si="93"/>
        <v>#VALUE!</v>
      </c>
      <c r="FO35" s="940" t="e">
        <f t="shared" si="94"/>
        <v>#VALUE!</v>
      </c>
      <c r="FP35" s="940" t="e">
        <f t="shared" si="95"/>
        <v>#VALUE!</v>
      </c>
      <c r="FQ35" s="830" t="e">
        <f t="shared" si="96"/>
        <v>#VALUE!</v>
      </c>
      <c r="FR35" s="831" t="e">
        <f t="shared" si="97"/>
        <v>#VALUE!</v>
      </c>
      <c r="FS35" s="832" t="str">
        <f t="shared" si="98"/>
        <v/>
      </c>
      <c r="FT35" s="833" t="str">
        <f t="shared" si="99"/>
        <v/>
      </c>
      <c r="FU35" s="870">
        <f t="shared" si="100"/>
        <v>0</v>
      </c>
      <c r="FV35" s="871">
        <f t="shared" si="101"/>
        <v>0</v>
      </c>
      <c r="GA35" s="1791">
        <v>69</v>
      </c>
      <c r="GB35" s="1792">
        <v>2.25</v>
      </c>
      <c r="GC35" s="1793">
        <v>-0.25</v>
      </c>
      <c r="GD35" s="1794">
        <v>-0.5</v>
      </c>
      <c r="GE35" s="1795">
        <f t="shared" si="102"/>
        <v>0</v>
      </c>
      <c r="GF35" s="600" t="str">
        <f t="shared" si="103"/>
        <v>J61</v>
      </c>
      <c r="GG35" s="1130">
        <v>0</v>
      </c>
      <c r="GH35" s="1131">
        <v>0</v>
      </c>
      <c r="GI35" s="1130"/>
      <c r="GJ35" s="1131"/>
      <c r="GK35" s="1638">
        <f t="shared" si="104"/>
        <v>829.5</v>
      </c>
      <c r="GL35" s="1636">
        <f t="shared" si="105"/>
        <v>829.5</v>
      </c>
      <c r="GM35" s="1637">
        <f>IF(ABS(GK35-GL35)&gt;='Job Info.'!$L$22,ABS(GK35-GL35),0)</f>
        <v>0</v>
      </c>
      <c r="HA35" s="1269" t="s">
        <v>1491</v>
      </c>
      <c r="HB35" s="1270">
        <v>4</v>
      </c>
      <c r="HC35" s="1270" t="s">
        <v>1593</v>
      </c>
      <c r="HD35" s="1271">
        <v>69</v>
      </c>
      <c r="HE35" s="1272">
        <v>1.5</v>
      </c>
      <c r="HF35" s="1270" t="s">
        <v>116</v>
      </c>
      <c r="HG35" s="1270" t="s">
        <v>116</v>
      </c>
      <c r="HH35" s="1270" t="s">
        <v>116</v>
      </c>
      <c r="HI35" s="1273" t="s">
        <v>116</v>
      </c>
      <c r="HJ35" s="1270" t="s">
        <v>116</v>
      </c>
      <c r="HK35" s="1270" t="s">
        <v>116</v>
      </c>
      <c r="HL35" s="1270">
        <v>5</v>
      </c>
      <c r="HM35" s="1270">
        <v>5</v>
      </c>
      <c r="HN35" s="1270" t="s">
        <v>116</v>
      </c>
      <c r="HO35" s="1270" t="s">
        <v>116</v>
      </c>
      <c r="HP35" s="1270" t="s">
        <v>116</v>
      </c>
      <c r="HQ35" s="1273" t="s">
        <v>116</v>
      </c>
      <c r="HR35" s="1270" t="s">
        <v>116</v>
      </c>
      <c r="HS35" s="1270" t="s">
        <v>116</v>
      </c>
      <c r="HT35" s="1270">
        <v>0</v>
      </c>
      <c r="HU35" s="1270">
        <v>2.25</v>
      </c>
      <c r="HV35" s="1270">
        <v>0</v>
      </c>
      <c r="HW35" s="1272">
        <v>2</v>
      </c>
      <c r="HX35" s="1272">
        <v>4</v>
      </c>
      <c r="HY35" s="1272" t="s">
        <v>116</v>
      </c>
      <c r="HZ35" s="1272" t="s">
        <v>116</v>
      </c>
      <c r="IA35" s="1272" t="s">
        <v>1680</v>
      </c>
      <c r="IB35" s="1272"/>
      <c r="IC35" s="1272"/>
      <c r="ID35" s="1272"/>
      <c r="IE35" s="1272"/>
      <c r="IF35" s="1274"/>
    </row>
    <row r="36" spans="1:240" ht="12.6" customHeight="1" x14ac:dyDescent="0.25">
      <c r="A36" s="1448" t="s">
        <v>1492</v>
      </c>
      <c r="B36" s="1681">
        <v>7</v>
      </c>
      <c r="C36" s="1449" t="s">
        <v>1592</v>
      </c>
      <c r="D36" s="1705">
        <v>40</v>
      </c>
      <c r="E36" s="1706">
        <v>0</v>
      </c>
      <c r="F36" s="1714" t="str">
        <f t="shared" si="1"/>
        <v/>
      </c>
      <c r="G36" s="1709" t="str">
        <f t="shared" si="2"/>
        <v/>
      </c>
      <c r="H36" s="1779" t="str">
        <f t="shared" si="3"/>
        <v/>
      </c>
      <c r="I36" s="1705" t="str">
        <f t="shared" si="4"/>
        <v/>
      </c>
      <c r="J36" s="1709" t="str">
        <f t="shared" si="5"/>
        <v/>
      </c>
      <c r="K36" s="1796" t="str">
        <f t="shared" si="6"/>
        <v/>
      </c>
      <c r="L36" s="1712">
        <v>5</v>
      </c>
      <c r="M36" s="1713">
        <v>5</v>
      </c>
      <c r="N36" s="1708" t="str">
        <f t="shared" si="7"/>
        <v/>
      </c>
      <c r="O36" s="1709" t="str">
        <f t="shared" si="8"/>
        <v/>
      </c>
      <c r="P36" s="1710" t="str">
        <f t="shared" si="9"/>
        <v/>
      </c>
      <c r="Q36" s="1705" t="str">
        <f t="shared" si="10"/>
        <v/>
      </c>
      <c r="R36" s="1709" t="str">
        <f t="shared" si="11"/>
        <v/>
      </c>
      <c r="S36" s="1711" t="str">
        <f t="shared" si="12"/>
        <v/>
      </c>
      <c r="T36" s="1714">
        <v>0</v>
      </c>
      <c r="U36" s="1709">
        <v>2.25</v>
      </c>
      <c r="V36" s="1705">
        <v>0</v>
      </c>
      <c r="W36" s="1709">
        <v>2</v>
      </c>
      <c r="X36" s="1713">
        <v>4</v>
      </c>
      <c r="Y36" s="1781" t="str">
        <f t="shared" si="13"/>
        <v/>
      </c>
      <c r="Z36" s="1782" t="str">
        <f t="shared" si="14"/>
        <v/>
      </c>
      <c r="AA36" s="1783" t="s">
        <v>1763</v>
      </c>
      <c r="AB36" s="1413"/>
      <c r="AC36" s="964" t="b">
        <v>0</v>
      </c>
      <c r="AD36" s="441">
        <f t="shared" si="15"/>
        <v>0</v>
      </c>
      <c r="AE36" s="442">
        <f t="shared" si="16"/>
        <v>7</v>
      </c>
      <c r="AF36" s="442">
        <f t="shared" si="17"/>
        <v>0</v>
      </c>
      <c r="AG36" s="442">
        <f t="shared" si="18"/>
        <v>0</v>
      </c>
      <c r="AH36" s="443">
        <f t="shared" si="19"/>
        <v>0</v>
      </c>
      <c r="AI36" s="444" t="b">
        <v>0</v>
      </c>
      <c r="AJ36" s="238">
        <f t="shared" si="20"/>
        <v>32</v>
      </c>
      <c r="AK36" s="830" t="str">
        <f t="shared" si="21"/>
        <v>LH</v>
      </c>
      <c r="AL36" s="945" t="str">
        <f t="shared" si="22"/>
        <v/>
      </c>
      <c r="AM36" s="830">
        <f t="shared" si="23"/>
        <v>305</v>
      </c>
      <c r="AN36" s="830">
        <f t="shared" si="24"/>
        <v>180</v>
      </c>
      <c r="AO36" s="830" t="str">
        <f t="shared" si="25"/>
        <v/>
      </c>
      <c r="AP36" s="830" t="b">
        <f>IF(ISERROR(AJ36),FALSE,IF(OR(AJ36=0,ISERROR(AL36),ISERROR(AM36),ISERROR(AN36),ISERROR(AO36)),FALSE,IF(AL36&lt;&gt;"",IF(ISERROR(VLOOKUP(SUBSTITUTE(SUBSTITUTE(C36,"R",""),"A",""),TblJoistSize!$A:$A,1,FALSE)),FALSE,TRUE),TRUE)))</f>
        <v>1</v>
      </c>
      <c r="AQ36" s="1038">
        <f t="shared" si="26"/>
        <v>6</v>
      </c>
      <c r="AR36" s="945" t="b">
        <f t="shared" si="27"/>
        <v>1</v>
      </c>
      <c r="AS36" s="1038">
        <f t="shared" si="28"/>
        <v>6</v>
      </c>
      <c r="AT36" s="945" t="b">
        <f t="shared" si="29"/>
        <v>1</v>
      </c>
      <c r="AU36" s="946" t="str">
        <f t="shared" si="30"/>
        <v>LH</v>
      </c>
      <c r="AV36" s="830" t="str">
        <f t="shared" si="31"/>
        <v/>
      </c>
      <c r="AW36" s="830" t="str">
        <f t="shared" si="32"/>
        <v>LH</v>
      </c>
      <c r="AX36" s="830" t="str">
        <f t="shared" si="106"/>
        <v>J62</v>
      </c>
      <c r="AY36" s="1039" t="b">
        <f t="shared" si="33"/>
        <v>0</v>
      </c>
      <c r="AZ36" s="856" t="b">
        <f t="shared" si="34"/>
        <v>0</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35"/>
        <v/>
      </c>
      <c r="BR36" s="910"/>
      <c r="BS36" s="672"/>
      <c r="BT36" s="713"/>
      <c r="BU36" s="714"/>
      <c r="BV36" s="1625"/>
      <c r="BW36" s="713"/>
      <c r="BX36" s="714"/>
      <c r="BY36" s="715"/>
      <c r="BZ36" s="716"/>
      <c r="CA36" s="680" t="str">
        <f>IF(ISERROR(DE36),"",IF(DE36="","",IF(VLOOKUP(BS36,SectInfo!$B:$N,10,FALSE)="","","X")))</f>
        <v/>
      </c>
      <c r="CB36" s="738"/>
      <c r="CC36" s="1551" t="str">
        <f t="shared" si="36"/>
        <v/>
      </c>
      <c r="CD36" s="910"/>
      <c r="CE36" s="717"/>
      <c r="CF36" s="736"/>
      <c r="CG36" s="737"/>
      <c r="CH36" s="591" t="str">
        <f t="shared" si="37"/>
        <v/>
      </c>
      <c r="CI36" s="592" t="str">
        <f t="shared" si="38"/>
        <v/>
      </c>
      <c r="CJ36" s="593" t="str">
        <f t="shared" si="39"/>
        <v/>
      </c>
      <c r="CK36" s="594" t="str">
        <f t="shared" si="40"/>
        <v/>
      </c>
      <c r="CL36" s="595" t="str">
        <f t="shared" si="41"/>
        <v/>
      </c>
      <c r="CM36" s="596" t="str">
        <f t="shared" si="42"/>
        <v/>
      </c>
      <c r="CN36" s="597" t="str">
        <f t="shared" si="43"/>
        <v/>
      </c>
      <c r="CO36" s="598" t="str">
        <f t="shared" si="44"/>
        <v/>
      </c>
      <c r="CP36" s="615" t="str">
        <f t="shared" si="45"/>
        <v/>
      </c>
      <c r="CQ36" s="616" t="str">
        <f t="shared" si="46"/>
        <v/>
      </c>
      <c r="CR36" s="750">
        <f t="shared" si="47"/>
        <v>5</v>
      </c>
      <c r="CS36" s="751">
        <f t="shared" si="48"/>
        <v>5</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49"/>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50"/>
        <v>0</v>
      </c>
      <c r="DO36" s="818">
        <f t="shared" si="51"/>
        <v>0</v>
      </c>
      <c r="DP36" s="822" t="str">
        <f t="shared" si="52"/>
        <v/>
      </c>
      <c r="DQ36" s="822" t="str">
        <f t="shared" si="53"/>
        <v/>
      </c>
      <c r="DR36" s="822" t="str">
        <f t="shared" si="54"/>
        <v/>
      </c>
      <c r="DS36" s="821">
        <f t="shared" si="55"/>
        <v>0</v>
      </c>
      <c r="DT36" s="821">
        <f t="shared" si="56"/>
        <v>0</v>
      </c>
      <c r="DU36" s="821" t="str">
        <f t="shared" si="57"/>
        <v/>
      </c>
      <c r="DV36" s="822" t="str">
        <f t="shared" si="58"/>
        <v/>
      </c>
      <c r="DW36" s="856" t="str">
        <f t="shared" si="59"/>
        <v/>
      </c>
      <c r="DX36" s="1006">
        <f t="shared" si="60"/>
        <v>0</v>
      </c>
      <c r="DY36" s="822">
        <f t="shared" si="61"/>
        <v>0</v>
      </c>
      <c r="DZ36" s="821">
        <f t="shared" si="62"/>
        <v>0</v>
      </c>
      <c r="EA36" s="821" t="str">
        <f t="shared" si="63"/>
        <v/>
      </c>
      <c r="EB36" s="822" t="str">
        <f t="shared" si="64"/>
        <v/>
      </c>
      <c r="EC36" s="856" t="str">
        <f t="shared" si="65"/>
        <v/>
      </c>
      <c r="ED36" s="1006">
        <f t="shared" si="66"/>
        <v>0</v>
      </c>
      <c r="EE36" s="1293" t="str">
        <f t="shared" si="67"/>
        <v/>
      </c>
      <c r="EF36" s="1293" t="str">
        <f t="shared" si="68"/>
        <v/>
      </c>
      <c r="EG36" s="1293" t="str">
        <f t="shared" si="69"/>
        <v/>
      </c>
      <c r="EH36" s="856" t="str">
        <f t="shared" si="70"/>
        <v>ERR</v>
      </c>
      <c r="EI36" s="856" t="str">
        <f t="shared" si="71"/>
        <v>ERR</v>
      </c>
      <c r="EJ36" s="822" t="str">
        <f t="shared" si="72"/>
        <v/>
      </c>
      <c r="EK36" s="822" t="str">
        <f t="shared" si="72"/>
        <v/>
      </c>
      <c r="EL36" s="1293" t="str">
        <f t="shared" si="73"/>
        <v/>
      </c>
      <c r="EM36" s="822" t="str">
        <f t="shared" si="74"/>
        <v/>
      </c>
      <c r="EN36" s="822" t="str">
        <f t="shared" si="75"/>
        <v/>
      </c>
      <c r="EO36" s="856" t="str">
        <f t="shared" si="76"/>
        <v>ERR</v>
      </c>
      <c r="EP36" s="856" t="str">
        <f t="shared" si="77"/>
        <v>ERR</v>
      </c>
      <c r="EQ36" s="1293" t="str">
        <f t="shared" si="78"/>
        <v/>
      </c>
      <c r="ER36" s="822" t="str">
        <f t="shared" si="78"/>
        <v/>
      </c>
      <c r="ES36" s="822" t="str">
        <f t="shared" si="79"/>
        <v/>
      </c>
      <c r="ET36" s="822" t="str">
        <f t="shared" si="80"/>
        <v/>
      </c>
      <c r="EU36" s="829">
        <f t="shared" si="81"/>
        <v>4</v>
      </c>
      <c r="EV36" s="824" t="str">
        <f t="shared" si="82"/>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83"/>
        <v/>
      </c>
      <c r="FA36" s="829" t="str">
        <f>IF(AND(DE36="G", ISBLANK(BW36), ISBLANK(BX36)),VLOOKUP(MIN(BT36:BU36),TblJoistSize!$M$3:$N$10,2),IF(OR(DE36="B", DE36="G"),MIN(BW36:BX36),""))</f>
        <v/>
      </c>
      <c r="FB36" s="829" t="str">
        <f>IF(AND(DE36="G", ISBLANK(BW36), ISBLANK(BX36)),VLOOKUP(MAX(BT36:BU36),TblJoistSize!$M$3:$N$10,2),IF(OR(DE36="B", DE36="G"),MAX(BW36:BX36),""))</f>
        <v/>
      </c>
      <c r="FC36" s="829" t="str">
        <f t="shared" si="84"/>
        <v/>
      </c>
      <c r="FD36" s="821">
        <f t="shared" si="107"/>
        <v>0</v>
      </c>
      <c r="FE36" s="821">
        <f t="shared" si="85"/>
        <v>0</v>
      </c>
      <c r="FF36" s="821">
        <f t="shared" si="86"/>
        <v>0</v>
      </c>
      <c r="FG36" s="821" t="str">
        <f t="shared" si="87"/>
        <v/>
      </c>
      <c r="FH36" s="822" t="str">
        <f t="shared" si="88"/>
        <v/>
      </c>
      <c r="FI36" s="821">
        <f t="shared" si="108"/>
        <v>0</v>
      </c>
      <c r="FJ36" s="821">
        <f t="shared" si="89"/>
        <v>0</v>
      </c>
      <c r="FK36" s="821">
        <f t="shared" si="90"/>
        <v>0</v>
      </c>
      <c r="FL36" s="821" t="str">
        <f t="shared" si="91"/>
        <v/>
      </c>
      <c r="FM36" s="822" t="str">
        <f t="shared" si="92"/>
        <v/>
      </c>
      <c r="FN36" s="822" t="e">
        <f t="shared" si="93"/>
        <v>#VALUE!</v>
      </c>
      <c r="FO36" s="940" t="e">
        <f t="shared" si="94"/>
        <v>#VALUE!</v>
      </c>
      <c r="FP36" s="940" t="e">
        <f t="shared" si="95"/>
        <v>#VALUE!</v>
      </c>
      <c r="FQ36" s="830" t="e">
        <f t="shared" si="96"/>
        <v>#VALUE!</v>
      </c>
      <c r="FR36" s="831" t="e">
        <f t="shared" si="97"/>
        <v>#VALUE!</v>
      </c>
      <c r="FS36" s="832" t="str">
        <f t="shared" si="98"/>
        <v/>
      </c>
      <c r="FT36" s="833" t="str">
        <f t="shared" si="99"/>
        <v/>
      </c>
      <c r="FU36" s="870">
        <f t="shared" si="100"/>
        <v>0</v>
      </c>
      <c r="FV36" s="871">
        <f t="shared" si="101"/>
        <v>0</v>
      </c>
      <c r="GA36" s="1791">
        <v>40</v>
      </c>
      <c r="GB36" s="1792">
        <v>0.75</v>
      </c>
      <c r="GC36" s="1793">
        <v>-0.25</v>
      </c>
      <c r="GD36" s="1794">
        <v>-0.5</v>
      </c>
      <c r="GE36" s="1795">
        <f t="shared" si="102"/>
        <v>0</v>
      </c>
      <c r="GF36" s="600" t="str">
        <f t="shared" si="103"/>
        <v>J62</v>
      </c>
      <c r="GG36" s="1130">
        <v>0</v>
      </c>
      <c r="GH36" s="1131">
        <v>0</v>
      </c>
      <c r="GI36" s="1130"/>
      <c r="GJ36" s="1131"/>
      <c r="GK36" s="1638">
        <f t="shared" si="104"/>
        <v>480</v>
      </c>
      <c r="GL36" s="1636">
        <f t="shared" si="105"/>
        <v>480</v>
      </c>
      <c r="GM36" s="1637">
        <f>IF(ABS(GK36-GL36)&gt;='Job Info.'!$L$22,ABS(GK36-GL36),0)</f>
        <v>0</v>
      </c>
      <c r="HA36" s="1269" t="s">
        <v>1492</v>
      </c>
      <c r="HB36" s="1270">
        <v>7</v>
      </c>
      <c r="HC36" s="1270" t="s">
        <v>1592</v>
      </c>
      <c r="HD36" s="1271">
        <v>40</v>
      </c>
      <c r="HE36" s="1272">
        <v>0</v>
      </c>
      <c r="HF36" s="1270" t="s">
        <v>116</v>
      </c>
      <c r="HG36" s="1270" t="s">
        <v>116</v>
      </c>
      <c r="HH36" s="1270" t="s">
        <v>116</v>
      </c>
      <c r="HI36" s="1273" t="s">
        <v>116</v>
      </c>
      <c r="HJ36" s="1270" t="s">
        <v>116</v>
      </c>
      <c r="HK36" s="1270" t="s">
        <v>116</v>
      </c>
      <c r="HL36" s="1270">
        <v>5</v>
      </c>
      <c r="HM36" s="1270">
        <v>5</v>
      </c>
      <c r="HN36" s="1270" t="s">
        <v>116</v>
      </c>
      <c r="HO36" s="1270" t="s">
        <v>116</v>
      </c>
      <c r="HP36" s="1270" t="s">
        <v>116</v>
      </c>
      <c r="HQ36" s="1273" t="s">
        <v>116</v>
      </c>
      <c r="HR36" s="1270" t="s">
        <v>116</v>
      </c>
      <c r="HS36" s="1270" t="s">
        <v>116</v>
      </c>
      <c r="HT36" s="1270">
        <v>0</v>
      </c>
      <c r="HU36" s="1270">
        <v>2.25</v>
      </c>
      <c r="HV36" s="1270">
        <v>0</v>
      </c>
      <c r="HW36" s="1272">
        <v>2</v>
      </c>
      <c r="HX36" s="1272">
        <v>4</v>
      </c>
      <c r="HY36" s="1272" t="s">
        <v>116</v>
      </c>
      <c r="HZ36" s="1272" t="s">
        <v>116</v>
      </c>
      <c r="IA36" s="1272" t="s">
        <v>1681</v>
      </c>
      <c r="IB36" s="1272"/>
      <c r="IC36" s="1272"/>
      <c r="ID36" s="1272"/>
      <c r="IE36" s="1272"/>
      <c r="IF36" s="1274"/>
    </row>
    <row r="37" spans="1:240" ht="12.6" customHeight="1" x14ac:dyDescent="0.25">
      <c r="A37" s="1448" t="s">
        <v>1493</v>
      </c>
      <c r="B37" s="1681">
        <v>1</v>
      </c>
      <c r="C37" s="1449" t="s">
        <v>1592</v>
      </c>
      <c r="D37" s="1705">
        <v>40</v>
      </c>
      <c r="E37" s="1706">
        <v>0</v>
      </c>
      <c r="F37" s="1714" t="str">
        <f t="shared" si="1"/>
        <v/>
      </c>
      <c r="G37" s="1709" t="str">
        <f t="shared" si="2"/>
        <v/>
      </c>
      <c r="H37" s="1779" t="str">
        <f t="shared" si="3"/>
        <v/>
      </c>
      <c r="I37" s="1705" t="str">
        <f t="shared" si="4"/>
        <v/>
      </c>
      <c r="J37" s="1709" t="str">
        <f t="shared" si="5"/>
        <v/>
      </c>
      <c r="K37" s="1796" t="str">
        <f t="shared" si="6"/>
        <v/>
      </c>
      <c r="L37" s="1712">
        <v>5</v>
      </c>
      <c r="M37" s="1713">
        <v>5</v>
      </c>
      <c r="N37" s="1708">
        <v>0</v>
      </c>
      <c r="O37" s="1709">
        <v>6.75</v>
      </c>
      <c r="P37" s="1710">
        <v>2</v>
      </c>
      <c r="Q37" s="1705" t="str">
        <f t="shared" si="10"/>
        <v/>
      </c>
      <c r="R37" s="1709" t="str">
        <f t="shared" si="11"/>
        <v/>
      </c>
      <c r="S37" s="1711" t="str">
        <f t="shared" si="12"/>
        <v/>
      </c>
      <c r="T37" s="1714">
        <v>0</v>
      </c>
      <c r="U37" s="1709">
        <v>2.25</v>
      </c>
      <c r="V37" s="1705">
        <v>0</v>
      </c>
      <c r="W37" s="1709">
        <v>2</v>
      </c>
      <c r="X37" s="1713">
        <v>4</v>
      </c>
      <c r="Y37" s="1781" t="str">
        <f t="shared" si="13"/>
        <v/>
      </c>
      <c r="Z37" s="1782" t="str">
        <f t="shared" si="14"/>
        <v/>
      </c>
      <c r="AA37" s="1783" t="s">
        <v>1764</v>
      </c>
      <c r="AB37" s="1413"/>
      <c r="AC37" s="964" t="b">
        <v>0</v>
      </c>
      <c r="AD37" s="441">
        <f t="shared" si="15"/>
        <v>0</v>
      </c>
      <c r="AE37" s="442">
        <f t="shared" si="16"/>
        <v>1</v>
      </c>
      <c r="AF37" s="442">
        <f t="shared" si="17"/>
        <v>0</v>
      </c>
      <c r="AG37" s="442">
        <f t="shared" si="18"/>
        <v>0</v>
      </c>
      <c r="AH37" s="443">
        <f t="shared" si="19"/>
        <v>0</v>
      </c>
      <c r="AI37" s="444" t="b">
        <v>0</v>
      </c>
      <c r="AJ37" s="238">
        <f t="shared" si="20"/>
        <v>32</v>
      </c>
      <c r="AK37" s="830" t="str">
        <f t="shared" si="21"/>
        <v>LH</v>
      </c>
      <c r="AL37" s="945" t="str">
        <f t="shared" si="22"/>
        <v/>
      </c>
      <c r="AM37" s="830">
        <f t="shared" si="23"/>
        <v>305</v>
      </c>
      <c r="AN37" s="830">
        <f t="shared" si="24"/>
        <v>180</v>
      </c>
      <c r="AO37" s="830" t="str">
        <f t="shared" si="25"/>
        <v/>
      </c>
      <c r="AP37" s="830" t="b">
        <f>IF(ISERROR(AJ37),FALSE,IF(OR(AJ37=0,ISERROR(AL37),ISERROR(AM37),ISERROR(AN37),ISERROR(AO37)),FALSE,IF(AL37&lt;&gt;"",IF(ISERROR(VLOOKUP(SUBSTITUTE(SUBSTITUTE(C37,"R",""),"A",""),TblJoistSize!$A:$A,1,FALSE)),FALSE,TRUE),TRUE)))</f>
        <v>1</v>
      </c>
      <c r="AQ37" s="1038">
        <f t="shared" si="26"/>
        <v>6</v>
      </c>
      <c r="AR37" s="945" t="b">
        <f t="shared" si="27"/>
        <v>1</v>
      </c>
      <c r="AS37" s="1038">
        <f t="shared" si="28"/>
        <v>6</v>
      </c>
      <c r="AT37" s="945" t="b">
        <f t="shared" si="29"/>
        <v>1</v>
      </c>
      <c r="AU37" s="946" t="str">
        <f t="shared" si="30"/>
        <v>LH</v>
      </c>
      <c r="AV37" s="830" t="str">
        <f t="shared" si="31"/>
        <v/>
      </c>
      <c r="AW37" s="830" t="str">
        <f t="shared" si="32"/>
        <v>LH</v>
      </c>
      <c r="AX37" s="830" t="str">
        <f t="shared" si="106"/>
        <v>TJ63</v>
      </c>
      <c r="AY37" s="1039" t="b">
        <f t="shared" si="33"/>
        <v>0</v>
      </c>
      <c r="AZ37" s="856" t="b">
        <f t="shared" si="34"/>
        <v>0</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35"/>
        <v/>
      </c>
      <c r="BR37" s="910"/>
      <c r="BS37" s="672"/>
      <c r="BT37" s="713"/>
      <c r="BU37" s="714"/>
      <c r="BV37" s="1625"/>
      <c r="BW37" s="713"/>
      <c r="BX37" s="714"/>
      <c r="BY37" s="715"/>
      <c r="BZ37" s="716"/>
      <c r="CA37" s="680" t="str">
        <f>IF(ISERROR(DE37),"",IF(DE37="","",IF(VLOOKUP(BS37,SectInfo!$B:$N,10,FALSE)="","","X")))</f>
        <v/>
      </c>
      <c r="CB37" s="738"/>
      <c r="CC37" s="1551" t="str">
        <f t="shared" si="36"/>
        <v/>
      </c>
      <c r="CD37" s="910"/>
      <c r="CE37" s="717"/>
      <c r="CF37" s="736"/>
      <c r="CG37" s="737"/>
      <c r="CH37" s="591" t="str">
        <f t="shared" si="37"/>
        <v/>
      </c>
      <c r="CI37" s="592" t="str">
        <f t="shared" si="38"/>
        <v/>
      </c>
      <c r="CJ37" s="593" t="str">
        <f t="shared" si="39"/>
        <v/>
      </c>
      <c r="CK37" s="594" t="str">
        <f t="shared" si="40"/>
        <v/>
      </c>
      <c r="CL37" s="595" t="str">
        <f t="shared" si="41"/>
        <v/>
      </c>
      <c r="CM37" s="596" t="str">
        <f t="shared" si="42"/>
        <v/>
      </c>
      <c r="CN37" s="597" t="str">
        <f t="shared" si="43"/>
        <v/>
      </c>
      <c r="CO37" s="598" t="str">
        <f t="shared" si="44"/>
        <v/>
      </c>
      <c r="CP37" s="615" t="str">
        <f t="shared" si="45"/>
        <v/>
      </c>
      <c r="CQ37" s="616" t="str">
        <f t="shared" si="46"/>
        <v/>
      </c>
      <c r="CR37" s="750">
        <f t="shared" si="47"/>
        <v>5</v>
      </c>
      <c r="CS37" s="751">
        <f t="shared" si="48"/>
        <v>5</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49"/>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50"/>
        <v>0</v>
      </c>
      <c r="DO37" s="818">
        <f t="shared" si="51"/>
        <v>0</v>
      </c>
      <c r="DP37" s="822" t="str">
        <f t="shared" si="52"/>
        <v/>
      </c>
      <c r="DQ37" s="822" t="str">
        <f t="shared" si="53"/>
        <v/>
      </c>
      <c r="DR37" s="822" t="str">
        <f t="shared" si="54"/>
        <v/>
      </c>
      <c r="DS37" s="821">
        <f t="shared" si="55"/>
        <v>0</v>
      </c>
      <c r="DT37" s="821">
        <f t="shared" si="56"/>
        <v>0</v>
      </c>
      <c r="DU37" s="821" t="str">
        <f t="shared" si="57"/>
        <v/>
      </c>
      <c r="DV37" s="822" t="str">
        <f t="shared" si="58"/>
        <v/>
      </c>
      <c r="DW37" s="856" t="str">
        <f t="shared" si="59"/>
        <v/>
      </c>
      <c r="DX37" s="1006">
        <f t="shared" si="60"/>
        <v>0</v>
      </c>
      <c r="DY37" s="822">
        <f t="shared" si="61"/>
        <v>0</v>
      </c>
      <c r="DZ37" s="821">
        <f t="shared" si="62"/>
        <v>0</v>
      </c>
      <c r="EA37" s="821" t="str">
        <f t="shared" si="63"/>
        <v/>
      </c>
      <c r="EB37" s="822" t="str">
        <f t="shared" si="64"/>
        <v/>
      </c>
      <c r="EC37" s="856" t="str">
        <f t="shared" si="65"/>
        <v/>
      </c>
      <c r="ED37" s="1006">
        <f t="shared" si="66"/>
        <v>0</v>
      </c>
      <c r="EE37" s="1293" t="str">
        <f t="shared" si="67"/>
        <v/>
      </c>
      <c r="EF37" s="1293" t="str">
        <f t="shared" si="68"/>
        <v/>
      </c>
      <c r="EG37" s="1293" t="str">
        <f t="shared" si="69"/>
        <v/>
      </c>
      <c r="EH37" s="856" t="str">
        <f t="shared" si="70"/>
        <v>ERR</v>
      </c>
      <c r="EI37" s="856" t="str">
        <f t="shared" si="71"/>
        <v>ERR</v>
      </c>
      <c r="EJ37" s="822" t="str">
        <f t="shared" si="72"/>
        <v/>
      </c>
      <c r="EK37" s="822" t="str">
        <f t="shared" si="72"/>
        <v/>
      </c>
      <c r="EL37" s="1293" t="str">
        <f t="shared" si="73"/>
        <v/>
      </c>
      <c r="EM37" s="822" t="str">
        <f t="shared" si="74"/>
        <v/>
      </c>
      <c r="EN37" s="822" t="str">
        <f t="shared" si="75"/>
        <v/>
      </c>
      <c r="EO37" s="856" t="str">
        <f t="shared" si="76"/>
        <v>ERR</v>
      </c>
      <c r="EP37" s="856" t="str">
        <f t="shared" si="77"/>
        <v>ERR</v>
      </c>
      <c r="EQ37" s="1293" t="str">
        <f t="shared" si="78"/>
        <v/>
      </c>
      <c r="ER37" s="822" t="str">
        <f t="shared" si="78"/>
        <v/>
      </c>
      <c r="ES37" s="822" t="str">
        <f t="shared" si="79"/>
        <v/>
      </c>
      <c r="ET37" s="822" t="str">
        <f t="shared" si="80"/>
        <v/>
      </c>
      <c r="EU37" s="829">
        <f t="shared" si="81"/>
        <v>4</v>
      </c>
      <c r="EV37" s="824" t="str">
        <f t="shared" si="82"/>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83"/>
        <v/>
      </c>
      <c r="FA37" s="829" t="str">
        <f>IF(AND(DE37="G", ISBLANK(BW37), ISBLANK(BX37)),VLOOKUP(MIN(BT37:BU37),TblJoistSize!$M$3:$N$10,2),IF(OR(DE37="B", DE37="G"),MIN(BW37:BX37),""))</f>
        <v/>
      </c>
      <c r="FB37" s="829" t="str">
        <f>IF(AND(DE37="G", ISBLANK(BW37), ISBLANK(BX37)),VLOOKUP(MAX(BT37:BU37),TblJoistSize!$M$3:$N$10,2),IF(OR(DE37="B", DE37="G"),MAX(BW37:BX37),""))</f>
        <v/>
      </c>
      <c r="FC37" s="829" t="str">
        <f t="shared" si="84"/>
        <v/>
      </c>
      <c r="FD37" s="821">
        <f t="shared" si="107"/>
        <v>0</v>
      </c>
      <c r="FE37" s="821">
        <f t="shared" si="85"/>
        <v>0</v>
      </c>
      <c r="FF37" s="821">
        <f t="shared" si="86"/>
        <v>0</v>
      </c>
      <c r="FG37" s="821" t="str">
        <f t="shared" si="87"/>
        <v/>
      </c>
      <c r="FH37" s="822" t="str">
        <f t="shared" si="88"/>
        <v/>
      </c>
      <c r="FI37" s="821">
        <f t="shared" si="108"/>
        <v>0</v>
      </c>
      <c r="FJ37" s="821">
        <f t="shared" si="89"/>
        <v>0</v>
      </c>
      <c r="FK37" s="821">
        <f t="shared" si="90"/>
        <v>0</v>
      </c>
      <c r="FL37" s="821" t="str">
        <f t="shared" si="91"/>
        <v/>
      </c>
      <c r="FM37" s="822" t="str">
        <f t="shared" si="92"/>
        <v/>
      </c>
      <c r="FN37" s="822" t="e">
        <f t="shared" si="93"/>
        <v>#VALUE!</v>
      </c>
      <c r="FO37" s="940" t="e">
        <f t="shared" si="94"/>
        <v>#VALUE!</v>
      </c>
      <c r="FP37" s="940" t="e">
        <f t="shared" si="95"/>
        <v>#VALUE!</v>
      </c>
      <c r="FQ37" s="830" t="e">
        <f t="shared" si="96"/>
        <v>#VALUE!</v>
      </c>
      <c r="FR37" s="831" t="e">
        <f t="shared" si="97"/>
        <v>#VALUE!</v>
      </c>
      <c r="FS37" s="832" t="str">
        <f t="shared" si="98"/>
        <v/>
      </c>
      <c r="FT37" s="833" t="str">
        <f t="shared" si="99"/>
        <v/>
      </c>
      <c r="FU37" s="870">
        <f t="shared" si="100"/>
        <v>0</v>
      </c>
      <c r="FV37" s="871">
        <f t="shared" si="101"/>
        <v>0</v>
      </c>
      <c r="GA37" s="1791">
        <v>40</v>
      </c>
      <c r="GB37" s="1792">
        <v>0.75</v>
      </c>
      <c r="GC37" s="1793">
        <v>-0.25</v>
      </c>
      <c r="GD37" s="1794">
        <v>-0.5</v>
      </c>
      <c r="GE37" s="1795">
        <f t="shared" si="102"/>
        <v>0</v>
      </c>
      <c r="GF37" s="600" t="str">
        <f t="shared" si="103"/>
        <v>TJ63</v>
      </c>
      <c r="GG37" s="1130">
        <v>0</v>
      </c>
      <c r="GH37" s="1131">
        <v>0</v>
      </c>
      <c r="GI37" s="1130"/>
      <c r="GJ37" s="1131"/>
      <c r="GK37" s="1638">
        <f t="shared" si="104"/>
        <v>480</v>
      </c>
      <c r="GL37" s="1636">
        <f t="shared" si="105"/>
        <v>480</v>
      </c>
      <c r="GM37" s="1637">
        <f>IF(ABS(GK37-GL37)&gt;='Job Info.'!$L$22,ABS(GK37-GL37),0)</f>
        <v>0</v>
      </c>
      <c r="HA37" s="1269" t="s">
        <v>1493</v>
      </c>
      <c r="HB37" s="1270">
        <v>1</v>
      </c>
      <c r="HC37" s="1270" t="s">
        <v>1592</v>
      </c>
      <c r="HD37" s="1271">
        <v>40</v>
      </c>
      <c r="HE37" s="1272">
        <v>0</v>
      </c>
      <c r="HF37" s="1270" t="s">
        <v>116</v>
      </c>
      <c r="HG37" s="1270" t="s">
        <v>116</v>
      </c>
      <c r="HH37" s="1270" t="s">
        <v>116</v>
      </c>
      <c r="HI37" s="1273" t="s">
        <v>116</v>
      </c>
      <c r="HJ37" s="1270" t="s">
        <v>116</v>
      </c>
      <c r="HK37" s="1270" t="s">
        <v>116</v>
      </c>
      <c r="HL37" s="1270">
        <v>5</v>
      </c>
      <c r="HM37" s="1270">
        <v>5</v>
      </c>
      <c r="HN37" s="1270">
        <v>0</v>
      </c>
      <c r="HO37" s="1270">
        <v>6.75</v>
      </c>
      <c r="HP37" s="1270">
        <v>2</v>
      </c>
      <c r="HQ37" s="1273" t="s">
        <v>116</v>
      </c>
      <c r="HR37" s="1270" t="s">
        <v>116</v>
      </c>
      <c r="HS37" s="1270" t="s">
        <v>116</v>
      </c>
      <c r="HT37" s="1270">
        <v>0</v>
      </c>
      <c r="HU37" s="1270">
        <v>2.25</v>
      </c>
      <c r="HV37" s="1270">
        <v>0</v>
      </c>
      <c r="HW37" s="1272">
        <v>2</v>
      </c>
      <c r="HX37" s="1272">
        <v>4</v>
      </c>
      <c r="HY37" s="1272" t="s">
        <v>116</v>
      </c>
      <c r="HZ37" s="1272" t="s">
        <v>116</v>
      </c>
      <c r="IA37" s="1272" t="s">
        <v>1681</v>
      </c>
      <c r="IB37" s="1272"/>
      <c r="IC37" s="1272"/>
      <c r="ID37" s="1272"/>
      <c r="IE37" s="1272"/>
      <c r="IF37" s="1274"/>
    </row>
    <row r="38" spans="1:240" ht="12.6" customHeight="1" x14ac:dyDescent="0.25">
      <c r="A38" s="1448" t="s">
        <v>1494</v>
      </c>
      <c r="B38" s="1681">
        <v>2</v>
      </c>
      <c r="C38" s="1449" t="s">
        <v>1592</v>
      </c>
      <c r="D38" s="1705">
        <v>40</v>
      </c>
      <c r="E38" s="1706">
        <v>0</v>
      </c>
      <c r="F38" s="1714" t="str">
        <f t="shared" si="1"/>
        <v/>
      </c>
      <c r="G38" s="1709" t="str">
        <f t="shared" si="2"/>
        <v/>
      </c>
      <c r="H38" s="1779" t="str">
        <f t="shared" si="3"/>
        <v/>
      </c>
      <c r="I38" s="1705" t="str">
        <f t="shared" si="4"/>
        <v/>
      </c>
      <c r="J38" s="1709" t="str">
        <f t="shared" si="5"/>
        <v/>
      </c>
      <c r="K38" s="1796" t="str">
        <f t="shared" si="6"/>
        <v/>
      </c>
      <c r="L38" s="1712">
        <v>5</v>
      </c>
      <c r="M38" s="1713">
        <v>5</v>
      </c>
      <c r="N38" s="1708" t="str">
        <f t="shared" si="7"/>
        <v/>
      </c>
      <c r="O38" s="1709" t="str">
        <f t="shared" si="8"/>
        <v/>
      </c>
      <c r="P38" s="1710" t="str">
        <f t="shared" si="9"/>
        <v/>
      </c>
      <c r="Q38" s="1705" t="str">
        <f t="shared" si="10"/>
        <v/>
      </c>
      <c r="R38" s="1709" t="str">
        <f t="shared" si="11"/>
        <v/>
      </c>
      <c r="S38" s="1711" t="str">
        <f t="shared" si="12"/>
        <v/>
      </c>
      <c r="T38" s="1714">
        <v>0</v>
      </c>
      <c r="U38" s="1709">
        <v>2.25</v>
      </c>
      <c r="V38" s="1705">
        <v>0</v>
      </c>
      <c r="W38" s="1709">
        <v>2</v>
      </c>
      <c r="X38" s="1713">
        <v>4</v>
      </c>
      <c r="Y38" s="1781" t="str">
        <f t="shared" si="13"/>
        <v/>
      </c>
      <c r="Z38" s="1782" t="str">
        <f t="shared" si="14"/>
        <v/>
      </c>
      <c r="AA38" s="1783" t="s">
        <v>1765</v>
      </c>
      <c r="AB38" s="1413"/>
      <c r="AC38" s="964" t="b">
        <v>0</v>
      </c>
      <c r="AD38" s="441">
        <f t="shared" si="15"/>
        <v>0</v>
      </c>
      <c r="AE38" s="442">
        <f t="shared" si="16"/>
        <v>2</v>
      </c>
      <c r="AF38" s="442">
        <f t="shared" si="17"/>
        <v>0</v>
      </c>
      <c r="AG38" s="442">
        <f t="shared" si="18"/>
        <v>0</v>
      </c>
      <c r="AH38" s="443">
        <f t="shared" si="19"/>
        <v>0</v>
      </c>
      <c r="AI38" s="444" t="b">
        <v>0</v>
      </c>
      <c r="AJ38" s="238">
        <f t="shared" si="20"/>
        <v>32</v>
      </c>
      <c r="AK38" s="830" t="str">
        <f t="shared" si="21"/>
        <v>LH</v>
      </c>
      <c r="AL38" s="945" t="str">
        <f t="shared" si="22"/>
        <v/>
      </c>
      <c r="AM38" s="830">
        <f t="shared" si="23"/>
        <v>305</v>
      </c>
      <c r="AN38" s="830">
        <f t="shared" si="24"/>
        <v>180</v>
      </c>
      <c r="AO38" s="830" t="str">
        <f t="shared" si="25"/>
        <v/>
      </c>
      <c r="AP38" s="830" t="b">
        <f>IF(ISERROR(AJ38),FALSE,IF(OR(AJ38=0,ISERROR(AL38),ISERROR(AM38),ISERROR(AN38),ISERROR(AO38)),FALSE,IF(AL38&lt;&gt;"",IF(ISERROR(VLOOKUP(SUBSTITUTE(SUBSTITUTE(C38,"R",""),"A",""),TblJoistSize!$A:$A,1,FALSE)),FALSE,TRUE),TRUE)))</f>
        <v>1</v>
      </c>
      <c r="AQ38" s="1038">
        <f t="shared" si="26"/>
        <v>6</v>
      </c>
      <c r="AR38" s="945" t="b">
        <f t="shared" si="27"/>
        <v>1</v>
      </c>
      <c r="AS38" s="1038">
        <f t="shared" si="28"/>
        <v>6</v>
      </c>
      <c r="AT38" s="945" t="b">
        <f t="shared" si="29"/>
        <v>1</v>
      </c>
      <c r="AU38" s="946" t="str">
        <f t="shared" si="30"/>
        <v>LH</v>
      </c>
      <c r="AV38" s="830" t="str">
        <f t="shared" si="31"/>
        <v/>
      </c>
      <c r="AW38" s="830" t="str">
        <f t="shared" si="32"/>
        <v>LH</v>
      </c>
      <c r="AX38" s="830" t="str">
        <f t="shared" si="106"/>
        <v>J64</v>
      </c>
      <c r="AY38" s="1039" t="b">
        <f t="shared" si="33"/>
        <v>0</v>
      </c>
      <c r="AZ38" s="856" t="b">
        <f t="shared" si="34"/>
        <v>0</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35"/>
        <v/>
      </c>
      <c r="BR38" s="910"/>
      <c r="BS38" s="672"/>
      <c r="BT38" s="713"/>
      <c r="BU38" s="714"/>
      <c r="BV38" s="1625"/>
      <c r="BW38" s="713"/>
      <c r="BX38" s="714"/>
      <c r="BY38" s="715"/>
      <c r="BZ38" s="716"/>
      <c r="CA38" s="680" t="str">
        <f>IF(ISERROR(DE38),"",IF(DE38="","",IF(VLOOKUP(BS38,SectInfo!$B:$N,10,FALSE)="","","X")))</f>
        <v/>
      </c>
      <c r="CB38" s="738"/>
      <c r="CC38" s="1551" t="str">
        <f t="shared" si="36"/>
        <v/>
      </c>
      <c r="CD38" s="910"/>
      <c r="CE38" s="717"/>
      <c r="CF38" s="736"/>
      <c r="CG38" s="737"/>
      <c r="CH38" s="591" t="str">
        <f t="shared" si="37"/>
        <v/>
      </c>
      <c r="CI38" s="592" t="str">
        <f t="shared" si="38"/>
        <v/>
      </c>
      <c r="CJ38" s="593" t="str">
        <f t="shared" si="39"/>
        <v/>
      </c>
      <c r="CK38" s="594" t="str">
        <f t="shared" si="40"/>
        <v/>
      </c>
      <c r="CL38" s="595" t="str">
        <f t="shared" si="41"/>
        <v/>
      </c>
      <c r="CM38" s="596" t="str">
        <f t="shared" si="42"/>
        <v/>
      </c>
      <c r="CN38" s="597" t="str">
        <f t="shared" si="43"/>
        <v/>
      </c>
      <c r="CO38" s="598" t="str">
        <f t="shared" si="44"/>
        <v/>
      </c>
      <c r="CP38" s="615" t="str">
        <f t="shared" si="45"/>
        <v/>
      </c>
      <c r="CQ38" s="616" t="str">
        <f t="shared" si="46"/>
        <v/>
      </c>
      <c r="CR38" s="750">
        <f t="shared" si="47"/>
        <v>5</v>
      </c>
      <c r="CS38" s="751">
        <f t="shared" si="48"/>
        <v>5</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49"/>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50"/>
        <v>0</v>
      </c>
      <c r="DO38" s="818">
        <f t="shared" si="51"/>
        <v>0</v>
      </c>
      <c r="DP38" s="822" t="str">
        <f t="shared" si="52"/>
        <v/>
      </c>
      <c r="DQ38" s="822" t="str">
        <f t="shared" si="53"/>
        <v/>
      </c>
      <c r="DR38" s="822" t="str">
        <f t="shared" si="54"/>
        <v/>
      </c>
      <c r="DS38" s="821">
        <f t="shared" si="55"/>
        <v>0</v>
      </c>
      <c r="DT38" s="821">
        <f t="shared" si="56"/>
        <v>0</v>
      </c>
      <c r="DU38" s="821" t="str">
        <f t="shared" si="57"/>
        <v/>
      </c>
      <c r="DV38" s="822" t="str">
        <f t="shared" si="58"/>
        <v/>
      </c>
      <c r="DW38" s="856" t="str">
        <f t="shared" si="59"/>
        <v/>
      </c>
      <c r="DX38" s="1006">
        <f t="shared" si="60"/>
        <v>0</v>
      </c>
      <c r="DY38" s="822">
        <f t="shared" si="61"/>
        <v>0</v>
      </c>
      <c r="DZ38" s="821">
        <f t="shared" si="62"/>
        <v>0</v>
      </c>
      <c r="EA38" s="821" t="str">
        <f t="shared" si="63"/>
        <v/>
      </c>
      <c r="EB38" s="822" t="str">
        <f t="shared" si="64"/>
        <v/>
      </c>
      <c r="EC38" s="856" t="str">
        <f t="shared" si="65"/>
        <v/>
      </c>
      <c r="ED38" s="1006">
        <f t="shared" si="66"/>
        <v>0</v>
      </c>
      <c r="EE38" s="1293" t="str">
        <f t="shared" si="67"/>
        <v/>
      </c>
      <c r="EF38" s="1293" t="str">
        <f t="shared" si="68"/>
        <v/>
      </c>
      <c r="EG38" s="1293" t="str">
        <f t="shared" si="69"/>
        <v/>
      </c>
      <c r="EH38" s="856" t="str">
        <f t="shared" si="70"/>
        <v>ERR</v>
      </c>
      <c r="EI38" s="856" t="str">
        <f t="shared" si="71"/>
        <v>ERR</v>
      </c>
      <c r="EJ38" s="822" t="str">
        <f t="shared" si="72"/>
        <v/>
      </c>
      <c r="EK38" s="822" t="str">
        <f t="shared" si="72"/>
        <v/>
      </c>
      <c r="EL38" s="1293" t="str">
        <f t="shared" si="73"/>
        <v/>
      </c>
      <c r="EM38" s="822" t="str">
        <f t="shared" si="74"/>
        <v/>
      </c>
      <c r="EN38" s="822" t="str">
        <f t="shared" si="75"/>
        <v/>
      </c>
      <c r="EO38" s="856" t="str">
        <f t="shared" si="76"/>
        <v>ERR</v>
      </c>
      <c r="EP38" s="856" t="str">
        <f t="shared" si="77"/>
        <v>ERR</v>
      </c>
      <c r="EQ38" s="1293" t="str">
        <f t="shared" si="78"/>
        <v/>
      </c>
      <c r="ER38" s="822" t="str">
        <f t="shared" si="78"/>
        <v/>
      </c>
      <c r="ES38" s="822" t="str">
        <f t="shared" si="79"/>
        <v/>
      </c>
      <c r="ET38" s="822" t="str">
        <f t="shared" si="80"/>
        <v/>
      </c>
      <c r="EU38" s="829">
        <f t="shared" si="81"/>
        <v>4</v>
      </c>
      <c r="EV38" s="824" t="str">
        <f t="shared" si="82"/>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83"/>
        <v/>
      </c>
      <c r="FA38" s="829" t="str">
        <f>IF(AND(DE38="G", ISBLANK(BW38), ISBLANK(BX38)),VLOOKUP(MIN(BT38:BU38),TblJoistSize!$M$3:$N$10,2),IF(OR(DE38="B", DE38="G"),MIN(BW38:BX38),""))</f>
        <v/>
      </c>
      <c r="FB38" s="829" t="str">
        <f>IF(AND(DE38="G", ISBLANK(BW38), ISBLANK(BX38)),VLOOKUP(MAX(BT38:BU38),TblJoistSize!$M$3:$N$10,2),IF(OR(DE38="B", DE38="G"),MAX(BW38:BX38),""))</f>
        <v/>
      </c>
      <c r="FC38" s="829" t="str">
        <f t="shared" si="84"/>
        <v/>
      </c>
      <c r="FD38" s="821">
        <f t="shared" si="107"/>
        <v>0</v>
      </c>
      <c r="FE38" s="821">
        <f t="shared" si="85"/>
        <v>0</v>
      </c>
      <c r="FF38" s="821">
        <f t="shared" si="86"/>
        <v>0</v>
      </c>
      <c r="FG38" s="821" t="str">
        <f t="shared" si="87"/>
        <v/>
      </c>
      <c r="FH38" s="822" t="str">
        <f t="shared" si="88"/>
        <v/>
      </c>
      <c r="FI38" s="821">
        <f t="shared" si="108"/>
        <v>0</v>
      </c>
      <c r="FJ38" s="821">
        <f t="shared" si="89"/>
        <v>0</v>
      </c>
      <c r="FK38" s="821">
        <f t="shared" si="90"/>
        <v>0</v>
      </c>
      <c r="FL38" s="821" t="str">
        <f t="shared" si="91"/>
        <v/>
      </c>
      <c r="FM38" s="822" t="str">
        <f t="shared" si="92"/>
        <v/>
      </c>
      <c r="FN38" s="822" t="e">
        <f t="shared" si="93"/>
        <v>#VALUE!</v>
      </c>
      <c r="FO38" s="940" t="e">
        <f t="shared" si="94"/>
        <v>#VALUE!</v>
      </c>
      <c r="FP38" s="940" t="e">
        <f t="shared" si="95"/>
        <v>#VALUE!</v>
      </c>
      <c r="FQ38" s="830" t="e">
        <f t="shared" si="96"/>
        <v>#VALUE!</v>
      </c>
      <c r="FR38" s="831" t="e">
        <f t="shared" si="97"/>
        <v>#VALUE!</v>
      </c>
      <c r="FS38" s="832" t="str">
        <f t="shared" si="98"/>
        <v/>
      </c>
      <c r="FT38" s="833" t="str">
        <f t="shared" si="99"/>
        <v/>
      </c>
      <c r="FU38" s="870">
        <f t="shared" si="100"/>
        <v>0</v>
      </c>
      <c r="FV38" s="871">
        <f t="shared" si="101"/>
        <v>0</v>
      </c>
      <c r="GA38" s="1791">
        <v>40</v>
      </c>
      <c r="GB38" s="1792">
        <v>0.75</v>
      </c>
      <c r="GC38" s="1793">
        <v>-0.25</v>
      </c>
      <c r="GD38" s="1794">
        <v>-0.5</v>
      </c>
      <c r="GE38" s="1795">
        <f t="shared" si="102"/>
        <v>0</v>
      </c>
      <c r="GF38" s="600" t="str">
        <f t="shared" si="103"/>
        <v>J64</v>
      </c>
      <c r="GG38" s="1130">
        <v>0</v>
      </c>
      <c r="GH38" s="1131">
        <v>0</v>
      </c>
      <c r="GI38" s="1130"/>
      <c r="GJ38" s="1131"/>
      <c r="GK38" s="1638">
        <f t="shared" si="104"/>
        <v>480</v>
      </c>
      <c r="GL38" s="1636">
        <f t="shared" si="105"/>
        <v>480</v>
      </c>
      <c r="GM38" s="1637">
        <f>IF(ABS(GK38-GL38)&gt;='Job Info.'!$L$22,ABS(GK38-GL38),0)</f>
        <v>0</v>
      </c>
      <c r="HA38" s="1269" t="s">
        <v>1494</v>
      </c>
      <c r="HB38" s="1270">
        <v>2</v>
      </c>
      <c r="HC38" s="1270" t="s">
        <v>1592</v>
      </c>
      <c r="HD38" s="1271">
        <v>40</v>
      </c>
      <c r="HE38" s="1272">
        <v>0</v>
      </c>
      <c r="HF38" s="1270" t="s">
        <v>116</v>
      </c>
      <c r="HG38" s="1270" t="s">
        <v>116</v>
      </c>
      <c r="HH38" s="1270" t="s">
        <v>116</v>
      </c>
      <c r="HI38" s="1273" t="s">
        <v>116</v>
      </c>
      <c r="HJ38" s="1270" t="s">
        <v>116</v>
      </c>
      <c r="HK38" s="1270" t="s">
        <v>116</v>
      </c>
      <c r="HL38" s="1270">
        <v>5</v>
      </c>
      <c r="HM38" s="1270">
        <v>5</v>
      </c>
      <c r="HN38" s="1270" t="s">
        <v>116</v>
      </c>
      <c r="HO38" s="1270" t="s">
        <v>116</v>
      </c>
      <c r="HP38" s="1270" t="s">
        <v>116</v>
      </c>
      <c r="HQ38" s="1273" t="s">
        <v>116</v>
      </c>
      <c r="HR38" s="1270" t="s">
        <v>116</v>
      </c>
      <c r="HS38" s="1270" t="s">
        <v>116</v>
      </c>
      <c r="HT38" s="1270">
        <v>0</v>
      </c>
      <c r="HU38" s="1270">
        <v>2.25</v>
      </c>
      <c r="HV38" s="1270">
        <v>0</v>
      </c>
      <c r="HW38" s="1272">
        <v>2</v>
      </c>
      <c r="HX38" s="1272">
        <v>4</v>
      </c>
      <c r="HY38" s="1272" t="s">
        <v>116</v>
      </c>
      <c r="HZ38" s="1272" t="s">
        <v>116</v>
      </c>
      <c r="IA38" s="1272" t="s">
        <v>1682</v>
      </c>
      <c r="IB38" s="1272"/>
      <c r="IC38" s="1272"/>
      <c r="ID38" s="1272"/>
      <c r="IE38" s="1272"/>
      <c r="IF38" s="1274"/>
    </row>
    <row r="39" spans="1:240" ht="12.6" customHeight="1" x14ac:dyDescent="0.25">
      <c r="A39" s="1448" t="s">
        <v>1495</v>
      </c>
      <c r="B39" s="1681">
        <v>1</v>
      </c>
      <c r="C39" s="1449" t="s">
        <v>1592</v>
      </c>
      <c r="D39" s="1705">
        <v>40</v>
      </c>
      <c r="E39" s="1706">
        <v>0</v>
      </c>
      <c r="F39" s="1714" t="str">
        <f t="shared" si="1"/>
        <v/>
      </c>
      <c r="G39" s="1709" t="str">
        <f t="shared" si="2"/>
        <v/>
      </c>
      <c r="H39" s="1779" t="str">
        <f t="shared" si="3"/>
        <v/>
      </c>
      <c r="I39" s="1705" t="str">
        <f t="shared" si="4"/>
        <v/>
      </c>
      <c r="J39" s="1709" t="str">
        <f t="shared" si="5"/>
        <v/>
      </c>
      <c r="K39" s="1796" t="str">
        <f t="shared" si="6"/>
        <v/>
      </c>
      <c r="L39" s="1712">
        <v>5</v>
      </c>
      <c r="M39" s="1713">
        <v>5</v>
      </c>
      <c r="N39" s="1708" t="str">
        <f t="shared" si="7"/>
        <v/>
      </c>
      <c r="O39" s="1709" t="str">
        <f t="shared" si="8"/>
        <v/>
      </c>
      <c r="P39" s="1710" t="str">
        <f t="shared" si="9"/>
        <v/>
      </c>
      <c r="Q39" s="1705" t="str">
        <f t="shared" si="10"/>
        <v/>
      </c>
      <c r="R39" s="1709" t="str">
        <f t="shared" si="11"/>
        <v/>
      </c>
      <c r="S39" s="1711" t="str">
        <f t="shared" si="12"/>
        <v/>
      </c>
      <c r="T39" s="1714">
        <v>0</v>
      </c>
      <c r="U39" s="1709">
        <v>2.25</v>
      </c>
      <c r="V39" s="1705">
        <v>0</v>
      </c>
      <c r="W39" s="1709">
        <v>2</v>
      </c>
      <c r="X39" s="1713">
        <v>4</v>
      </c>
      <c r="Y39" s="1781" t="str">
        <f t="shared" si="13"/>
        <v/>
      </c>
      <c r="Z39" s="1782" t="str">
        <f t="shared" si="14"/>
        <v/>
      </c>
      <c r="AA39" s="1783" t="s">
        <v>1766</v>
      </c>
      <c r="AB39" s="1413"/>
      <c r="AC39" s="964" t="b">
        <v>0</v>
      </c>
      <c r="AD39" s="441">
        <f t="shared" si="15"/>
        <v>0</v>
      </c>
      <c r="AE39" s="442">
        <f t="shared" si="16"/>
        <v>1</v>
      </c>
      <c r="AF39" s="442">
        <f t="shared" si="17"/>
        <v>0</v>
      </c>
      <c r="AG39" s="442">
        <f t="shared" si="18"/>
        <v>0</v>
      </c>
      <c r="AH39" s="443">
        <f t="shared" si="19"/>
        <v>0</v>
      </c>
      <c r="AI39" s="444" t="b">
        <v>0</v>
      </c>
      <c r="AJ39" s="238">
        <f t="shared" si="20"/>
        <v>32</v>
      </c>
      <c r="AK39" s="830" t="str">
        <f t="shared" si="21"/>
        <v>LH</v>
      </c>
      <c r="AL39" s="945" t="str">
        <f t="shared" si="22"/>
        <v/>
      </c>
      <c r="AM39" s="830">
        <f t="shared" si="23"/>
        <v>305</v>
      </c>
      <c r="AN39" s="830">
        <f t="shared" si="24"/>
        <v>180</v>
      </c>
      <c r="AO39" s="830" t="str">
        <f t="shared" si="25"/>
        <v/>
      </c>
      <c r="AP39" s="830" t="b">
        <f>IF(ISERROR(AJ39),FALSE,IF(OR(AJ39=0,ISERROR(AL39),ISERROR(AM39),ISERROR(AN39),ISERROR(AO39)),FALSE,IF(AL39&lt;&gt;"",IF(ISERROR(VLOOKUP(SUBSTITUTE(SUBSTITUTE(C39,"R",""),"A",""),TblJoistSize!$A:$A,1,FALSE)),FALSE,TRUE),TRUE)))</f>
        <v>1</v>
      </c>
      <c r="AQ39" s="1038">
        <f t="shared" si="26"/>
        <v>6</v>
      </c>
      <c r="AR39" s="945" t="b">
        <f t="shared" si="27"/>
        <v>1</v>
      </c>
      <c r="AS39" s="1038">
        <f t="shared" si="28"/>
        <v>6</v>
      </c>
      <c r="AT39" s="945" t="b">
        <f t="shared" si="29"/>
        <v>1</v>
      </c>
      <c r="AU39" s="946" t="str">
        <f t="shared" si="30"/>
        <v>LH</v>
      </c>
      <c r="AV39" s="830" t="str">
        <f t="shared" si="31"/>
        <v/>
      </c>
      <c r="AW39" s="830" t="str">
        <f t="shared" si="32"/>
        <v>LH</v>
      </c>
      <c r="AX39" s="830" t="str">
        <f t="shared" si="106"/>
        <v>J65</v>
      </c>
      <c r="AY39" s="1039" t="b">
        <f t="shared" si="33"/>
        <v>0</v>
      </c>
      <c r="AZ39" s="856" t="b">
        <f t="shared" si="34"/>
        <v>0</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35"/>
        <v/>
      </c>
      <c r="BR39" s="910"/>
      <c r="BS39" s="672"/>
      <c r="BT39" s="713"/>
      <c r="BU39" s="714"/>
      <c r="BV39" s="1625"/>
      <c r="BW39" s="713"/>
      <c r="BX39" s="714"/>
      <c r="BY39" s="715"/>
      <c r="BZ39" s="716"/>
      <c r="CA39" s="680" t="str">
        <f>IF(ISERROR(DE39),"",IF(DE39="","",IF(VLOOKUP(BS39,SectInfo!$B:$N,10,FALSE)="","","X")))</f>
        <v/>
      </c>
      <c r="CB39" s="738"/>
      <c r="CC39" s="1551" t="str">
        <f t="shared" si="36"/>
        <v/>
      </c>
      <c r="CD39" s="910"/>
      <c r="CE39" s="717"/>
      <c r="CF39" s="736"/>
      <c r="CG39" s="737"/>
      <c r="CH39" s="591" t="str">
        <f t="shared" si="37"/>
        <v/>
      </c>
      <c r="CI39" s="592" t="str">
        <f t="shared" si="38"/>
        <v/>
      </c>
      <c r="CJ39" s="593" t="str">
        <f t="shared" si="39"/>
        <v/>
      </c>
      <c r="CK39" s="594" t="str">
        <f t="shared" si="40"/>
        <v/>
      </c>
      <c r="CL39" s="595" t="str">
        <f t="shared" si="41"/>
        <v/>
      </c>
      <c r="CM39" s="596" t="str">
        <f t="shared" si="42"/>
        <v/>
      </c>
      <c r="CN39" s="597" t="str">
        <f t="shared" si="43"/>
        <v/>
      </c>
      <c r="CO39" s="598" t="str">
        <f t="shared" si="44"/>
        <v/>
      </c>
      <c r="CP39" s="615" t="str">
        <f t="shared" si="45"/>
        <v/>
      </c>
      <c r="CQ39" s="616" t="str">
        <f t="shared" si="46"/>
        <v/>
      </c>
      <c r="CR39" s="750">
        <f t="shared" si="47"/>
        <v>5</v>
      </c>
      <c r="CS39" s="751">
        <f t="shared" si="48"/>
        <v>5</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49"/>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50"/>
        <v>0</v>
      </c>
      <c r="DO39" s="818">
        <f t="shared" si="51"/>
        <v>0</v>
      </c>
      <c r="DP39" s="822" t="str">
        <f t="shared" si="52"/>
        <v/>
      </c>
      <c r="DQ39" s="822" t="str">
        <f t="shared" si="53"/>
        <v/>
      </c>
      <c r="DR39" s="822" t="str">
        <f t="shared" si="54"/>
        <v/>
      </c>
      <c r="DS39" s="821">
        <f t="shared" si="55"/>
        <v>0</v>
      </c>
      <c r="DT39" s="821">
        <f t="shared" si="56"/>
        <v>0</v>
      </c>
      <c r="DU39" s="821" t="str">
        <f t="shared" si="57"/>
        <v/>
      </c>
      <c r="DV39" s="822" t="str">
        <f t="shared" si="58"/>
        <v/>
      </c>
      <c r="DW39" s="856" t="str">
        <f t="shared" si="59"/>
        <v/>
      </c>
      <c r="DX39" s="1006">
        <f t="shared" si="60"/>
        <v>0</v>
      </c>
      <c r="DY39" s="822">
        <f t="shared" si="61"/>
        <v>0</v>
      </c>
      <c r="DZ39" s="821">
        <f t="shared" si="62"/>
        <v>0</v>
      </c>
      <c r="EA39" s="821" t="str">
        <f t="shared" si="63"/>
        <v/>
      </c>
      <c r="EB39" s="822" t="str">
        <f t="shared" si="64"/>
        <v/>
      </c>
      <c r="EC39" s="856" t="str">
        <f t="shared" si="65"/>
        <v/>
      </c>
      <c r="ED39" s="1006">
        <f t="shared" si="66"/>
        <v>0</v>
      </c>
      <c r="EE39" s="1293" t="str">
        <f t="shared" si="67"/>
        <v/>
      </c>
      <c r="EF39" s="1293" t="str">
        <f t="shared" si="68"/>
        <v/>
      </c>
      <c r="EG39" s="1293" t="str">
        <f t="shared" si="69"/>
        <v/>
      </c>
      <c r="EH39" s="856" t="str">
        <f t="shared" si="70"/>
        <v>ERR</v>
      </c>
      <c r="EI39" s="856" t="str">
        <f t="shared" si="71"/>
        <v>ERR</v>
      </c>
      <c r="EJ39" s="822" t="str">
        <f t="shared" si="72"/>
        <v/>
      </c>
      <c r="EK39" s="822" t="str">
        <f t="shared" si="72"/>
        <v/>
      </c>
      <c r="EL39" s="1293" t="str">
        <f t="shared" si="73"/>
        <v/>
      </c>
      <c r="EM39" s="822" t="str">
        <f t="shared" si="74"/>
        <v/>
      </c>
      <c r="EN39" s="822" t="str">
        <f t="shared" si="75"/>
        <v/>
      </c>
      <c r="EO39" s="856" t="str">
        <f t="shared" si="76"/>
        <v>ERR</v>
      </c>
      <c r="EP39" s="856" t="str">
        <f t="shared" si="77"/>
        <v>ERR</v>
      </c>
      <c r="EQ39" s="1293" t="str">
        <f t="shared" si="78"/>
        <v/>
      </c>
      <c r="ER39" s="822" t="str">
        <f t="shared" si="78"/>
        <v/>
      </c>
      <c r="ES39" s="822" t="str">
        <f t="shared" si="79"/>
        <v/>
      </c>
      <c r="ET39" s="822" t="str">
        <f t="shared" si="80"/>
        <v/>
      </c>
      <c r="EU39" s="829">
        <f t="shared" si="81"/>
        <v>4</v>
      </c>
      <c r="EV39" s="824" t="str">
        <f t="shared" si="82"/>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83"/>
        <v/>
      </c>
      <c r="FA39" s="829" t="str">
        <f>IF(AND(DE39="G", ISBLANK(BW39), ISBLANK(BX39)),VLOOKUP(MIN(BT39:BU39),TblJoistSize!$M$3:$N$10,2),IF(OR(DE39="B", DE39="G"),MIN(BW39:BX39),""))</f>
        <v/>
      </c>
      <c r="FB39" s="829" t="str">
        <f>IF(AND(DE39="G", ISBLANK(BW39), ISBLANK(BX39)),VLOOKUP(MAX(BT39:BU39),TblJoistSize!$M$3:$N$10,2),IF(OR(DE39="B", DE39="G"),MAX(BW39:BX39),""))</f>
        <v/>
      </c>
      <c r="FC39" s="829" t="str">
        <f t="shared" si="84"/>
        <v/>
      </c>
      <c r="FD39" s="821">
        <f t="shared" si="107"/>
        <v>0</v>
      </c>
      <c r="FE39" s="821">
        <f t="shared" si="85"/>
        <v>0</v>
      </c>
      <c r="FF39" s="821">
        <f t="shared" si="86"/>
        <v>0</v>
      </c>
      <c r="FG39" s="821" t="str">
        <f t="shared" si="87"/>
        <v/>
      </c>
      <c r="FH39" s="822" t="str">
        <f t="shared" si="88"/>
        <v/>
      </c>
      <c r="FI39" s="821">
        <f t="shared" si="108"/>
        <v>0</v>
      </c>
      <c r="FJ39" s="821">
        <f t="shared" si="89"/>
        <v>0</v>
      </c>
      <c r="FK39" s="821">
        <f t="shared" si="90"/>
        <v>0</v>
      </c>
      <c r="FL39" s="821" t="str">
        <f t="shared" si="91"/>
        <v/>
      </c>
      <c r="FM39" s="822" t="str">
        <f t="shared" si="92"/>
        <v/>
      </c>
      <c r="FN39" s="822" t="e">
        <f t="shared" si="93"/>
        <v>#VALUE!</v>
      </c>
      <c r="FO39" s="940" t="e">
        <f t="shared" si="94"/>
        <v>#VALUE!</v>
      </c>
      <c r="FP39" s="940" t="e">
        <f t="shared" si="95"/>
        <v>#VALUE!</v>
      </c>
      <c r="FQ39" s="830" t="e">
        <f t="shared" si="96"/>
        <v>#VALUE!</v>
      </c>
      <c r="FR39" s="831" t="e">
        <f t="shared" si="97"/>
        <v>#VALUE!</v>
      </c>
      <c r="FS39" s="832" t="str">
        <f t="shared" si="98"/>
        <v/>
      </c>
      <c r="FT39" s="833" t="str">
        <f t="shared" si="99"/>
        <v/>
      </c>
      <c r="FU39" s="870">
        <f t="shared" si="100"/>
        <v>0</v>
      </c>
      <c r="FV39" s="871">
        <f t="shared" si="101"/>
        <v>0</v>
      </c>
      <c r="GA39" s="1791">
        <v>40</v>
      </c>
      <c r="GB39" s="1792">
        <v>0.75</v>
      </c>
      <c r="GC39" s="1793">
        <v>-0.25</v>
      </c>
      <c r="GD39" s="1794">
        <v>-0.5</v>
      </c>
      <c r="GE39" s="1795">
        <f t="shared" si="102"/>
        <v>0</v>
      </c>
      <c r="GF39" s="600" t="str">
        <f t="shared" si="103"/>
        <v>J65</v>
      </c>
      <c r="GG39" s="1130">
        <v>0</v>
      </c>
      <c r="GH39" s="1131">
        <v>0</v>
      </c>
      <c r="GI39" s="1130"/>
      <c r="GJ39" s="1131"/>
      <c r="GK39" s="1638">
        <f t="shared" si="104"/>
        <v>480</v>
      </c>
      <c r="GL39" s="1636">
        <f t="shared" si="105"/>
        <v>480</v>
      </c>
      <c r="GM39" s="1637">
        <f>IF(ABS(GK39-GL39)&gt;='Job Info.'!$L$22,ABS(GK39-GL39),0)</f>
        <v>0</v>
      </c>
      <c r="HA39" s="1269" t="s">
        <v>1495</v>
      </c>
      <c r="HB39" s="1270">
        <v>1</v>
      </c>
      <c r="HC39" s="1270" t="s">
        <v>1592</v>
      </c>
      <c r="HD39" s="1271">
        <v>40</v>
      </c>
      <c r="HE39" s="1272">
        <v>0</v>
      </c>
      <c r="HF39" s="1270" t="s">
        <v>116</v>
      </c>
      <c r="HG39" s="1270" t="s">
        <v>116</v>
      </c>
      <c r="HH39" s="1270" t="s">
        <v>116</v>
      </c>
      <c r="HI39" s="1273" t="s">
        <v>116</v>
      </c>
      <c r="HJ39" s="1270" t="s">
        <v>116</v>
      </c>
      <c r="HK39" s="1270" t="s">
        <v>116</v>
      </c>
      <c r="HL39" s="1270">
        <v>5</v>
      </c>
      <c r="HM39" s="1270">
        <v>5</v>
      </c>
      <c r="HN39" s="1270" t="s">
        <v>116</v>
      </c>
      <c r="HO39" s="1270" t="s">
        <v>116</v>
      </c>
      <c r="HP39" s="1270" t="s">
        <v>116</v>
      </c>
      <c r="HQ39" s="1273" t="s">
        <v>116</v>
      </c>
      <c r="HR39" s="1270" t="s">
        <v>116</v>
      </c>
      <c r="HS39" s="1270" t="s">
        <v>116</v>
      </c>
      <c r="HT39" s="1270">
        <v>0</v>
      </c>
      <c r="HU39" s="1270">
        <v>2.25</v>
      </c>
      <c r="HV39" s="1270">
        <v>0</v>
      </c>
      <c r="HW39" s="1272">
        <v>2</v>
      </c>
      <c r="HX39" s="1272">
        <v>4</v>
      </c>
      <c r="HY39" s="1272" t="s">
        <v>116</v>
      </c>
      <c r="HZ39" s="1272" t="s">
        <v>116</v>
      </c>
      <c r="IA39" s="1272" t="s">
        <v>1683</v>
      </c>
      <c r="IB39" s="1272"/>
      <c r="IC39" s="1272"/>
      <c r="ID39" s="1272"/>
      <c r="IE39" s="1272"/>
      <c r="IF39" s="1274"/>
    </row>
    <row r="40" spans="1:240" ht="12.6" customHeight="1" x14ac:dyDescent="0.25">
      <c r="A40" s="1448" t="s">
        <v>1496</v>
      </c>
      <c r="B40" s="1681">
        <v>1</v>
      </c>
      <c r="C40" s="1449" t="s">
        <v>1592</v>
      </c>
      <c r="D40" s="1705">
        <v>40</v>
      </c>
      <c r="E40" s="1706">
        <v>0</v>
      </c>
      <c r="F40" s="1714" t="str">
        <f t="shared" si="1"/>
        <v/>
      </c>
      <c r="G40" s="1709" t="str">
        <f t="shared" si="2"/>
        <v/>
      </c>
      <c r="H40" s="1779" t="str">
        <f t="shared" si="3"/>
        <v/>
      </c>
      <c r="I40" s="1705" t="str">
        <f t="shared" si="4"/>
        <v/>
      </c>
      <c r="J40" s="1709" t="str">
        <f t="shared" si="5"/>
        <v/>
      </c>
      <c r="K40" s="1796" t="str">
        <f t="shared" si="6"/>
        <v/>
      </c>
      <c r="L40" s="1712">
        <v>5</v>
      </c>
      <c r="M40" s="1713">
        <v>5</v>
      </c>
      <c r="N40" s="1708" t="str">
        <f t="shared" si="7"/>
        <v/>
      </c>
      <c r="O40" s="1709" t="str">
        <f t="shared" si="8"/>
        <v/>
      </c>
      <c r="P40" s="1710" t="str">
        <f t="shared" si="9"/>
        <v/>
      </c>
      <c r="Q40" s="1705" t="str">
        <f t="shared" si="10"/>
        <v/>
      </c>
      <c r="R40" s="1709" t="str">
        <f t="shared" si="11"/>
        <v/>
      </c>
      <c r="S40" s="1711" t="str">
        <f t="shared" si="12"/>
        <v/>
      </c>
      <c r="T40" s="1714">
        <v>0</v>
      </c>
      <c r="U40" s="1709">
        <v>2.25</v>
      </c>
      <c r="V40" s="1705">
        <v>0</v>
      </c>
      <c r="W40" s="1709">
        <v>2</v>
      </c>
      <c r="X40" s="1713">
        <v>4</v>
      </c>
      <c r="Y40" s="1781" t="str">
        <f t="shared" si="13"/>
        <v/>
      </c>
      <c r="Z40" s="1782" t="str">
        <f t="shared" si="14"/>
        <v/>
      </c>
      <c r="AA40" s="1783" t="s">
        <v>1767</v>
      </c>
      <c r="AB40" s="1413"/>
      <c r="AC40" s="964" t="b">
        <v>0</v>
      </c>
      <c r="AD40" s="441">
        <f t="shared" si="15"/>
        <v>0</v>
      </c>
      <c r="AE40" s="442">
        <f t="shared" si="16"/>
        <v>1</v>
      </c>
      <c r="AF40" s="442">
        <f t="shared" si="17"/>
        <v>0</v>
      </c>
      <c r="AG40" s="442">
        <f t="shared" si="18"/>
        <v>0</v>
      </c>
      <c r="AH40" s="443">
        <f t="shared" si="19"/>
        <v>0</v>
      </c>
      <c r="AI40" s="444" t="b">
        <v>0</v>
      </c>
      <c r="AJ40" s="238">
        <f t="shared" si="20"/>
        <v>32</v>
      </c>
      <c r="AK40" s="830" t="str">
        <f t="shared" si="21"/>
        <v>LH</v>
      </c>
      <c r="AL40" s="945" t="str">
        <f t="shared" si="22"/>
        <v/>
      </c>
      <c r="AM40" s="830">
        <f t="shared" si="23"/>
        <v>305</v>
      </c>
      <c r="AN40" s="830">
        <f t="shared" si="24"/>
        <v>180</v>
      </c>
      <c r="AO40" s="830" t="str">
        <f t="shared" si="25"/>
        <v/>
      </c>
      <c r="AP40" s="830" t="b">
        <f>IF(ISERROR(AJ40),FALSE,IF(OR(AJ40=0,ISERROR(AL40),ISERROR(AM40),ISERROR(AN40),ISERROR(AO40)),FALSE,IF(AL40&lt;&gt;"",IF(ISERROR(VLOOKUP(SUBSTITUTE(SUBSTITUTE(C40,"R",""),"A",""),TblJoistSize!$A:$A,1,FALSE)),FALSE,TRUE),TRUE)))</f>
        <v>1</v>
      </c>
      <c r="AQ40" s="1038">
        <f t="shared" si="26"/>
        <v>6</v>
      </c>
      <c r="AR40" s="945" t="b">
        <f t="shared" si="27"/>
        <v>1</v>
      </c>
      <c r="AS40" s="1038">
        <f t="shared" si="28"/>
        <v>6</v>
      </c>
      <c r="AT40" s="945" t="b">
        <f t="shared" si="29"/>
        <v>1</v>
      </c>
      <c r="AU40" s="946" t="str">
        <f t="shared" si="30"/>
        <v>LH</v>
      </c>
      <c r="AV40" s="830" t="str">
        <f t="shared" si="31"/>
        <v/>
      </c>
      <c r="AW40" s="830" t="str">
        <f t="shared" si="32"/>
        <v>LH</v>
      </c>
      <c r="AX40" s="830" t="str">
        <f t="shared" si="106"/>
        <v>J66</v>
      </c>
      <c r="AY40" s="1039" t="b">
        <f t="shared" si="33"/>
        <v>0</v>
      </c>
      <c r="AZ40" s="856" t="b">
        <f t="shared" si="34"/>
        <v>0</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35"/>
        <v/>
      </c>
      <c r="BR40" s="910"/>
      <c r="BS40" s="672"/>
      <c r="BT40" s="713"/>
      <c r="BU40" s="714"/>
      <c r="BV40" s="1625"/>
      <c r="BW40" s="713"/>
      <c r="BX40" s="714"/>
      <c r="BY40" s="715"/>
      <c r="BZ40" s="716"/>
      <c r="CA40" s="680" t="str">
        <f>IF(ISERROR(DE40),"",IF(DE40="","",IF(VLOOKUP(BS40,SectInfo!$B:$N,10,FALSE)="","","X")))</f>
        <v/>
      </c>
      <c r="CB40" s="738"/>
      <c r="CC40" s="1551" t="str">
        <f t="shared" si="36"/>
        <v/>
      </c>
      <c r="CD40" s="910"/>
      <c r="CE40" s="717"/>
      <c r="CF40" s="736"/>
      <c r="CG40" s="737"/>
      <c r="CH40" s="591" t="str">
        <f t="shared" si="37"/>
        <v/>
      </c>
      <c r="CI40" s="592" t="str">
        <f t="shared" si="38"/>
        <v/>
      </c>
      <c r="CJ40" s="593" t="str">
        <f t="shared" si="39"/>
        <v/>
      </c>
      <c r="CK40" s="594" t="str">
        <f t="shared" si="40"/>
        <v/>
      </c>
      <c r="CL40" s="595" t="str">
        <f t="shared" si="41"/>
        <v/>
      </c>
      <c r="CM40" s="596" t="str">
        <f t="shared" si="42"/>
        <v/>
      </c>
      <c r="CN40" s="597" t="str">
        <f t="shared" si="43"/>
        <v/>
      </c>
      <c r="CO40" s="598" t="str">
        <f t="shared" si="44"/>
        <v/>
      </c>
      <c r="CP40" s="615" t="str">
        <f t="shared" si="45"/>
        <v/>
      </c>
      <c r="CQ40" s="616" t="str">
        <f t="shared" si="46"/>
        <v/>
      </c>
      <c r="CR40" s="750">
        <f t="shared" si="47"/>
        <v>5</v>
      </c>
      <c r="CS40" s="751">
        <f t="shared" si="48"/>
        <v>5</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49"/>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50"/>
        <v>0</v>
      </c>
      <c r="DO40" s="818">
        <f t="shared" si="51"/>
        <v>0</v>
      </c>
      <c r="DP40" s="822" t="str">
        <f t="shared" si="52"/>
        <v/>
      </c>
      <c r="DQ40" s="822" t="str">
        <f t="shared" si="53"/>
        <v/>
      </c>
      <c r="DR40" s="822" t="str">
        <f t="shared" si="54"/>
        <v/>
      </c>
      <c r="DS40" s="821">
        <f t="shared" si="55"/>
        <v>0</v>
      </c>
      <c r="DT40" s="821">
        <f t="shared" si="56"/>
        <v>0</v>
      </c>
      <c r="DU40" s="821" t="str">
        <f t="shared" si="57"/>
        <v/>
      </c>
      <c r="DV40" s="822" t="str">
        <f t="shared" si="58"/>
        <v/>
      </c>
      <c r="DW40" s="856" t="str">
        <f t="shared" si="59"/>
        <v/>
      </c>
      <c r="DX40" s="1006">
        <f t="shared" si="60"/>
        <v>0</v>
      </c>
      <c r="DY40" s="822">
        <f t="shared" si="61"/>
        <v>0</v>
      </c>
      <c r="DZ40" s="821">
        <f t="shared" si="62"/>
        <v>0</v>
      </c>
      <c r="EA40" s="821" t="str">
        <f t="shared" si="63"/>
        <v/>
      </c>
      <c r="EB40" s="822" t="str">
        <f t="shared" si="64"/>
        <v/>
      </c>
      <c r="EC40" s="856" t="str">
        <f t="shared" si="65"/>
        <v/>
      </c>
      <c r="ED40" s="1006">
        <f t="shared" si="66"/>
        <v>0</v>
      </c>
      <c r="EE40" s="1293" t="str">
        <f t="shared" si="67"/>
        <v/>
      </c>
      <c r="EF40" s="1293" t="str">
        <f t="shared" si="68"/>
        <v/>
      </c>
      <c r="EG40" s="1293" t="str">
        <f t="shared" si="69"/>
        <v/>
      </c>
      <c r="EH40" s="856" t="str">
        <f t="shared" si="70"/>
        <v>ERR</v>
      </c>
      <c r="EI40" s="856" t="str">
        <f t="shared" si="71"/>
        <v>ERR</v>
      </c>
      <c r="EJ40" s="822" t="str">
        <f t="shared" si="72"/>
        <v/>
      </c>
      <c r="EK40" s="822" t="str">
        <f t="shared" si="72"/>
        <v/>
      </c>
      <c r="EL40" s="1293" t="str">
        <f t="shared" si="73"/>
        <v/>
      </c>
      <c r="EM40" s="822" t="str">
        <f t="shared" si="74"/>
        <v/>
      </c>
      <c r="EN40" s="822" t="str">
        <f t="shared" si="75"/>
        <v/>
      </c>
      <c r="EO40" s="856" t="str">
        <f t="shared" si="76"/>
        <v>ERR</v>
      </c>
      <c r="EP40" s="856" t="str">
        <f t="shared" si="77"/>
        <v>ERR</v>
      </c>
      <c r="EQ40" s="1293" t="str">
        <f t="shared" si="78"/>
        <v/>
      </c>
      <c r="ER40" s="822" t="str">
        <f t="shared" si="78"/>
        <v/>
      </c>
      <c r="ES40" s="822" t="str">
        <f t="shared" si="79"/>
        <v/>
      </c>
      <c r="ET40" s="822" t="str">
        <f t="shared" si="80"/>
        <v/>
      </c>
      <c r="EU40" s="829">
        <f t="shared" si="81"/>
        <v>4</v>
      </c>
      <c r="EV40" s="824" t="str">
        <f t="shared" si="82"/>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83"/>
        <v/>
      </c>
      <c r="FA40" s="829" t="str">
        <f>IF(AND(DE40="G", ISBLANK(BW40), ISBLANK(BX40)),VLOOKUP(MIN(BT40:BU40),TblJoistSize!$M$3:$N$10,2),IF(OR(DE40="B", DE40="G"),MIN(BW40:BX40),""))</f>
        <v/>
      </c>
      <c r="FB40" s="829" t="str">
        <f>IF(AND(DE40="G", ISBLANK(BW40), ISBLANK(BX40)),VLOOKUP(MAX(BT40:BU40),TblJoistSize!$M$3:$N$10,2),IF(OR(DE40="B", DE40="G"),MAX(BW40:BX40),""))</f>
        <v/>
      </c>
      <c r="FC40" s="829" t="str">
        <f t="shared" si="84"/>
        <v/>
      </c>
      <c r="FD40" s="821">
        <f t="shared" si="107"/>
        <v>0</v>
      </c>
      <c r="FE40" s="821">
        <f t="shared" si="85"/>
        <v>0</v>
      </c>
      <c r="FF40" s="821">
        <f t="shared" si="86"/>
        <v>0</v>
      </c>
      <c r="FG40" s="821" t="str">
        <f t="shared" si="87"/>
        <v/>
      </c>
      <c r="FH40" s="822" t="str">
        <f t="shared" si="88"/>
        <v/>
      </c>
      <c r="FI40" s="821">
        <f t="shared" si="108"/>
        <v>0</v>
      </c>
      <c r="FJ40" s="821">
        <f t="shared" si="89"/>
        <v>0</v>
      </c>
      <c r="FK40" s="821">
        <f t="shared" si="90"/>
        <v>0</v>
      </c>
      <c r="FL40" s="821" t="str">
        <f t="shared" si="91"/>
        <v/>
      </c>
      <c r="FM40" s="822" t="str">
        <f t="shared" si="92"/>
        <v/>
      </c>
      <c r="FN40" s="822" t="e">
        <f t="shared" si="93"/>
        <v>#VALUE!</v>
      </c>
      <c r="FO40" s="940" t="e">
        <f t="shared" si="94"/>
        <v>#VALUE!</v>
      </c>
      <c r="FP40" s="940" t="e">
        <f t="shared" si="95"/>
        <v>#VALUE!</v>
      </c>
      <c r="FQ40" s="830" t="e">
        <f t="shared" si="96"/>
        <v>#VALUE!</v>
      </c>
      <c r="FR40" s="831" t="e">
        <f t="shared" si="97"/>
        <v>#VALUE!</v>
      </c>
      <c r="FS40" s="832" t="str">
        <f t="shared" si="98"/>
        <v/>
      </c>
      <c r="FT40" s="833" t="str">
        <f t="shared" si="99"/>
        <v/>
      </c>
      <c r="FU40" s="870">
        <f t="shared" si="100"/>
        <v>0</v>
      </c>
      <c r="FV40" s="871">
        <f t="shared" si="101"/>
        <v>0</v>
      </c>
      <c r="GA40" s="1791">
        <v>40</v>
      </c>
      <c r="GB40" s="1792">
        <v>0.75</v>
      </c>
      <c r="GC40" s="1793">
        <v>-0.25</v>
      </c>
      <c r="GD40" s="1794">
        <v>-0.5</v>
      </c>
      <c r="GE40" s="1795">
        <f t="shared" si="102"/>
        <v>0</v>
      </c>
      <c r="GF40" s="600" t="str">
        <f t="shared" si="103"/>
        <v>J66</v>
      </c>
      <c r="GG40" s="1130">
        <v>0</v>
      </c>
      <c r="GH40" s="1131">
        <v>0</v>
      </c>
      <c r="GI40" s="1130"/>
      <c r="GJ40" s="1131"/>
      <c r="GK40" s="1638">
        <f t="shared" si="104"/>
        <v>480</v>
      </c>
      <c r="GL40" s="1636">
        <f t="shared" si="105"/>
        <v>480</v>
      </c>
      <c r="GM40" s="1637">
        <f>IF(ABS(GK40-GL40)&gt;='Job Info.'!$L$22,ABS(GK40-GL40),0)</f>
        <v>0</v>
      </c>
      <c r="HA40" s="1269" t="s">
        <v>1496</v>
      </c>
      <c r="HB40" s="1270">
        <v>1</v>
      </c>
      <c r="HC40" s="1270" t="s">
        <v>1592</v>
      </c>
      <c r="HD40" s="1271">
        <v>40</v>
      </c>
      <c r="HE40" s="1272">
        <v>0</v>
      </c>
      <c r="HF40" s="1270" t="s">
        <v>116</v>
      </c>
      <c r="HG40" s="1270" t="s">
        <v>116</v>
      </c>
      <c r="HH40" s="1270" t="s">
        <v>116</v>
      </c>
      <c r="HI40" s="1273" t="s">
        <v>116</v>
      </c>
      <c r="HJ40" s="1270" t="s">
        <v>116</v>
      </c>
      <c r="HK40" s="1270" t="s">
        <v>116</v>
      </c>
      <c r="HL40" s="1270">
        <v>5</v>
      </c>
      <c r="HM40" s="1270">
        <v>5</v>
      </c>
      <c r="HN40" s="1270" t="s">
        <v>116</v>
      </c>
      <c r="HO40" s="1270" t="s">
        <v>116</v>
      </c>
      <c r="HP40" s="1270" t="s">
        <v>116</v>
      </c>
      <c r="HQ40" s="1273" t="s">
        <v>116</v>
      </c>
      <c r="HR40" s="1270" t="s">
        <v>116</v>
      </c>
      <c r="HS40" s="1270" t="s">
        <v>116</v>
      </c>
      <c r="HT40" s="1270">
        <v>0</v>
      </c>
      <c r="HU40" s="1270">
        <v>2.25</v>
      </c>
      <c r="HV40" s="1270">
        <v>0</v>
      </c>
      <c r="HW40" s="1272">
        <v>2</v>
      </c>
      <c r="HX40" s="1272">
        <v>4</v>
      </c>
      <c r="HY40" s="1272" t="s">
        <v>116</v>
      </c>
      <c r="HZ40" s="1272" t="s">
        <v>116</v>
      </c>
      <c r="IA40" s="1272" t="s">
        <v>1684</v>
      </c>
      <c r="IB40" s="1272"/>
      <c r="IC40" s="1272"/>
      <c r="ID40" s="1272"/>
      <c r="IE40" s="1272"/>
      <c r="IF40" s="1274"/>
    </row>
    <row r="41" spans="1:240" ht="12.6" customHeight="1" x14ac:dyDescent="0.25">
      <c r="A41" s="1448" t="str">
        <f t="shared" ref="A41:A44" si="109">IF(BB41="","",UPPER(BB41))</f>
        <v/>
      </c>
      <c r="B41" s="1681"/>
      <c r="C41" s="1449" t="str">
        <f t="shared" ref="C41:C44" si="110">IF(BD41="","",UPPER(BD41))</f>
        <v/>
      </c>
      <c r="D41" s="1705" t="str">
        <f t="shared" ref="D41:D44" si="111">IF(DP41="","",TRUNC(DP41/12))</f>
        <v/>
      </c>
      <c r="E41" s="1706" t="str">
        <f t="shared" ref="E41:E44" si="112">IF(DP41="","",DP41-(D41*12))</f>
        <v/>
      </c>
      <c r="F41" s="1714" t="str">
        <f t="shared" si="1"/>
        <v/>
      </c>
      <c r="G41" s="1709" t="str">
        <f t="shared" si="2"/>
        <v/>
      </c>
      <c r="H41" s="1779" t="str">
        <f t="shared" si="3"/>
        <v/>
      </c>
      <c r="I41" s="1705" t="str">
        <f t="shared" si="4"/>
        <v/>
      </c>
      <c r="J41" s="1709" t="str">
        <f t="shared" si="5"/>
        <v/>
      </c>
      <c r="K41" s="1796" t="str">
        <f t="shared" si="6"/>
        <v/>
      </c>
      <c r="L41" s="1712" t="str">
        <f t="shared" ref="L41:M44" si="113">DQ41</f>
        <v/>
      </c>
      <c r="M41" s="1713" t="str">
        <f t="shared" si="113"/>
        <v/>
      </c>
      <c r="N41" s="1708" t="str">
        <f t="shared" si="7"/>
        <v/>
      </c>
      <c r="O41" s="1709" t="str">
        <f t="shared" si="8"/>
        <v/>
      </c>
      <c r="P41" s="1710" t="str">
        <f t="shared" si="9"/>
        <v/>
      </c>
      <c r="Q41" s="1705" t="str">
        <f t="shared" si="10"/>
        <v/>
      </c>
      <c r="R41" s="1709" t="str">
        <f t="shared" si="11"/>
        <v/>
      </c>
      <c r="S41" s="1711" t="str">
        <f t="shared" si="12"/>
        <v/>
      </c>
      <c r="T41" s="1714" t="str">
        <f t="shared" ref="T41:T45" si="114">IF(CH41="ERR","",IF(EK41="","",IF(EK41="ERR",TRUNC(EJ41/12),TRUNC(EK41/12))))</f>
        <v/>
      </c>
      <c r="U41" s="1709" t="str">
        <f t="shared" ref="U41:U45" si="115">IF(CH41="ERR","",IF(EK41="","",IF(EK41="ERR",EJ41-(T41*12),EK41-(T41*12))))</f>
        <v/>
      </c>
      <c r="V41" s="1705" t="str">
        <f t="shared" ref="V41:V45" si="116">IF(CI41="ERR","",IF(ER41="","",IF(ER41="ERR",TRUNC(EQ41/12),TRUNC(ER41/12))))</f>
        <v/>
      </c>
      <c r="W41" s="1709" t="str">
        <f t="shared" ref="W41:W45" si="117">IF(CI41="ERR","",IF(ER41="","",IF(ER41="ERR",EQ41-(V41*12),ER41-(V41*12))))</f>
        <v/>
      </c>
      <c r="X41" s="1713">
        <f t="shared" ref="X41:X44" si="118">IF(EV41="",0,EV41)</f>
        <v>0</v>
      </c>
      <c r="Y41" s="1781" t="str">
        <f t="shared" si="13"/>
        <v/>
      </c>
      <c r="Z41" s="1782" t="str">
        <f t="shared" si="14"/>
        <v/>
      </c>
      <c r="AA41" s="1783" t="s">
        <v>116</v>
      </c>
      <c r="AB41" s="1413"/>
      <c r="AC41" s="964" t="b">
        <v>0</v>
      </c>
      <c r="AD41" s="441">
        <f t="shared" si="15"/>
        <v>0</v>
      </c>
      <c r="AE41" s="442">
        <f t="shared" si="16"/>
        <v>0</v>
      </c>
      <c r="AF41" s="442">
        <f t="shared" si="17"/>
        <v>0</v>
      </c>
      <c r="AG41" s="442">
        <f t="shared" si="18"/>
        <v>0</v>
      </c>
      <c r="AH41" s="443">
        <f t="shared" si="19"/>
        <v>0</v>
      </c>
      <c r="AI41" s="444" t="b">
        <v>0</v>
      </c>
      <c r="AJ41" s="238">
        <f t="shared" si="20"/>
        <v>0</v>
      </c>
      <c r="AK41" s="830" t="str">
        <f t="shared" si="21"/>
        <v/>
      </c>
      <c r="AL41" s="945" t="str">
        <f t="shared" si="22"/>
        <v/>
      </c>
      <c r="AM41" s="830" t="str">
        <f t="shared" si="23"/>
        <v/>
      </c>
      <c r="AN41" s="830" t="str">
        <f t="shared" si="24"/>
        <v/>
      </c>
      <c r="AO41" s="830" t="str">
        <f t="shared" si="25"/>
        <v/>
      </c>
      <c r="AP41" s="830" t="b">
        <f>IF(ISERROR(AJ41),FALSE,IF(OR(AJ41=0,ISERROR(AL41),ISERROR(AM41),ISERROR(AN41),ISERROR(AO41)),FALSE,IF(AL41&lt;&gt;"",IF(ISERROR(VLOOKUP(SUBSTITUTE(SUBSTITUTE(C41,"R",""),"A",""),TblJoistSize!$A:$A,1,FALSE)),FALSE,TRUE),TRUE)))</f>
        <v>0</v>
      </c>
      <c r="AQ41" s="1038" t="e">
        <f t="shared" si="26"/>
        <v>#N/A</v>
      </c>
      <c r="AR41" s="945" t="b">
        <f t="shared" si="27"/>
        <v>0</v>
      </c>
      <c r="AS41" s="1038" t="e">
        <f t="shared" si="28"/>
        <v>#N/A</v>
      </c>
      <c r="AT41" s="945" t="b">
        <f t="shared" si="29"/>
        <v>0</v>
      </c>
      <c r="AU41" s="946" t="str">
        <f t="shared" si="30"/>
        <v/>
      </c>
      <c r="AV41" s="830" t="str">
        <f t="shared" si="31"/>
        <v/>
      </c>
      <c r="AW41" s="830" t="str">
        <f t="shared" si="32"/>
        <v/>
      </c>
      <c r="AX41" s="830" t="str">
        <f t="shared" si="106"/>
        <v/>
      </c>
      <c r="AY41" s="1039" t="b">
        <f t="shared" si="33"/>
        <v>0</v>
      </c>
      <c r="AZ41" s="856" t="str">
        <f t="shared" si="34"/>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35"/>
        <v/>
      </c>
      <c r="BR41" s="910"/>
      <c r="BS41" s="672"/>
      <c r="BT41" s="713"/>
      <c r="BU41" s="714"/>
      <c r="BV41" s="1625"/>
      <c r="BW41" s="713"/>
      <c r="BX41" s="714"/>
      <c r="BY41" s="715"/>
      <c r="BZ41" s="716"/>
      <c r="CA41" s="680" t="str">
        <f>IF(ISERROR(DE41),"",IF(DE41="","",IF(VLOOKUP(BS41,SectInfo!$B:$N,10,FALSE)="","","X")))</f>
        <v/>
      </c>
      <c r="CB41" s="738"/>
      <c r="CC41" s="1551" t="str">
        <f t="shared" si="36"/>
        <v/>
      </c>
      <c r="CD41" s="910"/>
      <c r="CE41" s="717"/>
      <c r="CF41" s="736"/>
      <c r="CG41" s="737"/>
      <c r="CH41" s="591" t="str">
        <f t="shared" si="37"/>
        <v/>
      </c>
      <c r="CI41" s="592" t="str">
        <f t="shared" si="38"/>
        <v/>
      </c>
      <c r="CJ41" s="593" t="str">
        <f t="shared" si="39"/>
        <v/>
      </c>
      <c r="CK41" s="594" t="str">
        <f t="shared" si="40"/>
        <v/>
      </c>
      <c r="CL41" s="595" t="str">
        <f t="shared" si="41"/>
        <v/>
      </c>
      <c r="CM41" s="596" t="str">
        <f t="shared" si="42"/>
        <v/>
      </c>
      <c r="CN41" s="597" t="str">
        <f t="shared" si="43"/>
        <v/>
      </c>
      <c r="CO41" s="598" t="str">
        <f t="shared" si="44"/>
        <v/>
      </c>
      <c r="CP41" s="615" t="str">
        <f t="shared" si="45"/>
        <v/>
      </c>
      <c r="CQ41" s="616" t="str">
        <f t="shared" si="46"/>
        <v/>
      </c>
      <c r="CR41" s="750" t="str">
        <f t="shared" si="47"/>
        <v/>
      </c>
      <c r="CS41" s="751" t="str">
        <f t="shared" si="48"/>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49"/>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50"/>
        <v>0</v>
      </c>
      <c r="DO41" s="818">
        <f t="shared" si="51"/>
        <v>0</v>
      </c>
      <c r="DP41" s="822" t="str">
        <f t="shared" si="52"/>
        <v/>
      </c>
      <c r="DQ41" s="822" t="str">
        <f t="shared" si="53"/>
        <v/>
      </c>
      <c r="DR41" s="822" t="str">
        <f t="shared" si="54"/>
        <v/>
      </c>
      <c r="DS41" s="821">
        <f t="shared" si="55"/>
        <v>0</v>
      </c>
      <c r="DT41" s="821">
        <f t="shared" si="56"/>
        <v>0</v>
      </c>
      <c r="DU41" s="821" t="str">
        <f t="shared" si="57"/>
        <v/>
      </c>
      <c r="DV41" s="822" t="str">
        <f t="shared" si="58"/>
        <v/>
      </c>
      <c r="DW41" s="856" t="str">
        <f t="shared" si="59"/>
        <v/>
      </c>
      <c r="DX41" s="1006">
        <f t="shared" si="60"/>
        <v>0</v>
      </c>
      <c r="DY41" s="822">
        <f t="shared" si="61"/>
        <v>0</v>
      </c>
      <c r="DZ41" s="821">
        <f t="shared" si="62"/>
        <v>0</v>
      </c>
      <c r="EA41" s="821" t="str">
        <f t="shared" si="63"/>
        <v/>
      </c>
      <c r="EB41" s="822" t="str">
        <f t="shared" si="64"/>
        <v/>
      </c>
      <c r="EC41" s="856" t="str">
        <f t="shared" si="65"/>
        <v/>
      </c>
      <c r="ED41" s="1006">
        <f t="shared" si="66"/>
        <v>0</v>
      </c>
      <c r="EE41" s="1293" t="str">
        <f t="shared" si="67"/>
        <v/>
      </c>
      <c r="EF41" s="1293" t="str">
        <f t="shared" si="68"/>
        <v/>
      </c>
      <c r="EG41" s="1293" t="str">
        <f t="shared" si="69"/>
        <v/>
      </c>
      <c r="EH41" s="856" t="e">
        <f t="shared" si="70"/>
        <v>#N/A</v>
      </c>
      <c r="EI41" s="856" t="e">
        <f t="shared" si="71"/>
        <v>#N/A</v>
      </c>
      <c r="EJ41" s="822" t="str">
        <f t="shared" si="72"/>
        <v/>
      </c>
      <c r="EK41" s="822" t="str">
        <f t="shared" si="72"/>
        <v/>
      </c>
      <c r="EL41" s="1293" t="str">
        <f t="shared" si="73"/>
        <v/>
      </c>
      <c r="EM41" s="822" t="str">
        <f t="shared" si="74"/>
        <v/>
      </c>
      <c r="EN41" s="822" t="str">
        <f t="shared" si="75"/>
        <v/>
      </c>
      <c r="EO41" s="856" t="e">
        <f t="shared" si="76"/>
        <v>#N/A</v>
      </c>
      <c r="EP41" s="856" t="e">
        <f t="shared" si="77"/>
        <v>#N/A</v>
      </c>
      <c r="EQ41" s="1293" t="str">
        <f t="shared" si="78"/>
        <v/>
      </c>
      <c r="ER41" s="822" t="str">
        <f t="shared" si="78"/>
        <v/>
      </c>
      <c r="ES41" s="822" t="str">
        <f t="shared" si="79"/>
        <v/>
      </c>
      <c r="ET41" s="822" t="str">
        <f t="shared" si="80"/>
        <v/>
      </c>
      <c r="EU41" s="829" t="str">
        <f t="shared" si="81"/>
        <v/>
      </c>
      <c r="EV41" s="824" t="str">
        <f t="shared" si="82"/>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83"/>
        <v/>
      </c>
      <c r="FA41" s="829" t="str">
        <f>IF(AND(DE41="G", ISBLANK(BW41), ISBLANK(BX41)),VLOOKUP(MIN(BT41:BU41),TblJoistSize!$M$3:$N$10,2),IF(OR(DE41="B", DE41="G"),MIN(BW41:BX41),""))</f>
        <v/>
      </c>
      <c r="FB41" s="829" t="str">
        <f>IF(AND(DE41="G", ISBLANK(BW41), ISBLANK(BX41)),VLOOKUP(MAX(BT41:BU41),TblJoistSize!$M$3:$N$10,2),IF(OR(DE41="B", DE41="G"),MAX(BW41:BX41),""))</f>
        <v/>
      </c>
      <c r="FC41" s="829" t="str">
        <f t="shared" si="84"/>
        <v/>
      </c>
      <c r="FD41" s="821">
        <f t="shared" si="107"/>
        <v>0</v>
      </c>
      <c r="FE41" s="821">
        <f t="shared" si="85"/>
        <v>0</v>
      </c>
      <c r="FF41" s="821">
        <f t="shared" si="86"/>
        <v>0</v>
      </c>
      <c r="FG41" s="821" t="str">
        <f t="shared" si="87"/>
        <v/>
      </c>
      <c r="FH41" s="822" t="str">
        <f t="shared" si="88"/>
        <v/>
      </c>
      <c r="FI41" s="821">
        <f t="shared" si="108"/>
        <v>0</v>
      </c>
      <c r="FJ41" s="821">
        <f t="shared" si="89"/>
        <v>0</v>
      </c>
      <c r="FK41" s="821">
        <f t="shared" si="90"/>
        <v>0</v>
      </c>
      <c r="FL41" s="821" t="str">
        <f t="shared" si="91"/>
        <v/>
      </c>
      <c r="FM41" s="822" t="str">
        <f t="shared" si="92"/>
        <v/>
      </c>
      <c r="FN41" s="822" t="e">
        <f t="shared" si="93"/>
        <v>#VALUE!</v>
      </c>
      <c r="FO41" s="940" t="e">
        <f t="shared" si="94"/>
        <v>#VALUE!</v>
      </c>
      <c r="FP41" s="940" t="e">
        <f t="shared" si="95"/>
        <v>#VALUE!</v>
      </c>
      <c r="FQ41" s="830" t="e">
        <f t="shared" si="96"/>
        <v>#VALUE!</v>
      </c>
      <c r="FR41" s="831" t="e">
        <f t="shared" si="97"/>
        <v>#VALUE!</v>
      </c>
      <c r="FS41" s="832" t="str">
        <f t="shared" si="98"/>
        <v/>
      </c>
      <c r="FT41" s="833" t="str">
        <f t="shared" si="99"/>
        <v/>
      </c>
      <c r="FU41" s="870">
        <f t="shared" si="100"/>
        <v>0</v>
      </c>
      <c r="FV41" s="871">
        <f t="shared" si="101"/>
        <v>0</v>
      </c>
      <c r="GA41" s="1791" t="str">
        <f t="shared" ref="GA41:GA45" si="119">IF(GF41="","",BE41)</f>
        <v/>
      </c>
      <c r="GB41" s="1792" t="str">
        <f t="shared" ref="GB41:GB45" si="120">IF(GF41="","",BF41)</f>
        <v/>
      </c>
      <c r="GC41" s="1793" t="str">
        <f t="shared" ref="GC41:GC45" si="121">IF(GF41="","",IF(CV41="",0,CV41))</f>
        <v/>
      </c>
      <c r="GD41" s="1794" t="str">
        <f t="shared" ref="GD41:GD45" si="122">IF(GF41="","",IF(DF41="",0,DF41))</f>
        <v/>
      </c>
      <c r="GE41" s="1795" t="str">
        <f t="shared" si="102"/>
        <v/>
      </c>
      <c r="GF41" s="600" t="str">
        <f t="shared" si="103"/>
        <v/>
      </c>
      <c r="GG41" s="1130"/>
      <c r="GH41" s="1131"/>
      <c r="GI41" s="1130"/>
      <c r="GJ41" s="1131"/>
      <c r="GK41" s="1638">
        <f t="shared" si="104"/>
        <v>0</v>
      </c>
      <c r="GL41" s="1636" t="e">
        <f t="shared" si="105"/>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09"/>
        <v/>
      </c>
      <c r="B42" s="1681"/>
      <c r="C42" s="1449" t="str">
        <f t="shared" si="110"/>
        <v/>
      </c>
      <c r="D42" s="1705" t="str">
        <f t="shared" si="111"/>
        <v/>
      </c>
      <c r="E42" s="1706" t="str">
        <f t="shared" si="112"/>
        <v/>
      </c>
      <c r="F42" s="1714" t="str">
        <f t="shared" si="1"/>
        <v/>
      </c>
      <c r="G42" s="1709" t="str">
        <f t="shared" si="2"/>
        <v/>
      </c>
      <c r="H42" s="1779" t="str">
        <f t="shared" si="3"/>
        <v/>
      </c>
      <c r="I42" s="1705" t="str">
        <f t="shared" si="4"/>
        <v/>
      </c>
      <c r="J42" s="1709" t="str">
        <f t="shared" si="5"/>
        <v/>
      </c>
      <c r="K42" s="1796" t="str">
        <f t="shared" si="6"/>
        <v/>
      </c>
      <c r="L42" s="1712" t="str">
        <f t="shared" si="113"/>
        <v/>
      </c>
      <c r="M42" s="1713" t="str">
        <f t="shared" si="113"/>
        <v/>
      </c>
      <c r="N42" s="1708" t="str">
        <f t="shared" si="7"/>
        <v/>
      </c>
      <c r="O42" s="1709" t="str">
        <f t="shared" si="8"/>
        <v/>
      </c>
      <c r="P42" s="1710" t="str">
        <f t="shared" si="9"/>
        <v/>
      </c>
      <c r="Q42" s="1705" t="str">
        <f t="shared" si="10"/>
        <v/>
      </c>
      <c r="R42" s="1709" t="str">
        <f t="shared" si="11"/>
        <v/>
      </c>
      <c r="S42" s="1711" t="str">
        <f t="shared" si="12"/>
        <v/>
      </c>
      <c r="T42" s="1714" t="str">
        <f t="shared" si="114"/>
        <v/>
      </c>
      <c r="U42" s="1709" t="str">
        <f t="shared" si="115"/>
        <v/>
      </c>
      <c r="V42" s="1705" t="str">
        <f t="shared" si="116"/>
        <v/>
      </c>
      <c r="W42" s="1709" t="str">
        <f t="shared" si="117"/>
        <v/>
      </c>
      <c r="X42" s="1713">
        <f t="shared" si="118"/>
        <v>0</v>
      </c>
      <c r="Y42" s="1781" t="str">
        <f t="shared" si="13"/>
        <v/>
      </c>
      <c r="Z42" s="1782" t="str">
        <f t="shared" si="14"/>
        <v/>
      </c>
      <c r="AA42" s="1783" t="s">
        <v>116</v>
      </c>
      <c r="AB42" s="1413"/>
      <c r="AC42" s="964" t="b">
        <v>0</v>
      </c>
      <c r="AD42" s="441">
        <f t="shared" si="15"/>
        <v>0</v>
      </c>
      <c r="AE42" s="442">
        <f t="shared" si="16"/>
        <v>0</v>
      </c>
      <c r="AF42" s="442">
        <f t="shared" si="17"/>
        <v>0</v>
      </c>
      <c r="AG42" s="442">
        <f t="shared" si="18"/>
        <v>0</v>
      </c>
      <c r="AH42" s="443">
        <f t="shared" si="19"/>
        <v>0</v>
      </c>
      <c r="AI42" s="444" t="b">
        <v>0</v>
      </c>
      <c r="AJ42" s="238">
        <f t="shared" si="20"/>
        <v>0</v>
      </c>
      <c r="AK42" s="830" t="str">
        <f t="shared" si="21"/>
        <v/>
      </c>
      <c r="AL42" s="945" t="str">
        <f t="shared" si="22"/>
        <v/>
      </c>
      <c r="AM42" s="830" t="str">
        <f t="shared" si="23"/>
        <v/>
      </c>
      <c r="AN42" s="830" t="str">
        <f t="shared" si="24"/>
        <v/>
      </c>
      <c r="AO42" s="830" t="str">
        <f t="shared" si="25"/>
        <v/>
      </c>
      <c r="AP42" s="830" t="b">
        <f>IF(ISERROR(AJ42),FALSE,IF(OR(AJ42=0,ISERROR(AL42),ISERROR(AM42),ISERROR(AN42),ISERROR(AO42)),FALSE,IF(AL42&lt;&gt;"",IF(ISERROR(VLOOKUP(SUBSTITUTE(SUBSTITUTE(C42,"R",""),"A",""),TblJoistSize!$A:$A,1,FALSE)),FALSE,TRUE),TRUE)))</f>
        <v>0</v>
      </c>
      <c r="AQ42" s="1038" t="e">
        <f t="shared" si="26"/>
        <v>#N/A</v>
      </c>
      <c r="AR42" s="945" t="b">
        <f t="shared" si="27"/>
        <v>0</v>
      </c>
      <c r="AS42" s="1038" t="e">
        <f t="shared" si="28"/>
        <v>#N/A</v>
      </c>
      <c r="AT42" s="945" t="b">
        <f t="shared" si="29"/>
        <v>0</v>
      </c>
      <c r="AU42" s="946" t="str">
        <f t="shared" si="30"/>
        <v/>
      </c>
      <c r="AV42" s="830" t="str">
        <f t="shared" si="31"/>
        <v/>
      </c>
      <c r="AW42" s="830" t="str">
        <f t="shared" si="32"/>
        <v/>
      </c>
      <c r="AX42" s="830" t="str">
        <f t="shared" si="106"/>
        <v/>
      </c>
      <c r="AY42" s="1039" t="b">
        <f t="shared" si="33"/>
        <v>0</v>
      </c>
      <c r="AZ42" s="856" t="str">
        <f t="shared" si="34"/>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35"/>
        <v/>
      </c>
      <c r="BR42" s="910"/>
      <c r="BS42" s="672"/>
      <c r="BT42" s="713"/>
      <c r="BU42" s="714"/>
      <c r="BV42" s="1625"/>
      <c r="BW42" s="713"/>
      <c r="BX42" s="714"/>
      <c r="BY42" s="715"/>
      <c r="BZ42" s="716"/>
      <c r="CA42" s="680" t="str">
        <f>IF(ISERROR(DE42),"",IF(DE42="","",IF(VLOOKUP(BS42,SectInfo!$B:$N,10,FALSE)="","","X")))</f>
        <v/>
      </c>
      <c r="CB42" s="738"/>
      <c r="CC42" s="1551" t="str">
        <f t="shared" si="36"/>
        <v/>
      </c>
      <c r="CD42" s="910"/>
      <c r="CE42" s="717"/>
      <c r="CF42" s="736"/>
      <c r="CG42" s="737"/>
      <c r="CH42" s="591" t="str">
        <f t="shared" si="37"/>
        <v/>
      </c>
      <c r="CI42" s="592" t="str">
        <f t="shared" si="38"/>
        <v/>
      </c>
      <c r="CJ42" s="593" t="str">
        <f t="shared" si="39"/>
        <v/>
      </c>
      <c r="CK42" s="594" t="str">
        <f t="shared" si="40"/>
        <v/>
      </c>
      <c r="CL42" s="595" t="str">
        <f t="shared" si="41"/>
        <v/>
      </c>
      <c r="CM42" s="596" t="str">
        <f t="shared" si="42"/>
        <v/>
      </c>
      <c r="CN42" s="597" t="str">
        <f t="shared" si="43"/>
        <v/>
      </c>
      <c r="CO42" s="598" t="str">
        <f t="shared" si="44"/>
        <v/>
      </c>
      <c r="CP42" s="615" t="str">
        <f t="shared" si="45"/>
        <v/>
      </c>
      <c r="CQ42" s="616" t="str">
        <f t="shared" si="46"/>
        <v/>
      </c>
      <c r="CR42" s="750" t="str">
        <f t="shared" si="47"/>
        <v/>
      </c>
      <c r="CS42" s="751" t="str">
        <f t="shared" si="48"/>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49"/>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50"/>
        <v>0</v>
      </c>
      <c r="DO42" s="818">
        <f t="shared" si="51"/>
        <v>0</v>
      </c>
      <c r="DP42" s="822" t="str">
        <f t="shared" si="52"/>
        <v/>
      </c>
      <c r="DQ42" s="822" t="str">
        <f t="shared" si="53"/>
        <v/>
      </c>
      <c r="DR42" s="822" t="str">
        <f t="shared" si="54"/>
        <v/>
      </c>
      <c r="DS42" s="821">
        <f t="shared" si="55"/>
        <v>0</v>
      </c>
      <c r="DT42" s="821">
        <f t="shared" si="56"/>
        <v>0</v>
      </c>
      <c r="DU42" s="821" t="str">
        <f t="shared" si="57"/>
        <v/>
      </c>
      <c r="DV42" s="822" t="str">
        <f t="shared" si="58"/>
        <v/>
      </c>
      <c r="DW42" s="856" t="str">
        <f t="shared" si="59"/>
        <v/>
      </c>
      <c r="DX42" s="1006">
        <f t="shared" si="60"/>
        <v>0</v>
      </c>
      <c r="DY42" s="822">
        <f t="shared" si="61"/>
        <v>0</v>
      </c>
      <c r="DZ42" s="821">
        <f t="shared" si="62"/>
        <v>0</v>
      </c>
      <c r="EA42" s="821" t="str">
        <f t="shared" si="63"/>
        <v/>
      </c>
      <c r="EB42" s="822" t="str">
        <f t="shared" si="64"/>
        <v/>
      </c>
      <c r="EC42" s="856" t="str">
        <f t="shared" si="65"/>
        <v/>
      </c>
      <c r="ED42" s="1006">
        <f t="shared" si="66"/>
        <v>0</v>
      </c>
      <c r="EE42" s="1293" t="str">
        <f t="shared" si="67"/>
        <v/>
      </c>
      <c r="EF42" s="1293" t="str">
        <f t="shared" si="68"/>
        <v/>
      </c>
      <c r="EG42" s="1293" t="str">
        <f t="shared" si="69"/>
        <v/>
      </c>
      <c r="EH42" s="856" t="e">
        <f t="shared" si="70"/>
        <v>#N/A</v>
      </c>
      <c r="EI42" s="856" t="e">
        <f t="shared" si="71"/>
        <v>#N/A</v>
      </c>
      <c r="EJ42" s="822" t="str">
        <f t="shared" si="72"/>
        <v/>
      </c>
      <c r="EK42" s="822" t="str">
        <f t="shared" si="72"/>
        <v/>
      </c>
      <c r="EL42" s="1293" t="str">
        <f t="shared" si="73"/>
        <v/>
      </c>
      <c r="EM42" s="822" t="str">
        <f t="shared" si="74"/>
        <v/>
      </c>
      <c r="EN42" s="822" t="str">
        <f t="shared" si="75"/>
        <v/>
      </c>
      <c r="EO42" s="856" t="e">
        <f t="shared" si="76"/>
        <v>#N/A</v>
      </c>
      <c r="EP42" s="856" t="e">
        <f t="shared" si="77"/>
        <v>#N/A</v>
      </c>
      <c r="EQ42" s="1293" t="str">
        <f t="shared" si="78"/>
        <v/>
      </c>
      <c r="ER42" s="822" t="str">
        <f t="shared" si="78"/>
        <v/>
      </c>
      <c r="ES42" s="822" t="str">
        <f t="shared" si="79"/>
        <v/>
      </c>
      <c r="ET42" s="822" t="str">
        <f t="shared" si="80"/>
        <v/>
      </c>
      <c r="EU42" s="829" t="str">
        <f t="shared" si="81"/>
        <v/>
      </c>
      <c r="EV42" s="824" t="str">
        <f t="shared" si="82"/>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83"/>
        <v/>
      </c>
      <c r="FA42" s="829" t="str">
        <f>IF(AND(DE42="G", ISBLANK(BW42), ISBLANK(BX42)),VLOOKUP(MIN(BT42:BU42),TblJoistSize!$M$3:$N$10,2),IF(OR(DE42="B", DE42="G"),MIN(BW42:BX42),""))</f>
        <v/>
      </c>
      <c r="FB42" s="829" t="str">
        <f>IF(AND(DE42="G", ISBLANK(BW42), ISBLANK(BX42)),VLOOKUP(MAX(BT42:BU42),TblJoistSize!$M$3:$N$10,2),IF(OR(DE42="B", DE42="G"),MAX(BW42:BX42),""))</f>
        <v/>
      </c>
      <c r="FC42" s="829" t="str">
        <f t="shared" si="84"/>
        <v/>
      </c>
      <c r="FD42" s="821">
        <f t="shared" si="107"/>
        <v>0</v>
      </c>
      <c r="FE42" s="821">
        <f t="shared" si="85"/>
        <v>0</v>
      </c>
      <c r="FF42" s="821">
        <f t="shared" si="86"/>
        <v>0</v>
      </c>
      <c r="FG42" s="821" t="str">
        <f t="shared" si="87"/>
        <v/>
      </c>
      <c r="FH42" s="822" t="str">
        <f t="shared" si="88"/>
        <v/>
      </c>
      <c r="FI42" s="821">
        <f t="shared" si="108"/>
        <v>0</v>
      </c>
      <c r="FJ42" s="821">
        <f t="shared" si="89"/>
        <v>0</v>
      </c>
      <c r="FK42" s="821">
        <f t="shared" si="90"/>
        <v>0</v>
      </c>
      <c r="FL42" s="821" t="str">
        <f t="shared" si="91"/>
        <v/>
      </c>
      <c r="FM42" s="822" t="str">
        <f t="shared" si="92"/>
        <v/>
      </c>
      <c r="FN42" s="822" t="e">
        <f t="shared" si="93"/>
        <v>#VALUE!</v>
      </c>
      <c r="FO42" s="940" t="e">
        <f t="shared" si="94"/>
        <v>#VALUE!</v>
      </c>
      <c r="FP42" s="940" t="e">
        <f t="shared" si="95"/>
        <v>#VALUE!</v>
      </c>
      <c r="FQ42" s="830" t="e">
        <f t="shared" si="96"/>
        <v>#VALUE!</v>
      </c>
      <c r="FR42" s="831" t="e">
        <f t="shared" si="97"/>
        <v>#VALUE!</v>
      </c>
      <c r="FS42" s="832" t="str">
        <f t="shared" si="98"/>
        <v/>
      </c>
      <c r="FT42" s="833" t="str">
        <f t="shared" si="99"/>
        <v/>
      </c>
      <c r="FU42" s="870">
        <f t="shared" si="100"/>
        <v>0</v>
      </c>
      <c r="FV42" s="871">
        <f t="shared" si="101"/>
        <v>0</v>
      </c>
      <c r="GA42" s="1791" t="str">
        <f t="shared" si="119"/>
        <v/>
      </c>
      <c r="GB42" s="1792" t="str">
        <f t="shared" si="120"/>
        <v/>
      </c>
      <c r="GC42" s="1793" t="str">
        <f t="shared" si="121"/>
        <v/>
      </c>
      <c r="GD42" s="1794" t="str">
        <f t="shared" si="122"/>
        <v/>
      </c>
      <c r="GE42" s="1795" t="str">
        <f t="shared" si="102"/>
        <v/>
      </c>
      <c r="GF42" s="600" t="str">
        <f t="shared" si="103"/>
        <v/>
      </c>
      <c r="GG42" s="1130"/>
      <c r="GH42" s="1131"/>
      <c r="GI42" s="1130"/>
      <c r="GJ42" s="1131"/>
      <c r="GK42" s="1638">
        <f t="shared" si="104"/>
        <v>0</v>
      </c>
      <c r="GL42" s="1636" t="e">
        <f t="shared" si="105"/>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09"/>
        <v/>
      </c>
      <c r="B43" s="1681"/>
      <c r="C43" s="1449" t="str">
        <f t="shared" si="110"/>
        <v/>
      </c>
      <c r="D43" s="1705" t="str">
        <f t="shared" si="111"/>
        <v/>
      </c>
      <c r="E43" s="1706" t="str">
        <f t="shared" si="112"/>
        <v/>
      </c>
      <c r="F43" s="1714" t="str">
        <f t="shared" si="1"/>
        <v/>
      </c>
      <c r="G43" s="1709" t="str">
        <f t="shared" si="2"/>
        <v/>
      </c>
      <c r="H43" s="1779" t="str">
        <f t="shared" si="3"/>
        <v/>
      </c>
      <c r="I43" s="1705" t="str">
        <f t="shared" si="4"/>
        <v/>
      </c>
      <c r="J43" s="1709" t="str">
        <f t="shared" si="5"/>
        <v/>
      </c>
      <c r="K43" s="1796" t="str">
        <f t="shared" si="6"/>
        <v/>
      </c>
      <c r="L43" s="1712" t="str">
        <f t="shared" si="113"/>
        <v/>
      </c>
      <c r="M43" s="1713" t="str">
        <f t="shared" si="113"/>
        <v/>
      </c>
      <c r="N43" s="1708" t="str">
        <f t="shared" si="7"/>
        <v/>
      </c>
      <c r="O43" s="1709" t="str">
        <f t="shared" si="8"/>
        <v/>
      </c>
      <c r="P43" s="1710" t="str">
        <f t="shared" si="9"/>
        <v/>
      </c>
      <c r="Q43" s="1705" t="str">
        <f t="shared" si="10"/>
        <v/>
      </c>
      <c r="R43" s="1709" t="str">
        <f t="shared" si="11"/>
        <v/>
      </c>
      <c r="S43" s="1711" t="str">
        <f t="shared" si="12"/>
        <v/>
      </c>
      <c r="T43" s="1714" t="str">
        <f t="shared" si="114"/>
        <v/>
      </c>
      <c r="U43" s="1709" t="str">
        <f t="shared" si="115"/>
        <v/>
      </c>
      <c r="V43" s="1705" t="str">
        <f t="shared" si="116"/>
        <v/>
      </c>
      <c r="W43" s="1709" t="str">
        <f t="shared" si="117"/>
        <v/>
      </c>
      <c r="X43" s="1713">
        <f t="shared" si="118"/>
        <v>0</v>
      </c>
      <c r="Y43" s="1781" t="str">
        <f t="shared" si="13"/>
        <v/>
      </c>
      <c r="Z43" s="1782" t="str">
        <f t="shared" si="14"/>
        <v/>
      </c>
      <c r="AA43" s="1783" t="s">
        <v>116</v>
      </c>
      <c r="AB43" s="1413"/>
      <c r="AC43" s="964" t="b">
        <v>0</v>
      </c>
      <c r="AD43" s="441">
        <f t="shared" si="15"/>
        <v>0</v>
      </c>
      <c r="AE43" s="442">
        <f t="shared" si="16"/>
        <v>0</v>
      </c>
      <c r="AF43" s="442">
        <f t="shared" si="17"/>
        <v>0</v>
      </c>
      <c r="AG43" s="442">
        <f t="shared" si="18"/>
        <v>0</v>
      </c>
      <c r="AH43" s="443">
        <f t="shared" si="19"/>
        <v>0</v>
      </c>
      <c r="AI43" s="444" t="b">
        <v>0</v>
      </c>
      <c r="AJ43" s="238">
        <f t="shared" si="20"/>
        <v>0</v>
      </c>
      <c r="AK43" s="830" t="str">
        <f t="shared" si="21"/>
        <v/>
      </c>
      <c r="AL43" s="945" t="str">
        <f t="shared" si="22"/>
        <v/>
      </c>
      <c r="AM43" s="830" t="str">
        <f t="shared" si="23"/>
        <v/>
      </c>
      <c r="AN43" s="830" t="str">
        <f t="shared" si="24"/>
        <v/>
      </c>
      <c r="AO43" s="830" t="str">
        <f t="shared" si="25"/>
        <v/>
      </c>
      <c r="AP43" s="830" t="b">
        <f>IF(ISERROR(AJ43),FALSE,IF(OR(AJ43=0,ISERROR(AL43),ISERROR(AM43),ISERROR(AN43),ISERROR(AO43)),FALSE,IF(AL43&lt;&gt;"",IF(ISERROR(VLOOKUP(SUBSTITUTE(SUBSTITUTE(C43,"R",""),"A",""),TblJoistSize!$A:$A,1,FALSE)),FALSE,TRUE),TRUE)))</f>
        <v>0</v>
      </c>
      <c r="AQ43" s="1038" t="e">
        <f t="shared" si="26"/>
        <v>#N/A</v>
      </c>
      <c r="AR43" s="945" t="b">
        <f t="shared" si="27"/>
        <v>0</v>
      </c>
      <c r="AS43" s="1038" t="e">
        <f t="shared" si="28"/>
        <v>#N/A</v>
      </c>
      <c r="AT43" s="945" t="b">
        <f t="shared" si="29"/>
        <v>0</v>
      </c>
      <c r="AU43" s="946" t="str">
        <f t="shared" si="30"/>
        <v/>
      </c>
      <c r="AV43" s="830" t="str">
        <f t="shared" si="31"/>
        <v/>
      </c>
      <c r="AW43" s="830" t="str">
        <f t="shared" si="32"/>
        <v/>
      </c>
      <c r="AX43" s="830" t="str">
        <f t="shared" si="106"/>
        <v/>
      </c>
      <c r="AY43" s="1039" t="b">
        <f t="shared" si="33"/>
        <v>0</v>
      </c>
      <c r="AZ43" s="856" t="str">
        <f t="shared" si="34"/>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35"/>
        <v/>
      </c>
      <c r="BR43" s="910"/>
      <c r="BS43" s="672"/>
      <c r="BT43" s="713"/>
      <c r="BU43" s="714"/>
      <c r="BV43" s="1625"/>
      <c r="BW43" s="713"/>
      <c r="BX43" s="714"/>
      <c r="BY43" s="715"/>
      <c r="BZ43" s="716"/>
      <c r="CA43" s="680" t="str">
        <f>IF(ISERROR(DE43),"",IF(DE43="","",IF(VLOOKUP(BS43,SectInfo!$B:$N,10,FALSE)="","","X")))</f>
        <v/>
      </c>
      <c r="CB43" s="738"/>
      <c r="CC43" s="1551" t="str">
        <f t="shared" si="36"/>
        <v/>
      </c>
      <c r="CD43" s="910"/>
      <c r="CE43" s="717"/>
      <c r="CF43" s="736"/>
      <c r="CG43" s="737"/>
      <c r="CH43" s="591" t="str">
        <f t="shared" si="37"/>
        <v/>
      </c>
      <c r="CI43" s="592" t="str">
        <f t="shared" si="38"/>
        <v/>
      </c>
      <c r="CJ43" s="593" t="str">
        <f t="shared" si="39"/>
        <v/>
      </c>
      <c r="CK43" s="594" t="str">
        <f t="shared" si="40"/>
        <v/>
      </c>
      <c r="CL43" s="595" t="str">
        <f t="shared" si="41"/>
        <v/>
      </c>
      <c r="CM43" s="596" t="str">
        <f t="shared" si="42"/>
        <v/>
      </c>
      <c r="CN43" s="597" t="str">
        <f t="shared" si="43"/>
        <v/>
      </c>
      <c r="CO43" s="598" t="str">
        <f t="shared" si="44"/>
        <v/>
      </c>
      <c r="CP43" s="615" t="str">
        <f t="shared" si="45"/>
        <v/>
      </c>
      <c r="CQ43" s="616" t="str">
        <f t="shared" si="46"/>
        <v/>
      </c>
      <c r="CR43" s="750" t="str">
        <f t="shared" si="47"/>
        <v/>
      </c>
      <c r="CS43" s="751" t="str">
        <f t="shared" si="48"/>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49"/>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50"/>
        <v>0</v>
      </c>
      <c r="DO43" s="818">
        <f t="shared" si="51"/>
        <v>0</v>
      </c>
      <c r="DP43" s="822" t="str">
        <f t="shared" si="52"/>
        <v/>
      </c>
      <c r="DQ43" s="822" t="str">
        <f t="shared" si="53"/>
        <v/>
      </c>
      <c r="DR43" s="822" t="str">
        <f t="shared" si="54"/>
        <v/>
      </c>
      <c r="DS43" s="821">
        <f t="shared" si="55"/>
        <v>0</v>
      </c>
      <c r="DT43" s="821">
        <f t="shared" si="56"/>
        <v>0</v>
      </c>
      <c r="DU43" s="821" t="str">
        <f t="shared" si="57"/>
        <v/>
      </c>
      <c r="DV43" s="822" t="str">
        <f t="shared" si="58"/>
        <v/>
      </c>
      <c r="DW43" s="856" t="str">
        <f t="shared" si="59"/>
        <v/>
      </c>
      <c r="DX43" s="1006">
        <f t="shared" si="60"/>
        <v>0</v>
      </c>
      <c r="DY43" s="822">
        <f t="shared" si="61"/>
        <v>0</v>
      </c>
      <c r="DZ43" s="821">
        <f t="shared" si="62"/>
        <v>0</v>
      </c>
      <c r="EA43" s="821" t="str">
        <f t="shared" si="63"/>
        <v/>
      </c>
      <c r="EB43" s="822" t="str">
        <f t="shared" si="64"/>
        <v/>
      </c>
      <c r="EC43" s="856" t="str">
        <f t="shared" si="65"/>
        <v/>
      </c>
      <c r="ED43" s="1006">
        <f t="shared" si="66"/>
        <v>0</v>
      </c>
      <c r="EE43" s="1293" t="str">
        <f t="shared" si="67"/>
        <v/>
      </c>
      <c r="EF43" s="1293" t="str">
        <f t="shared" si="68"/>
        <v/>
      </c>
      <c r="EG43" s="1293" t="str">
        <f t="shared" si="69"/>
        <v/>
      </c>
      <c r="EH43" s="856" t="e">
        <f t="shared" si="70"/>
        <v>#N/A</v>
      </c>
      <c r="EI43" s="856" t="e">
        <f t="shared" si="71"/>
        <v>#N/A</v>
      </c>
      <c r="EJ43" s="822" t="str">
        <f t="shared" si="72"/>
        <v/>
      </c>
      <c r="EK43" s="822" t="str">
        <f t="shared" si="72"/>
        <v/>
      </c>
      <c r="EL43" s="1293" t="str">
        <f t="shared" si="73"/>
        <v/>
      </c>
      <c r="EM43" s="822" t="str">
        <f t="shared" si="74"/>
        <v/>
      </c>
      <c r="EN43" s="822" t="str">
        <f t="shared" si="75"/>
        <v/>
      </c>
      <c r="EO43" s="856" t="e">
        <f t="shared" si="76"/>
        <v>#N/A</v>
      </c>
      <c r="EP43" s="856" t="e">
        <f t="shared" si="77"/>
        <v>#N/A</v>
      </c>
      <c r="EQ43" s="1293" t="str">
        <f t="shared" si="78"/>
        <v/>
      </c>
      <c r="ER43" s="822" t="str">
        <f t="shared" si="78"/>
        <v/>
      </c>
      <c r="ES43" s="822" t="str">
        <f t="shared" si="79"/>
        <v/>
      </c>
      <c r="ET43" s="822" t="str">
        <f t="shared" si="80"/>
        <v/>
      </c>
      <c r="EU43" s="829" t="str">
        <f t="shared" si="81"/>
        <v/>
      </c>
      <c r="EV43" s="824" t="str">
        <f t="shared" si="82"/>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83"/>
        <v/>
      </c>
      <c r="FA43" s="829" t="str">
        <f>IF(AND(DE43="G", ISBLANK(BW43), ISBLANK(BX43)),VLOOKUP(MIN(BT43:BU43),TblJoistSize!$M$3:$N$10,2),IF(OR(DE43="B", DE43="G"),MIN(BW43:BX43),""))</f>
        <v/>
      </c>
      <c r="FB43" s="829" t="str">
        <f>IF(AND(DE43="G", ISBLANK(BW43), ISBLANK(BX43)),VLOOKUP(MAX(BT43:BU43),TblJoistSize!$M$3:$N$10,2),IF(OR(DE43="B", DE43="G"),MAX(BW43:BX43),""))</f>
        <v/>
      </c>
      <c r="FC43" s="829" t="str">
        <f t="shared" si="84"/>
        <v/>
      </c>
      <c r="FD43" s="821">
        <f t="shared" si="107"/>
        <v>0</v>
      </c>
      <c r="FE43" s="821">
        <f t="shared" si="85"/>
        <v>0</v>
      </c>
      <c r="FF43" s="821">
        <f t="shared" si="86"/>
        <v>0</v>
      </c>
      <c r="FG43" s="821" t="str">
        <f t="shared" si="87"/>
        <v/>
      </c>
      <c r="FH43" s="822" t="str">
        <f t="shared" si="88"/>
        <v/>
      </c>
      <c r="FI43" s="821">
        <f t="shared" si="108"/>
        <v>0</v>
      </c>
      <c r="FJ43" s="821">
        <f t="shared" si="89"/>
        <v>0</v>
      </c>
      <c r="FK43" s="821">
        <f t="shared" si="90"/>
        <v>0</v>
      </c>
      <c r="FL43" s="821" t="str">
        <f t="shared" si="91"/>
        <v/>
      </c>
      <c r="FM43" s="822" t="str">
        <f t="shared" si="92"/>
        <v/>
      </c>
      <c r="FN43" s="822" t="e">
        <f t="shared" si="93"/>
        <v>#VALUE!</v>
      </c>
      <c r="FO43" s="940" t="e">
        <f t="shared" si="94"/>
        <v>#VALUE!</v>
      </c>
      <c r="FP43" s="940" t="e">
        <f t="shared" si="95"/>
        <v>#VALUE!</v>
      </c>
      <c r="FQ43" s="830" t="e">
        <f t="shared" si="96"/>
        <v>#VALUE!</v>
      </c>
      <c r="FR43" s="831" t="e">
        <f t="shared" si="97"/>
        <v>#VALUE!</v>
      </c>
      <c r="FS43" s="832" t="str">
        <f t="shared" si="98"/>
        <v/>
      </c>
      <c r="FT43" s="833" t="str">
        <f t="shared" si="99"/>
        <v/>
      </c>
      <c r="FU43" s="870">
        <f t="shared" si="100"/>
        <v>0</v>
      </c>
      <c r="FV43" s="871">
        <f t="shared" si="101"/>
        <v>0</v>
      </c>
      <c r="GA43" s="1791" t="str">
        <f t="shared" si="119"/>
        <v/>
      </c>
      <c r="GB43" s="1792" t="str">
        <f t="shared" si="120"/>
        <v/>
      </c>
      <c r="GC43" s="1793" t="str">
        <f t="shared" si="121"/>
        <v/>
      </c>
      <c r="GD43" s="1794" t="str">
        <f t="shared" si="122"/>
        <v/>
      </c>
      <c r="GE43" s="1795" t="str">
        <f t="shared" si="102"/>
        <v/>
      </c>
      <c r="GF43" s="600" t="str">
        <f t="shared" si="103"/>
        <v/>
      </c>
      <c r="GG43" s="1130"/>
      <c r="GH43" s="1131"/>
      <c r="GI43" s="1130"/>
      <c r="GJ43" s="1131"/>
      <c r="GK43" s="1638">
        <f t="shared" si="104"/>
        <v>0</v>
      </c>
      <c r="GL43" s="1636" t="e">
        <f t="shared" si="105"/>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09"/>
        <v/>
      </c>
      <c r="B44" s="1681"/>
      <c r="C44" s="1449" t="str">
        <f t="shared" si="110"/>
        <v/>
      </c>
      <c r="D44" s="1705" t="str">
        <f t="shared" si="111"/>
        <v/>
      </c>
      <c r="E44" s="1706" t="str">
        <f t="shared" si="112"/>
        <v/>
      </c>
      <c r="F44" s="1714" t="str">
        <f t="shared" si="1"/>
        <v/>
      </c>
      <c r="G44" s="1709" t="str">
        <f t="shared" si="2"/>
        <v/>
      </c>
      <c r="H44" s="1779" t="str">
        <f t="shared" si="3"/>
        <v/>
      </c>
      <c r="I44" s="1705" t="str">
        <f t="shared" si="4"/>
        <v/>
      </c>
      <c r="J44" s="1709" t="str">
        <f t="shared" si="5"/>
        <v/>
      </c>
      <c r="K44" s="1796" t="str">
        <f t="shared" si="6"/>
        <v/>
      </c>
      <c r="L44" s="1712" t="str">
        <f t="shared" si="113"/>
        <v/>
      </c>
      <c r="M44" s="1713" t="str">
        <f t="shared" si="113"/>
        <v/>
      </c>
      <c r="N44" s="1708" t="str">
        <f t="shared" si="7"/>
        <v/>
      </c>
      <c r="O44" s="1709" t="str">
        <f t="shared" si="8"/>
        <v/>
      </c>
      <c r="P44" s="1710" t="str">
        <f t="shared" si="9"/>
        <v/>
      </c>
      <c r="Q44" s="1705" t="str">
        <f t="shared" si="10"/>
        <v/>
      </c>
      <c r="R44" s="1709" t="str">
        <f t="shared" si="11"/>
        <v/>
      </c>
      <c r="S44" s="1711" t="str">
        <f t="shared" si="12"/>
        <v/>
      </c>
      <c r="T44" s="1714" t="str">
        <f t="shared" si="114"/>
        <v/>
      </c>
      <c r="U44" s="1709" t="str">
        <f t="shared" si="115"/>
        <v/>
      </c>
      <c r="V44" s="1705" t="str">
        <f t="shared" si="116"/>
        <v/>
      </c>
      <c r="W44" s="1709" t="str">
        <f t="shared" si="117"/>
        <v/>
      </c>
      <c r="X44" s="1713">
        <f t="shared" si="118"/>
        <v>0</v>
      </c>
      <c r="Y44" s="1781" t="str">
        <f t="shared" si="13"/>
        <v/>
      </c>
      <c r="Z44" s="1782" t="str">
        <f t="shared" si="14"/>
        <v/>
      </c>
      <c r="AA44" s="1783" t="s">
        <v>116</v>
      </c>
      <c r="AB44" s="1413"/>
      <c r="AC44" s="964" t="b">
        <v>0</v>
      </c>
      <c r="AD44" s="441">
        <f t="shared" si="15"/>
        <v>0</v>
      </c>
      <c r="AE44" s="442">
        <f t="shared" si="16"/>
        <v>0</v>
      </c>
      <c r="AF44" s="442">
        <f t="shared" si="17"/>
        <v>0</v>
      </c>
      <c r="AG44" s="442">
        <f t="shared" si="18"/>
        <v>0</v>
      </c>
      <c r="AH44" s="443">
        <f t="shared" si="19"/>
        <v>0</v>
      </c>
      <c r="AI44" s="444" t="b">
        <v>0</v>
      </c>
      <c r="AJ44" s="238">
        <f t="shared" si="20"/>
        <v>0</v>
      </c>
      <c r="AK44" s="830" t="str">
        <f t="shared" si="21"/>
        <v/>
      </c>
      <c r="AL44" s="945" t="str">
        <f t="shared" si="22"/>
        <v/>
      </c>
      <c r="AM44" s="830" t="str">
        <f t="shared" si="23"/>
        <v/>
      </c>
      <c r="AN44" s="830" t="str">
        <f t="shared" si="24"/>
        <v/>
      </c>
      <c r="AO44" s="830" t="str">
        <f t="shared" si="25"/>
        <v/>
      </c>
      <c r="AP44" s="830" t="b">
        <f>IF(ISERROR(AJ44),FALSE,IF(OR(AJ44=0,ISERROR(AL44),ISERROR(AM44),ISERROR(AN44),ISERROR(AO44)),FALSE,IF(AL44&lt;&gt;"",IF(ISERROR(VLOOKUP(SUBSTITUTE(SUBSTITUTE(C44,"R",""),"A",""),TblJoistSize!$A:$A,1,FALSE)),FALSE,TRUE),TRUE)))</f>
        <v>0</v>
      </c>
      <c r="AQ44" s="1038" t="e">
        <f t="shared" si="26"/>
        <v>#N/A</v>
      </c>
      <c r="AR44" s="945" t="b">
        <f t="shared" si="27"/>
        <v>0</v>
      </c>
      <c r="AS44" s="1038" t="e">
        <f t="shared" si="28"/>
        <v>#N/A</v>
      </c>
      <c r="AT44" s="945" t="b">
        <f t="shared" si="29"/>
        <v>0</v>
      </c>
      <c r="AU44" s="946" t="str">
        <f t="shared" si="30"/>
        <v/>
      </c>
      <c r="AV44" s="830" t="str">
        <f t="shared" si="31"/>
        <v/>
      </c>
      <c r="AW44" s="830" t="str">
        <f t="shared" si="32"/>
        <v/>
      </c>
      <c r="AX44" s="830" t="str">
        <f t="shared" si="106"/>
        <v/>
      </c>
      <c r="AY44" s="1039" t="b">
        <f t="shared" si="33"/>
        <v>0</v>
      </c>
      <c r="AZ44" s="856" t="str">
        <f t="shared" si="34"/>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35"/>
        <v/>
      </c>
      <c r="BR44" s="910"/>
      <c r="BS44" s="672"/>
      <c r="BT44" s="713"/>
      <c r="BU44" s="714"/>
      <c r="BV44" s="1625"/>
      <c r="BW44" s="713"/>
      <c r="BX44" s="714"/>
      <c r="BY44" s="715"/>
      <c r="BZ44" s="716"/>
      <c r="CA44" s="680" t="str">
        <f>IF(ISERROR(DE44),"",IF(DE44="","",IF(VLOOKUP(BS44,SectInfo!$B:$N,10,FALSE)="","","X")))</f>
        <v/>
      </c>
      <c r="CB44" s="738"/>
      <c r="CC44" s="1551" t="str">
        <f t="shared" si="36"/>
        <v/>
      </c>
      <c r="CD44" s="910"/>
      <c r="CE44" s="717"/>
      <c r="CF44" s="736"/>
      <c r="CG44" s="737"/>
      <c r="CH44" s="591" t="str">
        <f t="shared" si="37"/>
        <v/>
      </c>
      <c r="CI44" s="592" t="str">
        <f t="shared" si="38"/>
        <v/>
      </c>
      <c r="CJ44" s="593" t="str">
        <f t="shared" si="39"/>
        <v/>
      </c>
      <c r="CK44" s="594" t="str">
        <f t="shared" si="40"/>
        <v/>
      </c>
      <c r="CL44" s="595" t="str">
        <f t="shared" si="41"/>
        <v/>
      </c>
      <c r="CM44" s="596" t="str">
        <f t="shared" si="42"/>
        <v/>
      </c>
      <c r="CN44" s="597" t="str">
        <f t="shared" si="43"/>
        <v/>
      </c>
      <c r="CO44" s="598" t="str">
        <f t="shared" si="44"/>
        <v/>
      </c>
      <c r="CP44" s="615" t="str">
        <f t="shared" si="45"/>
        <v/>
      </c>
      <c r="CQ44" s="616" t="str">
        <f t="shared" si="46"/>
        <v/>
      </c>
      <c r="CR44" s="750" t="str">
        <f t="shared" si="47"/>
        <v/>
      </c>
      <c r="CS44" s="751" t="str">
        <f t="shared" si="48"/>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49"/>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50"/>
        <v>0</v>
      </c>
      <c r="DO44" s="818">
        <f t="shared" si="51"/>
        <v>0</v>
      </c>
      <c r="DP44" s="822" t="str">
        <f t="shared" si="52"/>
        <v/>
      </c>
      <c r="DQ44" s="822" t="str">
        <f t="shared" si="53"/>
        <v/>
      </c>
      <c r="DR44" s="822" t="str">
        <f t="shared" si="54"/>
        <v/>
      </c>
      <c r="DS44" s="821">
        <f t="shared" si="55"/>
        <v>0</v>
      </c>
      <c r="DT44" s="821">
        <f t="shared" si="56"/>
        <v>0</v>
      </c>
      <c r="DU44" s="821" t="str">
        <f t="shared" si="57"/>
        <v/>
      </c>
      <c r="DV44" s="822" t="str">
        <f t="shared" si="58"/>
        <v/>
      </c>
      <c r="DW44" s="856" t="str">
        <f t="shared" si="59"/>
        <v/>
      </c>
      <c r="DX44" s="1006">
        <f t="shared" si="60"/>
        <v>0</v>
      </c>
      <c r="DY44" s="822">
        <f t="shared" si="61"/>
        <v>0</v>
      </c>
      <c r="DZ44" s="821">
        <f t="shared" si="62"/>
        <v>0</v>
      </c>
      <c r="EA44" s="821" t="str">
        <f t="shared" si="63"/>
        <v/>
      </c>
      <c r="EB44" s="822" t="str">
        <f t="shared" si="64"/>
        <v/>
      </c>
      <c r="EC44" s="856" t="str">
        <f t="shared" si="65"/>
        <v/>
      </c>
      <c r="ED44" s="1006">
        <f t="shared" si="66"/>
        <v>0</v>
      </c>
      <c r="EE44" s="1293" t="str">
        <f t="shared" si="67"/>
        <v/>
      </c>
      <c r="EF44" s="1293" t="str">
        <f t="shared" si="68"/>
        <v/>
      </c>
      <c r="EG44" s="1293" t="str">
        <f t="shared" si="69"/>
        <v/>
      </c>
      <c r="EH44" s="856" t="e">
        <f t="shared" si="70"/>
        <v>#N/A</v>
      </c>
      <c r="EI44" s="856" t="e">
        <f t="shared" si="71"/>
        <v>#N/A</v>
      </c>
      <c r="EJ44" s="822" t="str">
        <f t="shared" si="72"/>
        <v/>
      </c>
      <c r="EK44" s="822" t="str">
        <f t="shared" si="72"/>
        <v/>
      </c>
      <c r="EL44" s="1293" t="str">
        <f t="shared" si="73"/>
        <v/>
      </c>
      <c r="EM44" s="822" t="str">
        <f t="shared" si="74"/>
        <v/>
      </c>
      <c r="EN44" s="822" t="str">
        <f t="shared" si="75"/>
        <v/>
      </c>
      <c r="EO44" s="856" t="e">
        <f t="shared" si="76"/>
        <v>#N/A</v>
      </c>
      <c r="EP44" s="856" t="e">
        <f t="shared" si="77"/>
        <v>#N/A</v>
      </c>
      <c r="EQ44" s="1293" t="str">
        <f t="shared" si="78"/>
        <v/>
      </c>
      <c r="ER44" s="822" t="str">
        <f t="shared" si="78"/>
        <v/>
      </c>
      <c r="ES44" s="822" t="str">
        <f t="shared" si="79"/>
        <v/>
      </c>
      <c r="ET44" s="822" t="str">
        <f t="shared" si="80"/>
        <v/>
      </c>
      <c r="EU44" s="829" t="str">
        <f t="shared" si="81"/>
        <v/>
      </c>
      <c r="EV44" s="824" t="str">
        <f t="shared" si="82"/>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83"/>
        <v/>
      </c>
      <c r="FA44" s="829" t="str">
        <f>IF(AND(DE44="G", ISBLANK(BW44), ISBLANK(BX44)),VLOOKUP(MIN(BT44:BU44),TblJoistSize!$M$3:$N$10,2),IF(OR(DE44="B", DE44="G"),MIN(BW44:BX44),""))</f>
        <v/>
      </c>
      <c r="FB44" s="829" t="str">
        <f>IF(AND(DE44="G", ISBLANK(BW44), ISBLANK(BX44)),VLOOKUP(MAX(BT44:BU44),TblJoistSize!$M$3:$N$10,2),IF(OR(DE44="B", DE44="G"),MAX(BW44:BX44),""))</f>
        <v/>
      </c>
      <c r="FC44" s="829" t="str">
        <f t="shared" si="84"/>
        <v/>
      </c>
      <c r="FD44" s="821">
        <f t="shared" si="107"/>
        <v>0</v>
      </c>
      <c r="FE44" s="821">
        <f t="shared" si="85"/>
        <v>0</v>
      </c>
      <c r="FF44" s="821">
        <f t="shared" si="86"/>
        <v>0</v>
      </c>
      <c r="FG44" s="821" t="str">
        <f t="shared" si="87"/>
        <v/>
      </c>
      <c r="FH44" s="822" t="str">
        <f t="shared" si="88"/>
        <v/>
      </c>
      <c r="FI44" s="821">
        <f t="shared" si="108"/>
        <v>0</v>
      </c>
      <c r="FJ44" s="821">
        <f t="shared" si="89"/>
        <v>0</v>
      </c>
      <c r="FK44" s="821">
        <f t="shared" si="90"/>
        <v>0</v>
      </c>
      <c r="FL44" s="821" t="str">
        <f t="shared" si="91"/>
        <v/>
      </c>
      <c r="FM44" s="822" t="str">
        <f t="shared" si="92"/>
        <v/>
      </c>
      <c r="FN44" s="822" t="e">
        <f t="shared" si="93"/>
        <v>#VALUE!</v>
      </c>
      <c r="FO44" s="940" t="e">
        <f t="shared" si="94"/>
        <v>#VALUE!</v>
      </c>
      <c r="FP44" s="940" t="e">
        <f t="shared" si="95"/>
        <v>#VALUE!</v>
      </c>
      <c r="FQ44" s="830" t="e">
        <f t="shared" si="96"/>
        <v>#VALUE!</v>
      </c>
      <c r="FR44" s="831" t="e">
        <f t="shared" si="97"/>
        <v>#VALUE!</v>
      </c>
      <c r="FS44" s="832" t="str">
        <f t="shared" si="98"/>
        <v/>
      </c>
      <c r="FT44" s="833" t="str">
        <f t="shared" si="99"/>
        <v/>
      </c>
      <c r="FU44" s="870">
        <f t="shared" si="100"/>
        <v>0</v>
      </c>
      <c r="FV44" s="871">
        <f t="shared" si="101"/>
        <v>0</v>
      </c>
      <c r="GA44" s="1791" t="str">
        <f t="shared" si="119"/>
        <v/>
      </c>
      <c r="GB44" s="1792" t="str">
        <f t="shared" si="120"/>
        <v/>
      </c>
      <c r="GC44" s="1793" t="str">
        <f t="shared" si="121"/>
        <v/>
      </c>
      <c r="GD44" s="1794" t="str">
        <f t="shared" si="122"/>
        <v/>
      </c>
      <c r="GE44" s="1795" t="str">
        <f t="shared" si="102"/>
        <v/>
      </c>
      <c r="GF44" s="600" t="str">
        <f t="shared" si="103"/>
        <v/>
      </c>
      <c r="GG44" s="1130"/>
      <c r="GH44" s="1131"/>
      <c r="GI44" s="1130"/>
      <c r="GJ44" s="1131"/>
      <c r="GK44" s="1638">
        <f t="shared" si="104"/>
        <v>0</v>
      </c>
      <c r="GL44" s="1636" t="e">
        <f t="shared" si="105"/>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7"/>
        <v/>
      </c>
      <c r="O45" s="1723" t="str">
        <f t="shared" si="8"/>
        <v/>
      </c>
      <c r="P45" s="1724" t="str">
        <f t="shared" si="9"/>
        <v/>
      </c>
      <c r="Q45" s="1719" t="str">
        <f t="shared" si="10"/>
        <v/>
      </c>
      <c r="R45" s="1723" t="str">
        <f t="shared" si="11"/>
        <v/>
      </c>
      <c r="S45" s="1725" t="str">
        <f t="shared" si="12"/>
        <v/>
      </c>
      <c r="T45" s="1728" t="str">
        <f t="shared" si="114"/>
        <v/>
      </c>
      <c r="U45" s="1723" t="str">
        <f t="shared" si="115"/>
        <v/>
      </c>
      <c r="V45" s="1719" t="str">
        <f t="shared" si="116"/>
        <v/>
      </c>
      <c r="W45" s="1723" t="str">
        <f t="shared" si="117"/>
        <v/>
      </c>
      <c r="X45" s="1727">
        <f>IF(EV45="",0,EV45)</f>
        <v>0</v>
      </c>
      <c r="Y45" s="1787" t="str">
        <f>FG45</f>
        <v/>
      </c>
      <c r="Z45" s="1788" t="str">
        <f>FL45</f>
        <v/>
      </c>
      <c r="AA45" s="1789" t="s">
        <v>116</v>
      </c>
      <c r="AB45" s="1413"/>
      <c r="AC45" s="964" t="b">
        <v>0</v>
      </c>
      <c r="AD45" s="441">
        <f t="shared" si="15"/>
        <v>0</v>
      </c>
      <c r="AE45" s="442">
        <f t="shared" si="16"/>
        <v>0</v>
      </c>
      <c r="AF45" s="442">
        <f t="shared" si="17"/>
        <v>0</v>
      </c>
      <c r="AG45" s="442">
        <f t="shared" si="18"/>
        <v>0</v>
      </c>
      <c r="AH45" s="443">
        <f t="shared" si="19"/>
        <v>0</v>
      </c>
      <c r="AI45" s="444" t="b">
        <v>0</v>
      </c>
      <c r="AJ45" s="238">
        <f t="shared" si="20"/>
        <v>0</v>
      </c>
      <c r="AK45" s="830" t="str">
        <f t="shared" si="21"/>
        <v/>
      </c>
      <c r="AL45" s="945" t="str">
        <f t="shared" si="22"/>
        <v/>
      </c>
      <c r="AM45" s="830" t="str">
        <f t="shared" si="23"/>
        <v/>
      </c>
      <c r="AN45" s="830" t="str">
        <f t="shared" si="24"/>
        <v/>
      </c>
      <c r="AO45" s="830" t="str">
        <f t="shared" si="25"/>
        <v/>
      </c>
      <c r="AP45" s="830" t="b">
        <f>IF(ISERROR(AJ45),FALSE,IF(OR(AJ45=0,ISERROR(AL45),ISERROR(AM45),ISERROR(AN45),ISERROR(AO45)),FALSE,IF(AL45&lt;&gt;"",IF(ISERROR(VLOOKUP(SUBSTITUTE(SUBSTITUTE(C45,"R",""),"A",""),TblJoistSize!$A:$A,1,FALSE)),FALSE,TRUE),TRUE)))</f>
        <v>0</v>
      </c>
      <c r="AQ45" s="1038" t="e">
        <f t="shared" si="26"/>
        <v>#N/A</v>
      </c>
      <c r="AR45" s="945" t="b">
        <f t="shared" si="27"/>
        <v>0</v>
      </c>
      <c r="AS45" s="1038" t="e">
        <f t="shared" si="28"/>
        <v>#N/A</v>
      </c>
      <c r="AT45" s="945" t="b">
        <f t="shared" si="29"/>
        <v>0</v>
      </c>
      <c r="AU45" s="946" t="str">
        <f t="shared" si="30"/>
        <v/>
      </c>
      <c r="AV45" s="830" t="str">
        <f t="shared" si="31"/>
        <v/>
      </c>
      <c r="AW45" s="830" t="str">
        <f t="shared" si="32"/>
        <v/>
      </c>
      <c r="AX45" s="830" t="str">
        <f t="shared" si="106"/>
        <v/>
      </c>
      <c r="AY45" s="1039" t="b">
        <f t="shared" si="33"/>
        <v>0</v>
      </c>
      <c r="AZ45" s="856" t="str">
        <f t="shared" si="34"/>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35"/>
        <v/>
      </c>
      <c r="BR45" s="911"/>
      <c r="BS45" s="681"/>
      <c r="BT45" s="718"/>
      <c r="BU45" s="719"/>
      <c r="BV45" s="1626"/>
      <c r="BW45" s="718"/>
      <c r="BX45" s="719"/>
      <c r="BY45" s="720"/>
      <c r="BZ45" s="721"/>
      <c r="CA45" s="689" t="str">
        <f>IF(ISERROR(DE45),"",IF(DE45="","",IF(VLOOKUP(BS45,SectInfo!$B:$N,10,FALSE)="","","X")))</f>
        <v/>
      </c>
      <c r="CB45" s="741"/>
      <c r="CC45" s="1552" t="str">
        <f t="shared" si="36"/>
        <v/>
      </c>
      <c r="CD45" s="911"/>
      <c r="CE45" s="722"/>
      <c r="CF45" s="739"/>
      <c r="CG45" s="740"/>
      <c r="CH45" s="601" t="str">
        <f t="shared" si="37"/>
        <v/>
      </c>
      <c r="CI45" s="602" t="str">
        <f t="shared" si="38"/>
        <v/>
      </c>
      <c r="CJ45" s="603" t="str">
        <f t="shared" si="39"/>
        <v/>
      </c>
      <c r="CK45" s="604" t="str">
        <f t="shared" si="40"/>
        <v/>
      </c>
      <c r="CL45" s="605" t="str">
        <f t="shared" si="41"/>
        <v/>
      </c>
      <c r="CM45" s="606" t="str">
        <f t="shared" si="42"/>
        <v/>
      </c>
      <c r="CN45" s="607" t="str">
        <f t="shared" si="43"/>
        <v/>
      </c>
      <c r="CO45" s="608" t="str">
        <f t="shared" si="44"/>
        <v/>
      </c>
      <c r="CP45" s="617" t="str">
        <f t="shared" si="45"/>
        <v/>
      </c>
      <c r="CQ45" s="618" t="str">
        <f t="shared" si="46"/>
        <v/>
      </c>
      <c r="CR45" s="752" t="str">
        <f t="shared" si="47"/>
        <v/>
      </c>
      <c r="CS45" s="753" t="str">
        <f t="shared" si="48"/>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49"/>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50"/>
        <v>0</v>
      </c>
      <c r="DO45" s="818">
        <f t="shared" si="51"/>
        <v>0</v>
      </c>
      <c r="DP45" s="822" t="str">
        <f t="shared" si="52"/>
        <v/>
      </c>
      <c r="DQ45" s="822" t="str">
        <f t="shared" si="53"/>
        <v/>
      </c>
      <c r="DR45" s="822" t="str">
        <f t="shared" si="54"/>
        <v/>
      </c>
      <c r="DS45" s="821">
        <f t="shared" si="55"/>
        <v>0</v>
      </c>
      <c r="DT45" s="821">
        <f t="shared" si="56"/>
        <v>0</v>
      </c>
      <c r="DU45" s="821" t="str">
        <f t="shared" si="57"/>
        <v/>
      </c>
      <c r="DV45" s="822" t="str">
        <f t="shared" si="58"/>
        <v/>
      </c>
      <c r="DW45" s="856" t="str">
        <f t="shared" si="59"/>
        <v/>
      </c>
      <c r="DX45" s="1006">
        <f t="shared" si="60"/>
        <v>0</v>
      </c>
      <c r="DY45" s="822">
        <f t="shared" si="61"/>
        <v>0</v>
      </c>
      <c r="DZ45" s="821">
        <f t="shared" si="62"/>
        <v>0</v>
      </c>
      <c r="EA45" s="821" t="str">
        <f t="shared" si="63"/>
        <v/>
      </c>
      <c r="EB45" s="822" t="str">
        <f t="shared" si="64"/>
        <v/>
      </c>
      <c r="EC45" s="856" t="str">
        <f t="shared" si="65"/>
        <v/>
      </c>
      <c r="ED45" s="1006">
        <f t="shared" si="66"/>
        <v>0</v>
      </c>
      <c r="EE45" s="1293" t="str">
        <f t="shared" si="67"/>
        <v/>
      </c>
      <c r="EF45" s="1293" t="str">
        <f t="shared" si="68"/>
        <v/>
      </c>
      <c r="EG45" s="1293" t="str">
        <f t="shared" si="69"/>
        <v/>
      </c>
      <c r="EH45" s="856" t="e">
        <f t="shared" si="70"/>
        <v>#N/A</v>
      </c>
      <c r="EI45" s="856" t="e">
        <f t="shared" si="71"/>
        <v>#N/A</v>
      </c>
      <c r="EJ45" s="822" t="str">
        <f t="shared" si="72"/>
        <v/>
      </c>
      <c r="EK45" s="822" t="str">
        <f t="shared" si="72"/>
        <v/>
      </c>
      <c r="EL45" s="1293" t="str">
        <f t="shared" si="73"/>
        <v/>
      </c>
      <c r="EM45" s="822" t="str">
        <f t="shared" si="74"/>
        <v/>
      </c>
      <c r="EN45" s="822" t="str">
        <f t="shared" si="75"/>
        <v/>
      </c>
      <c r="EO45" s="856" t="e">
        <f t="shared" si="76"/>
        <v>#N/A</v>
      </c>
      <c r="EP45" s="856" t="e">
        <f t="shared" si="77"/>
        <v>#N/A</v>
      </c>
      <c r="EQ45" s="1293" t="str">
        <f t="shared" si="78"/>
        <v/>
      </c>
      <c r="ER45" s="822" t="str">
        <f t="shared" si="78"/>
        <v/>
      </c>
      <c r="ES45" s="822" t="str">
        <f t="shared" si="79"/>
        <v/>
      </c>
      <c r="ET45" s="822" t="str">
        <f t="shared" si="80"/>
        <v/>
      </c>
      <c r="EU45" s="829" t="str">
        <f t="shared" si="81"/>
        <v/>
      </c>
      <c r="EV45" s="824" t="str">
        <f t="shared" si="82"/>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83"/>
        <v/>
      </c>
      <c r="FA45" s="829" t="str">
        <f>IF(AND(DE45="G", ISBLANK(BW45), ISBLANK(BX45)),VLOOKUP(MIN(BT45:BU45),TblJoistSize!$M$3:$N$10,2),IF(OR(DE45="B", DE45="G"),MIN(BW45:BX45),""))</f>
        <v/>
      </c>
      <c r="FB45" s="829" t="str">
        <f>IF(AND(DE45="G", ISBLANK(BW45), ISBLANK(BX45)),VLOOKUP(MAX(BT45:BU45),TblJoistSize!$M$3:$N$10,2),IF(OR(DE45="B", DE45="G"),MAX(BW45:BX45),""))</f>
        <v/>
      </c>
      <c r="FC45" s="829" t="str">
        <f t="shared" si="84"/>
        <v/>
      </c>
      <c r="FD45" s="821">
        <f t="shared" si="107"/>
        <v>0</v>
      </c>
      <c r="FE45" s="821">
        <f t="shared" si="85"/>
        <v>0</v>
      </c>
      <c r="FF45" s="821">
        <f t="shared" si="86"/>
        <v>0</v>
      </c>
      <c r="FG45" s="821" t="str">
        <f t="shared" si="87"/>
        <v/>
      </c>
      <c r="FH45" s="822" t="str">
        <f t="shared" si="88"/>
        <v/>
      </c>
      <c r="FI45" s="821">
        <f t="shared" si="108"/>
        <v>0</v>
      </c>
      <c r="FJ45" s="821">
        <f t="shared" si="89"/>
        <v>0</v>
      </c>
      <c r="FK45" s="821">
        <f t="shared" si="90"/>
        <v>0</v>
      </c>
      <c r="FL45" s="821" t="str">
        <f t="shared" si="91"/>
        <v/>
      </c>
      <c r="FM45" s="822" t="str">
        <f t="shared" si="92"/>
        <v/>
      </c>
      <c r="FN45" s="822" t="e">
        <f t="shared" si="93"/>
        <v>#VALUE!</v>
      </c>
      <c r="FO45" s="940" t="e">
        <f t="shared" si="94"/>
        <v>#VALUE!</v>
      </c>
      <c r="FP45" s="940" t="e">
        <f t="shared" si="95"/>
        <v>#VALUE!</v>
      </c>
      <c r="FQ45" s="830" t="e">
        <f t="shared" si="96"/>
        <v>#VALUE!</v>
      </c>
      <c r="FR45" s="831" t="e">
        <f t="shared" si="97"/>
        <v>#VALUE!</v>
      </c>
      <c r="FS45" s="832" t="str">
        <f t="shared" si="98"/>
        <v/>
      </c>
      <c r="FT45" s="833" t="str">
        <f t="shared" si="99"/>
        <v/>
      </c>
      <c r="FU45" s="870">
        <f t="shared" si="100"/>
        <v>0</v>
      </c>
      <c r="FV45" s="871">
        <f t="shared" si="101"/>
        <v>0</v>
      </c>
      <c r="GA45" s="1791" t="str">
        <f t="shared" si="119"/>
        <v/>
      </c>
      <c r="GB45" s="1792" t="str">
        <f t="shared" si="120"/>
        <v/>
      </c>
      <c r="GC45" s="1793" t="str">
        <f t="shared" si="121"/>
        <v/>
      </c>
      <c r="GD45" s="1794" t="str">
        <f t="shared" si="122"/>
        <v/>
      </c>
      <c r="GE45" s="1795" t="str">
        <f t="shared" si="102"/>
        <v/>
      </c>
      <c r="GF45" s="600" t="str">
        <f t="shared" si="103"/>
        <v/>
      </c>
      <c r="GG45" s="1132"/>
      <c r="GH45" s="1133"/>
      <c r="GI45" s="1132"/>
      <c r="GJ45" s="1133"/>
      <c r="GK45" s="1638">
        <f t="shared" si="104"/>
        <v>0</v>
      </c>
      <c r="GL45" s="1636" t="e">
        <f t="shared" si="105"/>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217</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217</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t="12" hidden="1" thickBot="1" x14ac:dyDescent="0.25"/>
    <row r="51" spans="1:192" ht="12" hidden="1" thickBot="1" x14ac:dyDescent="0.25"/>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339"/>
      <c r="CQ57" s="2340"/>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3">IF(GF57="","",BE57)</f>
        <v/>
      </c>
      <c r="GB57" s="619" t="str">
        <f t="shared" ref="GB57" si="124">IF(GF57="","",BF57)</f>
        <v/>
      </c>
      <c r="GC57" s="621" t="str">
        <f t="shared" ref="GC57" si="125">IF(GF57="","",IF(CV57="",0,CV57))</f>
        <v/>
      </c>
      <c r="GD57" s="622" t="str">
        <f t="shared" ref="GD57" si="126">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t="s">
        <v>1676</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342" t="s">
        <v>524</v>
      </c>
      <c r="EM71" s="2343"/>
      <c r="EN71" s="2343"/>
      <c r="EO71" s="2344"/>
    </row>
    <row r="72" spans="1:145" ht="15" customHeight="1" thickBot="1" x14ac:dyDescent="0.25">
      <c r="EL72" s="2495" t="s">
        <v>535</v>
      </c>
      <c r="EM72" s="2498" t="s">
        <v>536</v>
      </c>
      <c r="EN72" s="2498" t="s">
        <v>537</v>
      </c>
      <c r="EO72" s="2501" t="s">
        <v>538</v>
      </c>
    </row>
    <row r="73" spans="1:145" ht="15" customHeight="1" thickBot="1" x14ac:dyDescent="0.25">
      <c r="EJ73" s="2502" t="s">
        <v>542</v>
      </c>
      <c r="EL73" s="2496"/>
      <c r="EM73" s="2499"/>
      <c r="EN73" s="2499"/>
      <c r="EO73" s="2403"/>
    </row>
    <row r="74" spans="1:145" ht="15" customHeight="1" thickBot="1" x14ac:dyDescent="0.25">
      <c r="EJ74" s="2503"/>
      <c r="EL74" s="2497"/>
      <c r="EM74" s="2500"/>
      <c r="EN74" s="2500"/>
      <c r="EO74" s="2404"/>
    </row>
    <row r="75" spans="1:145" ht="15" customHeight="1" thickTop="1" x14ac:dyDescent="0.2">
      <c r="EJ75" s="507">
        <f t="shared" ref="EJ75:EJ104" si="127">IF(AU16="","",IF(OR(AU16="K",AU16="KCS"),(BE16*12+BF16+IF(CU16="M",MAX(CV16,$CX$4),0)+IF(DE16="M",MAX(DF16,$CX$4),0))/12,IF(OR(AU16="LH",AU16="DLH"),(BE16*12+BF16+8-MAX(MAX(BH16,BI16)/2,DC16)-MAX(MAX(BT16,BU16)/2,DM16))/12,IF(OR(AU16="JS",AU16="HDR"),""))))</f>
        <v>0.66666666666666663</v>
      </c>
      <c r="EL75" s="445"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446" t="str">
        <f t="shared" ref="EM75:EM104" si="128">IF(BD16="","",IF(EL75="-","-",IF(EO75="No",0,IF(AZ16/12&lt;60,1,IF(AZ16/12&lt;100,2,EL75)))))</f>
        <v/>
      </c>
      <c r="EN75" s="447" t="str">
        <f>IF(BD16="","",IF(ISERROR(VLOOKUP(BD16,TblJoistSize!$A$1:$G$274,2,FALSE)),"-",VLOOKUP(BD16,TblJoistSize!$A$1:$G$274,2,FALSE)))</f>
        <v/>
      </c>
      <c r="EO75" s="448" t="str">
        <f t="shared" ref="EO75:EO104" si="129">IF(BD16="","",IF(EN75="-","-",IF(EN75="NM","No",IF(EN75&lt;=AZ16/12,"Yes","No"))))</f>
        <v/>
      </c>
    </row>
    <row r="76" spans="1:145" ht="15" customHeight="1" x14ac:dyDescent="0.2">
      <c r="EJ76" s="507">
        <f t="shared" si="127"/>
        <v>0.66666666666666663</v>
      </c>
      <c r="EL76" s="445"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446" t="str">
        <f t="shared" si="128"/>
        <v/>
      </c>
      <c r="EN76" s="447" t="str">
        <f>IF(BD17="","",IF(ISERROR(VLOOKUP(BD17,TblJoistSize!$A$1:$G$274,2,FALSE)),"-",VLOOKUP(BD17,TblJoistSize!$A$1:$G$274,2,FALSE)))</f>
        <v/>
      </c>
      <c r="EO76" s="448" t="str">
        <f t="shared" si="129"/>
        <v/>
      </c>
    </row>
    <row r="77" spans="1:145" ht="15" customHeight="1" x14ac:dyDescent="0.2">
      <c r="EJ77" s="507">
        <f t="shared" si="127"/>
        <v>0.66666666666666663</v>
      </c>
      <c r="EL77" s="445"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446" t="str">
        <f t="shared" si="128"/>
        <v/>
      </c>
      <c r="EN77" s="447" t="str">
        <f>IF(BD18="","",IF(ISERROR(VLOOKUP(BD18,TblJoistSize!$A$1:$G$274,2,FALSE)),"-",VLOOKUP(BD18,TblJoistSize!$A$1:$G$274,2,FALSE)))</f>
        <v/>
      </c>
      <c r="EO77" s="448" t="str">
        <f t="shared" si="129"/>
        <v/>
      </c>
    </row>
    <row r="78" spans="1:145" ht="15" customHeight="1" x14ac:dyDescent="0.2">
      <c r="EJ78" s="507">
        <f t="shared" si="127"/>
        <v>0.66666666666666663</v>
      </c>
      <c r="EL78" s="445"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446" t="str">
        <f t="shared" si="128"/>
        <v/>
      </c>
      <c r="EN78" s="447" t="str">
        <f>IF(BD19="","",IF(ISERROR(VLOOKUP(BD19,TblJoistSize!$A$1:$G$274,2,FALSE)),"-",VLOOKUP(BD19,TblJoistSize!$A$1:$G$274,2,FALSE)))</f>
        <v/>
      </c>
      <c r="EO78" s="448" t="str">
        <f t="shared" si="129"/>
        <v/>
      </c>
    </row>
    <row r="79" spans="1:145" ht="15" customHeight="1" x14ac:dyDescent="0.2">
      <c r="EJ79" s="507">
        <f t="shared" si="127"/>
        <v>0.66666666666666663</v>
      </c>
      <c r="EL79" s="445"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446" t="str">
        <f t="shared" si="128"/>
        <v/>
      </c>
      <c r="EN79" s="447" t="str">
        <f>IF(BD20="","",IF(ISERROR(VLOOKUP(BD20,TblJoistSize!$A$1:$G$274,2,FALSE)),"-",VLOOKUP(BD20,TblJoistSize!$A$1:$G$274,2,FALSE)))</f>
        <v/>
      </c>
      <c r="EO79" s="448" t="str">
        <f t="shared" si="129"/>
        <v/>
      </c>
    </row>
    <row r="80" spans="1:145" ht="15" customHeight="1" x14ac:dyDescent="0.2">
      <c r="EJ80" s="507">
        <f t="shared" si="127"/>
        <v>0.66666666666666663</v>
      </c>
      <c r="EL80" s="445"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446" t="str">
        <f t="shared" si="128"/>
        <v/>
      </c>
      <c r="EN80" s="447" t="str">
        <f>IF(BD21="","",IF(ISERROR(VLOOKUP(BD21,TblJoistSize!$A$1:$G$274,2,FALSE)),"-",VLOOKUP(BD21,TblJoistSize!$A$1:$G$274,2,FALSE)))</f>
        <v/>
      </c>
      <c r="EO80" s="448" t="str">
        <f t="shared" si="129"/>
        <v/>
      </c>
    </row>
    <row r="81" spans="140:145" ht="15" customHeight="1" x14ac:dyDescent="0.2">
      <c r="EJ81" s="507">
        <f t="shared" si="127"/>
        <v>0.66666666666666663</v>
      </c>
      <c r="EL81" s="445"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446" t="str">
        <f t="shared" si="128"/>
        <v/>
      </c>
      <c r="EN81" s="447" t="str">
        <f>IF(BD22="","",IF(ISERROR(VLOOKUP(BD22,TblJoistSize!$A$1:$G$274,2,FALSE)),"-",VLOOKUP(BD22,TblJoistSize!$A$1:$G$274,2,FALSE)))</f>
        <v/>
      </c>
      <c r="EO81" s="448" t="str">
        <f t="shared" si="129"/>
        <v/>
      </c>
    </row>
    <row r="82" spans="140:145" ht="15" customHeight="1" x14ac:dyDescent="0.2">
      <c r="EJ82" s="507">
        <f t="shared" si="127"/>
        <v>0.66666666666666663</v>
      </c>
      <c r="EL82" s="445"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446" t="str">
        <f t="shared" si="128"/>
        <v/>
      </c>
      <c r="EN82" s="447" t="str">
        <f>IF(BD23="","",IF(ISERROR(VLOOKUP(BD23,TblJoistSize!$A$1:$G$274,2,FALSE)),"-",VLOOKUP(BD23,TblJoistSize!$A$1:$G$274,2,FALSE)))</f>
        <v/>
      </c>
      <c r="EO82" s="448" t="str">
        <f t="shared" si="129"/>
        <v/>
      </c>
    </row>
    <row r="83" spans="140:145" ht="15" customHeight="1" x14ac:dyDescent="0.2">
      <c r="EJ83" s="507">
        <f t="shared" si="127"/>
        <v>0.66666666666666663</v>
      </c>
      <c r="EL83" s="445"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446" t="str">
        <f t="shared" si="128"/>
        <v/>
      </c>
      <c r="EN83" s="447" t="str">
        <f>IF(BD24="","",IF(ISERROR(VLOOKUP(BD24,TblJoistSize!$A$1:$G$274,2,FALSE)),"-",VLOOKUP(BD24,TblJoistSize!$A$1:$G$274,2,FALSE)))</f>
        <v/>
      </c>
      <c r="EO83" s="448" t="str">
        <f t="shared" si="129"/>
        <v/>
      </c>
    </row>
    <row r="84" spans="140:145" ht="15" customHeight="1" x14ac:dyDescent="0.2">
      <c r="EJ84" s="507">
        <f t="shared" si="127"/>
        <v>0.66666666666666663</v>
      </c>
      <c r="EL84" s="445"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446" t="str">
        <f t="shared" si="128"/>
        <v/>
      </c>
      <c r="EN84" s="447" t="str">
        <f>IF(BD25="","",IF(ISERROR(VLOOKUP(BD25,TblJoistSize!$A$1:$G$274,2,FALSE)),"-",VLOOKUP(BD25,TblJoistSize!$A$1:$G$274,2,FALSE)))</f>
        <v/>
      </c>
      <c r="EO84" s="448" t="str">
        <f t="shared" si="129"/>
        <v/>
      </c>
    </row>
    <row r="85" spans="140:145" ht="15" customHeight="1" x14ac:dyDescent="0.2">
      <c r="EJ85" s="507">
        <f t="shared" si="127"/>
        <v>0.66666666666666663</v>
      </c>
      <c r="EL85" s="445"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446" t="str">
        <f t="shared" si="128"/>
        <v/>
      </c>
      <c r="EN85" s="447" t="str">
        <f>IF(BD26="","",IF(ISERROR(VLOOKUP(BD26,TblJoistSize!$A$1:$G$274,2,FALSE)),"-",VLOOKUP(BD26,TblJoistSize!$A$1:$G$274,2,FALSE)))</f>
        <v/>
      </c>
      <c r="EO85" s="448" t="str">
        <f t="shared" si="129"/>
        <v/>
      </c>
    </row>
    <row r="86" spans="140:145" ht="15" customHeight="1" x14ac:dyDescent="0.2">
      <c r="EJ86" s="507">
        <f t="shared" si="127"/>
        <v>0.66666666666666663</v>
      </c>
      <c r="EL86" s="445"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446" t="str">
        <f t="shared" si="128"/>
        <v/>
      </c>
      <c r="EN86" s="447" t="str">
        <f>IF(BD27="","",IF(ISERROR(VLOOKUP(BD27,TblJoistSize!$A$1:$G$274,2,FALSE)),"-",VLOOKUP(BD27,TblJoistSize!$A$1:$G$274,2,FALSE)))</f>
        <v/>
      </c>
      <c r="EO86" s="448" t="str">
        <f t="shared" si="129"/>
        <v/>
      </c>
    </row>
    <row r="87" spans="140:145" ht="15" customHeight="1" x14ac:dyDescent="0.2">
      <c r="EJ87" s="507">
        <f t="shared" si="127"/>
        <v>0.66666666666666663</v>
      </c>
      <c r="EL87" s="445"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446" t="str">
        <f t="shared" si="128"/>
        <v/>
      </c>
      <c r="EN87" s="447" t="str">
        <f>IF(BD28="","",IF(ISERROR(VLOOKUP(BD28,TblJoistSize!$A$1:$G$274,2,FALSE)),"-",VLOOKUP(BD28,TblJoistSize!$A$1:$G$274,2,FALSE)))</f>
        <v/>
      </c>
      <c r="EO87" s="448" t="str">
        <f t="shared" si="129"/>
        <v/>
      </c>
    </row>
    <row r="88" spans="140:145" ht="15" customHeight="1" x14ac:dyDescent="0.2">
      <c r="EJ88" s="507">
        <f t="shared" si="127"/>
        <v>0.66666666666666663</v>
      </c>
      <c r="EL88" s="445"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446" t="str">
        <f t="shared" si="128"/>
        <v/>
      </c>
      <c r="EN88" s="447" t="str">
        <f>IF(BD29="","",IF(ISERROR(VLOOKUP(BD29,TblJoistSize!$A$1:$G$274,2,FALSE)),"-",VLOOKUP(BD29,TblJoistSize!$A$1:$G$274,2,FALSE)))</f>
        <v/>
      </c>
      <c r="EO88" s="448" t="str">
        <f t="shared" si="129"/>
        <v/>
      </c>
    </row>
    <row r="89" spans="140:145" ht="15" customHeight="1" x14ac:dyDescent="0.2">
      <c r="EJ89" s="507">
        <f t="shared" si="127"/>
        <v>0.66666666666666663</v>
      </c>
      <c r="EL89" s="445"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446" t="str">
        <f t="shared" si="128"/>
        <v/>
      </c>
      <c r="EN89" s="447" t="str">
        <f>IF(BD30="","",IF(ISERROR(VLOOKUP(BD30,TblJoistSize!$A$1:$G$274,2,FALSE)),"-",VLOOKUP(BD30,TblJoistSize!$A$1:$G$274,2,FALSE)))</f>
        <v/>
      </c>
      <c r="EO89" s="448" t="str">
        <f t="shared" si="129"/>
        <v/>
      </c>
    </row>
    <row r="90" spans="140:145" ht="15" customHeight="1" x14ac:dyDescent="0.2">
      <c r="EJ90" s="507">
        <f t="shared" si="127"/>
        <v>0.66666666666666663</v>
      </c>
      <c r="EL90" s="445"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446" t="str">
        <f t="shared" si="128"/>
        <v/>
      </c>
      <c r="EN90" s="447" t="str">
        <f>IF(BD31="","",IF(ISERROR(VLOOKUP(BD31,TblJoistSize!$A$1:$G$274,2,FALSE)),"-",VLOOKUP(BD31,TblJoistSize!$A$1:$G$274,2,FALSE)))</f>
        <v/>
      </c>
      <c r="EO90" s="448" t="str">
        <f t="shared" si="129"/>
        <v/>
      </c>
    </row>
    <row r="91" spans="140:145" ht="15" customHeight="1" x14ac:dyDescent="0.2">
      <c r="EJ91" s="507">
        <f t="shared" si="127"/>
        <v>0.66666666666666663</v>
      </c>
      <c r="EL91" s="445"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446" t="str">
        <f t="shared" si="128"/>
        <v/>
      </c>
      <c r="EN91" s="447" t="str">
        <f>IF(BD32="","",IF(ISERROR(VLOOKUP(BD32,TblJoistSize!$A$1:$G$274,2,FALSE)),"-",VLOOKUP(BD32,TblJoistSize!$A$1:$G$274,2,FALSE)))</f>
        <v/>
      </c>
      <c r="EO91" s="448" t="str">
        <f t="shared" si="129"/>
        <v/>
      </c>
    </row>
    <row r="92" spans="140:145" ht="15" customHeight="1" x14ac:dyDescent="0.2">
      <c r="EJ92" s="507">
        <f t="shared" si="127"/>
        <v>0.66666666666666663</v>
      </c>
      <c r="EL92" s="445"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446" t="str">
        <f t="shared" si="128"/>
        <v/>
      </c>
      <c r="EN92" s="447" t="str">
        <f>IF(BD33="","",IF(ISERROR(VLOOKUP(BD33,TblJoistSize!$A$1:$G$274,2,FALSE)),"-",VLOOKUP(BD33,TblJoistSize!$A$1:$G$274,2,FALSE)))</f>
        <v/>
      </c>
      <c r="EO92" s="448" t="str">
        <f t="shared" si="129"/>
        <v/>
      </c>
    </row>
    <row r="93" spans="140:145" ht="15" customHeight="1" x14ac:dyDescent="0.2">
      <c r="EJ93" s="507">
        <f t="shared" si="127"/>
        <v>0.66666666666666663</v>
      </c>
      <c r="EL93" s="445"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446" t="str">
        <f t="shared" si="128"/>
        <v/>
      </c>
      <c r="EN93" s="447" t="str">
        <f>IF(BD34="","",IF(ISERROR(VLOOKUP(BD34,TblJoistSize!$A$1:$G$274,2,FALSE)),"-",VLOOKUP(BD34,TblJoistSize!$A$1:$G$274,2,FALSE)))</f>
        <v/>
      </c>
      <c r="EO93" s="448" t="str">
        <f t="shared" si="129"/>
        <v/>
      </c>
    </row>
    <row r="94" spans="140:145" ht="15" customHeight="1" x14ac:dyDescent="0.2">
      <c r="EJ94" s="507">
        <f t="shared" si="127"/>
        <v>0.66666666666666663</v>
      </c>
      <c r="EL94" s="445"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446" t="str">
        <f t="shared" si="128"/>
        <v/>
      </c>
      <c r="EN94" s="447" t="str">
        <f>IF(BD35="","",IF(ISERROR(VLOOKUP(BD35,TblJoistSize!$A$1:$G$274,2,FALSE)),"-",VLOOKUP(BD35,TblJoistSize!$A$1:$G$274,2,FALSE)))</f>
        <v/>
      </c>
      <c r="EO94" s="448" t="str">
        <f t="shared" si="129"/>
        <v/>
      </c>
    </row>
    <row r="95" spans="140:145" ht="15" customHeight="1" x14ac:dyDescent="0.2">
      <c r="EJ95" s="507">
        <f t="shared" si="127"/>
        <v>0.66666666666666663</v>
      </c>
      <c r="EL95" s="445"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446" t="str">
        <f t="shared" si="128"/>
        <v/>
      </c>
      <c r="EN95" s="447" t="str">
        <f>IF(BD36="","",IF(ISERROR(VLOOKUP(BD36,TblJoistSize!$A$1:$G$274,2,FALSE)),"-",VLOOKUP(BD36,TblJoistSize!$A$1:$G$274,2,FALSE)))</f>
        <v/>
      </c>
      <c r="EO95" s="448" t="str">
        <f t="shared" si="129"/>
        <v/>
      </c>
    </row>
    <row r="96" spans="140:145" ht="15" customHeight="1" x14ac:dyDescent="0.2">
      <c r="EJ96" s="507">
        <f t="shared" si="127"/>
        <v>0.66666666666666663</v>
      </c>
      <c r="EL96" s="445"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446" t="str">
        <f t="shared" si="128"/>
        <v/>
      </c>
      <c r="EN96" s="447" t="str">
        <f>IF(BD37="","",IF(ISERROR(VLOOKUP(BD37,TblJoistSize!$A$1:$G$274,2,FALSE)),"-",VLOOKUP(BD37,TblJoistSize!$A$1:$G$274,2,FALSE)))</f>
        <v/>
      </c>
      <c r="EO96" s="448" t="str">
        <f t="shared" si="129"/>
        <v/>
      </c>
    </row>
    <row r="97" spans="140:145" ht="15" customHeight="1" x14ac:dyDescent="0.2">
      <c r="EJ97" s="507">
        <f t="shared" si="127"/>
        <v>0.66666666666666663</v>
      </c>
      <c r="EL97" s="445"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446" t="str">
        <f t="shared" si="128"/>
        <v/>
      </c>
      <c r="EN97" s="447" t="str">
        <f>IF(BD38="","",IF(ISERROR(VLOOKUP(BD38,TblJoistSize!$A$1:$G$274,2,FALSE)),"-",VLOOKUP(BD38,TblJoistSize!$A$1:$G$274,2,FALSE)))</f>
        <v/>
      </c>
      <c r="EO97" s="448" t="str">
        <f t="shared" si="129"/>
        <v/>
      </c>
    </row>
    <row r="98" spans="140:145" ht="15" customHeight="1" x14ac:dyDescent="0.2">
      <c r="EJ98" s="507">
        <f t="shared" si="127"/>
        <v>0.66666666666666663</v>
      </c>
      <c r="EL98" s="445"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446" t="str">
        <f t="shared" si="128"/>
        <v/>
      </c>
      <c r="EN98" s="447" t="str">
        <f>IF(BD39="","",IF(ISERROR(VLOOKUP(BD39,TblJoistSize!$A$1:$G$274,2,FALSE)),"-",VLOOKUP(BD39,TblJoistSize!$A$1:$G$274,2,FALSE)))</f>
        <v/>
      </c>
      <c r="EO98" s="448" t="str">
        <f t="shared" si="129"/>
        <v/>
      </c>
    </row>
    <row r="99" spans="140:145" ht="15" customHeight="1" x14ac:dyDescent="0.2">
      <c r="EJ99" s="507">
        <f t="shared" si="127"/>
        <v>0.66666666666666663</v>
      </c>
      <c r="EL99" s="445"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446" t="str">
        <f t="shared" si="128"/>
        <v/>
      </c>
      <c r="EN99" s="447" t="str">
        <f>IF(BD40="","",IF(ISERROR(VLOOKUP(BD40,TblJoistSize!$A$1:$G$274,2,FALSE)),"-",VLOOKUP(BD40,TblJoistSize!$A$1:$G$274,2,FALSE)))</f>
        <v/>
      </c>
      <c r="EO99" s="448" t="str">
        <f t="shared" si="129"/>
        <v/>
      </c>
    </row>
    <row r="100" spans="140:145" ht="15" customHeight="1" x14ac:dyDescent="0.2">
      <c r="EJ100" s="507" t="str">
        <f t="shared" si="127"/>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28"/>
        <v/>
      </c>
      <c r="EN100" s="447" t="str">
        <f>IF(BD41="","",IF(ISERROR(VLOOKUP(BD41,TblJoistSize!$A$1:$G$274,2,FALSE)),"-",VLOOKUP(BD41,TblJoistSize!$A$1:$G$274,2,FALSE)))</f>
        <v/>
      </c>
      <c r="EO100" s="448" t="str">
        <f t="shared" si="129"/>
        <v/>
      </c>
    </row>
    <row r="101" spans="140:145" x14ac:dyDescent="0.2">
      <c r="EJ101" s="507" t="str">
        <f t="shared" si="127"/>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28"/>
        <v/>
      </c>
      <c r="EN101" s="447" t="str">
        <f>IF(BD42="","",IF(ISERROR(VLOOKUP(BD42,TblJoistSize!$A$1:$G$274,2,FALSE)),"-",VLOOKUP(BD42,TblJoistSize!$A$1:$G$274,2,FALSE)))</f>
        <v/>
      </c>
      <c r="EO101" s="448" t="str">
        <f t="shared" si="129"/>
        <v/>
      </c>
    </row>
    <row r="102" spans="140:145" x14ac:dyDescent="0.2">
      <c r="EJ102" s="507" t="str">
        <f t="shared" si="127"/>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28"/>
        <v/>
      </c>
      <c r="EN102" s="447" t="str">
        <f>IF(BD43="","",IF(ISERROR(VLOOKUP(BD43,TblJoistSize!$A$1:$G$274,2,FALSE)),"-",VLOOKUP(BD43,TblJoistSize!$A$1:$G$274,2,FALSE)))</f>
        <v/>
      </c>
      <c r="EO102" s="448" t="str">
        <f t="shared" si="129"/>
        <v/>
      </c>
    </row>
    <row r="103" spans="140:145" x14ac:dyDescent="0.2">
      <c r="EJ103" s="507" t="str">
        <f t="shared" si="127"/>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28"/>
        <v/>
      </c>
      <c r="EN103" s="447" t="str">
        <f>IF(BD44="","",IF(ISERROR(VLOOKUP(BD44,TblJoistSize!$A$1:$G$274,2,FALSE)),"-",VLOOKUP(BD44,TblJoistSize!$A$1:$G$274,2,FALSE)))</f>
        <v/>
      </c>
      <c r="EO103" s="448" t="str">
        <f t="shared" si="129"/>
        <v/>
      </c>
    </row>
    <row r="104" spans="140:145" x14ac:dyDescent="0.2">
      <c r="EJ104" s="507" t="str">
        <f t="shared" si="127"/>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28"/>
        <v/>
      </c>
      <c r="EN104" s="447" t="str">
        <f>IF(BD45="","",IF(ISERROR(VLOOKUP(BD45,TblJoistSize!$A$1:$G$274,2,FALSE)),"-",VLOOKUP(BD45,TblJoistSize!$A$1:$G$274,2,FALSE)))</f>
        <v/>
      </c>
      <c r="EO104" s="448" t="str">
        <f t="shared" si="129"/>
        <v/>
      </c>
    </row>
  </sheetData>
  <sheetProtection algorithmName="SHA-512" hashValue="zMthXrallQZLBcpernCQM1K3xwHsD7evcTlnBWDTGkboo6F2xzZmxlWeEqHbwzfJ6D+Yohb1xCCM8iXvtk4oNw==" saltValue="S6oiEy6UjFT67110TV8Uwg==" spinCount="100000" sheet="1" objects="1" scenarios="1" selectLockedCells="1"/>
  <dataConsolidate link="1"/>
  <mergeCells count="190">
    <mergeCell ref="CC6:CF6"/>
    <mergeCell ref="M7:S7"/>
    <mergeCell ref="C9:O9"/>
    <mergeCell ref="S9:AA9"/>
    <mergeCell ref="C10:O10"/>
    <mergeCell ref="S10:W10"/>
    <mergeCell ref="Z10:AA10"/>
    <mergeCell ref="P1:S1"/>
    <mergeCell ref="P2:S3"/>
    <mergeCell ref="P4:S4"/>
    <mergeCell ref="A5:M5"/>
    <mergeCell ref="M6:T6"/>
    <mergeCell ref="Y6:Z6"/>
    <mergeCell ref="HA12:IF13"/>
    <mergeCell ref="AU13:AU15"/>
    <mergeCell ref="AV13:AW15"/>
    <mergeCell ref="BB13:BF13"/>
    <mergeCell ref="BG13:BR13"/>
    <mergeCell ref="BS13:CD13"/>
    <mergeCell ref="CE13:CE15"/>
    <mergeCell ref="CF13:CG14"/>
    <mergeCell ref="FH12:FH15"/>
    <mergeCell ref="FI12:FI15"/>
    <mergeCell ref="FJ12:FJ15"/>
    <mergeCell ref="FK12:FK15"/>
    <mergeCell ref="FL12:FL15"/>
    <mergeCell ref="FM12:FM15"/>
    <mergeCell ref="FB12:FB15"/>
    <mergeCell ref="FC12:FC15"/>
    <mergeCell ref="FD12:FD15"/>
    <mergeCell ref="FE12:FE15"/>
    <mergeCell ref="FF12:FF15"/>
    <mergeCell ref="FG12:FG15"/>
    <mergeCell ref="EV12:EV15"/>
    <mergeCell ref="EW12:EW15"/>
    <mergeCell ref="EX12:EX15"/>
    <mergeCell ref="EY12:EY15"/>
    <mergeCell ref="CU13:DD13"/>
    <mergeCell ref="DE13:DN13"/>
    <mergeCell ref="GA13:GJ13"/>
    <mergeCell ref="A14:A15"/>
    <mergeCell ref="B14:B15"/>
    <mergeCell ref="C14:C15"/>
    <mergeCell ref="D14:E15"/>
    <mergeCell ref="F14:H14"/>
    <mergeCell ref="I14:K14"/>
    <mergeCell ref="L14:M14"/>
    <mergeCell ref="FN12:FN15"/>
    <mergeCell ref="FQ12:FR13"/>
    <mergeCell ref="EZ12:EZ15"/>
    <mergeCell ref="FA12:FA15"/>
    <mergeCell ref="BB11:CB12"/>
    <mergeCell ref="CD11:CG12"/>
    <mergeCell ref="CN12:CO14"/>
    <mergeCell ref="CP12:CQ14"/>
    <mergeCell ref="CR12:CR15"/>
    <mergeCell ref="CS12:CS15"/>
    <mergeCell ref="BC14:BC15"/>
    <mergeCell ref="BD14:BD15"/>
    <mergeCell ref="BE14:BF15"/>
    <mergeCell ref="BG14:BG15"/>
    <mergeCell ref="BH14:BI15"/>
    <mergeCell ref="BJ14:BJ15"/>
    <mergeCell ref="BK14:BL15"/>
    <mergeCell ref="BM14:BM15"/>
    <mergeCell ref="BN14:BN15"/>
    <mergeCell ref="BO14:BO15"/>
    <mergeCell ref="N14:P14"/>
    <mergeCell ref="Q14:S14"/>
    <mergeCell ref="T14:X14"/>
    <mergeCell ref="Y14:Z14"/>
    <mergeCell ref="AZ14:AZ15"/>
    <mergeCell ref="BB14:BB15"/>
    <mergeCell ref="BZ14:BZ15"/>
    <mergeCell ref="CA14:CA15"/>
    <mergeCell ref="CB14:CD14"/>
    <mergeCell ref="CH14:CJ14"/>
    <mergeCell ref="CK14:CK15"/>
    <mergeCell ref="CL14:CM14"/>
    <mergeCell ref="BP14:BR14"/>
    <mergeCell ref="BS14:BS15"/>
    <mergeCell ref="BT14:BU15"/>
    <mergeCell ref="BV14:BV15"/>
    <mergeCell ref="BW14:BX15"/>
    <mergeCell ref="BY14:BY15"/>
    <mergeCell ref="DA14:DA15"/>
    <mergeCell ref="DB14:DB15"/>
    <mergeCell ref="DC14:DC15"/>
    <mergeCell ref="DD14:DD15"/>
    <mergeCell ref="DE14:DE15"/>
    <mergeCell ref="DF14:DF15"/>
    <mergeCell ref="CU14:CU15"/>
    <mergeCell ref="CV14:CV15"/>
    <mergeCell ref="CW14:CW15"/>
    <mergeCell ref="CX14:CX15"/>
    <mergeCell ref="CY14:CY15"/>
    <mergeCell ref="CZ14:CZ15"/>
    <mergeCell ref="DM14:DM15"/>
    <mergeCell ref="DN14:DN15"/>
    <mergeCell ref="DO14:DO15"/>
    <mergeCell ref="DP14:DP15"/>
    <mergeCell ref="DQ14:DQ15"/>
    <mergeCell ref="DR14:DR15"/>
    <mergeCell ref="DG14:DG15"/>
    <mergeCell ref="DH14:DH15"/>
    <mergeCell ref="DI14:DI15"/>
    <mergeCell ref="DJ14:DJ15"/>
    <mergeCell ref="DK14:DK15"/>
    <mergeCell ref="DL14:DL15"/>
    <mergeCell ref="DZ14:EA14"/>
    <mergeCell ref="EB14:EB15"/>
    <mergeCell ref="EC14:EC15"/>
    <mergeCell ref="ED14:ED15"/>
    <mergeCell ref="EE14:EE15"/>
    <mergeCell ref="EF14:EG14"/>
    <mergeCell ref="DS14:DS15"/>
    <mergeCell ref="DT14:DU14"/>
    <mergeCell ref="DV14:DV15"/>
    <mergeCell ref="DW14:DW15"/>
    <mergeCell ref="DX14:DX15"/>
    <mergeCell ref="DY14:DY15"/>
    <mergeCell ref="ES14:ES15"/>
    <mergeCell ref="ET14:ET15"/>
    <mergeCell ref="EU14:EU15"/>
    <mergeCell ref="FO14:FO15"/>
    <mergeCell ref="FP14:FP15"/>
    <mergeCell ref="FQ14:FQ15"/>
    <mergeCell ref="EH14:EI14"/>
    <mergeCell ref="EJ14:EK14"/>
    <mergeCell ref="EL14:EL15"/>
    <mergeCell ref="EM14:EN14"/>
    <mergeCell ref="EO14:EP14"/>
    <mergeCell ref="EQ14:ER14"/>
    <mergeCell ref="GI14:GJ14"/>
    <mergeCell ref="GK14:GK15"/>
    <mergeCell ref="GL14:GL15"/>
    <mergeCell ref="FR14:FR15"/>
    <mergeCell ref="FS14:FS15"/>
    <mergeCell ref="FT14:FT15"/>
    <mergeCell ref="FU14:FV14"/>
    <mergeCell ref="GA14:GB14"/>
    <mergeCell ref="GC14:GD14"/>
    <mergeCell ref="F15:G15"/>
    <mergeCell ref="I15:J15"/>
    <mergeCell ref="N15:O15"/>
    <mergeCell ref="Q15:R15"/>
    <mergeCell ref="T15:U15"/>
    <mergeCell ref="V15:W15"/>
    <mergeCell ref="HY14:HY15"/>
    <mergeCell ref="HZ14:HZ15"/>
    <mergeCell ref="IA14:IA15"/>
    <mergeCell ref="HS14:HS15"/>
    <mergeCell ref="HT14:HT15"/>
    <mergeCell ref="HU14:HU15"/>
    <mergeCell ref="HV14:HV15"/>
    <mergeCell ref="HW14:HW15"/>
    <mergeCell ref="HX14:HX15"/>
    <mergeCell ref="HM14:HM15"/>
    <mergeCell ref="HN14:HN15"/>
    <mergeCell ref="HO14:HO15"/>
    <mergeCell ref="HP14:HP15"/>
    <mergeCell ref="HQ14:HQ15"/>
    <mergeCell ref="HR14:HR15"/>
    <mergeCell ref="HG14:HG15"/>
    <mergeCell ref="HH14:HH15"/>
    <mergeCell ref="HI14:HI15"/>
    <mergeCell ref="CP57:CQ57"/>
    <mergeCell ref="EL71:EO71"/>
    <mergeCell ref="EL72:EL74"/>
    <mergeCell ref="EM72:EM74"/>
    <mergeCell ref="EN72:EN74"/>
    <mergeCell ref="EO72:EO74"/>
    <mergeCell ref="EJ73:EJ74"/>
    <mergeCell ref="IE14:IE15"/>
    <mergeCell ref="IF14:IF15"/>
    <mergeCell ref="IB14:IB15"/>
    <mergeCell ref="IC14:IC15"/>
    <mergeCell ref="ID14:ID15"/>
    <mergeCell ref="HJ14:HJ15"/>
    <mergeCell ref="HK14:HK15"/>
    <mergeCell ref="HL14:HL15"/>
    <mergeCell ref="GM14:GM15"/>
    <mergeCell ref="HA14:HA15"/>
    <mergeCell ref="HB14:HB15"/>
    <mergeCell ref="HC14:HC15"/>
    <mergeCell ref="HD14:HE15"/>
    <mergeCell ref="HF14:HF15"/>
    <mergeCell ref="GE14:GE15"/>
    <mergeCell ref="GF14:GF15"/>
    <mergeCell ref="GG14:GH14"/>
  </mergeCells>
  <conditionalFormatting sqref="EF57">
    <cfRule type="cellIs" dxfId="243" priority="53" stopIfTrue="1" operator="notEqual">
      <formula>$EG57</formula>
    </cfRule>
  </conditionalFormatting>
  <conditionalFormatting sqref="EM57">
    <cfRule type="cellIs" dxfId="242" priority="54" stopIfTrue="1" operator="notEqual">
      <formula>$EN57</formula>
    </cfRule>
  </conditionalFormatting>
  <conditionalFormatting sqref="P2:S4">
    <cfRule type="cellIs" dxfId="241" priority="56" stopIfTrue="1" operator="equal">
      <formula>""</formula>
    </cfRule>
  </conditionalFormatting>
  <conditionalFormatting sqref="EF16:EF45">
    <cfRule type="cellIs" dxfId="240" priority="52" stopIfTrue="1" operator="notEqual">
      <formula>$EG16</formula>
    </cfRule>
  </conditionalFormatting>
  <conditionalFormatting sqref="CC7">
    <cfRule type="expression" dxfId="239" priority="51" stopIfTrue="1">
      <formula>ISBLANK($CC$7)</formula>
    </cfRule>
  </conditionalFormatting>
  <conditionalFormatting sqref="CC6">
    <cfRule type="expression" dxfId="238" priority="50" stopIfTrue="1">
      <formula>ISBLANK($CC$6)</formula>
    </cfRule>
  </conditionalFormatting>
  <conditionalFormatting sqref="M7">
    <cfRule type="expression" dxfId="237" priority="48" stopIfTrue="1">
      <formula>OR(ISBLANK($M$7),$M$7="")</formula>
    </cfRule>
    <cfRule type="expression" dxfId="236" priority="49" stopIfTrue="1">
      <formula>NOT(OR(COUNTIF(masterFinishList, $M$7) &gt; 0, COUNTIF($M$7, "Other:*") &gt; 0))</formula>
    </cfRule>
  </conditionalFormatting>
  <conditionalFormatting sqref="BD16:BD45">
    <cfRule type="expression" dxfId="235" priority="47">
      <formula>AND(NOT($AY16),NOT($AP16))</formula>
    </cfRule>
  </conditionalFormatting>
  <conditionalFormatting sqref="C16:C45">
    <cfRule type="expression" dxfId="234" priority="45">
      <formula>AND(NOT($AY16),NOT($AP16))</formula>
    </cfRule>
  </conditionalFormatting>
  <conditionalFormatting sqref="X16:X45">
    <cfRule type="expression" dxfId="233" priority="28">
      <formula>$X16=0</formula>
    </cfRule>
  </conditionalFormatting>
  <conditionalFormatting sqref="CG16:CG45">
    <cfRule type="expression" dxfId="232" priority="55">
      <formula>OR(CH16&lt;&gt;"",CI16&lt;&gt;"",CJ16&lt;&gt;"",CK16&lt;&gt;"",CL16&lt;&gt;"",CM16&lt;&gt;"",CP16&lt;&gt;"",CQ16&lt;&gt;"")</formula>
    </cfRule>
  </conditionalFormatting>
  <conditionalFormatting sqref="BE16:BF45">
    <cfRule type="expression" dxfId="231" priority="57">
      <formula>AND(NOT($AY16),AND($AZ16,AND($AK16&lt;&gt;"HDR",$AK16&lt;&gt;"JS",$AJ16&gt;=8)))</formula>
    </cfRule>
  </conditionalFormatting>
  <conditionalFormatting sqref="D16:E45">
    <cfRule type="expression" dxfId="230" priority="46">
      <formula>AND(NOT($AY16),AND($AZ16,AND($AK16&lt;&gt;"HDR",$AK16&lt;&gt;"JS",$AJ16&gt;=8)))</formula>
    </cfRule>
    <cfRule type="expression" dxfId="229" priority="80" stopIfTrue="1">
      <formula xml:space="preserve"> AND($GM16 &gt;= 0.125, $GL16 &gt; 0)</formula>
    </cfRule>
  </conditionalFormatting>
  <conditionalFormatting sqref="AA12">
    <cfRule type="expression" dxfId="228" priority="44">
      <formula>OR(ISBLANK(AA12),AA12="")</formula>
    </cfRule>
  </conditionalFormatting>
  <conditionalFormatting sqref="A16:S45 X16:AA45 BB16:CD45">
    <cfRule type="expression" dxfId="227" priority="58">
      <formula>$AC16</formula>
    </cfRule>
  </conditionalFormatting>
  <conditionalFormatting sqref="BG16:BG45">
    <cfRule type="expression" dxfId="226" priority="29">
      <formula>AND(NOT($AY16),ISERROR(CU16))</formula>
    </cfRule>
    <cfRule type="expression" dxfId="225" priority="42">
      <formula>AND(NOT($AY16),OR(CP16&lt;&gt;"", CU16=""))</formula>
    </cfRule>
  </conditionalFormatting>
  <conditionalFormatting sqref="BH16:BH45">
    <cfRule type="expression" dxfId="224" priority="36">
      <formula>AND(NOT($AY16),OR($CU16="M",$CU16="C",AND($CU16="B",$DC16&gt;0)))</formula>
    </cfRule>
    <cfRule type="expression" dxfId="223" priority="37">
      <formula>AND(NOT($AY16),AND(BH16="",BI16="",OR($CU16="B",$CU16="G")))</formula>
    </cfRule>
    <cfRule type="expression" dxfId="222" priority="38">
      <formula>AND(NOT($AY16),(BH16/2)/COS(RADIANS(BM16))+CV16-DW16&lt;VLOOKUP(AU16,$DF$2:$DJ$9,5,FALSE))</formula>
    </cfRule>
  </conditionalFormatting>
  <conditionalFormatting sqref="BI16:BI45">
    <cfRule type="expression" dxfId="221" priority="39">
      <formula>AND(NOT($AY16),OR($CU16="M",$CU16="C",AND($CU16="B",$DC16&gt;0)))</formula>
    </cfRule>
    <cfRule type="expression" dxfId="220" priority="40">
      <formula>AND(NOT($AY16),AND(BH16="",BI16="",OR($CU16="B",$CU16="G")))</formula>
    </cfRule>
    <cfRule type="expression" dxfId="219" priority="41">
      <formula>AND(NOT($AY16),(BI16/2)/COS(RADIANS(BM16))+CV16-DW16&lt;VLOOKUP(AU16,$DF$2:$DJ$9,5,FALSE))</formula>
    </cfRule>
  </conditionalFormatting>
  <conditionalFormatting sqref="BK16:BK45">
    <cfRule type="expression" dxfId="218" priority="30">
      <formula>AND(NOT($AY16),OR($CU16="M",$CU16="C",AND($CU16="B",$DA16&lt;&gt;"")))</formula>
    </cfRule>
    <cfRule type="expression" dxfId="217" priority="31">
      <formula>AND(NOT($AY16),AND(BJ16="X",BK16="",BL16=""))</formula>
    </cfRule>
    <cfRule type="expression" dxfId="216" priority="32">
      <formula>AND(NOT($AY16),EZ16="ERR")</formula>
    </cfRule>
  </conditionalFormatting>
  <conditionalFormatting sqref="BL16:BL45">
    <cfRule type="expression" dxfId="215" priority="33">
      <formula>AND(NOT($AY16),OR($CU16="M",$CU16="C",AND($CU16="B",$DA16&lt;&gt;"")))</formula>
    </cfRule>
    <cfRule type="expression" dxfId="214" priority="34">
      <formula>AND(NOT($AY16),AND(BJ16="X",BK16="",BL16=""))</formula>
    </cfRule>
    <cfRule type="expression" dxfId="213" priority="35">
      <formula>AND(NOT($AY16),EZ16="ERR")</formula>
    </cfRule>
  </conditionalFormatting>
  <conditionalFormatting sqref="A16:B45 BB16:BC45">
    <cfRule type="expression" dxfId="212" priority="43">
      <formula>AND(NOT($AE$1),$B16=0,$AD$1="M")</formula>
    </cfRule>
  </conditionalFormatting>
  <conditionalFormatting sqref="AA16:AA45">
    <cfRule type="expression" dxfId="211" priority="27">
      <formula>AND(NOT($AY16),LEN(AA16)&gt;31)</formula>
    </cfRule>
  </conditionalFormatting>
  <conditionalFormatting sqref="GA16:GB45">
    <cfRule type="expression" dxfId="210" priority="26" stopIfTrue="1">
      <formula>$GM16&gt;=0.125</formula>
    </cfRule>
  </conditionalFormatting>
  <conditionalFormatting sqref="BO16:BO45">
    <cfRule type="expression" dxfId="209" priority="21">
      <formula>AND(BO16="X",CY16="")</formula>
    </cfRule>
    <cfRule type="expression" dxfId="208" priority="22">
      <formula>AND(BO16="",CY16&lt;&gt;"")</formula>
    </cfRule>
  </conditionalFormatting>
  <conditionalFormatting sqref="CA16:CA45">
    <cfRule type="expression" dxfId="207" priority="23">
      <formula>AND(CA16="X",DI16="")</formula>
    </cfRule>
    <cfRule type="expression" dxfId="206" priority="24">
      <formula>AND(CA16="",DI16&lt;&gt;"")</formula>
    </cfRule>
  </conditionalFormatting>
  <conditionalFormatting sqref="CE16:CG45">
    <cfRule type="expression" dxfId="205" priority="25">
      <formula>$AC16</formula>
    </cfRule>
  </conditionalFormatting>
  <conditionalFormatting sqref="EM16:EM45">
    <cfRule type="cellIs" dxfId="204" priority="20" stopIfTrue="1" operator="notEqual">
      <formula>$EN16</formula>
    </cfRule>
  </conditionalFormatting>
  <conditionalFormatting sqref="U16:U45">
    <cfRule type="expression" dxfId="203" priority="16">
      <formula>AND(NOT($AY16),NOT(AR16),$P16&lt;&gt;3)</formula>
    </cfRule>
  </conditionalFormatting>
  <conditionalFormatting sqref="W16:W45">
    <cfRule type="expression" dxfId="202" priority="18">
      <formula>AND(NOT($AY16),NOT(AT16),$S16&lt;&gt;3)</formula>
    </cfRule>
  </conditionalFormatting>
  <conditionalFormatting sqref="T16:T45">
    <cfRule type="expression" dxfId="201" priority="15">
      <formula>AND(NOT($AY16),NOT(AR16),$P16&lt;&gt;3)</formula>
    </cfRule>
  </conditionalFormatting>
  <conditionalFormatting sqref="V16:V45">
    <cfRule type="expression" dxfId="200" priority="17">
      <formula>AND(NOT($AY16),NOT(AT16),$S16&lt;&gt;3)</formula>
    </cfRule>
  </conditionalFormatting>
  <conditionalFormatting sqref="T16:W45">
    <cfRule type="expression" dxfId="199" priority="19">
      <formula>$AC16</formula>
    </cfRule>
  </conditionalFormatting>
  <conditionalFormatting sqref="C57">
    <cfRule type="expression" dxfId="198" priority="12">
      <formula>AND(NOT($AY57),NOT($AP57))</formula>
    </cfRule>
  </conditionalFormatting>
  <conditionalFormatting sqref="X57">
    <cfRule type="expression" dxfId="197" priority="10">
      <formula>$X57=0</formula>
    </cfRule>
  </conditionalFormatting>
  <conditionalFormatting sqref="D57:E57">
    <cfRule type="expression" dxfId="196" priority="13">
      <formula>AND(NOT($AY57),AND($AZ57,AND($AK57&lt;&gt;"HDR",$AK57&lt;&gt;"JS",$AJ57&gt;=8)))</formula>
    </cfRule>
  </conditionalFormatting>
  <conditionalFormatting sqref="A57:S57 X57:AA57">
    <cfRule type="expression" dxfId="195" priority="14">
      <formula>$AC57</formula>
    </cfRule>
  </conditionalFormatting>
  <conditionalFormatting sqref="A57:B57">
    <cfRule type="expression" dxfId="194" priority="11">
      <formula>AND(NOT($AE$1),$B57=0,$AD$1="M")</formula>
    </cfRule>
  </conditionalFormatting>
  <conditionalFormatting sqref="AA57">
    <cfRule type="expression" dxfId="193" priority="9">
      <formula>AND(NOT($AY57),LEN(AA57)&gt;31)</formula>
    </cfRule>
  </conditionalFormatting>
  <conditionalFormatting sqref="U57">
    <cfRule type="expression" dxfId="192" priority="5">
      <formula>AND(NOT($AY57),NOT(AR57),$P57&lt;&gt;3)</formula>
    </cfRule>
  </conditionalFormatting>
  <conditionalFormatting sqref="W57">
    <cfRule type="expression" dxfId="191" priority="7">
      <formula>AND(NOT($AY57),NOT(AT57),$S57&lt;&gt;3)</formula>
    </cfRule>
  </conditionalFormatting>
  <conditionalFormatting sqref="T57">
    <cfRule type="expression" dxfId="190" priority="4">
      <formula>AND(NOT($AY57),NOT(AR57),$P57&lt;&gt;3)</formula>
    </cfRule>
  </conditionalFormatting>
  <conditionalFormatting sqref="V57">
    <cfRule type="expression" dxfId="189" priority="6">
      <formula>AND(NOT($AY57),NOT(AT57),$S57&lt;&gt;3)</formula>
    </cfRule>
  </conditionalFormatting>
  <conditionalFormatting sqref="T57:W57">
    <cfRule type="expression" dxfId="188" priority="8">
      <formula>$AC57</formula>
    </cfRule>
  </conditionalFormatting>
  <conditionalFormatting sqref="BQ16:BQ45">
    <cfRule type="expression" dxfId="187" priority="3">
      <formula>CP16&lt;&gt;""</formula>
    </cfRule>
  </conditionalFormatting>
  <conditionalFormatting sqref="CC16:CC45">
    <cfRule type="expression" dxfId="186" priority="2">
      <formula>CQ16&lt;&gt;""</formula>
    </cfRule>
  </conditionalFormatting>
  <conditionalFormatting sqref="BS16:BS45">
    <cfRule type="expression" dxfId="185" priority="59">
      <formula>AND(NOT($AY16),ISERROR(DE16))</formula>
    </cfRule>
    <cfRule type="expression" dxfId="184" priority="60">
      <formula>AND(NOT($AY16),OR(DE16="", CQ16&lt;&gt;""))</formula>
    </cfRule>
  </conditionalFormatting>
  <conditionalFormatting sqref="BW16:BW45">
    <cfRule type="expression" dxfId="183" priority="61">
      <formula>AND(NOT($AY16),OR($DE16="M",$DE16="C",AND($DE16="B",$DK16&lt;&gt;"")))</formula>
    </cfRule>
    <cfRule type="expression" dxfId="182" priority="62">
      <formula>AND(NOT($AY16),AND(BV16="X",BW16="",BX16=""))</formula>
    </cfRule>
    <cfRule type="expression" dxfId="181" priority="63">
      <formula>AND(NOT($AY16),FC16="ERR")</formula>
    </cfRule>
  </conditionalFormatting>
  <conditionalFormatting sqref="BX16:BX45">
    <cfRule type="expression" dxfId="180" priority="64">
      <formula>AND(NOT($AY16),OR($DE16="M",$DE16="C",AND($DE16="B",$DK16&lt;&gt;"")))</formula>
    </cfRule>
    <cfRule type="expression" dxfId="179" priority="65">
      <formula>AND(NOT($AY16),AND(BV16="X",BW16="",BX16=""))</formula>
    </cfRule>
    <cfRule type="expression" dxfId="178" priority="66">
      <formula>AND(NOT($AY16),FC16="ERR")</formula>
    </cfRule>
  </conditionalFormatting>
  <conditionalFormatting sqref="BT16:BT45">
    <cfRule type="expression" dxfId="177" priority="67">
      <formula>AND(NOT($AY16),OR($DE16="M",$DE16="C",AND($DE16="B",$DM16&gt;0)))</formula>
    </cfRule>
    <cfRule type="expression" dxfId="176" priority="68">
      <formula>AND(NOT($AY16),AND(BT16="",BU16="",OR($DE16="B",$DE16="G")))</formula>
    </cfRule>
    <cfRule type="expression" dxfId="175" priority="69">
      <formula>AND(NOT($AY16),(BT16/2)/COS(RADIANS(BY16))+DF16-EC16&lt;VLOOKUP(AU16,$DF$2:$DJ$9,5,FALSE))</formula>
    </cfRule>
  </conditionalFormatting>
  <conditionalFormatting sqref="BU16:BU45">
    <cfRule type="expression" dxfId="174" priority="70">
      <formula>AND(NOT($AY16),OR($DE16="M",$DE16="C",AND($DE16="B",$DM16&gt;0)))</formula>
    </cfRule>
    <cfRule type="expression" dxfId="173" priority="71">
      <formula>AND(NOT($AY16),AND(BT16="",BU16="",OR($DE16="B",$DE16="G")))</formula>
    </cfRule>
    <cfRule type="expression" dxfId="172" priority="72">
      <formula>AND(NOT($AY16),(BU16/2)/COS(RADIANS(BY16))+DF16-EC16&lt;VLOOKUP(AU16,$DF$2:$DJ$9,5,FALSE))</formula>
    </cfRule>
  </conditionalFormatting>
  <conditionalFormatting sqref="BZ16:BZ45 BN16:BN45">
    <cfRule type="expression" dxfId="171" priority="73">
      <formula>AND(NOT($AY16),AND(ISBLANK(BN16),AND(NOT(ISBLANK(BM16)),$CE16&lt;&gt;0)))</formula>
    </cfRule>
  </conditionalFormatting>
  <conditionalFormatting sqref="BJ16:BJ45">
    <cfRule type="expression" dxfId="170" priority="74">
      <formula>AND(NOT($AY16),OR($CU16="C",AND($CU16="M",$DA16&gt;0)))</formula>
    </cfRule>
    <cfRule type="expression" dxfId="169" priority="75">
      <formula>AND(NOT($AY16),OR(NOT(IF(AND(OR(MID($BB16,1,1)="T",($BE16+$BF16/12)/IF(ABS($CE16)&gt;$DQ$1,COS($DO16),1)&gt;=40),OR($CU16="B",$CU16="G")),"X","")="X"),$EZ16="ERR"))</formula>
    </cfRule>
    <cfRule type="expression" dxfId="168" priority="76">
      <formula>AND(NOT($AY16),$BJ16&lt;&gt;"X",$BJ16&lt;&gt;IF(AND(OR(MID(BB16,1,1)="T",($BE16+$BF16/12)/IF(ABS($CE16)&gt;$DQ$1,COS($DO16),1)&gt;=40),OR($CU16="B",$CU16="G")),"X",""))</formula>
    </cfRule>
  </conditionalFormatting>
  <conditionalFormatting sqref="BV16:BV45">
    <cfRule type="expression" dxfId="167" priority="77">
      <formula>AND(NOT($AY16),OR($DE16="C",AND($DE16="M",$DK16&gt;0)))</formula>
    </cfRule>
    <cfRule type="expression" dxfId="166" priority="78">
      <formula>AND(NOT($AY16),OR(NOT(IF(AND(OR(MID($BB16,1,1)="T",($BE16+$BF16/12)/IF(ABS($CE16)&gt;$DQ$1,COS($DO16),1)&gt;=40),OR($DE16="B",$DE16="G")),"X","")="X"),$FC16="ERR"))</formula>
    </cfRule>
    <cfRule type="expression" dxfId="165" priority="79">
      <formula>AND(NOT($AY16),$BV16&lt;&gt;"X",$BV16&lt;&gt;IF(AND(OR(MID(BB16,1,1)="T",($BE16+$BF16/12)/IF(ABS($CE16)&gt;$DQ$1,COS($DO16),1)&gt;=40),OR($DE16="B",$DE16="G")),"X",""))</formula>
    </cfRule>
  </conditionalFormatting>
  <conditionalFormatting sqref="GA57:GB57">
    <cfRule type="expression" dxfId="164" priority="1" stopIfTrue="1">
      <formula>$GM57&gt;=0.125</formula>
    </cfRule>
  </conditionalFormatting>
  <dataValidations count="14">
    <dataValidation type="whole" operator="greaterThan" allowBlank="1" showInputMessage="1" showErrorMessage="1" errorTitle="Quantity Error" error="Value must be an integer greater than -1000." sqref="B16:B45 BC16:BC45" xr:uid="{F29143D3-2394-46E6-9212-FABB61287337}">
      <formula1>-1001</formula1>
    </dataValidation>
    <dataValidation type="decimal" operator="greaterThan" allowBlank="1" showInputMessage="1" showErrorMessage="1" errorTitle="Input Error" error="Positive Numeric Values Only!" sqref="BR16:BR45 CD16:CD45" xr:uid="{2D358FB8-5997-4D85-B6DA-989D774FB83D}">
      <formula1>0</formula1>
    </dataValidation>
    <dataValidation type="decimal" allowBlank="1" showInputMessage="1" showErrorMessage="1" errorTitle="Input Error" error="Numbers from 0&quot; to 11 7/8&quot; only!" sqref="GB16:GB45 GB57" xr:uid="{9A9CE7A9-2545-4587-B0CC-530A3F56D68C}">
      <formula1>0</formula1>
      <formula2>11.875</formula2>
    </dataValidation>
    <dataValidation type="whole" operator="greaterThanOrEqual" allowBlank="1" showInputMessage="1" showErrorMessage="1" errorTitle="Input Error" error="Positive Integers Only!" sqref="GA16:GA45 GA57" xr:uid="{2E164F68-C328-463E-89BC-D9FF11BA825D}">
      <formula1>0</formula1>
    </dataValidation>
    <dataValidation type="decimal" allowBlank="1" showInputMessage="1" showErrorMessage="1" errorTitle="Input Error" error="Numeric Values Only!" sqref="GC16:GD45 GC57:GD57 BP16:BP45 CB16:CB45" xr:uid="{AEBBA91D-9F49-4765-8C5E-9ECB5AB0CC6D}">
      <formula1>-1200</formula1>
      <formula2>1200</formula2>
    </dataValidation>
    <dataValidation type="decimal" operator="lessThanOrEqual" allowBlank="1" showInputMessage="1" errorTitle="BL Over-Ride Error!" error="Base Length can't be past Joist Overall Length!  See section for Maximum Over-Ride Dimension." sqref="BQ16:BQ45" xr:uid="{670B7561-8825-47F4-B7F6-C65CE024A544}">
      <formula1>$CV16</formula1>
    </dataValidation>
    <dataValidation type="decimal" operator="lessThanOrEqual" allowBlank="1" showInputMessage="1" errorTitle="BL Over-Ride Error!" error="Base Length can't be past Joist Overall Length!  See section for Maximum Over-Ride Dimension." sqref="CC16:CC45" xr:uid="{16731EAF-3B3D-435E-9F89-AEAE055452F1}">
      <formula1>$DF16</formula1>
    </dataValidation>
    <dataValidation type="whole" operator="greaterThanOrEqual" allowBlank="1" showInputMessage="1" showErrorMessage="1" sqref="B57" xr:uid="{FDAD2D52-CE4C-498B-A0D7-A3DE7867548C}">
      <formula1>0</formula1>
    </dataValidation>
    <dataValidation type="decimal" operator="greaterThan" allowBlank="1" showInputMessage="1" showErrorMessage="1" errorTitle="Dimensional Error" error="Only positive numeric values can be entered here." sqref="L16:M45 L57:M57" xr:uid="{B9A040D0-3C98-4F65-9425-005966B66651}">
      <formula1>0</formula1>
    </dataValidation>
    <dataValidation type="decimal" operator="notEqual" allowBlank="1" showInputMessage="1" showErrorMessage="1" errorTitle="input Error" error="Enter + or - Numbers Only._x000a_Do NOT use &quot;&lt;&quot; or &quot;&gt;&quot;." sqref="Y16:Z45 Y57:Z57" xr:uid="{FA6AF8CE-DE16-4EBA-844A-2048CF2837BC}">
      <formula1>0</formula1>
    </dataValidation>
    <dataValidation type="decimal" operator="greaterThanOrEqual" allowBlank="1" showInputMessage="1" showErrorMessage="1" errorTitle="Dimensional Error" error="&quot;Inches&quot; must be a number." sqref="BH16:BI45 BK16:BL45 BT16:BU45 BW16:BX45" xr:uid="{3C85D257-2E91-4E14-A272-40D0CB0B210D}">
      <formula1>0</formula1>
    </dataValidation>
    <dataValidation type="decimal" allowBlank="1" showInputMessage="1" showErrorMessage="1" errorTitle="Dimensional Error" error="&quot;Inches&quot; must be a number from 0 to 11.875." sqref="BF16:BF45 G16:G45 J16:J45 W16:W45 U16:U45 E16:E45 G57 J57 W57 U57 E57" xr:uid="{69B9B382-48C4-451E-A5BF-4530A5E99DF3}">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B9A3F8A9-4116-4C0D-A24A-AFD69D9D47B4}">
      <formula1>0</formula1>
    </dataValidation>
    <dataValidation type="list" allowBlank="1" showInputMessage="1" sqref="CC6:CF6 M7:S7" xr:uid="{AEE2D10C-2467-4AE3-8841-875820ED7768}">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1152F-9080-4968-A21F-069FB7C33CFA}">
  <sheetPr codeName="Sheet35">
    <tabColor indexed="43"/>
  </sheetPr>
  <dimension ref="A1:IG104"/>
  <sheetViews>
    <sheetView showGridLines="0" zoomScaleNormal="100" zoomScaleSheetLayoutView="75" workbookViewId="0">
      <selection activeCell="GA16" sqref="G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48" t="str">
        <f>IF(AD1="","",VLOOKUP(AD1,'Job Info.'!X:AA,4,FALSE))</f>
        <v>Master</v>
      </c>
      <c r="Q1" s="1848"/>
      <c r="R1" s="1848"/>
      <c r="S1" s="1848"/>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53" t="str">
        <f>IF(AD1="","",IF(VLOOKUP(AD1,'Job Info.'!X:Z,2,FALSE),"Released for Fabrication",""))</f>
        <v/>
      </c>
      <c r="Q2" s="1854"/>
      <c r="R2" s="1854"/>
      <c r="S2" s="1855"/>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56"/>
      <c r="Q3" s="1857"/>
      <c r="R3" s="1857"/>
      <c r="S3" s="1858"/>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59" t="str">
        <f>IF(AD1="","",IF(VLOOKUP(AD1,'Job Info.'!X:Z,2,FALSE),VLOOKUP(AD1,'Job Info.'!X:Z,3,FALSE),""))</f>
        <v/>
      </c>
      <c r="Q4" s="1860"/>
      <c r="R4" s="1860"/>
      <c r="S4" s="1861"/>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00" t="str">
        <f ca="1">'Job Info.'!D11</f>
        <v>8200 Woolery Way | Fallon, NV 89406 | www.newmill.com</v>
      </c>
      <c r="B5" s="2423"/>
      <c r="C5" s="2423"/>
      <c r="D5" s="2423"/>
      <c r="E5" s="2423"/>
      <c r="F5" s="2423"/>
      <c r="G5" s="2423"/>
      <c r="H5" s="2423"/>
      <c r="I5" s="2423"/>
      <c r="J5" s="2423"/>
      <c r="K5" s="2423"/>
      <c r="L5" s="2423"/>
      <c r="M5" s="2423"/>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082" t="str">
        <f>IF(NOT(ISERROR(FIND("galv",LOWER($M$7)))),"**USE STEEL TAGS**  **NO A490 BOLTS**","")</f>
        <v/>
      </c>
      <c r="N6" s="1947"/>
      <c r="O6" s="1947"/>
      <c r="P6" s="1947"/>
      <c r="Q6" s="1947"/>
      <c r="R6" s="1947"/>
      <c r="S6" s="1947"/>
      <c r="T6" s="1947"/>
      <c r="U6" s="1092"/>
      <c r="V6" s="374"/>
      <c r="W6" s="374"/>
      <c r="X6" s="460" t="s">
        <v>20</v>
      </c>
      <c r="Y6" s="1832">
        <f>IF(ISBLANK('Job Info.'!D8),"",'Job Info.'!D8)</f>
        <v>45048</v>
      </c>
      <c r="Z6" s="1832"/>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22"/>
      <c r="CD6" s="1940"/>
      <c r="CE6" s="1940"/>
      <c r="CF6" s="1940"/>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437" t="s">
        <v>1389</v>
      </c>
      <c r="N7" s="1940"/>
      <c r="O7" s="1940"/>
      <c r="P7" s="1940"/>
      <c r="Q7" s="1940"/>
      <c r="R7" s="1940"/>
      <c r="S7" s="1940"/>
      <c r="T7"/>
      <c r="U7" s="1092"/>
      <c r="V7" s="374"/>
      <c r="W7" s="374"/>
      <c r="X7" s="460" t="s">
        <v>21</v>
      </c>
      <c r="Y7" s="1175" t="str">
        <f>CONCATENATE(AC7, " of ",IF(ISBLANK('Job Info.'!D9),"",'Job Info.'!D9))</f>
        <v>18 of 19</v>
      </c>
      <c r="Z7" s="658"/>
      <c r="AA7" s="374"/>
      <c r="AC7" s="1083">
        <v>18</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24" t="str">
        <f>IF(ISBLANK('Job Info.'!D3),"",'Job Info.'!D3)</f>
        <v>MINDEN UPS BLDG 1</v>
      </c>
      <c r="D9" s="1824"/>
      <c r="E9" s="1824"/>
      <c r="F9" s="1824"/>
      <c r="G9" s="1824"/>
      <c r="H9" s="1824"/>
      <c r="I9" s="1824"/>
      <c r="J9" s="1824"/>
      <c r="K9" s="1824"/>
      <c r="L9" s="1824"/>
      <c r="M9" s="1824"/>
      <c r="N9" s="1824"/>
      <c r="O9" s="1825"/>
      <c r="P9" s="397"/>
      <c r="Q9" s="398"/>
      <c r="R9" s="458" t="s">
        <v>2</v>
      </c>
      <c r="S9" s="1825" t="str">
        <f>IF(ISBLANK('Job Info.'!D5),"",'Job Info.'!D5)</f>
        <v>NN22-0071</v>
      </c>
      <c r="T9" s="2101"/>
      <c r="U9" s="2101"/>
      <c r="V9" s="2101"/>
      <c r="W9" s="2101"/>
      <c r="X9" s="2101"/>
      <c r="Y9" s="2101"/>
      <c r="Z9" s="2101"/>
      <c r="AA9" s="2101"/>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24" t="str">
        <f>IF(ISBLANK('Job Info.'!D4),"",'Job Info.'!D4)</f>
        <v>MINDEN, NV</v>
      </c>
      <c r="D10" s="1824"/>
      <c r="E10" s="1824"/>
      <c r="F10" s="1824"/>
      <c r="G10" s="1824"/>
      <c r="H10" s="1824"/>
      <c r="I10" s="1824"/>
      <c r="J10" s="1824"/>
      <c r="K10" s="1824"/>
      <c r="L10" s="1824"/>
      <c r="M10" s="1824"/>
      <c r="N10" s="1824"/>
      <c r="O10" s="1825"/>
      <c r="P10" s="402"/>
      <c r="Q10" s="403"/>
      <c r="R10" s="459" t="s">
        <v>22</v>
      </c>
      <c r="S10" s="1824" t="str">
        <f>IF(ISBLANK('Job Info.'!D6),"",'Job Info.'!D6)</f>
        <v>JMM</v>
      </c>
      <c r="T10" s="1824"/>
      <c r="U10" s="1824"/>
      <c r="V10" s="1824"/>
      <c r="W10" s="1825"/>
      <c r="X10" s="403"/>
      <c r="Y10" s="459" t="s">
        <v>23</v>
      </c>
      <c r="Z10" s="1825" t="str">
        <f>IF(ISBLANK('Job Info.'!D7),"",'Job Info.'!D7)</f>
        <v>NR</v>
      </c>
      <c r="AA10" s="2101"/>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375" t="s">
        <v>592</v>
      </c>
      <c r="BC11" s="2376"/>
      <c r="BD11" s="2376"/>
      <c r="BE11" s="2376"/>
      <c r="BF11" s="2376"/>
      <c r="BG11" s="2376"/>
      <c r="BH11" s="2376"/>
      <c r="BI11" s="2376"/>
      <c r="BJ11" s="2376"/>
      <c r="BK11" s="2376"/>
      <c r="BL11" s="2376"/>
      <c r="BM11" s="2376"/>
      <c r="BN11" s="2376"/>
      <c r="BO11" s="2376"/>
      <c r="BP11" s="2376"/>
      <c r="BQ11" s="2376"/>
      <c r="BR11" s="2376"/>
      <c r="BS11" s="2376"/>
      <c r="BT11" s="2376"/>
      <c r="BU11" s="2376"/>
      <c r="BV11" s="2376"/>
      <c r="BW11" s="2376"/>
      <c r="BX11" s="2376"/>
      <c r="BY11" s="2376"/>
      <c r="BZ11" s="2376"/>
      <c r="CA11" s="2376"/>
      <c r="CB11" s="2376"/>
      <c r="CC11" s="1557"/>
      <c r="CD11" s="2379"/>
      <c r="CE11" s="2379"/>
      <c r="CF11" s="2379"/>
      <c r="CG11" s="2380"/>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377"/>
      <c r="BC12" s="2378"/>
      <c r="BD12" s="2378"/>
      <c r="BE12" s="2378"/>
      <c r="BF12" s="2378"/>
      <c r="BG12" s="2378"/>
      <c r="BH12" s="2378"/>
      <c r="BI12" s="2378"/>
      <c r="BJ12" s="2378"/>
      <c r="BK12" s="2378"/>
      <c r="BL12" s="2378"/>
      <c r="BM12" s="2378"/>
      <c r="BN12" s="2378"/>
      <c r="BO12" s="2378"/>
      <c r="BP12" s="2378"/>
      <c r="BQ12" s="2378"/>
      <c r="BR12" s="2378"/>
      <c r="BS12" s="2378"/>
      <c r="BT12" s="2378"/>
      <c r="BU12" s="2378"/>
      <c r="BV12" s="2378"/>
      <c r="BW12" s="2378"/>
      <c r="BX12" s="2378"/>
      <c r="BY12" s="2378"/>
      <c r="BZ12" s="2378"/>
      <c r="CA12" s="2378"/>
      <c r="CB12" s="2378"/>
      <c r="CC12" s="1556"/>
      <c r="CD12" s="2381"/>
      <c r="CE12" s="2382"/>
      <c r="CF12" s="2382"/>
      <c r="CG12" s="2383"/>
      <c r="CH12" s="244"/>
      <c r="CI12" s="244"/>
      <c r="CJ12" s="244"/>
      <c r="CK12" s="244"/>
      <c r="CL12" s="244"/>
      <c r="CM12" s="933"/>
      <c r="CN12" s="2448" t="s">
        <v>679</v>
      </c>
      <c r="CO12" s="2449"/>
      <c r="CP12" s="2120" t="s">
        <v>615</v>
      </c>
      <c r="CQ12" s="2443"/>
      <c r="CR12" s="2410" t="s">
        <v>482</v>
      </c>
      <c r="CS12" s="2402"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364" t="s">
        <v>581</v>
      </c>
      <c r="EW12" s="2362" t="s">
        <v>472</v>
      </c>
      <c r="EX12" s="2362" t="s">
        <v>525</v>
      </c>
      <c r="EY12" s="2362" t="s">
        <v>526</v>
      </c>
      <c r="EZ12" s="2362" t="s">
        <v>527</v>
      </c>
      <c r="FA12" s="2362" t="s">
        <v>528</v>
      </c>
      <c r="FB12" s="2362" t="s">
        <v>529</v>
      </c>
      <c r="FC12" s="2362" t="s">
        <v>530</v>
      </c>
      <c r="FD12" s="2362" t="s">
        <v>531</v>
      </c>
      <c r="FE12" s="2362" t="s">
        <v>473</v>
      </c>
      <c r="FF12" s="2362" t="s">
        <v>532</v>
      </c>
      <c r="FG12" s="2362" t="s">
        <v>583</v>
      </c>
      <c r="FH12" s="2362" t="s">
        <v>474</v>
      </c>
      <c r="FI12" s="2362" t="s">
        <v>533</v>
      </c>
      <c r="FJ12" s="2362" t="s">
        <v>475</v>
      </c>
      <c r="FK12" s="2362" t="s">
        <v>534</v>
      </c>
      <c r="FL12" s="2362" t="s">
        <v>584</v>
      </c>
      <c r="FM12" s="2362" t="s">
        <v>476</v>
      </c>
      <c r="FN12" s="2362" t="s">
        <v>477</v>
      </c>
      <c r="FQ12" s="2335" t="s">
        <v>656</v>
      </c>
      <c r="FR12" s="2336"/>
      <c r="GA12" s="374"/>
      <c r="GB12" s="374"/>
      <c r="GC12" s="374"/>
      <c r="GD12" s="374"/>
      <c r="GE12" s="374"/>
      <c r="GF12" s="374"/>
      <c r="GG12" s="374"/>
      <c r="GH12" s="374"/>
      <c r="GI12" s="374"/>
      <c r="GJ12" s="374"/>
      <c r="HA12" s="2470" t="s">
        <v>621</v>
      </c>
      <c r="HB12" s="2471"/>
      <c r="HC12" s="2471"/>
      <c r="HD12" s="2471"/>
      <c r="HE12" s="2471"/>
      <c r="HF12" s="2471"/>
      <c r="HG12" s="2471"/>
      <c r="HH12" s="2471"/>
      <c r="HI12" s="2471"/>
      <c r="HJ12" s="2471"/>
      <c r="HK12" s="2471"/>
      <c r="HL12" s="2471"/>
      <c r="HM12" s="2471"/>
      <c r="HN12" s="2471"/>
      <c r="HO12" s="2471"/>
      <c r="HP12" s="2471"/>
      <c r="HQ12" s="2471"/>
      <c r="HR12" s="2471"/>
      <c r="HS12" s="2471"/>
      <c r="HT12" s="2471"/>
      <c r="HU12" s="2471"/>
      <c r="HV12" s="2472"/>
      <c r="HW12" s="2472"/>
      <c r="HX12" s="2472"/>
      <c r="HY12" s="2473"/>
      <c r="HZ12" s="2473"/>
      <c r="IA12" s="2473"/>
      <c r="IB12" s="2473"/>
      <c r="IC12" s="2473"/>
      <c r="ID12" s="2473"/>
      <c r="IE12" s="2473"/>
      <c r="IF12" s="2474"/>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82" t="s">
        <v>450</v>
      </c>
      <c r="AV13" s="2335" t="s">
        <v>451</v>
      </c>
      <c r="AW13" s="2336"/>
      <c r="AX13" s="465"/>
      <c r="BA13" s="246"/>
      <c r="BB13" s="2493"/>
      <c r="BC13" s="2494"/>
      <c r="BD13" s="2494"/>
      <c r="BE13" s="2494"/>
      <c r="BF13" s="1966"/>
      <c r="BG13" s="2430" t="s">
        <v>469</v>
      </c>
      <c r="BH13" s="2431"/>
      <c r="BI13" s="2431"/>
      <c r="BJ13" s="2431"/>
      <c r="BK13" s="2431"/>
      <c r="BL13" s="2432"/>
      <c r="BM13" s="2433"/>
      <c r="BN13" s="2433"/>
      <c r="BO13" s="2434"/>
      <c r="BP13" s="2434"/>
      <c r="BQ13" s="2434"/>
      <c r="BR13" s="2435"/>
      <c r="BS13" s="2430" t="s">
        <v>470</v>
      </c>
      <c r="BT13" s="2432"/>
      <c r="BU13" s="2432"/>
      <c r="BV13" s="2432"/>
      <c r="BW13" s="2432"/>
      <c r="BX13" s="2432"/>
      <c r="BY13" s="2433"/>
      <c r="BZ13" s="2433"/>
      <c r="CA13" s="2434"/>
      <c r="CB13" s="2434"/>
      <c r="CC13" s="2434"/>
      <c r="CD13" s="2435"/>
      <c r="CE13" s="2484" t="s">
        <v>804</v>
      </c>
      <c r="CF13" s="2463"/>
      <c r="CG13" s="2464"/>
      <c r="CH13" s="244"/>
      <c r="CI13" s="244"/>
      <c r="CJ13" s="244"/>
      <c r="CK13" s="244"/>
      <c r="CL13" s="934"/>
      <c r="CM13" s="935"/>
      <c r="CN13" s="2450"/>
      <c r="CO13" s="2451"/>
      <c r="CP13" s="2444"/>
      <c r="CQ13" s="2445"/>
      <c r="CR13" s="2411"/>
      <c r="CS13" s="2403"/>
      <c r="CU13" s="2413" t="s">
        <v>471</v>
      </c>
      <c r="CV13" s="2414"/>
      <c r="CW13" s="2414"/>
      <c r="CX13" s="2414"/>
      <c r="CY13" s="2414"/>
      <c r="CZ13" s="2414"/>
      <c r="DA13" s="2414"/>
      <c r="DB13" s="2414"/>
      <c r="DC13" s="2414"/>
      <c r="DD13" s="2415"/>
      <c r="DE13" s="2413" t="s">
        <v>470</v>
      </c>
      <c r="DF13" s="2414"/>
      <c r="DG13" s="2414"/>
      <c r="DH13" s="2414"/>
      <c r="DI13" s="2414"/>
      <c r="DJ13" s="2414"/>
      <c r="DK13" s="2414"/>
      <c r="DL13" s="2414"/>
      <c r="DM13" s="2414"/>
      <c r="DN13" s="2415"/>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365"/>
      <c r="EW13" s="2323"/>
      <c r="EX13" s="2363"/>
      <c r="EY13" s="2363"/>
      <c r="EZ13" s="2438"/>
      <c r="FA13" s="2363"/>
      <c r="FB13" s="2363"/>
      <c r="FC13" s="2363"/>
      <c r="FD13" s="2439"/>
      <c r="FE13" s="2439"/>
      <c r="FF13" s="2439"/>
      <c r="FG13" s="2439"/>
      <c r="FH13" s="2439"/>
      <c r="FI13" s="2439"/>
      <c r="FJ13" s="2439"/>
      <c r="FK13" s="2439"/>
      <c r="FL13" s="2439"/>
      <c r="FM13" s="2439"/>
      <c r="FN13" s="2439"/>
      <c r="FQ13" s="2337"/>
      <c r="FR13" s="2338"/>
      <c r="GA13" s="2334" t="s">
        <v>1140</v>
      </c>
      <c r="GB13" s="2334"/>
      <c r="GC13" s="2334"/>
      <c r="GD13" s="2334"/>
      <c r="GE13" s="2334"/>
      <c r="GF13" s="2334"/>
      <c r="GG13" s="1951"/>
      <c r="GH13" s="1951"/>
      <c r="GI13" s="1951"/>
      <c r="GJ13" s="1951"/>
      <c r="HA13" s="2475"/>
      <c r="HB13" s="2476"/>
      <c r="HC13" s="2476"/>
      <c r="HD13" s="2476"/>
      <c r="HE13" s="2476"/>
      <c r="HF13" s="2476"/>
      <c r="HG13" s="2476"/>
      <c r="HH13" s="2476"/>
      <c r="HI13" s="2476"/>
      <c r="HJ13" s="2476"/>
      <c r="HK13" s="2476"/>
      <c r="HL13" s="2476"/>
      <c r="HM13" s="2476"/>
      <c r="HN13" s="2476"/>
      <c r="HO13" s="2476"/>
      <c r="HP13" s="2476"/>
      <c r="HQ13" s="2476"/>
      <c r="HR13" s="2476"/>
      <c r="HS13" s="2476"/>
      <c r="HT13" s="2476"/>
      <c r="HU13" s="2476"/>
      <c r="HV13" s="2477"/>
      <c r="HW13" s="2477"/>
      <c r="HX13" s="2477"/>
      <c r="HY13" s="2478"/>
      <c r="HZ13" s="2478"/>
      <c r="IA13" s="2478"/>
      <c r="IB13" s="2478"/>
      <c r="IC13" s="2478"/>
      <c r="ID13" s="2478"/>
      <c r="IE13" s="2478"/>
      <c r="IF13" s="2479"/>
    </row>
    <row r="14" spans="1:241" ht="12.6" customHeight="1" thickTop="1" thickBot="1" x14ac:dyDescent="0.25">
      <c r="A14" s="2426" t="s">
        <v>40</v>
      </c>
      <c r="B14" s="2400" t="s">
        <v>28</v>
      </c>
      <c r="C14" s="2400" t="s">
        <v>24</v>
      </c>
      <c r="D14" s="2400" t="s">
        <v>25</v>
      </c>
      <c r="E14" s="2480"/>
      <c r="F14" s="2092" t="s">
        <v>9</v>
      </c>
      <c r="G14" s="2093"/>
      <c r="H14" s="2093"/>
      <c r="I14" s="2093" t="s">
        <v>10</v>
      </c>
      <c r="J14" s="2093"/>
      <c r="K14" s="2094"/>
      <c r="L14" s="2092" t="s">
        <v>11</v>
      </c>
      <c r="M14" s="2094"/>
      <c r="N14" s="1985" t="s">
        <v>12</v>
      </c>
      <c r="O14" s="2093"/>
      <c r="P14" s="2093"/>
      <c r="Q14" s="2093" t="s">
        <v>13</v>
      </c>
      <c r="R14" s="2093"/>
      <c r="S14" s="1983"/>
      <c r="T14" s="2092" t="s">
        <v>14</v>
      </c>
      <c r="U14" s="2093"/>
      <c r="V14" s="2093"/>
      <c r="W14" s="2093"/>
      <c r="X14" s="2094"/>
      <c r="Y14" s="2087" t="s">
        <v>111</v>
      </c>
      <c r="Z14" s="2088"/>
      <c r="AA14" s="1059" t="s">
        <v>15</v>
      </c>
      <c r="AB14" s="1411"/>
      <c r="AD14" s="426"/>
      <c r="AE14" s="426"/>
      <c r="AF14" s="426"/>
      <c r="AG14" s="426"/>
      <c r="AH14" s="426"/>
      <c r="AI14" s="426"/>
      <c r="AJ14" s="426"/>
      <c r="AK14" s="426"/>
      <c r="AL14" s="426"/>
      <c r="AM14" s="426"/>
      <c r="AN14" s="426"/>
      <c r="AO14" s="426"/>
      <c r="AP14" s="426"/>
      <c r="AQ14" s="426"/>
      <c r="AR14" s="426"/>
      <c r="AS14" s="426"/>
      <c r="AT14" s="426"/>
      <c r="AU14" s="1913"/>
      <c r="AV14" s="2337"/>
      <c r="AW14" s="2338"/>
      <c r="AX14" s="502"/>
      <c r="AY14" s="426"/>
      <c r="AZ14" s="2353" t="s">
        <v>1059</v>
      </c>
      <c r="BA14" s="246"/>
      <c r="BB14" s="2436" t="s">
        <v>539</v>
      </c>
      <c r="BC14" s="2416" t="s">
        <v>130</v>
      </c>
      <c r="BD14" s="2417" t="s">
        <v>540</v>
      </c>
      <c r="BE14" s="2418" t="s">
        <v>1290</v>
      </c>
      <c r="BF14" s="2419"/>
      <c r="BG14" s="2242" t="s">
        <v>1282</v>
      </c>
      <c r="BH14" s="2417" t="s">
        <v>803</v>
      </c>
      <c r="BI14" s="2245"/>
      <c r="BJ14" s="2384" t="s">
        <v>541</v>
      </c>
      <c r="BK14" s="2417" t="s">
        <v>1072</v>
      </c>
      <c r="BL14" s="2245"/>
      <c r="BM14" s="2416" t="s">
        <v>488</v>
      </c>
      <c r="BN14" s="2504" t="s">
        <v>793</v>
      </c>
      <c r="BO14" s="2491" t="s">
        <v>1275</v>
      </c>
      <c r="BP14" s="1953" t="s">
        <v>1276</v>
      </c>
      <c r="BQ14" s="1954"/>
      <c r="BR14" s="1955"/>
      <c r="BS14" s="2242" t="s">
        <v>1282</v>
      </c>
      <c r="BT14" s="2417" t="s">
        <v>803</v>
      </c>
      <c r="BU14" s="2245"/>
      <c r="BV14" s="2384" t="s">
        <v>541</v>
      </c>
      <c r="BW14" s="2417" t="s">
        <v>1072</v>
      </c>
      <c r="BX14" s="2245"/>
      <c r="BY14" s="2416" t="s">
        <v>488</v>
      </c>
      <c r="BZ14" s="2489" t="s">
        <v>793</v>
      </c>
      <c r="CA14" s="2491" t="s">
        <v>1275</v>
      </c>
      <c r="CB14" s="1953" t="s">
        <v>1276</v>
      </c>
      <c r="CC14" s="1954"/>
      <c r="CD14" s="1955"/>
      <c r="CE14" s="2485"/>
      <c r="CF14" s="2465"/>
      <c r="CG14" s="2464"/>
      <c r="CH14" s="2405" t="s">
        <v>588</v>
      </c>
      <c r="CI14" s="2406"/>
      <c r="CJ14" s="2406"/>
      <c r="CK14" s="2405" t="s">
        <v>589</v>
      </c>
      <c r="CL14" s="2452" t="s">
        <v>786</v>
      </c>
      <c r="CM14" s="2452"/>
      <c r="CN14" s="2450"/>
      <c r="CO14" s="2451"/>
      <c r="CP14" s="2446"/>
      <c r="CQ14" s="2447"/>
      <c r="CR14" s="2411"/>
      <c r="CS14" s="2403"/>
      <c r="CT14" s="426"/>
      <c r="CU14" s="2358" t="s">
        <v>498</v>
      </c>
      <c r="CV14" s="2318" t="s">
        <v>499</v>
      </c>
      <c r="CW14" s="2318" t="s">
        <v>500</v>
      </c>
      <c r="CX14" s="2318" t="s">
        <v>501</v>
      </c>
      <c r="CY14" s="2318" t="s">
        <v>560</v>
      </c>
      <c r="CZ14" s="2318" t="s">
        <v>578</v>
      </c>
      <c r="DA14" s="2318" t="s">
        <v>502</v>
      </c>
      <c r="DB14" s="2318" t="s">
        <v>579</v>
      </c>
      <c r="DC14" s="2318" t="s">
        <v>503</v>
      </c>
      <c r="DD14" s="2318" t="s">
        <v>504</v>
      </c>
      <c r="DE14" s="2358" t="s">
        <v>498</v>
      </c>
      <c r="DF14" s="2318" t="s">
        <v>499</v>
      </c>
      <c r="DG14" s="2318" t="s">
        <v>505</v>
      </c>
      <c r="DH14" s="2318" t="s">
        <v>501</v>
      </c>
      <c r="DI14" s="2318" t="s">
        <v>560</v>
      </c>
      <c r="DJ14" s="2318" t="s">
        <v>578</v>
      </c>
      <c r="DK14" s="2318" t="s">
        <v>502</v>
      </c>
      <c r="DL14" s="2318" t="s">
        <v>579</v>
      </c>
      <c r="DM14" s="2318" t="s">
        <v>503</v>
      </c>
      <c r="DN14" s="2360" t="s">
        <v>504</v>
      </c>
      <c r="DO14" s="2355" t="s">
        <v>491</v>
      </c>
      <c r="DP14" s="2453" t="s">
        <v>506</v>
      </c>
      <c r="DQ14" s="2349" t="s">
        <v>507</v>
      </c>
      <c r="DR14" s="2320" t="s">
        <v>508</v>
      </c>
      <c r="DS14" s="2322" t="s">
        <v>543</v>
      </c>
      <c r="DT14" s="2347" t="s">
        <v>509</v>
      </c>
      <c r="DU14" s="2348"/>
      <c r="DV14" s="2324" t="s">
        <v>1103</v>
      </c>
      <c r="DW14" s="2351" t="s">
        <v>1104</v>
      </c>
      <c r="DX14" s="2353" t="s">
        <v>514</v>
      </c>
      <c r="DY14" s="2322" t="s">
        <v>544</v>
      </c>
      <c r="DZ14" s="2347" t="s">
        <v>511</v>
      </c>
      <c r="EA14" s="2348"/>
      <c r="EB14" s="2351" t="s">
        <v>1105</v>
      </c>
      <c r="EC14" s="2351" t="s">
        <v>1106</v>
      </c>
      <c r="ED14" s="2353" t="s">
        <v>516</v>
      </c>
      <c r="EE14" s="2349" t="s">
        <v>545</v>
      </c>
      <c r="EF14" s="2367" t="s">
        <v>546</v>
      </c>
      <c r="EG14" s="2368"/>
      <c r="EH14" s="2367" t="s">
        <v>547</v>
      </c>
      <c r="EI14" s="2369"/>
      <c r="EJ14" s="2320" t="s">
        <v>548</v>
      </c>
      <c r="EK14" s="2357"/>
      <c r="EL14" s="2349" t="s">
        <v>568</v>
      </c>
      <c r="EM14" s="2367" t="s">
        <v>549</v>
      </c>
      <c r="EN14" s="2368"/>
      <c r="EO14" s="2367" t="s">
        <v>550</v>
      </c>
      <c r="EP14" s="2369"/>
      <c r="EQ14" s="2320" t="s">
        <v>551</v>
      </c>
      <c r="ER14" s="2357"/>
      <c r="ES14" s="2349" t="s">
        <v>12</v>
      </c>
      <c r="ET14" s="2349" t="s">
        <v>13</v>
      </c>
      <c r="EU14" s="2320" t="s">
        <v>582</v>
      </c>
      <c r="EV14" s="2365"/>
      <c r="EW14" s="2323"/>
      <c r="EX14" s="2363"/>
      <c r="EY14" s="2363"/>
      <c r="EZ14" s="2438"/>
      <c r="FA14" s="2363"/>
      <c r="FB14" s="2363"/>
      <c r="FC14" s="2363"/>
      <c r="FD14" s="2439"/>
      <c r="FE14" s="2439"/>
      <c r="FF14" s="2439"/>
      <c r="FG14" s="2439"/>
      <c r="FH14" s="2439"/>
      <c r="FI14" s="2439"/>
      <c r="FJ14" s="2439"/>
      <c r="FK14" s="2439"/>
      <c r="FL14" s="2439"/>
      <c r="FM14" s="2439"/>
      <c r="FN14" s="2439"/>
      <c r="FO14" s="2349" t="s">
        <v>590</v>
      </c>
      <c r="FP14" s="2349" t="s">
        <v>591</v>
      </c>
      <c r="FQ14" s="2455" t="s">
        <v>654</v>
      </c>
      <c r="FR14" s="2458" t="s">
        <v>655</v>
      </c>
      <c r="FS14" s="2453" t="s">
        <v>682</v>
      </c>
      <c r="FT14" s="2466" t="s">
        <v>683</v>
      </c>
      <c r="FU14" s="2175" t="s">
        <v>787</v>
      </c>
      <c r="FV14" s="2176"/>
      <c r="FW14" s="426"/>
      <c r="FX14" s="426"/>
      <c r="FY14" s="426"/>
      <c r="FZ14" s="426"/>
      <c r="GA14" s="2134" t="s">
        <v>708</v>
      </c>
      <c r="GB14" s="2135"/>
      <c r="GC14" s="2134" t="s">
        <v>558</v>
      </c>
      <c r="GD14" s="2135"/>
      <c r="GE14" s="2136" t="s">
        <v>711</v>
      </c>
      <c r="GF14" s="2138" t="s">
        <v>40</v>
      </c>
      <c r="GG14" s="2332" t="s">
        <v>1142</v>
      </c>
      <c r="GH14" s="2333"/>
      <c r="GI14" s="2332" t="s">
        <v>1141</v>
      </c>
      <c r="GJ14" s="2333"/>
      <c r="GK14" s="2139" t="s">
        <v>712</v>
      </c>
      <c r="GL14" s="2139" t="s">
        <v>713</v>
      </c>
      <c r="GM14" s="2139" t="s">
        <v>714</v>
      </c>
      <c r="HA14" s="2456" t="s">
        <v>539</v>
      </c>
      <c r="HB14" s="2330" t="s">
        <v>130</v>
      </c>
      <c r="HC14" s="2330" t="s">
        <v>540</v>
      </c>
      <c r="HD14" s="2440" t="str">
        <f>IF($HA$1,"Joist ""BayLength""","Overall Length")</f>
        <v>Overall Length</v>
      </c>
      <c r="HE14" s="2330"/>
      <c r="HF14" s="2328" t="str">
        <f>IF($HA$1,"Left Sect. #","TCXL Feet")</f>
        <v>TCXL Feet</v>
      </c>
      <c r="HG14" s="2328" t="str">
        <f>IF($HA$1,"L Min Sup Width","TCXL Inch")</f>
        <v>TCXL Inch</v>
      </c>
      <c r="HH14" s="2328" t="str">
        <f>IF($HA$1,"L Max Sup Width","TCXL Type")</f>
        <v>TCXL Type</v>
      </c>
      <c r="HI14" s="2328" t="str">
        <f>IF($HA$1,"Left Bolt ""X""","TCXR Feet")</f>
        <v>TCXR Feet</v>
      </c>
      <c r="HJ14" s="2328" t="str">
        <f>IF($HA$1,"L Min Flg Ga","TCXR Inch")</f>
        <v>TCXR Inch</v>
      </c>
      <c r="HK14" s="2328" t="str">
        <f>IF($HA$1,"L Max Flg Ga","TCXR Type")</f>
        <v>TCXR Type</v>
      </c>
      <c r="HL14" s="2328" t="str">
        <f>IF($HA$1,"Left Skew","BDL")</f>
        <v>BDL</v>
      </c>
      <c r="HM14" s="2328" t="str">
        <f>IF($HA$1,"Left Brg Slp","BDR")</f>
        <v>BDR</v>
      </c>
      <c r="HN14" s="2328" t="str">
        <f>IF($HA$1,"Right Sect. #","BCXL Feet")</f>
        <v>BCXL Feet</v>
      </c>
      <c r="HO14" s="2328" t="str">
        <f>IF($HA$1,"R Min Sup Width","BCXL Inch")</f>
        <v>BCXL Inch</v>
      </c>
      <c r="HP14" s="2328" t="str">
        <f>IF($HA$1,"R Max Sup Width","BCXL Type")</f>
        <v>BCXL Type</v>
      </c>
      <c r="HQ14" s="2328" t="str">
        <f>IF($HA$1,"Right Bolt ""X""","BCXR Feet")</f>
        <v>BCXR Feet</v>
      </c>
      <c r="HR14" s="2328" t="str">
        <f>IF($HA$1,"R Min Flg Ga","BCXR Inch")</f>
        <v>BCXR Inch</v>
      </c>
      <c r="HS14" s="2328" t="str">
        <f>IF($HA$1,"R Max Flg Ga","BCXR Type")</f>
        <v>BCXR Type</v>
      </c>
      <c r="HT14" s="2328" t="str">
        <f>IF($HA$1,"Right Skew","HL Feet")</f>
        <v>HL Feet</v>
      </c>
      <c r="HU14" s="2328" t="str">
        <f>IF($HA$1,"Right Brg Slp","HL Inch")</f>
        <v>HL Inch</v>
      </c>
      <c r="HV14" s="2328" t="str">
        <f>IF($HA$1,"TC Slope","HR Feet")</f>
        <v>HR Feet</v>
      </c>
      <c r="HW14" s="2328" t="str">
        <f>IF($HA$1,"Load Notes","HR Inch")</f>
        <v>HR Inch</v>
      </c>
      <c r="HX14" s="2328" t="str">
        <f>IF($HA$1,"Spcl Notes","Slot Ga")</f>
        <v>Slot Ga</v>
      </c>
      <c r="HY14" s="2328" t="str">
        <f>IF($HA$1,"TC L Override","L Seat Slp")</f>
        <v>L Seat Slp</v>
      </c>
      <c r="HZ14" s="2328" t="str">
        <f>IF($HA$1,"TCR Override","R Seat Slp")</f>
        <v>R Seat Slp</v>
      </c>
      <c r="IA14" s="2328" t="str">
        <f>IF($HA$1,"L-BL Override","Sp Notes")</f>
        <v>Sp Notes</v>
      </c>
      <c r="IB14" s="2328" t="str">
        <f>IF($HA$1,"R-BL Override","Ld Notes")</f>
        <v>Ld Notes</v>
      </c>
      <c r="IC14" s="2328" t="str">
        <f>IF($HA$1,"BCXL ""X""","-")</f>
        <v>-</v>
      </c>
      <c r="ID14" s="2328" t="str">
        <f>IF($HA$1,"BCXR ""X""","-")</f>
        <v>-</v>
      </c>
      <c r="IE14" s="2328" t="str">
        <f>IF($HA$1,"BDL Override","-")</f>
        <v>-</v>
      </c>
      <c r="IF14" s="2468" t="str">
        <f>IF($HA$1,"BDR Override","-")</f>
        <v>-</v>
      </c>
    </row>
    <row r="15" spans="1:241" ht="12.6" customHeight="1" thickTop="1" thickBot="1" x14ac:dyDescent="0.25">
      <c r="A15" s="2427"/>
      <c r="B15" s="2401"/>
      <c r="C15" s="2401"/>
      <c r="D15" s="2401"/>
      <c r="E15" s="2481"/>
      <c r="F15" s="1996" t="s">
        <v>16</v>
      </c>
      <c r="G15" s="2086"/>
      <c r="H15" s="1102" t="s">
        <v>732</v>
      </c>
      <c r="I15" s="2086" t="s">
        <v>16</v>
      </c>
      <c r="J15" s="2086"/>
      <c r="K15" s="461" t="s">
        <v>732</v>
      </c>
      <c r="L15" s="1106" t="s">
        <v>18</v>
      </c>
      <c r="M15" s="461" t="s">
        <v>19</v>
      </c>
      <c r="N15" s="1993" t="s">
        <v>16</v>
      </c>
      <c r="O15" s="2086"/>
      <c r="P15" s="1102" t="s">
        <v>732</v>
      </c>
      <c r="Q15" s="2086" t="s">
        <v>16</v>
      </c>
      <c r="R15" s="2086"/>
      <c r="S15" s="1065" t="s">
        <v>732</v>
      </c>
      <c r="T15" s="1996" t="s">
        <v>80</v>
      </c>
      <c r="U15" s="2086"/>
      <c r="V15" s="2086" t="s">
        <v>81</v>
      </c>
      <c r="W15" s="2086"/>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914"/>
      <c r="AV15" s="2408"/>
      <c r="AW15" s="2409"/>
      <c r="AX15" s="503" t="s">
        <v>632</v>
      </c>
      <c r="AY15" s="503" t="s">
        <v>133</v>
      </c>
      <c r="AZ15" s="2483"/>
      <c r="BA15" s="246"/>
      <c r="BB15" s="2144"/>
      <c r="BC15" s="2073"/>
      <c r="BD15" s="2146"/>
      <c r="BE15" s="2420"/>
      <c r="BF15" s="2421"/>
      <c r="BG15" s="2243"/>
      <c r="BH15" s="2487"/>
      <c r="BI15" s="2488"/>
      <c r="BJ15" s="2385"/>
      <c r="BK15" s="2487"/>
      <c r="BL15" s="2488"/>
      <c r="BM15" s="2073"/>
      <c r="BN15" s="2505"/>
      <c r="BO15" s="2492"/>
      <c r="BP15" s="1546" t="s">
        <v>1277</v>
      </c>
      <c r="BQ15" s="1547" t="s">
        <v>1278</v>
      </c>
      <c r="BR15" s="1548" t="s">
        <v>501</v>
      </c>
      <c r="BS15" s="2243"/>
      <c r="BT15" s="2487"/>
      <c r="BU15" s="2488"/>
      <c r="BV15" s="2385"/>
      <c r="BW15" s="2487"/>
      <c r="BX15" s="2488"/>
      <c r="BY15" s="2073"/>
      <c r="BZ15" s="2490"/>
      <c r="CA15" s="2492"/>
      <c r="CB15" s="1546" t="s">
        <v>1277</v>
      </c>
      <c r="CC15" s="1547" t="s">
        <v>1278</v>
      </c>
      <c r="CD15" s="1548" t="s">
        <v>501</v>
      </c>
      <c r="CE15" s="2486"/>
      <c r="CF15" s="1554" t="s">
        <v>418</v>
      </c>
      <c r="CG15" s="1549" t="s">
        <v>553</v>
      </c>
      <c r="CH15" s="498" t="s">
        <v>585</v>
      </c>
      <c r="CI15" s="433" t="s">
        <v>586</v>
      </c>
      <c r="CJ15" s="434" t="s">
        <v>587</v>
      </c>
      <c r="CK15" s="2407"/>
      <c r="CL15" s="499" t="s">
        <v>606</v>
      </c>
      <c r="CM15" s="500" t="s">
        <v>607</v>
      </c>
      <c r="CN15" s="932" t="s">
        <v>606</v>
      </c>
      <c r="CO15" s="435" t="s">
        <v>607</v>
      </c>
      <c r="CP15" s="436" t="s">
        <v>520</v>
      </c>
      <c r="CQ15" s="437" t="s">
        <v>169</v>
      </c>
      <c r="CR15" s="2412"/>
      <c r="CS15" s="2404"/>
      <c r="CT15" s="426"/>
      <c r="CU15" s="2359"/>
      <c r="CV15" s="2341"/>
      <c r="CW15" s="2341"/>
      <c r="CX15" s="2319"/>
      <c r="CY15" s="2319"/>
      <c r="CZ15" s="2319"/>
      <c r="DA15" s="2319"/>
      <c r="DB15" s="2319"/>
      <c r="DC15" s="2319"/>
      <c r="DD15" s="2319"/>
      <c r="DE15" s="2359"/>
      <c r="DF15" s="2341"/>
      <c r="DG15" s="2341"/>
      <c r="DH15" s="2319"/>
      <c r="DI15" s="2319"/>
      <c r="DJ15" s="2319"/>
      <c r="DK15" s="2319"/>
      <c r="DL15" s="2319"/>
      <c r="DM15" s="2319"/>
      <c r="DN15" s="2361"/>
      <c r="DO15" s="2356"/>
      <c r="DP15" s="2467"/>
      <c r="DQ15" s="2350"/>
      <c r="DR15" s="2321"/>
      <c r="DS15" s="2323"/>
      <c r="DT15" s="438" t="s">
        <v>554</v>
      </c>
      <c r="DU15" s="438" t="s">
        <v>555</v>
      </c>
      <c r="DV15" s="2325"/>
      <c r="DW15" s="2352"/>
      <c r="DX15" s="2354"/>
      <c r="DY15" s="2323"/>
      <c r="DZ15" s="438" t="s">
        <v>554</v>
      </c>
      <c r="EA15" s="438" t="s">
        <v>555</v>
      </c>
      <c r="EB15" s="2352"/>
      <c r="EC15" s="2352"/>
      <c r="ED15" s="2354"/>
      <c r="EE15" s="2370"/>
      <c r="EF15" s="439" t="s">
        <v>521</v>
      </c>
      <c r="EG15" s="440" t="s">
        <v>522</v>
      </c>
      <c r="EH15" s="439" t="s">
        <v>521</v>
      </c>
      <c r="EI15" s="440" t="s">
        <v>522</v>
      </c>
      <c r="EJ15" s="439" t="s">
        <v>521</v>
      </c>
      <c r="EK15" s="440" t="s">
        <v>522</v>
      </c>
      <c r="EL15" s="2370"/>
      <c r="EM15" s="439" t="s">
        <v>521</v>
      </c>
      <c r="EN15" s="440" t="s">
        <v>522</v>
      </c>
      <c r="EO15" s="439" t="s">
        <v>521</v>
      </c>
      <c r="EP15" s="440" t="s">
        <v>522</v>
      </c>
      <c r="EQ15" s="439" t="s">
        <v>521</v>
      </c>
      <c r="ER15" s="440" t="s">
        <v>522</v>
      </c>
      <c r="ES15" s="2373"/>
      <c r="ET15" s="2373"/>
      <c r="EU15" s="2374"/>
      <c r="EV15" s="2366"/>
      <c r="EW15" s="2323"/>
      <c r="EX15" s="2363"/>
      <c r="EY15" s="2363"/>
      <c r="EZ15" s="2438"/>
      <c r="FA15" s="2363"/>
      <c r="FB15" s="2363"/>
      <c r="FC15" s="2363"/>
      <c r="FD15" s="2439"/>
      <c r="FE15" s="2439"/>
      <c r="FF15" s="2439"/>
      <c r="FG15" s="2439"/>
      <c r="FH15" s="2439"/>
      <c r="FI15" s="2439"/>
      <c r="FJ15" s="2439"/>
      <c r="FK15" s="2439"/>
      <c r="FL15" s="2439"/>
      <c r="FM15" s="2439"/>
      <c r="FN15" s="2439"/>
      <c r="FO15" s="2373"/>
      <c r="FP15" s="2373"/>
      <c r="FQ15" s="2373"/>
      <c r="FR15" s="2459"/>
      <c r="FS15" s="2454"/>
      <c r="FT15" s="2459"/>
      <c r="FU15" s="508" t="s">
        <v>606</v>
      </c>
      <c r="FV15" s="509" t="s">
        <v>607</v>
      </c>
      <c r="FW15" s="426"/>
      <c r="FX15" s="426"/>
      <c r="FY15" s="426"/>
      <c r="FZ15" s="426"/>
      <c r="GA15" s="1035" t="s">
        <v>1112</v>
      </c>
      <c r="GB15" s="1036" t="s">
        <v>710</v>
      </c>
      <c r="GC15" s="1031" t="s">
        <v>606</v>
      </c>
      <c r="GD15" s="1032" t="s">
        <v>607</v>
      </c>
      <c r="GE15" s="2137"/>
      <c r="GF15" s="2137"/>
      <c r="GG15" s="1033" t="s">
        <v>1112</v>
      </c>
      <c r="GH15" s="1034" t="s">
        <v>710</v>
      </c>
      <c r="GI15" s="1033" t="s">
        <v>1112</v>
      </c>
      <c r="GJ15" s="1034" t="s">
        <v>710</v>
      </c>
      <c r="GK15" s="2140"/>
      <c r="GL15" s="2140"/>
      <c r="GM15" s="2140"/>
      <c r="HA15" s="2457"/>
      <c r="HB15" s="2331"/>
      <c r="HC15" s="2331"/>
      <c r="HD15" s="2331"/>
      <c r="HE15" s="2331"/>
      <c r="HF15" s="2329"/>
      <c r="HG15" s="2329"/>
      <c r="HH15" s="2329"/>
      <c r="HI15" s="2329"/>
      <c r="HJ15" s="2329"/>
      <c r="HK15" s="2329"/>
      <c r="HL15" s="2329"/>
      <c r="HM15" s="2329"/>
      <c r="HN15" s="2329"/>
      <c r="HO15" s="2329"/>
      <c r="HP15" s="2329"/>
      <c r="HQ15" s="2329"/>
      <c r="HR15" s="2329"/>
      <c r="HS15" s="2329"/>
      <c r="HT15" s="2329"/>
      <c r="HU15" s="2329"/>
      <c r="HV15" s="2329"/>
      <c r="HW15" s="2329"/>
      <c r="HX15" s="2329"/>
      <c r="HY15" s="2329"/>
      <c r="HZ15" s="2329"/>
      <c r="IA15" s="2329"/>
      <c r="IB15" s="2329"/>
      <c r="IC15" s="2329"/>
      <c r="ID15" s="2329"/>
      <c r="IE15" s="2329"/>
      <c r="IF15" s="2469"/>
    </row>
    <row r="16" spans="1:241" ht="12.6" customHeight="1" thickTop="1" x14ac:dyDescent="0.25">
      <c r="A16" s="1448" t="s">
        <v>1497</v>
      </c>
      <c r="B16" s="1681">
        <v>2</v>
      </c>
      <c r="C16" s="1449" t="s">
        <v>1592</v>
      </c>
      <c r="D16" s="1705">
        <v>39</v>
      </c>
      <c r="E16" s="1706">
        <v>2.25</v>
      </c>
      <c r="F16" s="1714" t="str">
        <f t="shared" ref="F16:F44" si="1">IF(DX16=0,"",TRUNC(DX16/12))</f>
        <v/>
      </c>
      <c r="G16" s="1709" t="str">
        <f t="shared" ref="G16:G44" si="2">IF(DX16=0,"",DX16-(F16*12))</f>
        <v/>
      </c>
      <c r="H16" s="1779" t="str">
        <f t="shared" ref="H16:H44" si="3">IF(DX16=0,"",CW16)</f>
        <v/>
      </c>
      <c r="I16" s="1705" t="str">
        <f t="shared" ref="I16:I44" si="4">IF(ED16=0,"",TRUNC(ED16/12))</f>
        <v/>
      </c>
      <c r="J16" s="1709" t="str">
        <f t="shared" ref="J16:J44" si="5">IF(ED16=0,"",ED16-(I16*12))</f>
        <v/>
      </c>
      <c r="K16" s="1796" t="str">
        <f t="shared" ref="K16:K44" si="6">IF(ED16=0,"",DG16)</f>
        <v/>
      </c>
      <c r="L16" s="1712">
        <v>5</v>
      </c>
      <c r="M16" s="1713">
        <v>5</v>
      </c>
      <c r="N16" s="1708" t="str">
        <f t="shared" ref="N16:N45" si="7">IF(ES16="","",IF(AND(ES16&lt;0,ES16&gt;-12),TRUNC(ES16/12)-0.0000001,TRUNC(ES16/12)))</f>
        <v/>
      </c>
      <c r="O16" s="1709" t="str">
        <f t="shared" ref="O16:O45" si="8">IF(ES16="","",IF(AND(ES16-(N16*12)=0,ES16&lt;0),-0.000001,ES16-(N16*12)))</f>
        <v/>
      </c>
      <c r="P16" s="1710" t="str">
        <f t="shared" ref="P16:P45" si="9">IF(ES16="","",IF(OR(CW16="Q",CW16="C"),3,CZ16))</f>
        <v/>
      </c>
      <c r="Q16" s="1705" t="str">
        <f t="shared" ref="Q16:Q45" si="10">IF(ET16="","",IF(AND(ET16&lt;0,ET16&gt;-12),TRUNC(ET16/12)-0.0000001,TRUNC(ET16/12)))</f>
        <v/>
      </c>
      <c r="R16" s="1709" t="str">
        <f t="shared" ref="R16:R45" si="11">IF(ET16="","",IF(AND(ET16-(Q16*12)=0,ET16&lt;0),-0.000001,ET16-(Q16*12)))</f>
        <v/>
      </c>
      <c r="S16" s="1711" t="str">
        <f t="shared" ref="S16:S45" si="12">IF(ET16="","",IF(OR(DG16="Q",DG16="C"),3,DJ16))</f>
        <v/>
      </c>
      <c r="T16" s="1714">
        <v>0</v>
      </c>
      <c r="U16" s="1709">
        <v>2.25</v>
      </c>
      <c r="V16" s="1705">
        <v>0</v>
      </c>
      <c r="W16" s="1709">
        <v>2</v>
      </c>
      <c r="X16" s="1713">
        <v>4</v>
      </c>
      <c r="Y16" s="1781" t="str">
        <f t="shared" ref="Y16:Y44" si="13">FG16</f>
        <v/>
      </c>
      <c r="Z16" s="1782" t="str">
        <f t="shared" ref="Z16:Z44" si="14">FL16</f>
        <v/>
      </c>
      <c r="AA16" s="1783" t="s">
        <v>1768</v>
      </c>
      <c r="AB16" s="1413"/>
      <c r="AC16" s="964" t="b">
        <v>0</v>
      </c>
      <c r="AD16" s="441">
        <f t="shared" ref="AD16:AD45" si="15">IF($C16="",0,IF(SUM(AE16:AG16)&gt;0,0,IF(ISERROR(SEARCH("K",$C16,1))=TRUE,0,$B16)))</f>
        <v>0</v>
      </c>
      <c r="AE16" s="442">
        <f t="shared" ref="AE16:AE45" si="16">IF(ISERROR(SEARCH("LH",$C16,1))=TRUE,0,$B16)</f>
        <v>2</v>
      </c>
      <c r="AF16" s="442">
        <f t="shared" ref="AF16:AF45" si="17">IF(ISERROR(SEARCH("JS",$C16))=TRUE,IF(ISERROR(SEARCH("2.5K",$C16))=TRUE,0,$B16),$B16)</f>
        <v>0</v>
      </c>
      <c r="AG16" s="442">
        <f t="shared" ref="AG16:AG45" si="18">IF(ISERROR(SEARCH("HDR",$C16,1))=TRUE,0,$B16)</f>
        <v>0</v>
      </c>
      <c r="AH16" s="443">
        <f t="shared" ref="AH16:AH45" si="19">IF(ISERROR(SEARCH("CJ",$C16,1))=TRUE,0,$B16)</f>
        <v>0</v>
      </c>
      <c r="AI16" s="444" t="b">
        <v>0</v>
      </c>
      <c r="AJ16" s="238">
        <f t="shared" ref="AJ16:AJ45" si="20">IF(OR(ISERROR(VALUE(LEFT(C16,SEARCH(AK16,C16)-1))),AK16=""),0,VALUE(LEFT(C16,SEARCH(AK16,C16)-1)))</f>
        <v>32</v>
      </c>
      <c r="AK16" s="830" t="str">
        <f t="shared" ref="AK16:AK45" si="21">IF(AV16="",AW16,AV16)</f>
        <v>LH</v>
      </c>
      <c r="AL16" s="945" t="str">
        <f t="shared" ref="AL16:AL45" si="22">IF(AK16="","",IF(ISERROR(SEARCH("/",C16)),IF(VALUE(MID(C16,SEARCH(AK16,C16)+LEN(AK16),LEN(C16)))&gt;25,"",VALUE(MID(C16,SEARCH(AK16,C16)+LEN(AK16),LEN(C16)))),""))</f>
        <v/>
      </c>
      <c r="AM16" s="830">
        <f t="shared" ref="AM16:AM45" si="23">IF(AK16="","",IF(ISERROR(SEARCH("/",C16)),IF(VALUE(MID(C16,SEARCH(AK16,C16)+LEN(AK16),LEN(C16)))&lt;26,"",VALUE(MID(C16,SEARCH(AK16,C16)+LEN(AK16),LEN(C16)))),VALUE(MID(C16,SEARCH(AK16,C16)+LEN(AK16),SEARCH("/",C16)-SEARCH(AK16,C16)-LEN(AK16)))))</f>
        <v>305</v>
      </c>
      <c r="AN16" s="830">
        <f t="shared" ref="AN16:AN45" si="24">IF(AK16="","",IF(AK16="CJ",MID(MID(C16,SEARCH("/",C16)+1,LEN(C16)),1,SEARCH("/",MID(C16,SEARCH("/",C16)+1,LEN(C16)))-1),IF(ISERROR(SEARCH("/",C16)),"",VALUE(MID(C16,SEARCH("/",C16)+1,LEN(C16))))))</f>
        <v>180</v>
      </c>
      <c r="AO16" s="830" t="str">
        <f t="shared" ref="AO16:AO45" si="25">IF(AK16="CJ",VALUE(MID(MID(C16,SEARCH("/",C16)+1,LEN(C16)),SEARCH("/",MID(C16,SEARCH("/",C16)+1,LEN(C16)))+1,LEN(MID(C16,SEARCH("/",C16)+1,LEN(C16))))),"")</f>
        <v/>
      </c>
      <c r="AP16" s="830" t="b">
        <f>IF(ISERROR(AJ16),FALSE,IF(OR(AJ16=0,ISERROR(AL16),ISERROR(AM16),ISERROR(AN16),ISERROR(AO16)),FALSE,IF(AL16&lt;&gt;"",IF(ISERROR(VLOOKUP(SUBSTITUTE(SUBSTITUTE(C16,"R",""),"A",""),TblJoistSize!$A:$A,1,FALSE)),FALSE,TRUE),TRUE)))</f>
        <v>1</v>
      </c>
      <c r="AQ16" s="1038">
        <f t="shared" ref="AQ16:AQ45" si="26">VLOOKUP(AK16,$DF$2:$DN$9,4,FALSE)+IF(LEFT(H16,1)="R",IF(ISNUMBER(F16),F16*12,0)+IF(ISNUMBER(G16),G16,0),0)</f>
        <v>6</v>
      </c>
      <c r="AR16" s="945" t="b">
        <f t="shared" ref="AR16:AR45" si="27">IF(IF(ISNUMBER(T16),T16*12,0)+IF(ISNUMBER(U16),U16,0)&gt;0,IF(AND(IF(ISNUMBER(T16),T16*12,0)+IF(ISNUMBER(U16),U16,0)&gt;=VLOOKUP(AU16,$DF$2:$DN$9,8,FALSE)/2+$DQ$2,IF(ISNUMBER(T16),T16*12,0)+IF(ISNUMBER(U16),U16,0)&lt;=(AQ16-(VLOOKUP(AU16,$DF$2:$DN$9,8,FALSE)/2+$DQ$2))+IF(H16="X",2,0)),TRUE,FALSE),FALSE)</f>
        <v>1</v>
      </c>
      <c r="AS16" s="1038">
        <f t="shared" ref="AS16:AS45" si="28">VLOOKUP(AK16,$DF$2:$DN$9,4,FALSE)+IF(LEFT(K16,1)="R",(IF(ISNUMBER(I16),I16*12,0)+IF(ISNUMBER(J16),J16,0)),0)</f>
        <v>6</v>
      </c>
      <c r="AT16" s="945" t="b">
        <f t="shared" ref="AT16:AT45" si="29">IF(IF(ISNUMBER(V16),V16*12,0)+IF(ISNUMBER(W16),W16,0)&gt;0,IF(AND((IF(ISNUMBER(V16),V16*12,0)+IF(ISNUMBER(W16),W16,0))&gt;=VLOOKUP(AU16,$DF$2:$DN$9,8,FALSE)/2+$DQ$2,(IF(ISNUMBER(V16),V16*12,0)+IF(ISNUMBER(W16),W16,0))&lt;=(AS16-(VLOOKUP(AU16,$DF$2:$DN$9,8,FALSE)/2+$DQ$2))+IF(K16="X",2,0)),TRUE,FALSE),FALSE)</f>
        <v>1</v>
      </c>
      <c r="AU16" s="946"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830" t="str">
        <f t="shared" ref="AV16:AV45" si="31">IF(NOT(ISERROR(SEARCH("KCSR",C16))),"KCSR",IF(NOT(ISERROR(SEARCH("KCSA",C16))),"KCSA",IF(NOT(ISERROR(SEARCH("KCS",C16))),"KCS",IF(NOT(ISERROR(SEARCH("KR",C16))),"KR",IF(NOT(ISERROR(SEARCH("KA",C16))),"KA",IF(NOT(ISERROR(SEARCH("K",C16))),"K",IF(NOT(ISERROR(SEARCH("CJ",C16))),"CJ","")))))))</f>
        <v/>
      </c>
      <c r="AW16" s="830" t="str">
        <f t="shared" ref="AW16:AW45" si="32">IF(NOT(ISERROR(SEARCH("HDR",C16))),"HDR",IF(NOT(ISERROR(SEARCH("JS",C16))),"JS",IF(NOT(ISERROR(SEARCH("SLH",C16))),"SLH",IF(NOT(ISERROR(SEARCH("DLH",C16))),"DLH",IF(NOT(ISERROR(SEARCH("LH",C16))),"LH","")))))</f>
        <v>LH</v>
      </c>
      <c r="AX16" s="830" t="str">
        <f>IF(OR(ISBLANK(A16),A16=""),"",A16)</f>
        <v>J67</v>
      </c>
      <c r="AY16" s="1039" t="b">
        <f t="shared" ref="AY16:AY45" si="33">IF($AE$1,IF(AX16=AX15,AY15,IF(AND(AX16&lt;&gt;"",OR(B16=0,B16="")),TRUE,FALSE)),FALSE)</f>
        <v>0</v>
      </c>
      <c r="AZ16" s="856" t="b">
        <f t="shared" ref="AZ16:AZ45" si="34">IF(AND(NOT(ISERROR(AJ16)),AJ16&gt;0),((IF(D16="",0,D16)*12+IF(E16="",0,E16))-(IF(F16="",0,F16)*12+IF(G16="",0,G16))-(IF(I16="",0,I16)*12+IF(J16="",0,J16)))&gt;AJ16*24,"")</f>
        <v>0</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35">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36">IF(ISERROR(DE16),"",IF(DG16="","",IF(DG16="C",DF16,IF(DG16="Q",2,""))))</f>
        <v/>
      </c>
      <c r="CD16" s="909"/>
      <c r="CE16" s="729"/>
      <c r="CF16" s="730"/>
      <c r="CG16" s="731"/>
      <c r="CH16" s="583" t="str">
        <f t="shared" ref="CH16:CH45" si="37">IF(EJ16=EK16,IF(EK16="ERR","ERR",""),CONCATENATE(IF(BM16&lt;0,"NS ","FS "),IF(EK16="ERR","Slot Only",CONCATENATE("Slot @ ",EJ16))))</f>
        <v/>
      </c>
      <c r="CI16" s="584" t="str">
        <f t="shared" ref="CI16:CI45" si="38">IF(EQ16=ER16,IF(ER16="ERR","ERR",""),CONCATENATE(IF(BY16&lt;0,"FS ","NS "),IF(ER16="ERR","Slot Only",CONCATENATE("Slot @ ",EQ16))))</f>
        <v/>
      </c>
      <c r="CJ16" s="585" t="str">
        <f t="shared" ref="CJ16:CJ45" si="39">IF(EV16="","",IF(AND(DB16&lt;&gt;EV16,OR(NOT(ISBLANK(BJ16)),CU16="C")),CONCATENATE("LE slots @ ",DB16," Ga."),IF(AND(DL16&lt;&gt;EV16,OR(NOT(ISBLANK(BV16)),DE16="C")),CONCATENATE("RE slots @ ",DL16," Ga."),"")))</f>
        <v/>
      </c>
      <c r="CK16" s="586" t="str">
        <f t="shared" ref="CK16:CK45" si="40">IF(AND(CP16&lt;&gt;"",BM16&lt;&gt;"",CQ16&lt;&gt;"",BY16&lt;&gt;""),"BE",IF(AND(CP16&lt;&gt;"",BM16&lt;&gt;""),"LE",IF(AND(CQ16&lt;&gt;"",BY16&lt;&gt;""),"RE","")))</f>
        <v/>
      </c>
      <c r="CL16" s="587" t="str">
        <f t="shared" ref="CL16:CL45" si="41">IF(BQ16="","",IF(CEILING(DV16,0.125)&lt;=DW16+VLOOKUP(AU16,$DF$2:$DI$9,4,FALSE),"",CEILING(DV16,0.125)))</f>
        <v/>
      </c>
      <c r="CM16" s="588" t="str">
        <f t="shared" ref="CM16:CM45" si="42">IF(CC16="","",IF(CEILING(EB16,0.125)&lt;=EC16+VLOOKUP(AU16,$DF$2:$DI$9,4,FALSE),"",CEILING(EB16,0.125)))</f>
        <v/>
      </c>
      <c r="CN16" s="589" t="str">
        <f t="shared" ref="CN16:CN45" si="43">IF(AND(CE16&lt;&gt;0,BM16&lt;&gt;0),CE16*COS(RADIANS(90-BM16))/(1/COS(RADIANS(90-BM16)))*-1,"")</f>
        <v/>
      </c>
      <c r="CO16" s="590" t="str">
        <f t="shared" ref="CO16:CO45" si="44">IF(AND(CE16&lt;&gt;0,BY16&lt;&gt;0),CE16*COS(RADIANS(90-BY16))/(1/COS(RADIANS(90-BY16))),"")</f>
        <v/>
      </c>
      <c r="CP16" s="613" t="str">
        <f t="shared" ref="CP16:CP45" si="45">IF(BG16="","",IF(AU16="JS","",IF(VLOOKUP(AU16,$DF$2:$DN$9,5,FALSE)&gt;FO16,IF(FO16&gt;=0.0625,CEILING(FO16-0.0625,0.125),FO16),"")))</f>
        <v/>
      </c>
      <c r="CQ16" s="614" t="str">
        <f t="shared" ref="CQ16:CQ45" si="46">IF(BS16="","",IF(AU16="JS","",IF(VLOOKUP(AU16,$DF$2:$DN$9,5,FALSE)&gt;FP16,IF(FP16&gt;=0.0625,CEILING(FP16-0.0625,0.125),FP16),"")))</f>
        <v/>
      </c>
      <c r="CR16" s="748">
        <f t="shared" ref="CR16:CR45" si="47">IF(AU16="","",IF(ABS(FF16)&lt;ABS($CX$2),VLOOKUP(AU16,$DF$2:$DN$9,3,FALSE),CEILING(VLOOKUP(AU16,$DF$2:$DN$9,3,FALSE)/COS(FE16)+0.375+IF(CU16="M",IF(FE16&gt;0,(DV16-DW16)/12,0),IF(FE16&gt;0,0,(DV16-CV16)/12))*ABS(FF16),0.125)))</f>
        <v>5</v>
      </c>
      <c r="CS16" s="749">
        <f t="shared" ref="CS16:CS45" si="48">IF(AU16="","",IF(ABS(FK16)&lt;ABS($CX$2),VLOOKUP(AU16,$DF$2:$DN$9,3,FALSE),CEILING(VLOOKUP(AU16,$DF$2:$DN$9,3,FALSE)/COS(FJ16)+0.375+IF(DE16="M",IF(FJ16&lt;0,(EB16-EC16)/12,0),IF(FJ16&lt;0,0,(EB16-DF16)/12))*ABS(FK16),0.125)))</f>
        <v>5</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49">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50">BZ16*-1</f>
        <v>0</v>
      </c>
      <c r="DO16" s="860">
        <f t="shared" ref="DO16:DO45" si="51">IF(CE16="",0,ATAN(CE16/12))</f>
        <v>0</v>
      </c>
      <c r="DP16" s="861" t="str">
        <f t="shared" ref="DP16:DP45" si="52">IF(OR(CV16="",BE16="",DF16=""),"",CEILING(IF(AND(BE16="",BF16=""),"",((BE16*12+BF16)+CV16+DF16)/COS(FN16))-0.0625,0.125))</f>
        <v/>
      </c>
      <c r="DQ16" s="861" t="str">
        <f t="shared" ref="DQ16:DQ45" si="53">IF(AU16="","",IF(ABS(FF16)&lt;ABS($CX$2),CX16,IF(FF16=0,CX16,CEILING((CX16+((DW16-CV16)/12)*FF16)-0.0625,0.125))))</f>
        <v/>
      </c>
      <c r="DR16" s="861" t="str">
        <f t="shared" ref="DR16:DR45" si="54">IF(AU16="","",IF(ABS(FK16)&lt;ABS($CX$2),DH16,IF(FK16=0,DH16,CEILING((DH16+((EC16-DF16)/12)*FK16)-0.0625,0.125))))</f>
        <v/>
      </c>
      <c r="DS16" s="862">
        <f t="shared" ref="DS16:DS45" si="55">IF(BM16="",0,RADIANS(ABS(BM16)))</f>
        <v>0</v>
      </c>
      <c r="DT16" s="821">
        <f t="shared" ref="DT16:DT45" si="56">MIN(IF(BH16&gt;0,BH16/2,MAX(BI16/2,DC16)),IF(BI16&gt;0,BI16/2,MAX(BH16/2,DC16)),IF(DC16&gt;0,DC16,MAX(BI16/2,BH16/2)))/IF(OR(CU16="C",AND(CU16="M",$DD$1="N")),1,COS(DS16))</f>
        <v>0</v>
      </c>
      <c r="DU16" s="821" t="str">
        <f t="shared" ref="DU16:DU45" si="57">IF(CV16="","",IF(DC16&gt;=0,MAX(BH16/2,BI16/2,DC16),DC16)/IF(OR(CU16="C",AND(CU16="M",$DD$1="N")),1,COS(DS16)))</f>
        <v/>
      </c>
      <c r="DV16" s="861" t="str">
        <f t="shared" ref="DV16:DV45" si="58">IF(CV16="","",(CV16+DU16+(VLOOKUP(IF(AU16="HDR","K",AU16),$DF$2:$DN$9,2,FALSE))*TAN(DS16))/COS(FD16)-FH16)</f>
        <v/>
      </c>
      <c r="DW16" s="872" t="str">
        <f t="shared" ref="DW16:DW45" si="59">IF(CV16="","",MAX(0,IF(NOT(BQ16=""),CV16-BQ16,DV16-VLOOKUP(IF(AU16="HDR","K",AU16),$DF$2:$DN$9,4,FALSE))))</f>
        <v/>
      </c>
      <c r="DX16" s="1129">
        <f t="shared" ref="DX16:DX45" si="60">IF(CV16="",0,IF(DW16/COS(FN16-FD16)&lt;0.0625,0,CEILING(DW16/COS(FN16-FD16)-0.03125,0.125)))</f>
        <v>0</v>
      </c>
      <c r="DY16" s="861">
        <f t="shared" ref="DY16:DY45" si="61">RADIANS(ABS(BY16))</f>
        <v>0</v>
      </c>
      <c r="DZ16" s="821">
        <f t="shared" ref="DZ16:DZ45" si="62">MIN(IF(BT16&gt;0,BT16/2,MAX(BU16/2,DM16)),IF(BU16&gt;0,BU16/2,MAX(BT16/2,DM16)),IF(DM16&gt;0,DM16,MAX(BU16/2,BT16/2)))/IF(OR(DE16="C",AND(DE16="M",$DD$1="N")),1,COS(DY16))</f>
        <v>0</v>
      </c>
      <c r="EA16" s="821" t="str">
        <f t="shared" ref="EA16:EA45" si="63">IF(DF16="","",IF(DM16&gt;=0,MAX(BT16/2,BU16/2,DM16),DM16)/IF(OR(DE16="C",AND(DE16="M",$DD$1="N")),1,COS(DY16)))</f>
        <v/>
      </c>
      <c r="EB16" s="861" t="str">
        <f t="shared" ref="EB16:EB45" si="64">IF(DF16="","",(DF16+EA16+(VLOOKUP(IF(AU16="HDR","K",AU16),$DF$2:$DN$9,2,FALSE))*TAN(DY16))/COS(FI16)-FM16)</f>
        <v/>
      </c>
      <c r="EC16" s="872" t="str">
        <f t="shared" ref="EC16:EC45" si="65">IF(DF16="","",MAX(0,IF(NOT(CC16=""),DF16-CC16,EB16-VLOOKUP(IF(AU16="HDR","K",AU16),$DF$2:$DN$9,4,FALSE))))</f>
        <v/>
      </c>
      <c r="ED16" s="1129">
        <f t="shared" ref="ED16:ED45" si="66">IF(DF16="",0,IF(EC16/COS(FN16+FI16)&lt;0.0625,0,CEILING(EC16/COS(FN16+FI16)-0.03125,0.125)))</f>
        <v>0</v>
      </c>
      <c r="EE16" s="1339" t="str">
        <f t="shared" ref="EE16:EE45" si="67">IF(AND(EZ16="",DA16=""),"",IF(EZ16="ERR","ERR",IF(CU16="C",DA16,IF(BJ16="","",IF(DA16="",(EZ16/2)*-1,DA16)))))</f>
        <v/>
      </c>
      <c r="EF16" s="1339" t="str">
        <f t="shared" ref="EF16:EF45" si="68">IF(EE16="ERR","ERR",IF(EE16="","",IF(DB16*TAN(DS16)&lt;=(VLOOKUP(AU16,$DF$2:$DN$9,8,FALSE)-(VLOOKUP(AU16,$DF$2:$DN$9,7,FALSE)-0.0625)),CV16-(EE16-FH16)/IF(OR(CU16="C",AND(CU16="M",$DD$1="N")),1,COS(DS16))-IF(MID(CW16,1,1)="R",0,DW16),(ABS(EE16-FH16)/IF(OR(CU16="C",AND(CU16="M",$DD$1="N")),1,COS(DS16))+CV16)-((DB16/2)*TAN(DS16))-IF(MID(CW16,1,1)="R",0,DW16))))</f>
        <v/>
      </c>
      <c r="EG16" s="1339" t="str">
        <f t="shared" ref="EG16:EG45" si="69">IF(EE16="ERR","ERR",IF(EE16="","",IF(DB16*TAN(DS16)&lt;=(VLOOKUP(AU16,$DF$2:$DN$9,8,FALSE)-(VLOOKUP(AU16,$DF$2:$DN$9,7,FALSE)-0.0625)),CV16-(EE16-FH16)/IF(OR(CU16="C",AND(CU16="M",$DD$1="N")),1,COS(DS16))-IF(MID(CW16,1,1)="R",0,DW16),(ABS(EE16-FH16)/IF(OR(CU16="C",AND(CU16="M",$DD$1="N")),1,COS(DS16))+CV16)+((DB16/2)*TAN(DS16))-IF(MID(CW16,1,1)="R",0,DW16))))</f>
        <v/>
      </c>
      <c r="EH16" s="856" t="str">
        <f t="shared" ref="EH16:EH45" si="70">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ERR</v>
      </c>
      <c r="EI16" s="856" t="str">
        <f t="shared" ref="EI16:EI45" si="71">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ERR</v>
      </c>
      <c r="EJ16" s="822" t="str">
        <f t="shared" ref="EJ16:EK45" si="72">IF(ISERROR(EF16),"ERR",IF(EF16="","",IF(EH16="ERR","ERR",CEILING(EH16-0.0625,0.125))))</f>
        <v/>
      </c>
      <c r="EK16" s="822" t="str">
        <f t="shared" si="72"/>
        <v/>
      </c>
      <c r="EL16" s="1293" t="str">
        <f t="shared" ref="EL16:EL45" si="73">IF(AND(FC16="",DK16=""),"",IF(FC16="ERR","ERR",IF(DE16="C",DK16,IF(BV16="","",IF(DK16="",(FC16/2)*-1,DK16)))))</f>
        <v/>
      </c>
      <c r="EM16" s="822" t="str">
        <f t="shared" ref="EM16:EM45" si="74">IF(EL16="ERR","ERR",IF(EL16="","",IF(DL16*TAN(DY16)&lt;=(VLOOKUP(AU16,$DF$2:$DN$9,8,FALSE)-(VLOOKUP(AU16,$DF$2:$DN$9,7,FALSE)-0.0625)),DF16-(EL16-FM16)/IF(OR(DE16="C",AND(DE16="M",$DD$1="N")),1,COS(DY16))-IF(MID(DG16,1,1)="R",0,EC16),(ABS(EL16-FM16)/IF(OR(DE16="C",AND(DE16="M",$DD$1="N")),1,COS(DY16))+DF16)-((DL16/2)*TAN(DY16))-IF(MID(DG16,1,1)="R",0,EC16))))</f>
        <v/>
      </c>
      <c r="EN16" s="822" t="str">
        <f t="shared" ref="EN16:EN45" si="75">IF(EL16="ERR","ERR",IF(EL16="","",IF(DL16*TAN(DY16)&lt;=(VLOOKUP(AU16,$DF$2:$DN$9,8,FALSE)-(VLOOKUP(AU16,$DF$2:$DN$9,7,FALSE)-0.0625)),DF16-(EL16-FM16)/IF(OR(DE16="C",AND(DE16="M",$DD$1="N")),1,COS(DY16))-IF(MID(DG16,1,1)="R",0,EC16),(ABS(EL16-FM16)/IF(OR(DE16="C",AND(DE16="M",$DD$1="N")),1,COS(DY16))+DF16)+((DL16/2)*TAN(DY16))-IF(MID(DG16,1,1)="R",0,EC16))))</f>
        <v/>
      </c>
      <c r="EO16" s="856" t="str">
        <f t="shared" ref="EO16:EO45" si="76">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ERR</v>
      </c>
      <c r="EP16" s="856" t="str">
        <f t="shared" ref="EP16:EP45" si="77">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ERR</v>
      </c>
      <c r="EQ16" s="1339" t="str">
        <f t="shared" ref="EQ16:ER45" si="78">IF(ISERROR(EM16),"ERR",IF(EM16="","",IF(EO16="ERR","ERR",CEILING(EO16-0.0625,0.125))))</f>
        <v/>
      </c>
      <c r="ER16" s="861" t="str">
        <f t="shared" si="78"/>
        <v/>
      </c>
      <c r="ES16" s="822" t="str">
        <f t="shared" ref="ES16:ES45" si="79">IF(OR(CY16="",AU16="JS",AU16="HDR",BO16=""),"",IF((CV16-CY16)/COS(DO16)-FS16&lt;=-0.0625,CEILING((CV16-CY16)/COS(DO16)-FS16+0.0625,-0.125),IF((CV16-CY16)/COS(DO16)-FS16&gt;=0.0625,CEILING((CV16-CY16)/COS(DO16)-FS16-0.0625,0.125),0)))</f>
        <v/>
      </c>
      <c r="ET16" s="822" t="str">
        <f t="shared" ref="ET16:ET45" si="80">IF(OR(DI16="",AU16="JS",AU16="HDR",CA16=""),"",IF((DF16-DI16)/COS(DO16)-FT16&lt;=-0.0625,CEILING((DF16-DI16)/COS(DO16)-FT16+0.0625,-0.125),IF((DF16-DI16)/COS(DO16)-FT16&gt;=0.0625,CEILING((DF16-DI16)/COS(DO16)-FT16-0.0625,0.125),0)))</f>
        <v/>
      </c>
      <c r="EU16" s="863">
        <f t="shared" ref="EU16:EU45" si="81">IF(AU16="","",VLOOKUP(AU16,$DF$2:$DN$9,6,FALSE))</f>
        <v>4</v>
      </c>
      <c r="EV16" s="824" t="str">
        <f t="shared" ref="EV16:EV45" si="82">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83">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84">IF(BV16="X",IF(OR(DE16="M",DE16="C"),"",IF((FB16-FA16)/2&lt;=(VLOOKUP(AU16,$DF$2:$DN$9,8,FALSE)-(VLOOKUP(AU16,$DF$2:$DN$9,7,FALSE)-0.0625)),(FA16+FB16)/2,"ERR")),"")</f>
        <v/>
      </c>
      <c r="FD16" s="862">
        <f>IF(DD16="",0,ATAN(DD16/12))</f>
        <v>0</v>
      </c>
      <c r="FE16" s="862">
        <f t="shared" ref="FE16:FE45" si="85">DO16-FD16</f>
        <v>0</v>
      </c>
      <c r="FF16" s="862">
        <f t="shared" ref="FF16:FF45" si="86">TAN(FE16)*12</f>
        <v>0</v>
      </c>
      <c r="FG16" s="862" t="str">
        <f t="shared" ref="FG16:FG45" si="87">IF(FF16=0,"",IF(ABS(FF16)&lt;$CX$2,IF(AND(ABS(MIN(DV16,FQ16)/12*FF16)&gt;$DD$2,FF16&gt;0),IF(FF16&gt;0,CEILING(FF16-0.0625,0.125),CEILING(FF16+0.0625,-0.125)),""),IF(FF16&gt;0,CEILING(FF16-0.0625,0.125),CEILING(FF16+0.0625,-0.125))))</f>
        <v/>
      </c>
      <c r="FH16" s="861" t="str">
        <f t="shared" ref="FH16:FH45" si="88">IF(CX16="","",CX16*TAN(FD16))</f>
        <v/>
      </c>
      <c r="FI16" s="862">
        <f>IF(DN16="",0,ATAN(DN16/12))</f>
        <v>0</v>
      </c>
      <c r="FJ16" s="862">
        <f t="shared" ref="FJ16:FJ45" si="89">DO16+FI16</f>
        <v>0</v>
      </c>
      <c r="FK16" s="862">
        <f t="shared" ref="FK16:FK45" si="90">TAN(FJ16)*-12</f>
        <v>0</v>
      </c>
      <c r="FL16" s="862" t="str">
        <f t="shared" ref="FL16:FL45" si="91">IF(FK16=0,"",IF(ABS(FK16)&lt;$CX$2,IF(AND(ABS(MIN(EB16,FR16)/12*FK16)&gt;$DD$2,FK16&gt;0),IF(FK16&gt;0,CEILING(FK16-0.0625,0.125),CEILING(FK16+0.0625,-0.125)),""),IF(FK16&gt;0,CEILING(FK16-0.0625,0.125),CEILING(FK16+0.0625,-0.125))))</f>
        <v/>
      </c>
      <c r="FM16" s="861" t="str">
        <f t="shared" ref="FM16:FM45" si="92">IF(DH16="","",DH16*TAN(FI16))</f>
        <v/>
      </c>
      <c r="FN16" s="861" t="e">
        <f t="shared" ref="FN16:FN45" si="93">IF(((BE16*12+BF16)+CV16+DF16)/COS(DO16)-((BE16*12+BF16)+CV16+DF16)&lt;$DB$2,0,DO16)</f>
        <v>#VALUE!</v>
      </c>
      <c r="FO16" s="1388" t="e">
        <f t="shared" ref="FO16:FO45" si="94">MIN(IF(BH16&gt;0,BH16/2,MAX(BI16/2,DC16)),IF(BI16&gt;0,BI16/2,MAX(BH16/2,DC16)),IF(DC16&gt;0,DC16,MAX(BI16/2,BH16/2)))/COS(DS16)+CV16-DW16-FH16</f>
        <v>#VALUE!</v>
      </c>
      <c r="FP16" s="1388" t="e">
        <f t="shared" ref="FP16:FP45" si="95">MIN(IF(BT16&gt;0,BT16/2,MAX(BU16/2,DM16)),IF(BU16&gt;0,BU16/2,MAX(BT16/2,DM16)),IF(DM16&gt;0,DM16,MAX(BU16/2,BT16/2)))/COS(DY16)+DF16-EC16-FM16</f>
        <v>#VALUE!</v>
      </c>
      <c r="FQ16" s="864" t="e">
        <f t="shared" ref="FQ16:FQ45" si="96">IF(OR(CU16="B",CU16="G"),MAX(BH16,BI16),IF(CU16="M",12,DC16+CV16))</f>
        <v>#VALUE!</v>
      </c>
      <c r="FR16" s="865" t="e">
        <f t="shared" ref="FR16:FR45" si="97">IF(OR(DE16="B",DE16="G"),MAX(BT16,BU16),IF(DE16="M",12,DM16+DF16))</f>
        <v>#VALUE!</v>
      </c>
      <c r="FS16" s="866" t="str">
        <f t="shared" ref="FS16:FS45" si="98">IF(CY16="","",IF(ABS(CE16*((AJ16-IF(CE16&gt;0,VLOOKUP(AU16,$DF$2:$DN$9,9,FALSE),0))/12))&gt;$CZ$2,CE16*((AJ16-IF(CE16&gt;0,VLOOKUP(AU16,$DF$2:$DN$9,9,FALSE),0))/12),0))</f>
        <v/>
      </c>
      <c r="FT16" s="867" t="str">
        <f t="shared" ref="FT16:FT45" si="99">IF(DI16="","",IF(ABS(CE16*((AJ16-IF(CE16&lt;0,VLOOKUP(AU16,$DF$2:$DN$9,9,FALSE),0))/12))&gt;$CZ$2,CE16*((AJ16-IF(CE16&lt;0,VLOOKUP(AU16,$DF$2:$DN$9,9,FALSE),0))/12)*-1,0))</f>
        <v/>
      </c>
      <c r="FU16" s="868">
        <f t="shared" ref="FU16:FU45" si="100">IF(CX16="",0,MAX(0,MIN(DV16-VLOOKUP(AU16,DF$2:DN$9,4,FALSE),(MAX(0,CX16-VLOOKUP(AU16,DF$2:DN$9,3,FALSE))+VLOOKUP(AU16,DF$2:DN$9,4,FALSE))*COS(DO16)+((MAX(0,CX16-VLOOKUP(AU16,DF$2:DN$9,3,FALSE))+VLOOKUP(AU16,DF$2:DN$9,4,FALSE))*COS(PI()/2-DO16))/TAN(PI()/2-(DO16+PI()/4))-VLOOKUP(AU16,DF$2:DN$9,4,FALSE))))</f>
        <v>0</v>
      </c>
      <c r="FV16" s="869">
        <f t="shared" ref="FV16:FV45" si="101">IF(DH16="",0,MAX(0,MIN(EB16-VLOOKUP(AU16,DF$2:DN$9,4,FALSE),(MAX(0,DH16-VLOOKUP(AU16,DF$2:DN$9,3,FALSE))+VLOOKUP(AU16,DF$2:DN$9,4,FALSE))*COS(DO16)+((MAX(0,DH16-VLOOKUP(AU16,DF$2:DN$9,3,FALSE))+VLOOKUP(AU16,DF$2:DN$9,4,FALSE))*COS(PI()/2-DO16))/TAN(PI()/2-(DO16+PI()/4))-VLOOKUP(AU16,DF$2:DN$9,4,FALSE))))</f>
        <v>0</v>
      </c>
      <c r="GA16" s="1791">
        <v>39</v>
      </c>
      <c r="GB16" s="1792">
        <v>3</v>
      </c>
      <c r="GC16" s="1793">
        <v>-0.25</v>
      </c>
      <c r="GD16" s="1794">
        <v>-0.5</v>
      </c>
      <c r="GE16" s="1795">
        <f t="shared" ref="GE16:GE45" si="102">IF(GF16="","",IF(ISBLANK(CE16),IF(Y16=Z16,0,MAX(ABS(Y16),ABS(Z16))*IF(Y16&lt;0,-1,1)),CE16))</f>
        <v>0</v>
      </c>
      <c r="GF16" s="600" t="str">
        <f t="shared" ref="GF16:GF45" si="103">IF(A16=0,"",A16)</f>
        <v>J67</v>
      </c>
      <c r="GG16" s="1130">
        <v>0</v>
      </c>
      <c r="GH16" s="1131">
        <v>0</v>
      </c>
      <c r="GI16" s="1130"/>
      <c r="GJ16" s="1131"/>
      <c r="GK16" s="1638">
        <f t="shared" ref="GK16:GK45" si="104">IF(D16="",0,D16*12+E16)</f>
        <v>470.25</v>
      </c>
      <c r="GL16" s="1636">
        <f t="shared" ref="GL16:GL45" si="105">(GA16*12+GB16+GC16+GD16)/COS(ATAN(ABS(GE16/12)))</f>
        <v>470.25</v>
      </c>
      <c r="GM16" s="1637">
        <f>IF(ABS(GK16-GL16)&gt;='Job Info.'!$L$22,ABS(GK16-GL16),0)</f>
        <v>0</v>
      </c>
      <c r="HA16" s="1263" t="s">
        <v>1497</v>
      </c>
      <c r="HB16" s="1264">
        <v>2</v>
      </c>
      <c r="HC16" s="1264" t="s">
        <v>1592</v>
      </c>
      <c r="HD16" s="1265">
        <v>39</v>
      </c>
      <c r="HE16" s="1266">
        <v>2.25</v>
      </c>
      <c r="HF16" s="1264" t="s">
        <v>116</v>
      </c>
      <c r="HG16" s="1264" t="s">
        <v>116</v>
      </c>
      <c r="HH16" s="1264" t="s">
        <v>116</v>
      </c>
      <c r="HI16" s="1267" t="s">
        <v>116</v>
      </c>
      <c r="HJ16" s="1264" t="s">
        <v>116</v>
      </c>
      <c r="HK16" s="1264" t="s">
        <v>116</v>
      </c>
      <c r="HL16" s="1264">
        <v>5</v>
      </c>
      <c r="HM16" s="1264">
        <v>5</v>
      </c>
      <c r="HN16" s="1264" t="s">
        <v>116</v>
      </c>
      <c r="HO16" s="1264" t="s">
        <v>116</v>
      </c>
      <c r="HP16" s="1264" t="s">
        <v>116</v>
      </c>
      <c r="HQ16" s="1267" t="s">
        <v>116</v>
      </c>
      <c r="HR16" s="1264" t="s">
        <v>116</v>
      </c>
      <c r="HS16" s="1264" t="s">
        <v>116</v>
      </c>
      <c r="HT16" s="1264">
        <v>0</v>
      </c>
      <c r="HU16" s="1264">
        <v>2.25</v>
      </c>
      <c r="HV16" s="1264">
        <v>0</v>
      </c>
      <c r="HW16" s="1266">
        <v>2</v>
      </c>
      <c r="HX16" s="1266">
        <v>4</v>
      </c>
      <c r="HY16" s="1266" t="s">
        <v>116</v>
      </c>
      <c r="HZ16" s="1266" t="s">
        <v>116</v>
      </c>
      <c r="IA16" s="1266" t="s">
        <v>1686</v>
      </c>
      <c r="IB16" s="1266"/>
      <c r="IC16" s="1266"/>
      <c r="ID16" s="1266"/>
      <c r="IE16" s="1266"/>
      <c r="IF16" s="1268"/>
    </row>
    <row r="17" spans="1:240" ht="12.6" customHeight="1" x14ac:dyDescent="0.25">
      <c r="A17" s="1448" t="s">
        <v>1498</v>
      </c>
      <c r="B17" s="1681">
        <v>1</v>
      </c>
      <c r="C17" s="1449" t="s">
        <v>1592</v>
      </c>
      <c r="D17" s="1705">
        <v>39</v>
      </c>
      <c r="E17" s="1706">
        <v>2.25</v>
      </c>
      <c r="F17" s="1714" t="str">
        <f t="shared" si="1"/>
        <v/>
      </c>
      <c r="G17" s="1709" t="str">
        <f t="shared" si="2"/>
        <v/>
      </c>
      <c r="H17" s="1779" t="str">
        <f t="shared" si="3"/>
        <v/>
      </c>
      <c r="I17" s="1705" t="str">
        <f t="shared" si="4"/>
        <v/>
      </c>
      <c r="J17" s="1709" t="str">
        <f t="shared" si="5"/>
        <v/>
      </c>
      <c r="K17" s="1796" t="str">
        <f t="shared" si="6"/>
        <v/>
      </c>
      <c r="L17" s="1712">
        <v>5</v>
      </c>
      <c r="M17" s="1713">
        <v>5</v>
      </c>
      <c r="N17" s="1708" t="str">
        <f t="shared" si="7"/>
        <v/>
      </c>
      <c r="O17" s="1709" t="str">
        <f t="shared" si="8"/>
        <v/>
      </c>
      <c r="P17" s="1710" t="str">
        <f t="shared" si="9"/>
        <v/>
      </c>
      <c r="Q17" s="1705" t="str">
        <f t="shared" si="10"/>
        <v/>
      </c>
      <c r="R17" s="1709" t="str">
        <f t="shared" si="11"/>
        <v/>
      </c>
      <c r="S17" s="1711" t="str">
        <f t="shared" si="12"/>
        <v/>
      </c>
      <c r="T17" s="1714">
        <v>0</v>
      </c>
      <c r="U17" s="1709">
        <v>2.25</v>
      </c>
      <c r="V17" s="1705">
        <v>0</v>
      </c>
      <c r="W17" s="1709">
        <v>2</v>
      </c>
      <c r="X17" s="1713">
        <v>4</v>
      </c>
      <c r="Y17" s="1781" t="str">
        <f t="shared" si="13"/>
        <v/>
      </c>
      <c r="Z17" s="1782" t="str">
        <f t="shared" si="14"/>
        <v/>
      </c>
      <c r="AA17" s="1783" t="s">
        <v>1769</v>
      </c>
      <c r="AB17" s="1413"/>
      <c r="AC17" s="964" t="b">
        <v>0</v>
      </c>
      <c r="AD17" s="441">
        <f t="shared" si="15"/>
        <v>0</v>
      </c>
      <c r="AE17" s="442">
        <f t="shared" si="16"/>
        <v>1</v>
      </c>
      <c r="AF17" s="442">
        <f t="shared" si="17"/>
        <v>0</v>
      </c>
      <c r="AG17" s="442">
        <f t="shared" si="18"/>
        <v>0</v>
      </c>
      <c r="AH17" s="443">
        <f t="shared" si="19"/>
        <v>0</v>
      </c>
      <c r="AI17" s="444" t="b">
        <v>0</v>
      </c>
      <c r="AJ17" s="238">
        <f t="shared" si="20"/>
        <v>32</v>
      </c>
      <c r="AK17" s="830" t="str">
        <f t="shared" si="21"/>
        <v>LH</v>
      </c>
      <c r="AL17" s="945" t="str">
        <f t="shared" si="22"/>
        <v/>
      </c>
      <c r="AM17" s="830">
        <f t="shared" si="23"/>
        <v>305</v>
      </c>
      <c r="AN17" s="830">
        <f t="shared" si="24"/>
        <v>180</v>
      </c>
      <c r="AO17" s="830" t="str">
        <f t="shared" si="25"/>
        <v/>
      </c>
      <c r="AP17" s="830" t="b">
        <f>IF(ISERROR(AJ17),FALSE,IF(OR(AJ17=0,ISERROR(AL17),ISERROR(AM17),ISERROR(AN17),ISERROR(AO17)),FALSE,IF(AL17&lt;&gt;"",IF(ISERROR(VLOOKUP(SUBSTITUTE(SUBSTITUTE(C17,"R",""),"A",""),TblJoistSize!$A:$A,1,FALSE)),FALSE,TRUE),TRUE)))</f>
        <v>1</v>
      </c>
      <c r="AQ17" s="1038">
        <f t="shared" si="26"/>
        <v>6</v>
      </c>
      <c r="AR17" s="945" t="b">
        <f t="shared" si="27"/>
        <v>1</v>
      </c>
      <c r="AS17" s="1038">
        <f t="shared" si="28"/>
        <v>6</v>
      </c>
      <c r="AT17" s="945" t="b">
        <f t="shared" si="29"/>
        <v>1</v>
      </c>
      <c r="AU17" s="946" t="str">
        <f t="shared" si="30"/>
        <v>LH</v>
      </c>
      <c r="AV17" s="830" t="str">
        <f t="shared" si="31"/>
        <v/>
      </c>
      <c r="AW17" s="830" t="str">
        <f t="shared" si="32"/>
        <v>LH</v>
      </c>
      <c r="AX17" s="830" t="str">
        <f t="shared" ref="AX17:AX45" si="106">IF(AND(OR(ISBLANK(A17),A17=""),AA17&lt;&gt;""),AX16,IF(OR(ISBLANK(A17),A17=""),"",A17))</f>
        <v>J68</v>
      </c>
      <c r="AY17" s="1039" t="b">
        <f t="shared" si="33"/>
        <v>0</v>
      </c>
      <c r="AZ17" s="856" t="b">
        <f t="shared" si="34"/>
        <v>0</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35"/>
        <v/>
      </c>
      <c r="BR17" s="910"/>
      <c r="BS17" s="672"/>
      <c r="BT17" s="713"/>
      <c r="BU17" s="714"/>
      <c r="BV17" s="1625"/>
      <c r="BW17" s="713"/>
      <c r="BX17" s="714"/>
      <c r="BY17" s="715"/>
      <c r="BZ17" s="716"/>
      <c r="CA17" s="680" t="str">
        <f>IF(ISERROR(DE17),"",IF(DE17="","",IF(VLOOKUP(BS17,SectInfo!$B:$N,10,FALSE)="","","X")))</f>
        <v/>
      </c>
      <c r="CB17" s="738"/>
      <c r="CC17" s="1551" t="str">
        <f t="shared" si="36"/>
        <v/>
      </c>
      <c r="CD17" s="910"/>
      <c r="CE17" s="717"/>
      <c r="CF17" s="736"/>
      <c r="CG17" s="737"/>
      <c r="CH17" s="591" t="str">
        <f t="shared" si="37"/>
        <v/>
      </c>
      <c r="CI17" s="592" t="str">
        <f t="shared" si="38"/>
        <v/>
      </c>
      <c r="CJ17" s="593" t="str">
        <f t="shared" si="39"/>
        <v/>
      </c>
      <c r="CK17" s="594" t="str">
        <f t="shared" si="40"/>
        <v/>
      </c>
      <c r="CL17" s="595" t="str">
        <f t="shared" si="41"/>
        <v/>
      </c>
      <c r="CM17" s="596" t="str">
        <f t="shared" si="42"/>
        <v/>
      </c>
      <c r="CN17" s="597" t="str">
        <f t="shared" si="43"/>
        <v/>
      </c>
      <c r="CO17" s="598" t="str">
        <f t="shared" si="44"/>
        <v/>
      </c>
      <c r="CP17" s="615" t="str">
        <f t="shared" si="45"/>
        <v/>
      </c>
      <c r="CQ17" s="616" t="str">
        <f t="shared" si="46"/>
        <v/>
      </c>
      <c r="CR17" s="750">
        <f t="shared" si="47"/>
        <v>5</v>
      </c>
      <c r="CS17" s="751">
        <f t="shared" si="48"/>
        <v>5</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49"/>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50"/>
        <v>0</v>
      </c>
      <c r="DO17" s="818">
        <f t="shared" si="51"/>
        <v>0</v>
      </c>
      <c r="DP17" s="822" t="str">
        <f t="shared" si="52"/>
        <v/>
      </c>
      <c r="DQ17" s="822" t="str">
        <f t="shared" si="53"/>
        <v/>
      </c>
      <c r="DR17" s="822" t="str">
        <f t="shared" si="54"/>
        <v/>
      </c>
      <c r="DS17" s="821">
        <f t="shared" si="55"/>
        <v>0</v>
      </c>
      <c r="DT17" s="821">
        <f t="shared" si="56"/>
        <v>0</v>
      </c>
      <c r="DU17" s="821" t="str">
        <f t="shared" si="57"/>
        <v/>
      </c>
      <c r="DV17" s="822" t="str">
        <f t="shared" si="58"/>
        <v/>
      </c>
      <c r="DW17" s="856" t="str">
        <f t="shared" si="59"/>
        <v/>
      </c>
      <c r="DX17" s="1006">
        <f t="shared" si="60"/>
        <v>0</v>
      </c>
      <c r="DY17" s="822">
        <f t="shared" si="61"/>
        <v>0</v>
      </c>
      <c r="DZ17" s="821">
        <f t="shared" si="62"/>
        <v>0</v>
      </c>
      <c r="EA17" s="821" t="str">
        <f t="shared" si="63"/>
        <v/>
      </c>
      <c r="EB17" s="822" t="str">
        <f t="shared" si="64"/>
        <v/>
      </c>
      <c r="EC17" s="856" t="str">
        <f t="shared" si="65"/>
        <v/>
      </c>
      <c r="ED17" s="1006">
        <f t="shared" si="66"/>
        <v>0</v>
      </c>
      <c r="EE17" s="1293" t="str">
        <f t="shared" si="67"/>
        <v/>
      </c>
      <c r="EF17" s="1293" t="str">
        <f t="shared" si="68"/>
        <v/>
      </c>
      <c r="EG17" s="1293" t="str">
        <f t="shared" si="69"/>
        <v/>
      </c>
      <c r="EH17" s="856" t="str">
        <f t="shared" si="70"/>
        <v>ERR</v>
      </c>
      <c r="EI17" s="856" t="str">
        <f t="shared" si="71"/>
        <v>ERR</v>
      </c>
      <c r="EJ17" s="822" t="str">
        <f t="shared" si="72"/>
        <v/>
      </c>
      <c r="EK17" s="822" t="str">
        <f t="shared" si="72"/>
        <v/>
      </c>
      <c r="EL17" s="1293" t="str">
        <f t="shared" si="73"/>
        <v/>
      </c>
      <c r="EM17" s="822" t="str">
        <f t="shared" si="74"/>
        <v/>
      </c>
      <c r="EN17" s="822" t="str">
        <f t="shared" si="75"/>
        <v/>
      </c>
      <c r="EO17" s="856" t="str">
        <f t="shared" si="76"/>
        <v>ERR</v>
      </c>
      <c r="EP17" s="856" t="str">
        <f t="shared" si="77"/>
        <v>ERR</v>
      </c>
      <c r="EQ17" s="1293" t="str">
        <f t="shared" si="78"/>
        <v/>
      </c>
      <c r="ER17" s="822" t="str">
        <f t="shared" si="78"/>
        <v/>
      </c>
      <c r="ES17" s="822" t="str">
        <f t="shared" si="79"/>
        <v/>
      </c>
      <c r="ET17" s="822" t="str">
        <f t="shared" si="80"/>
        <v/>
      </c>
      <c r="EU17" s="829">
        <f t="shared" si="81"/>
        <v>4</v>
      </c>
      <c r="EV17" s="824" t="str">
        <f t="shared" si="82"/>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83"/>
        <v/>
      </c>
      <c r="FA17" s="829" t="str">
        <f>IF(AND(DE17="G", ISBLANK(BW17), ISBLANK(BX17)),VLOOKUP(MIN(BT17:BU17),TblJoistSize!$M$3:$N$10,2),IF(OR(DE17="B", DE17="G"),MIN(BW17:BX17),""))</f>
        <v/>
      </c>
      <c r="FB17" s="829" t="str">
        <f>IF(AND(DE17="G", ISBLANK(BW17), ISBLANK(BX17)),VLOOKUP(MAX(BT17:BU17),TblJoistSize!$M$3:$N$10,2),IF(OR(DE17="B", DE17="G"),MAX(BW17:BX17),""))</f>
        <v/>
      </c>
      <c r="FC17" s="829" t="str">
        <f t="shared" si="84"/>
        <v/>
      </c>
      <c r="FD17" s="821">
        <f t="shared" ref="FD17:FD45" si="107">IF(DD17="",0,ATAN(DD17/12))</f>
        <v>0</v>
      </c>
      <c r="FE17" s="821">
        <f t="shared" si="85"/>
        <v>0</v>
      </c>
      <c r="FF17" s="821">
        <f t="shared" si="86"/>
        <v>0</v>
      </c>
      <c r="FG17" s="821" t="str">
        <f t="shared" si="87"/>
        <v/>
      </c>
      <c r="FH17" s="822" t="str">
        <f t="shared" si="88"/>
        <v/>
      </c>
      <c r="FI17" s="821">
        <f t="shared" ref="FI17:FI45" si="108">IF(DN17="",0,ATAN(DN17/12))</f>
        <v>0</v>
      </c>
      <c r="FJ17" s="821">
        <f t="shared" si="89"/>
        <v>0</v>
      </c>
      <c r="FK17" s="821">
        <f t="shared" si="90"/>
        <v>0</v>
      </c>
      <c r="FL17" s="821" t="str">
        <f t="shared" si="91"/>
        <v/>
      </c>
      <c r="FM17" s="822" t="str">
        <f t="shared" si="92"/>
        <v/>
      </c>
      <c r="FN17" s="822" t="e">
        <f t="shared" si="93"/>
        <v>#VALUE!</v>
      </c>
      <c r="FO17" s="940" t="e">
        <f t="shared" si="94"/>
        <v>#VALUE!</v>
      </c>
      <c r="FP17" s="940" t="e">
        <f t="shared" si="95"/>
        <v>#VALUE!</v>
      </c>
      <c r="FQ17" s="830" t="e">
        <f t="shared" si="96"/>
        <v>#VALUE!</v>
      </c>
      <c r="FR17" s="831" t="e">
        <f t="shared" si="97"/>
        <v>#VALUE!</v>
      </c>
      <c r="FS17" s="832" t="str">
        <f t="shared" si="98"/>
        <v/>
      </c>
      <c r="FT17" s="833" t="str">
        <f t="shared" si="99"/>
        <v/>
      </c>
      <c r="FU17" s="870">
        <f t="shared" si="100"/>
        <v>0</v>
      </c>
      <c r="FV17" s="871">
        <f t="shared" si="101"/>
        <v>0</v>
      </c>
      <c r="GA17" s="1791">
        <v>39</v>
      </c>
      <c r="GB17" s="1792">
        <v>3</v>
      </c>
      <c r="GC17" s="1793">
        <v>-0.25</v>
      </c>
      <c r="GD17" s="1794">
        <v>-0.5</v>
      </c>
      <c r="GE17" s="1795">
        <f t="shared" si="102"/>
        <v>0</v>
      </c>
      <c r="GF17" s="600" t="str">
        <f t="shared" si="103"/>
        <v>J68</v>
      </c>
      <c r="GG17" s="1130">
        <v>0</v>
      </c>
      <c r="GH17" s="1131">
        <v>0</v>
      </c>
      <c r="GI17" s="1130"/>
      <c r="GJ17" s="1131"/>
      <c r="GK17" s="1638">
        <f t="shared" si="104"/>
        <v>470.25</v>
      </c>
      <c r="GL17" s="1636">
        <f t="shared" si="105"/>
        <v>470.25</v>
      </c>
      <c r="GM17" s="1637">
        <f>IF(ABS(GK17-GL17)&gt;='Job Info.'!$L$22,ABS(GK17-GL17),0)</f>
        <v>0</v>
      </c>
      <c r="HA17" s="1269" t="s">
        <v>1498</v>
      </c>
      <c r="HB17" s="1270">
        <v>1</v>
      </c>
      <c r="HC17" s="1270" t="s">
        <v>1592</v>
      </c>
      <c r="HD17" s="1271">
        <v>39</v>
      </c>
      <c r="HE17" s="1272">
        <v>2.25</v>
      </c>
      <c r="HF17" s="1270" t="s">
        <v>116</v>
      </c>
      <c r="HG17" s="1270" t="s">
        <v>116</v>
      </c>
      <c r="HH17" s="1270" t="s">
        <v>116</v>
      </c>
      <c r="HI17" s="1273" t="s">
        <v>116</v>
      </c>
      <c r="HJ17" s="1270" t="s">
        <v>116</v>
      </c>
      <c r="HK17" s="1270" t="s">
        <v>116</v>
      </c>
      <c r="HL17" s="1270">
        <v>5</v>
      </c>
      <c r="HM17" s="1270">
        <v>5</v>
      </c>
      <c r="HN17" s="1270" t="s">
        <v>116</v>
      </c>
      <c r="HO17" s="1270" t="s">
        <v>116</v>
      </c>
      <c r="HP17" s="1270" t="s">
        <v>116</v>
      </c>
      <c r="HQ17" s="1273" t="s">
        <v>116</v>
      </c>
      <c r="HR17" s="1270" t="s">
        <v>116</v>
      </c>
      <c r="HS17" s="1270" t="s">
        <v>116</v>
      </c>
      <c r="HT17" s="1270">
        <v>0</v>
      </c>
      <c r="HU17" s="1270">
        <v>2.25</v>
      </c>
      <c r="HV17" s="1270">
        <v>0</v>
      </c>
      <c r="HW17" s="1272">
        <v>2</v>
      </c>
      <c r="HX17" s="1272">
        <v>4</v>
      </c>
      <c r="HY17" s="1272" t="s">
        <v>116</v>
      </c>
      <c r="HZ17" s="1272" t="s">
        <v>116</v>
      </c>
      <c r="IA17" s="1272" t="s">
        <v>1687</v>
      </c>
      <c r="IB17" s="1272"/>
      <c r="IC17" s="1272"/>
      <c r="ID17" s="1272"/>
      <c r="IE17" s="1272"/>
      <c r="IF17" s="1274"/>
    </row>
    <row r="18" spans="1:240" ht="12.6" customHeight="1" x14ac:dyDescent="0.25">
      <c r="A18" s="1448" t="s">
        <v>1499</v>
      </c>
      <c r="B18" s="1681">
        <v>1</v>
      </c>
      <c r="C18" s="1449" t="s">
        <v>1592</v>
      </c>
      <c r="D18" s="1705">
        <v>40</v>
      </c>
      <c r="E18" s="1706">
        <v>0</v>
      </c>
      <c r="F18" s="1714" t="str">
        <f t="shared" si="1"/>
        <v/>
      </c>
      <c r="G18" s="1709" t="str">
        <f t="shared" si="2"/>
        <v/>
      </c>
      <c r="H18" s="1779" t="str">
        <f t="shared" si="3"/>
        <v/>
      </c>
      <c r="I18" s="1705" t="str">
        <f t="shared" si="4"/>
        <v/>
      </c>
      <c r="J18" s="1709" t="str">
        <f t="shared" si="5"/>
        <v/>
      </c>
      <c r="K18" s="1796" t="str">
        <f t="shared" si="6"/>
        <v/>
      </c>
      <c r="L18" s="1712">
        <v>5</v>
      </c>
      <c r="M18" s="1713">
        <v>5</v>
      </c>
      <c r="N18" s="1708" t="str">
        <f t="shared" si="7"/>
        <v/>
      </c>
      <c r="O18" s="1709" t="str">
        <f t="shared" si="8"/>
        <v/>
      </c>
      <c r="P18" s="1710" t="str">
        <f t="shared" si="9"/>
        <v/>
      </c>
      <c r="Q18" s="1705" t="str">
        <f t="shared" si="10"/>
        <v/>
      </c>
      <c r="R18" s="1709" t="str">
        <f t="shared" si="11"/>
        <v/>
      </c>
      <c r="S18" s="1711" t="str">
        <f t="shared" si="12"/>
        <v/>
      </c>
      <c r="T18" s="1714">
        <v>0</v>
      </c>
      <c r="U18" s="1709">
        <v>2.25</v>
      </c>
      <c r="V18" s="1705">
        <v>0</v>
      </c>
      <c r="W18" s="1709">
        <v>2</v>
      </c>
      <c r="X18" s="1713">
        <v>4</v>
      </c>
      <c r="Y18" s="1781" t="str">
        <f t="shared" si="13"/>
        <v/>
      </c>
      <c r="Z18" s="1782" t="str">
        <f t="shared" si="14"/>
        <v/>
      </c>
      <c r="AA18" s="1783" t="s">
        <v>1770</v>
      </c>
      <c r="AB18" s="1413"/>
      <c r="AC18" s="964" t="b">
        <v>0</v>
      </c>
      <c r="AD18" s="441">
        <f t="shared" si="15"/>
        <v>0</v>
      </c>
      <c r="AE18" s="442">
        <f t="shared" si="16"/>
        <v>1</v>
      </c>
      <c r="AF18" s="442">
        <f t="shared" si="17"/>
        <v>0</v>
      </c>
      <c r="AG18" s="442">
        <f t="shared" si="18"/>
        <v>0</v>
      </c>
      <c r="AH18" s="443">
        <f t="shared" si="19"/>
        <v>0</v>
      </c>
      <c r="AI18" s="444" t="b">
        <v>0</v>
      </c>
      <c r="AJ18" s="238">
        <f t="shared" si="20"/>
        <v>32</v>
      </c>
      <c r="AK18" s="830" t="str">
        <f t="shared" si="21"/>
        <v>LH</v>
      </c>
      <c r="AL18" s="945" t="str">
        <f t="shared" si="22"/>
        <v/>
      </c>
      <c r="AM18" s="830">
        <f t="shared" si="23"/>
        <v>305</v>
      </c>
      <c r="AN18" s="830">
        <f t="shared" si="24"/>
        <v>180</v>
      </c>
      <c r="AO18" s="830" t="str">
        <f t="shared" si="25"/>
        <v/>
      </c>
      <c r="AP18" s="830" t="b">
        <f>IF(ISERROR(AJ18),FALSE,IF(OR(AJ18=0,ISERROR(AL18),ISERROR(AM18),ISERROR(AN18),ISERROR(AO18)),FALSE,IF(AL18&lt;&gt;"",IF(ISERROR(VLOOKUP(SUBSTITUTE(SUBSTITUTE(C18,"R",""),"A",""),TblJoistSize!$A:$A,1,FALSE)),FALSE,TRUE),TRUE)))</f>
        <v>1</v>
      </c>
      <c r="AQ18" s="1038">
        <f t="shared" si="26"/>
        <v>6</v>
      </c>
      <c r="AR18" s="945" t="b">
        <f t="shared" si="27"/>
        <v>1</v>
      </c>
      <c r="AS18" s="1038">
        <f t="shared" si="28"/>
        <v>6</v>
      </c>
      <c r="AT18" s="945" t="b">
        <f t="shared" si="29"/>
        <v>1</v>
      </c>
      <c r="AU18" s="946" t="str">
        <f t="shared" si="30"/>
        <v>LH</v>
      </c>
      <c r="AV18" s="830" t="str">
        <f t="shared" si="31"/>
        <v/>
      </c>
      <c r="AW18" s="830" t="str">
        <f t="shared" si="32"/>
        <v>LH</v>
      </c>
      <c r="AX18" s="830" t="str">
        <f t="shared" si="106"/>
        <v>J69</v>
      </c>
      <c r="AY18" s="1039" t="b">
        <f t="shared" si="33"/>
        <v>0</v>
      </c>
      <c r="AZ18" s="856" t="b">
        <f t="shared" si="34"/>
        <v>0</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35"/>
        <v/>
      </c>
      <c r="BR18" s="910"/>
      <c r="BS18" s="672"/>
      <c r="BT18" s="713"/>
      <c r="BU18" s="714"/>
      <c r="BV18" s="1625"/>
      <c r="BW18" s="713"/>
      <c r="BX18" s="714"/>
      <c r="BY18" s="715"/>
      <c r="BZ18" s="716"/>
      <c r="CA18" s="680" t="str">
        <f>IF(ISERROR(DE18),"",IF(DE18="","",IF(VLOOKUP(BS18,SectInfo!$B:$N,10,FALSE)="","","X")))</f>
        <v/>
      </c>
      <c r="CB18" s="738"/>
      <c r="CC18" s="1551" t="str">
        <f t="shared" si="36"/>
        <v/>
      </c>
      <c r="CD18" s="910"/>
      <c r="CE18" s="717"/>
      <c r="CF18" s="736"/>
      <c r="CG18" s="737"/>
      <c r="CH18" s="591" t="str">
        <f t="shared" si="37"/>
        <v/>
      </c>
      <c r="CI18" s="592" t="str">
        <f t="shared" si="38"/>
        <v/>
      </c>
      <c r="CJ18" s="593" t="str">
        <f t="shared" si="39"/>
        <v/>
      </c>
      <c r="CK18" s="594" t="str">
        <f t="shared" si="40"/>
        <v/>
      </c>
      <c r="CL18" s="595" t="str">
        <f t="shared" si="41"/>
        <v/>
      </c>
      <c r="CM18" s="596" t="str">
        <f t="shared" si="42"/>
        <v/>
      </c>
      <c r="CN18" s="597" t="str">
        <f t="shared" si="43"/>
        <v/>
      </c>
      <c r="CO18" s="598" t="str">
        <f t="shared" si="44"/>
        <v/>
      </c>
      <c r="CP18" s="615" t="str">
        <f t="shared" si="45"/>
        <v/>
      </c>
      <c r="CQ18" s="616" t="str">
        <f t="shared" si="46"/>
        <v/>
      </c>
      <c r="CR18" s="750">
        <f t="shared" si="47"/>
        <v>5</v>
      </c>
      <c r="CS18" s="751">
        <f t="shared" si="48"/>
        <v>5</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49"/>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50"/>
        <v>0</v>
      </c>
      <c r="DO18" s="818">
        <f t="shared" si="51"/>
        <v>0</v>
      </c>
      <c r="DP18" s="822" t="str">
        <f t="shared" si="52"/>
        <v/>
      </c>
      <c r="DQ18" s="822" t="str">
        <f t="shared" si="53"/>
        <v/>
      </c>
      <c r="DR18" s="822" t="str">
        <f t="shared" si="54"/>
        <v/>
      </c>
      <c r="DS18" s="821">
        <f t="shared" si="55"/>
        <v>0</v>
      </c>
      <c r="DT18" s="821">
        <f t="shared" si="56"/>
        <v>0</v>
      </c>
      <c r="DU18" s="821" t="str">
        <f t="shared" si="57"/>
        <v/>
      </c>
      <c r="DV18" s="822" t="str">
        <f t="shared" si="58"/>
        <v/>
      </c>
      <c r="DW18" s="856" t="str">
        <f t="shared" si="59"/>
        <v/>
      </c>
      <c r="DX18" s="1006">
        <f t="shared" si="60"/>
        <v>0</v>
      </c>
      <c r="DY18" s="822">
        <f t="shared" si="61"/>
        <v>0</v>
      </c>
      <c r="DZ18" s="821">
        <f t="shared" si="62"/>
        <v>0</v>
      </c>
      <c r="EA18" s="821" t="str">
        <f t="shared" si="63"/>
        <v/>
      </c>
      <c r="EB18" s="822" t="str">
        <f t="shared" si="64"/>
        <v/>
      </c>
      <c r="EC18" s="856" t="str">
        <f t="shared" si="65"/>
        <v/>
      </c>
      <c r="ED18" s="1006">
        <f t="shared" si="66"/>
        <v>0</v>
      </c>
      <c r="EE18" s="1293" t="str">
        <f t="shared" si="67"/>
        <v/>
      </c>
      <c r="EF18" s="1293" t="str">
        <f t="shared" si="68"/>
        <v/>
      </c>
      <c r="EG18" s="1293" t="str">
        <f t="shared" si="69"/>
        <v/>
      </c>
      <c r="EH18" s="856" t="str">
        <f t="shared" si="70"/>
        <v>ERR</v>
      </c>
      <c r="EI18" s="856" t="str">
        <f t="shared" si="71"/>
        <v>ERR</v>
      </c>
      <c r="EJ18" s="822" t="str">
        <f t="shared" si="72"/>
        <v/>
      </c>
      <c r="EK18" s="822" t="str">
        <f t="shared" si="72"/>
        <v/>
      </c>
      <c r="EL18" s="1293" t="str">
        <f t="shared" si="73"/>
        <v/>
      </c>
      <c r="EM18" s="822" t="str">
        <f t="shared" si="74"/>
        <v/>
      </c>
      <c r="EN18" s="822" t="str">
        <f t="shared" si="75"/>
        <v/>
      </c>
      <c r="EO18" s="856" t="str">
        <f t="shared" si="76"/>
        <v>ERR</v>
      </c>
      <c r="EP18" s="856" t="str">
        <f t="shared" si="77"/>
        <v>ERR</v>
      </c>
      <c r="EQ18" s="1293" t="str">
        <f t="shared" si="78"/>
        <v/>
      </c>
      <c r="ER18" s="822" t="str">
        <f t="shared" si="78"/>
        <v/>
      </c>
      <c r="ES18" s="822" t="str">
        <f t="shared" si="79"/>
        <v/>
      </c>
      <c r="ET18" s="822" t="str">
        <f t="shared" si="80"/>
        <v/>
      </c>
      <c r="EU18" s="829">
        <f t="shared" si="81"/>
        <v>4</v>
      </c>
      <c r="EV18" s="824" t="str">
        <f t="shared" si="82"/>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83"/>
        <v/>
      </c>
      <c r="FA18" s="829" t="str">
        <f>IF(AND(DE18="G", ISBLANK(BW18), ISBLANK(BX18)),VLOOKUP(MIN(BT18:BU18),TblJoistSize!$M$3:$N$10,2),IF(OR(DE18="B", DE18="G"),MIN(BW18:BX18),""))</f>
        <v/>
      </c>
      <c r="FB18" s="829" t="str">
        <f>IF(AND(DE18="G", ISBLANK(BW18), ISBLANK(BX18)),VLOOKUP(MAX(BT18:BU18),TblJoistSize!$M$3:$N$10,2),IF(OR(DE18="B", DE18="G"),MAX(BW18:BX18),""))</f>
        <v/>
      </c>
      <c r="FC18" s="829" t="str">
        <f t="shared" si="84"/>
        <v/>
      </c>
      <c r="FD18" s="821">
        <f t="shared" si="107"/>
        <v>0</v>
      </c>
      <c r="FE18" s="821">
        <f t="shared" si="85"/>
        <v>0</v>
      </c>
      <c r="FF18" s="821">
        <f t="shared" si="86"/>
        <v>0</v>
      </c>
      <c r="FG18" s="821" t="str">
        <f t="shared" si="87"/>
        <v/>
      </c>
      <c r="FH18" s="822" t="str">
        <f t="shared" si="88"/>
        <v/>
      </c>
      <c r="FI18" s="821">
        <f t="shared" si="108"/>
        <v>0</v>
      </c>
      <c r="FJ18" s="821">
        <f t="shared" si="89"/>
        <v>0</v>
      </c>
      <c r="FK18" s="821">
        <f t="shared" si="90"/>
        <v>0</v>
      </c>
      <c r="FL18" s="821" t="str">
        <f t="shared" si="91"/>
        <v/>
      </c>
      <c r="FM18" s="822" t="str">
        <f t="shared" si="92"/>
        <v/>
      </c>
      <c r="FN18" s="822" t="e">
        <f t="shared" si="93"/>
        <v>#VALUE!</v>
      </c>
      <c r="FO18" s="940" t="e">
        <f t="shared" si="94"/>
        <v>#VALUE!</v>
      </c>
      <c r="FP18" s="940" t="e">
        <f t="shared" si="95"/>
        <v>#VALUE!</v>
      </c>
      <c r="FQ18" s="830" t="e">
        <f t="shared" si="96"/>
        <v>#VALUE!</v>
      </c>
      <c r="FR18" s="831" t="e">
        <f t="shared" si="97"/>
        <v>#VALUE!</v>
      </c>
      <c r="FS18" s="832" t="str">
        <f t="shared" si="98"/>
        <v/>
      </c>
      <c r="FT18" s="833" t="str">
        <f t="shared" si="99"/>
        <v/>
      </c>
      <c r="FU18" s="870">
        <f t="shared" si="100"/>
        <v>0</v>
      </c>
      <c r="FV18" s="871">
        <f t="shared" si="101"/>
        <v>0</v>
      </c>
      <c r="GA18" s="1791">
        <v>40</v>
      </c>
      <c r="GB18" s="1792">
        <v>0.75</v>
      </c>
      <c r="GC18" s="1793">
        <v>-0.25</v>
      </c>
      <c r="GD18" s="1794">
        <v>-0.5</v>
      </c>
      <c r="GE18" s="1795">
        <f t="shared" si="102"/>
        <v>0</v>
      </c>
      <c r="GF18" s="600" t="str">
        <f t="shared" si="103"/>
        <v>J69</v>
      </c>
      <c r="GG18" s="1130">
        <v>0</v>
      </c>
      <c r="GH18" s="1131">
        <v>0</v>
      </c>
      <c r="GI18" s="1130"/>
      <c r="GJ18" s="1131"/>
      <c r="GK18" s="1638">
        <f t="shared" si="104"/>
        <v>480</v>
      </c>
      <c r="GL18" s="1636">
        <f t="shared" si="105"/>
        <v>480</v>
      </c>
      <c r="GM18" s="1637">
        <f>IF(ABS(GK18-GL18)&gt;='Job Info.'!$L$22,ABS(GK18-GL18),0)</f>
        <v>0</v>
      </c>
      <c r="HA18" s="1269" t="s">
        <v>1499</v>
      </c>
      <c r="HB18" s="1270">
        <v>1</v>
      </c>
      <c r="HC18" s="1270" t="s">
        <v>1592</v>
      </c>
      <c r="HD18" s="1271">
        <v>40</v>
      </c>
      <c r="HE18" s="1272">
        <v>0</v>
      </c>
      <c r="HF18" s="1270" t="s">
        <v>116</v>
      </c>
      <c r="HG18" s="1270" t="s">
        <v>116</v>
      </c>
      <c r="HH18" s="1270" t="s">
        <v>116</v>
      </c>
      <c r="HI18" s="1273" t="s">
        <v>116</v>
      </c>
      <c r="HJ18" s="1270" t="s">
        <v>116</v>
      </c>
      <c r="HK18" s="1270" t="s">
        <v>116</v>
      </c>
      <c r="HL18" s="1270">
        <v>5</v>
      </c>
      <c r="HM18" s="1270">
        <v>5</v>
      </c>
      <c r="HN18" s="1270" t="s">
        <v>116</v>
      </c>
      <c r="HO18" s="1270" t="s">
        <v>116</v>
      </c>
      <c r="HP18" s="1270" t="s">
        <v>116</v>
      </c>
      <c r="HQ18" s="1273" t="s">
        <v>116</v>
      </c>
      <c r="HR18" s="1270" t="s">
        <v>116</v>
      </c>
      <c r="HS18" s="1270" t="s">
        <v>116</v>
      </c>
      <c r="HT18" s="1270">
        <v>0</v>
      </c>
      <c r="HU18" s="1270">
        <v>2.25</v>
      </c>
      <c r="HV18" s="1270">
        <v>0</v>
      </c>
      <c r="HW18" s="1272">
        <v>2</v>
      </c>
      <c r="HX18" s="1272">
        <v>4</v>
      </c>
      <c r="HY18" s="1272" t="s">
        <v>116</v>
      </c>
      <c r="HZ18" s="1272" t="s">
        <v>116</v>
      </c>
      <c r="IA18" s="1272" t="s">
        <v>1688</v>
      </c>
      <c r="IB18" s="1272"/>
      <c r="IC18" s="1272"/>
      <c r="ID18" s="1272"/>
      <c r="IE18" s="1272"/>
      <c r="IF18" s="1274"/>
    </row>
    <row r="19" spans="1:240" ht="12.6" customHeight="1" x14ac:dyDescent="0.25">
      <c r="A19" s="1448" t="s">
        <v>1500</v>
      </c>
      <c r="B19" s="1681">
        <v>2</v>
      </c>
      <c r="C19" s="1449" t="s">
        <v>1592</v>
      </c>
      <c r="D19" s="1705">
        <v>49</v>
      </c>
      <c r="E19" s="1706">
        <v>11.5</v>
      </c>
      <c r="F19" s="1714" t="str">
        <f t="shared" si="1"/>
        <v/>
      </c>
      <c r="G19" s="1709" t="str">
        <f t="shared" si="2"/>
        <v/>
      </c>
      <c r="H19" s="1779" t="str">
        <f t="shared" si="3"/>
        <v/>
      </c>
      <c r="I19" s="1705" t="str">
        <f t="shared" si="4"/>
        <v/>
      </c>
      <c r="J19" s="1709" t="str">
        <f t="shared" si="5"/>
        <v/>
      </c>
      <c r="K19" s="1796" t="str">
        <f t="shared" si="6"/>
        <v/>
      </c>
      <c r="L19" s="1712">
        <v>5</v>
      </c>
      <c r="M19" s="1713">
        <v>5</v>
      </c>
      <c r="N19" s="1708" t="str">
        <f t="shared" si="7"/>
        <v/>
      </c>
      <c r="O19" s="1709" t="str">
        <f t="shared" si="8"/>
        <v/>
      </c>
      <c r="P19" s="1710" t="str">
        <f t="shared" si="9"/>
        <v/>
      </c>
      <c r="Q19" s="1705" t="str">
        <f t="shared" si="10"/>
        <v/>
      </c>
      <c r="R19" s="1709" t="str">
        <f t="shared" si="11"/>
        <v/>
      </c>
      <c r="S19" s="1711" t="str">
        <f t="shared" si="12"/>
        <v/>
      </c>
      <c r="T19" s="1714">
        <v>0</v>
      </c>
      <c r="U19" s="1709">
        <v>2.25</v>
      </c>
      <c r="V19" s="1705">
        <v>0</v>
      </c>
      <c r="W19" s="1709">
        <v>2.25</v>
      </c>
      <c r="X19" s="1713">
        <v>4</v>
      </c>
      <c r="Y19" s="1781" t="str">
        <f t="shared" si="13"/>
        <v/>
      </c>
      <c r="Z19" s="1782" t="str">
        <f t="shared" si="14"/>
        <v/>
      </c>
      <c r="AA19" s="1783" t="s">
        <v>1771</v>
      </c>
      <c r="AB19" s="1413"/>
      <c r="AC19" s="964" t="b">
        <v>0</v>
      </c>
      <c r="AD19" s="441">
        <f t="shared" si="15"/>
        <v>0</v>
      </c>
      <c r="AE19" s="442">
        <f t="shared" si="16"/>
        <v>2</v>
      </c>
      <c r="AF19" s="442">
        <f t="shared" si="17"/>
        <v>0</v>
      </c>
      <c r="AG19" s="442">
        <f t="shared" si="18"/>
        <v>0</v>
      </c>
      <c r="AH19" s="443">
        <f t="shared" si="19"/>
        <v>0</v>
      </c>
      <c r="AI19" s="444" t="b">
        <v>0</v>
      </c>
      <c r="AJ19" s="238">
        <f t="shared" si="20"/>
        <v>32</v>
      </c>
      <c r="AK19" s="830" t="str">
        <f t="shared" si="21"/>
        <v>LH</v>
      </c>
      <c r="AL19" s="945" t="str">
        <f t="shared" si="22"/>
        <v/>
      </c>
      <c r="AM19" s="830">
        <f t="shared" si="23"/>
        <v>305</v>
      </c>
      <c r="AN19" s="830">
        <f t="shared" si="24"/>
        <v>180</v>
      </c>
      <c r="AO19" s="830" t="str">
        <f t="shared" si="25"/>
        <v/>
      </c>
      <c r="AP19" s="830" t="b">
        <f>IF(ISERROR(AJ19),FALSE,IF(OR(AJ19=0,ISERROR(AL19),ISERROR(AM19),ISERROR(AN19),ISERROR(AO19)),FALSE,IF(AL19&lt;&gt;"",IF(ISERROR(VLOOKUP(SUBSTITUTE(SUBSTITUTE(C19,"R",""),"A",""),TblJoistSize!$A:$A,1,FALSE)),FALSE,TRUE),TRUE)))</f>
        <v>1</v>
      </c>
      <c r="AQ19" s="1038">
        <f t="shared" si="26"/>
        <v>6</v>
      </c>
      <c r="AR19" s="945" t="b">
        <f t="shared" si="27"/>
        <v>1</v>
      </c>
      <c r="AS19" s="1038">
        <f t="shared" si="28"/>
        <v>6</v>
      </c>
      <c r="AT19" s="945" t="b">
        <f t="shared" si="29"/>
        <v>1</v>
      </c>
      <c r="AU19" s="946" t="str">
        <f t="shared" si="30"/>
        <v>LH</v>
      </c>
      <c r="AV19" s="830" t="str">
        <f t="shared" si="31"/>
        <v/>
      </c>
      <c r="AW19" s="830" t="str">
        <f t="shared" si="32"/>
        <v>LH</v>
      </c>
      <c r="AX19" s="830" t="str">
        <f t="shared" si="106"/>
        <v>J70</v>
      </c>
      <c r="AY19" s="1039" t="b">
        <f t="shared" si="33"/>
        <v>0</v>
      </c>
      <c r="AZ19" s="856" t="b">
        <f t="shared" si="34"/>
        <v>0</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35"/>
        <v/>
      </c>
      <c r="BR19" s="910"/>
      <c r="BS19" s="672"/>
      <c r="BT19" s="713"/>
      <c r="BU19" s="714"/>
      <c r="BV19" s="1625"/>
      <c r="BW19" s="713"/>
      <c r="BX19" s="714"/>
      <c r="BY19" s="715"/>
      <c r="BZ19" s="716"/>
      <c r="CA19" s="680" t="str">
        <f>IF(ISERROR(DE19),"",IF(DE19="","",IF(VLOOKUP(BS19,SectInfo!$B:$N,10,FALSE)="","","X")))</f>
        <v/>
      </c>
      <c r="CB19" s="738"/>
      <c r="CC19" s="1551" t="str">
        <f t="shared" si="36"/>
        <v/>
      </c>
      <c r="CD19" s="910"/>
      <c r="CE19" s="717"/>
      <c r="CF19" s="736"/>
      <c r="CG19" s="737"/>
      <c r="CH19" s="591" t="str">
        <f t="shared" si="37"/>
        <v/>
      </c>
      <c r="CI19" s="592" t="str">
        <f t="shared" si="38"/>
        <v/>
      </c>
      <c r="CJ19" s="593" t="str">
        <f t="shared" si="39"/>
        <v/>
      </c>
      <c r="CK19" s="594" t="str">
        <f t="shared" si="40"/>
        <v/>
      </c>
      <c r="CL19" s="595" t="str">
        <f t="shared" si="41"/>
        <v/>
      </c>
      <c r="CM19" s="596" t="str">
        <f t="shared" si="42"/>
        <v/>
      </c>
      <c r="CN19" s="597" t="str">
        <f t="shared" si="43"/>
        <v/>
      </c>
      <c r="CO19" s="598" t="str">
        <f t="shared" si="44"/>
        <v/>
      </c>
      <c r="CP19" s="615" t="str">
        <f t="shared" si="45"/>
        <v/>
      </c>
      <c r="CQ19" s="616" t="str">
        <f t="shared" si="46"/>
        <v/>
      </c>
      <c r="CR19" s="750">
        <f t="shared" si="47"/>
        <v>5</v>
      </c>
      <c r="CS19" s="751">
        <f t="shared" si="48"/>
        <v>5</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49"/>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50"/>
        <v>0</v>
      </c>
      <c r="DO19" s="818">
        <f t="shared" si="51"/>
        <v>0</v>
      </c>
      <c r="DP19" s="822" t="str">
        <f t="shared" si="52"/>
        <v/>
      </c>
      <c r="DQ19" s="822" t="str">
        <f t="shared" si="53"/>
        <v/>
      </c>
      <c r="DR19" s="822" t="str">
        <f t="shared" si="54"/>
        <v/>
      </c>
      <c r="DS19" s="821">
        <f t="shared" si="55"/>
        <v>0</v>
      </c>
      <c r="DT19" s="821">
        <f t="shared" si="56"/>
        <v>0</v>
      </c>
      <c r="DU19" s="821" t="str">
        <f t="shared" si="57"/>
        <v/>
      </c>
      <c r="DV19" s="822" t="str">
        <f t="shared" si="58"/>
        <v/>
      </c>
      <c r="DW19" s="856" t="str">
        <f t="shared" si="59"/>
        <v/>
      </c>
      <c r="DX19" s="1006">
        <f t="shared" si="60"/>
        <v>0</v>
      </c>
      <c r="DY19" s="822">
        <f t="shared" si="61"/>
        <v>0</v>
      </c>
      <c r="DZ19" s="821">
        <f t="shared" si="62"/>
        <v>0</v>
      </c>
      <c r="EA19" s="821" t="str">
        <f t="shared" si="63"/>
        <v/>
      </c>
      <c r="EB19" s="822" t="str">
        <f t="shared" si="64"/>
        <v/>
      </c>
      <c r="EC19" s="856" t="str">
        <f t="shared" si="65"/>
        <v/>
      </c>
      <c r="ED19" s="1006">
        <f t="shared" si="66"/>
        <v>0</v>
      </c>
      <c r="EE19" s="1293" t="str">
        <f t="shared" si="67"/>
        <v/>
      </c>
      <c r="EF19" s="1293" t="str">
        <f t="shared" si="68"/>
        <v/>
      </c>
      <c r="EG19" s="1293" t="str">
        <f t="shared" si="69"/>
        <v/>
      </c>
      <c r="EH19" s="856" t="str">
        <f t="shared" si="70"/>
        <v>ERR</v>
      </c>
      <c r="EI19" s="856" t="str">
        <f t="shared" si="71"/>
        <v>ERR</v>
      </c>
      <c r="EJ19" s="822" t="str">
        <f t="shared" si="72"/>
        <v/>
      </c>
      <c r="EK19" s="822" t="str">
        <f t="shared" si="72"/>
        <v/>
      </c>
      <c r="EL19" s="1293" t="str">
        <f t="shared" si="73"/>
        <v/>
      </c>
      <c r="EM19" s="822" t="str">
        <f t="shared" si="74"/>
        <v/>
      </c>
      <c r="EN19" s="822" t="str">
        <f t="shared" si="75"/>
        <v/>
      </c>
      <c r="EO19" s="856" t="str">
        <f t="shared" si="76"/>
        <v>ERR</v>
      </c>
      <c r="EP19" s="856" t="str">
        <f t="shared" si="77"/>
        <v>ERR</v>
      </c>
      <c r="EQ19" s="1293" t="str">
        <f t="shared" si="78"/>
        <v/>
      </c>
      <c r="ER19" s="822" t="str">
        <f t="shared" si="78"/>
        <v/>
      </c>
      <c r="ES19" s="822" t="str">
        <f t="shared" si="79"/>
        <v/>
      </c>
      <c r="ET19" s="822" t="str">
        <f t="shared" si="80"/>
        <v/>
      </c>
      <c r="EU19" s="829">
        <f t="shared" si="81"/>
        <v>4</v>
      </c>
      <c r="EV19" s="824" t="str">
        <f t="shared" si="82"/>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83"/>
        <v/>
      </c>
      <c r="FA19" s="829" t="str">
        <f>IF(AND(DE19="G", ISBLANK(BW19), ISBLANK(BX19)),VLOOKUP(MIN(BT19:BU19),TblJoistSize!$M$3:$N$10,2),IF(OR(DE19="B", DE19="G"),MIN(BW19:BX19),""))</f>
        <v/>
      </c>
      <c r="FB19" s="829" t="str">
        <f>IF(AND(DE19="G", ISBLANK(BW19), ISBLANK(BX19)),VLOOKUP(MAX(BT19:BU19),TblJoistSize!$M$3:$N$10,2),IF(OR(DE19="B", DE19="G"),MAX(BW19:BX19),""))</f>
        <v/>
      </c>
      <c r="FC19" s="829" t="str">
        <f t="shared" si="84"/>
        <v/>
      </c>
      <c r="FD19" s="821">
        <f t="shared" si="107"/>
        <v>0</v>
      </c>
      <c r="FE19" s="821">
        <f t="shared" si="85"/>
        <v>0</v>
      </c>
      <c r="FF19" s="821">
        <f t="shared" si="86"/>
        <v>0</v>
      </c>
      <c r="FG19" s="821" t="str">
        <f t="shared" si="87"/>
        <v/>
      </c>
      <c r="FH19" s="822" t="str">
        <f t="shared" si="88"/>
        <v/>
      </c>
      <c r="FI19" s="821">
        <f t="shared" si="108"/>
        <v>0</v>
      </c>
      <c r="FJ19" s="821">
        <f t="shared" si="89"/>
        <v>0</v>
      </c>
      <c r="FK19" s="821">
        <f t="shared" si="90"/>
        <v>0</v>
      </c>
      <c r="FL19" s="821" t="str">
        <f t="shared" si="91"/>
        <v/>
      </c>
      <c r="FM19" s="822" t="str">
        <f t="shared" si="92"/>
        <v/>
      </c>
      <c r="FN19" s="822" t="e">
        <f t="shared" si="93"/>
        <v>#VALUE!</v>
      </c>
      <c r="FO19" s="940" t="e">
        <f t="shared" si="94"/>
        <v>#VALUE!</v>
      </c>
      <c r="FP19" s="940" t="e">
        <f t="shared" si="95"/>
        <v>#VALUE!</v>
      </c>
      <c r="FQ19" s="830" t="e">
        <f t="shared" si="96"/>
        <v>#VALUE!</v>
      </c>
      <c r="FR19" s="831" t="e">
        <f t="shared" si="97"/>
        <v>#VALUE!</v>
      </c>
      <c r="FS19" s="832" t="str">
        <f t="shared" si="98"/>
        <v/>
      </c>
      <c r="FT19" s="833" t="str">
        <f t="shared" si="99"/>
        <v/>
      </c>
      <c r="FU19" s="870">
        <f t="shared" si="100"/>
        <v>0</v>
      </c>
      <c r="FV19" s="871">
        <f t="shared" si="101"/>
        <v>0</v>
      </c>
      <c r="GA19" s="1791">
        <v>50</v>
      </c>
      <c r="GB19" s="1792">
        <v>0</v>
      </c>
      <c r="GC19" s="1793">
        <v>-0.25</v>
      </c>
      <c r="GD19" s="1794">
        <v>-0.25</v>
      </c>
      <c r="GE19" s="1795">
        <f t="shared" si="102"/>
        <v>0</v>
      </c>
      <c r="GF19" s="600" t="str">
        <f t="shared" si="103"/>
        <v>J70</v>
      </c>
      <c r="GG19" s="1130">
        <v>0</v>
      </c>
      <c r="GH19" s="1131">
        <v>0</v>
      </c>
      <c r="GI19" s="1130"/>
      <c r="GJ19" s="1131"/>
      <c r="GK19" s="1638">
        <f t="shared" si="104"/>
        <v>599.5</v>
      </c>
      <c r="GL19" s="1636">
        <f t="shared" si="105"/>
        <v>599.5</v>
      </c>
      <c r="GM19" s="1637">
        <f>IF(ABS(GK19-GL19)&gt;='Job Info.'!$L$22,ABS(GK19-GL19),0)</f>
        <v>0</v>
      </c>
      <c r="HA19" s="1269" t="s">
        <v>1500</v>
      </c>
      <c r="HB19" s="1270">
        <v>2</v>
      </c>
      <c r="HC19" s="1270" t="s">
        <v>1592</v>
      </c>
      <c r="HD19" s="1271">
        <v>49</v>
      </c>
      <c r="HE19" s="1272">
        <v>11.5</v>
      </c>
      <c r="HF19" s="1270" t="s">
        <v>116</v>
      </c>
      <c r="HG19" s="1270" t="s">
        <v>116</v>
      </c>
      <c r="HH19" s="1270" t="s">
        <v>116</v>
      </c>
      <c r="HI19" s="1273" t="s">
        <v>116</v>
      </c>
      <c r="HJ19" s="1270" t="s">
        <v>116</v>
      </c>
      <c r="HK19" s="1270" t="s">
        <v>116</v>
      </c>
      <c r="HL19" s="1270">
        <v>5</v>
      </c>
      <c r="HM19" s="1270">
        <v>5</v>
      </c>
      <c r="HN19" s="1270" t="s">
        <v>116</v>
      </c>
      <c r="HO19" s="1270" t="s">
        <v>116</v>
      </c>
      <c r="HP19" s="1270" t="s">
        <v>116</v>
      </c>
      <c r="HQ19" s="1273" t="s">
        <v>116</v>
      </c>
      <c r="HR19" s="1270" t="s">
        <v>116</v>
      </c>
      <c r="HS19" s="1270" t="s">
        <v>116</v>
      </c>
      <c r="HT19" s="1270">
        <v>0</v>
      </c>
      <c r="HU19" s="1270">
        <v>2.25</v>
      </c>
      <c r="HV19" s="1270">
        <v>0</v>
      </c>
      <c r="HW19" s="1272">
        <v>2.25</v>
      </c>
      <c r="HX19" s="1272">
        <v>4</v>
      </c>
      <c r="HY19" s="1272" t="s">
        <v>116</v>
      </c>
      <c r="HZ19" s="1272" t="s">
        <v>116</v>
      </c>
      <c r="IA19" s="1272" t="s">
        <v>1689</v>
      </c>
      <c r="IB19" s="1272"/>
      <c r="IC19" s="1272"/>
      <c r="ID19" s="1272"/>
      <c r="IE19" s="1272"/>
      <c r="IF19" s="1274"/>
    </row>
    <row r="20" spans="1:240" ht="12.6" customHeight="1" x14ac:dyDescent="0.25">
      <c r="A20" s="1448" t="s">
        <v>1501</v>
      </c>
      <c r="B20" s="1681">
        <v>1</v>
      </c>
      <c r="C20" s="1449" t="s">
        <v>1592</v>
      </c>
      <c r="D20" s="1705">
        <v>49</v>
      </c>
      <c r="E20" s="1706">
        <v>11.5</v>
      </c>
      <c r="F20" s="1714" t="str">
        <f t="shared" si="1"/>
        <v/>
      </c>
      <c r="G20" s="1709" t="str">
        <f t="shared" si="2"/>
        <v/>
      </c>
      <c r="H20" s="1779" t="str">
        <f t="shared" si="3"/>
        <v/>
      </c>
      <c r="I20" s="1705" t="str">
        <f t="shared" si="4"/>
        <v/>
      </c>
      <c r="J20" s="1709" t="str">
        <f t="shared" si="5"/>
        <v/>
      </c>
      <c r="K20" s="1796" t="str">
        <f t="shared" si="6"/>
        <v/>
      </c>
      <c r="L20" s="1712">
        <v>5</v>
      </c>
      <c r="M20" s="1713">
        <v>5</v>
      </c>
      <c r="N20" s="1708" t="str">
        <f t="shared" si="7"/>
        <v/>
      </c>
      <c r="O20" s="1709" t="str">
        <f t="shared" si="8"/>
        <v/>
      </c>
      <c r="P20" s="1710" t="str">
        <f t="shared" si="9"/>
        <v/>
      </c>
      <c r="Q20" s="1705" t="str">
        <f t="shared" si="10"/>
        <v/>
      </c>
      <c r="R20" s="1709" t="str">
        <f t="shared" si="11"/>
        <v/>
      </c>
      <c r="S20" s="1711" t="str">
        <f t="shared" si="12"/>
        <v/>
      </c>
      <c r="T20" s="1714">
        <v>0</v>
      </c>
      <c r="U20" s="1709">
        <v>2.25</v>
      </c>
      <c r="V20" s="1705">
        <v>0</v>
      </c>
      <c r="W20" s="1709">
        <v>2.25</v>
      </c>
      <c r="X20" s="1713">
        <v>4</v>
      </c>
      <c r="Y20" s="1781" t="str">
        <f t="shared" si="13"/>
        <v/>
      </c>
      <c r="Z20" s="1782" t="str">
        <f t="shared" si="14"/>
        <v/>
      </c>
      <c r="AA20" s="1783" t="s">
        <v>1772</v>
      </c>
      <c r="AB20" s="1413"/>
      <c r="AC20" s="964" t="b">
        <v>0</v>
      </c>
      <c r="AD20" s="441">
        <f t="shared" si="15"/>
        <v>0</v>
      </c>
      <c r="AE20" s="442">
        <f t="shared" si="16"/>
        <v>1</v>
      </c>
      <c r="AF20" s="442">
        <f t="shared" si="17"/>
        <v>0</v>
      </c>
      <c r="AG20" s="442">
        <f t="shared" si="18"/>
        <v>0</v>
      </c>
      <c r="AH20" s="443">
        <f t="shared" si="19"/>
        <v>0</v>
      </c>
      <c r="AI20" s="444" t="b">
        <v>0</v>
      </c>
      <c r="AJ20" s="238">
        <f t="shared" si="20"/>
        <v>32</v>
      </c>
      <c r="AK20" s="830" t="str">
        <f t="shared" si="21"/>
        <v>LH</v>
      </c>
      <c r="AL20" s="945" t="str">
        <f t="shared" si="22"/>
        <v/>
      </c>
      <c r="AM20" s="830">
        <f t="shared" si="23"/>
        <v>305</v>
      </c>
      <c r="AN20" s="830">
        <f t="shared" si="24"/>
        <v>180</v>
      </c>
      <c r="AO20" s="830" t="str">
        <f t="shared" si="25"/>
        <v/>
      </c>
      <c r="AP20" s="830" t="b">
        <f>IF(ISERROR(AJ20),FALSE,IF(OR(AJ20=0,ISERROR(AL20),ISERROR(AM20),ISERROR(AN20),ISERROR(AO20)),FALSE,IF(AL20&lt;&gt;"",IF(ISERROR(VLOOKUP(SUBSTITUTE(SUBSTITUTE(C20,"R",""),"A",""),TblJoistSize!$A:$A,1,FALSE)),FALSE,TRUE),TRUE)))</f>
        <v>1</v>
      </c>
      <c r="AQ20" s="1038">
        <f t="shared" si="26"/>
        <v>6</v>
      </c>
      <c r="AR20" s="945" t="b">
        <f t="shared" si="27"/>
        <v>1</v>
      </c>
      <c r="AS20" s="1038">
        <f t="shared" si="28"/>
        <v>6</v>
      </c>
      <c r="AT20" s="945" t="b">
        <f t="shared" si="29"/>
        <v>1</v>
      </c>
      <c r="AU20" s="946" t="str">
        <f t="shared" si="30"/>
        <v>LH</v>
      </c>
      <c r="AV20" s="830" t="str">
        <f t="shared" si="31"/>
        <v/>
      </c>
      <c r="AW20" s="830" t="str">
        <f t="shared" si="32"/>
        <v>LH</v>
      </c>
      <c r="AX20" s="830" t="str">
        <f t="shared" si="106"/>
        <v>J71</v>
      </c>
      <c r="AY20" s="1039" t="b">
        <f t="shared" si="33"/>
        <v>0</v>
      </c>
      <c r="AZ20" s="856" t="b">
        <f t="shared" si="34"/>
        <v>0</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35"/>
        <v/>
      </c>
      <c r="BR20" s="910"/>
      <c r="BS20" s="672"/>
      <c r="BT20" s="713"/>
      <c r="BU20" s="714"/>
      <c r="BV20" s="1625"/>
      <c r="BW20" s="713"/>
      <c r="BX20" s="714"/>
      <c r="BY20" s="715"/>
      <c r="BZ20" s="716"/>
      <c r="CA20" s="680" t="str">
        <f>IF(ISERROR(DE20),"",IF(DE20="","",IF(VLOOKUP(BS20,SectInfo!$B:$N,10,FALSE)="","","X")))</f>
        <v/>
      </c>
      <c r="CB20" s="738"/>
      <c r="CC20" s="1551" t="str">
        <f t="shared" si="36"/>
        <v/>
      </c>
      <c r="CD20" s="910"/>
      <c r="CE20" s="717"/>
      <c r="CF20" s="736"/>
      <c r="CG20" s="737"/>
      <c r="CH20" s="591" t="str">
        <f t="shared" si="37"/>
        <v/>
      </c>
      <c r="CI20" s="592" t="str">
        <f t="shared" si="38"/>
        <v/>
      </c>
      <c r="CJ20" s="593" t="str">
        <f t="shared" si="39"/>
        <v/>
      </c>
      <c r="CK20" s="594" t="str">
        <f t="shared" si="40"/>
        <v/>
      </c>
      <c r="CL20" s="595" t="str">
        <f t="shared" si="41"/>
        <v/>
      </c>
      <c r="CM20" s="596" t="str">
        <f t="shared" si="42"/>
        <v/>
      </c>
      <c r="CN20" s="597" t="str">
        <f t="shared" si="43"/>
        <v/>
      </c>
      <c r="CO20" s="598" t="str">
        <f t="shared" si="44"/>
        <v/>
      </c>
      <c r="CP20" s="615" t="str">
        <f t="shared" si="45"/>
        <v/>
      </c>
      <c r="CQ20" s="616" t="str">
        <f t="shared" si="46"/>
        <v/>
      </c>
      <c r="CR20" s="750">
        <f t="shared" si="47"/>
        <v>5</v>
      </c>
      <c r="CS20" s="751">
        <f t="shared" si="48"/>
        <v>5</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49"/>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50"/>
        <v>0</v>
      </c>
      <c r="DO20" s="818">
        <f t="shared" si="51"/>
        <v>0</v>
      </c>
      <c r="DP20" s="822" t="str">
        <f t="shared" si="52"/>
        <v/>
      </c>
      <c r="DQ20" s="822" t="str">
        <f t="shared" si="53"/>
        <v/>
      </c>
      <c r="DR20" s="822" t="str">
        <f t="shared" si="54"/>
        <v/>
      </c>
      <c r="DS20" s="821">
        <f t="shared" si="55"/>
        <v>0</v>
      </c>
      <c r="DT20" s="821">
        <f t="shared" si="56"/>
        <v>0</v>
      </c>
      <c r="DU20" s="821" t="str">
        <f t="shared" si="57"/>
        <v/>
      </c>
      <c r="DV20" s="822" t="str">
        <f t="shared" si="58"/>
        <v/>
      </c>
      <c r="DW20" s="856" t="str">
        <f t="shared" si="59"/>
        <v/>
      </c>
      <c r="DX20" s="1006">
        <f t="shared" si="60"/>
        <v>0</v>
      </c>
      <c r="DY20" s="822">
        <f t="shared" si="61"/>
        <v>0</v>
      </c>
      <c r="DZ20" s="821">
        <f t="shared" si="62"/>
        <v>0</v>
      </c>
      <c r="EA20" s="821" t="str">
        <f t="shared" si="63"/>
        <v/>
      </c>
      <c r="EB20" s="822" t="str">
        <f t="shared" si="64"/>
        <v/>
      </c>
      <c r="EC20" s="856" t="str">
        <f t="shared" si="65"/>
        <v/>
      </c>
      <c r="ED20" s="1006">
        <f t="shared" si="66"/>
        <v>0</v>
      </c>
      <c r="EE20" s="1293" t="str">
        <f t="shared" si="67"/>
        <v/>
      </c>
      <c r="EF20" s="1293" t="str">
        <f t="shared" si="68"/>
        <v/>
      </c>
      <c r="EG20" s="1293" t="str">
        <f t="shared" si="69"/>
        <v/>
      </c>
      <c r="EH20" s="856" t="str">
        <f t="shared" si="70"/>
        <v>ERR</v>
      </c>
      <c r="EI20" s="856" t="str">
        <f t="shared" si="71"/>
        <v>ERR</v>
      </c>
      <c r="EJ20" s="822" t="str">
        <f t="shared" si="72"/>
        <v/>
      </c>
      <c r="EK20" s="822" t="str">
        <f t="shared" si="72"/>
        <v/>
      </c>
      <c r="EL20" s="1293" t="str">
        <f t="shared" si="73"/>
        <v/>
      </c>
      <c r="EM20" s="822" t="str">
        <f t="shared" si="74"/>
        <v/>
      </c>
      <c r="EN20" s="822" t="str">
        <f t="shared" si="75"/>
        <v/>
      </c>
      <c r="EO20" s="856" t="str">
        <f t="shared" si="76"/>
        <v>ERR</v>
      </c>
      <c r="EP20" s="856" t="str">
        <f t="shared" si="77"/>
        <v>ERR</v>
      </c>
      <c r="EQ20" s="1293" t="str">
        <f t="shared" si="78"/>
        <v/>
      </c>
      <c r="ER20" s="822" t="str">
        <f t="shared" si="78"/>
        <v/>
      </c>
      <c r="ES20" s="822" t="str">
        <f t="shared" si="79"/>
        <v/>
      </c>
      <c r="ET20" s="822" t="str">
        <f t="shared" si="80"/>
        <v/>
      </c>
      <c r="EU20" s="829">
        <f t="shared" si="81"/>
        <v>4</v>
      </c>
      <c r="EV20" s="824" t="str">
        <f t="shared" si="82"/>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83"/>
        <v/>
      </c>
      <c r="FA20" s="829" t="str">
        <f>IF(AND(DE20="G", ISBLANK(BW20), ISBLANK(BX20)),VLOOKUP(MIN(BT20:BU20),TblJoistSize!$M$3:$N$10,2),IF(OR(DE20="B", DE20="G"),MIN(BW20:BX20),""))</f>
        <v/>
      </c>
      <c r="FB20" s="829" t="str">
        <f>IF(AND(DE20="G", ISBLANK(BW20), ISBLANK(BX20)),VLOOKUP(MAX(BT20:BU20),TblJoistSize!$M$3:$N$10,2),IF(OR(DE20="B", DE20="G"),MAX(BW20:BX20),""))</f>
        <v/>
      </c>
      <c r="FC20" s="829" t="str">
        <f t="shared" si="84"/>
        <v/>
      </c>
      <c r="FD20" s="821">
        <f t="shared" si="107"/>
        <v>0</v>
      </c>
      <c r="FE20" s="821">
        <f t="shared" si="85"/>
        <v>0</v>
      </c>
      <c r="FF20" s="821">
        <f t="shared" si="86"/>
        <v>0</v>
      </c>
      <c r="FG20" s="821" t="str">
        <f t="shared" si="87"/>
        <v/>
      </c>
      <c r="FH20" s="822" t="str">
        <f t="shared" si="88"/>
        <v/>
      </c>
      <c r="FI20" s="821">
        <f t="shared" si="108"/>
        <v>0</v>
      </c>
      <c r="FJ20" s="821">
        <f t="shared" si="89"/>
        <v>0</v>
      </c>
      <c r="FK20" s="821">
        <f t="shared" si="90"/>
        <v>0</v>
      </c>
      <c r="FL20" s="821" t="str">
        <f t="shared" si="91"/>
        <v/>
      </c>
      <c r="FM20" s="822" t="str">
        <f t="shared" si="92"/>
        <v/>
      </c>
      <c r="FN20" s="822" t="e">
        <f t="shared" si="93"/>
        <v>#VALUE!</v>
      </c>
      <c r="FO20" s="940" t="e">
        <f t="shared" si="94"/>
        <v>#VALUE!</v>
      </c>
      <c r="FP20" s="940" t="e">
        <f t="shared" si="95"/>
        <v>#VALUE!</v>
      </c>
      <c r="FQ20" s="830" t="e">
        <f t="shared" si="96"/>
        <v>#VALUE!</v>
      </c>
      <c r="FR20" s="831" t="e">
        <f t="shared" si="97"/>
        <v>#VALUE!</v>
      </c>
      <c r="FS20" s="832" t="str">
        <f t="shared" si="98"/>
        <v/>
      </c>
      <c r="FT20" s="833" t="str">
        <f t="shared" si="99"/>
        <v/>
      </c>
      <c r="FU20" s="870">
        <f t="shared" si="100"/>
        <v>0</v>
      </c>
      <c r="FV20" s="871">
        <f t="shared" si="101"/>
        <v>0</v>
      </c>
      <c r="GA20" s="1791">
        <v>50</v>
      </c>
      <c r="GB20" s="1792">
        <v>0</v>
      </c>
      <c r="GC20" s="1793">
        <v>-0.25</v>
      </c>
      <c r="GD20" s="1794">
        <v>-0.25</v>
      </c>
      <c r="GE20" s="1795">
        <f t="shared" si="102"/>
        <v>0</v>
      </c>
      <c r="GF20" s="600" t="str">
        <f t="shared" si="103"/>
        <v>J71</v>
      </c>
      <c r="GG20" s="1130">
        <v>0</v>
      </c>
      <c r="GH20" s="1131">
        <v>0</v>
      </c>
      <c r="GI20" s="1130"/>
      <c r="GJ20" s="1131"/>
      <c r="GK20" s="1638">
        <f t="shared" si="104"/>
        <v>599.5</v>
      </c>
      <c r="GL20" s="1636">
        <f t="shared" si="105"/>
        <v>599.5</v>
      </c>
      <c r="GM20" s="1637">
        <f>IF(ABS(GK20-GL20)&gt;='Job Info.'!$L$22,ABS(GK20-GL20),0)</f>
        <v>0</v>
      </c>
      <c r="HA20" s="1269" t="s">
        <v>1501</v>
      </c>
      <c r="HB20" s="1270">
        <v>1</v>
      </c>
      <c r="HC20" s="1270" t="s">
        <v>1592</v>
      </c>
      <c r="HD20" s="1271">
        <v>49</v>
      </c>
      <c r="HE20" s="1272">
        <v>11.5</v>
      </c>
      <c r="HF20" s="1270" t="s">
        <v>116</v>
      </c>
      <c r="HG20" s="1270" t="s">
        <v>116</v>
      </c>
      <c r="HH20" s="1270" t="s">
        <v>116</v>
      </c>
      <c r="HI20" s="1273" t="s">
        <v>116</v>
      </c>
      <c r="HJ20" s="1270" t="s">
        <v>116</v>
      </c>
      <c r="HK20" s="1270" t="s">
        <v>116</v>
      </c>
      <c r="HL20" s="1270">
        <v>5</v>
      </c>
      <c r="HM20" s="1270">
        <v>5</v>
      </c>
      <c r="HN20" s="1270" t="s">
        <v>116</v>
      </c>
      <c r="HO20" s="1270" t="s">
        <v>116</v>
      </c>
      <c r="HP20" s="1270" t="s">
        <v>116</v>
      </c>
      <c r="HQ20" s="1273" t="s">
        <v>116</v>
      </c>
      <c r="HR20" s="1270" t="s">
        <v>116</v>
      </c>
      <c r="HS20" s="1270" t="s">
        <v>116</v>
      </c>
      <c r="HT20" s="1270">
        <v>0</v>
      </c>
      <c r="HU20" s="1270">
        <v>2.25</v>
      </c>
      <c r="HV20" s="1270">
        <v>0</v>
      </c>
      <c r="HW20" s="1272">
        <v>2.25</v>
      </c>
      <c r="HX20" s="1272">
        <v>4</v>
      </c>
      <c r="HY20" s="1272" t="s">
        <v>116</v>
      </c>
      <c r="HZ20" s="1272" t="s">
        <v>116</v>
      </c>
      <c r="IA20" s="1272" t="s">
        <v>1690</v>
      </c>
      <c r="IB20" s="1272"/>
      <c r="IC20" s="1272"/>
      <c r="ID20" s="1272"/>
      <c r="IE20" s="1272"/>
      <c r="IF20" s="1274"/>
    </row>
    <row r="21" spans="1:240" ht="12.6" customHeight="1" x14ac:dyDescent="0.25">
      <c r="A21" s="1448" t="s">
        <v>1502</v>
      </c>
      <c r="B21" s="1681">
        <v>2</v>
      </c>
      <c r="C21" s="1449" t="s">
        <v>1593</v>
      </c>
      <c r="D21" s="1705">
        <v>69</v>
      </c>
      <c r="E21" s="1706">
        <v>1.5</v>
      </c>
      <c r="F21" s="1714" t="str">
        <f t="shared" si="1"/>
        <v/>
      </c>
      <c r="G21" s="1709" t="str">
        <f t="shared" si="2"/>
        <v/>
      </c>
      <c r="H21" s="1779" t="str">
        <f t="shared" si="3"/>
        <v/>
      </c>
      <c r="I21" s="1705" t="str">
        <f t="shared" si="4"/>
        <v/>
      </c>
      <c r="J21" s="1709" t="str">
        <f t="shared" si="5"/>
        <v/>
      </c>
      <c r="K21" s="1796" t="str">
        <f t="shared" si="6"/>
        <v/>
      </c>
      <c r="L21" s="1712">
        <v>5</v>
      </c>
      <c r="M21" s="1713">
        <v>5</v>
      </c>
      <c r="N21" s="1708" t="str">
        <f t="shared" si="7"/>
        <v/>
      </c>
      <c r="O21" s="1709" t="str">
        <f t="shared" si="8"/>
        <v/>
      </c>
      <c r="P21" s="1710" t="str">
        <f t="shared" si="9"/>
        <v/>
      </c>
      <c r="Q21" s="1705" t="str">
        <f t="shared" si="10"/>
        <v/>
      </c>
      <c r="R21" s="1709" t="str">
        <f t="shared" si="11"/>
        <v/>
      </c>
      <c r="S21" s="1711" t="str">
        <f t="shared" si="12"/>
        <v/>
      </c>
      <c r="T21" s="1714">
        <v>0</v>
      </c>
      <c r="U21" s="1709">
        <v>2.25</v>
      </c>
      <c r="V21" s="1705">
        <v>0</v>
      </c>
      <c r="W21" s="1709">
        <v>2</v>
      </c>
      <c r="X21" s="1713">
        <v>4</v>
      </c>
      <c r="Y21" s="1781" t="str">
        <f t="shared" si="13"/>
        <v/>
      </c>
      <c r="Z21" s="1782" t="str">
        <f t="shared" si="14"/>
        <v/>
      </c>
      <c r="AA21" s="1783" t="s">
        <v>1773</v>
      </c>
      <c r="AB21" s="1413"/>
      <c r="AC21" s="964" t="b">
        <v>0</v>
      </c>
      <c r="AD21" s="441">
        <f t="shared" si="15"/>
        <v>0</v>
      </c>
      <c r="AE21" s="442">
        <f t="shared" si="16"/>
        <v>2</v>
      </c>
      <c r="AF21" s="442">
        <f t="shared" si="17"/>
        <v>0</v>
      </c>
      <c r="AG21" s="442">
        <f t="shared" si="18"/>
        <v>0</v>
      </c>
      <c r="AH21" s="443">
        <f t="shared" si="19"/>
        <v>0</v>
      </c>
      <c r="AI21" s="444" t="b">
        <v>0</v>
      </c>
      <c r="AJ21" s="238">
        <f t="shared" si="20"/>
        <v>44</v>
      </c>
      <c r="AK21" s="830" t="str">
        <f t="shared" si="21"/>
        <v>LH</v>
      </c>
      <c r="AL21" s="945" t="str">
        <f t="shared" si="22"/>
        <v/>
      </c>
      <c r="AM21" s="830">
        <f t="shared" si="23"/>
        <v>305</v>
      </c>
      <c r="AN21" s="830">
        <f t="shared" si="24"/>
        <v>180</v>
      </c>
      <c r="AO21" s="830" t="str">
        <f t="shared" si="25"/>
        <v/>
      </c>
      <c r="AP21" s="830" t="b">
        <f>IF(ISERROR(AJ21),FALSE,IF(OR(AJ21=0,ISERROR(AL21),ISERROR(AM21),ISERROR(AN21),ISERROR(AO21)),FALSE,IF(AL21&lt;&gt;"",IF(ISERROR(VLOOKUP(SUBSTITUTE(SUBSTITUTE(C21,"R",""),"A",""),TblJoistSize!$A:$A,1,FALSE)),FALSE,TRUE),TRUE)))</f>
        <v>1</v>
      </c>
      <c r="AQ21" s="1038">
        <f t="shared" si="26"/>
        <v>6</v>
      </c>
      <c r="AR21" s="945" t="b">
        <f t="shared" si="27"/>
        <v>1</v>
      </c>
      <c r="AS21" s="1038">
        <f t="shared" si="28"/>
        <v>6</v>
      </c>
      <c r="AT21" s="945" t="b">
        <f t="shared" si="29"/>
        <v>1</v>
      </c>
      <c r="AU21" s="946" t="str">
        <f t="shared" si="30"/>
        <v>LH</v>
      </c>
      <c r="AV21" s="830" t="str">
        <f t="shared" si="31"/>
        <v/>
      </c>
      <c r="AW21" s="830" t="str">
        <f t="shared" si="32"/>
        <v>LH</v>
      </c>
      <c r="AX21" s="830" t="str">
        <f t="shared" si="106"/>
        <v>J72</v>
      </c>
      <c r="AY21" s="1039" t="b">
        <f t="shared" si="33"/>
        <v>0</v>
      </c>
      <c r="AZ21" s="856" t="b">
        <f t="shared" si="34"/>
        <v>0</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35"/>
        <v/>
      </c>
      <c r="BR21" s="910"/>
      <c r="BS21" s="672"/>
      <c r="BT21" s="713"/>
      <c r="BU21" s="714"/>
      <c r="BV21" s="1625"/>
      <c r="BW21" s="713"/>
      <c r="BX21" s="714"/>
      <c r="BY21" s="715"/>
      <c r="BZ21" s="716"/>
      <c r="CA21" s="680" t="str">
        <f>IF(ISERROR(DE21),"",IF(DE21="","",IF(VLOOKUP(BS21,SectInfo!$B:$N,10,FALSE)="","","X")))</f>
        <v/>
      </c>
      <c r="CB21" s="738"/>
      <c r="CC21" s="1551" t="str">
        <f t="shared" si="36"/>
        <v/>
      </c>
      <c r="CD21" s="910"/>
      <c r="CE21" s="717"/>
      <c r="CF21" s="736"/>
      <c r="CG21" s="737"/>
      <c r="CH21" s="591" t="str">
        <f t="shared" si="37"/>
        <v/>
      </c>
      <c r="CI21" s="592" t="str">
        <f t="shared" si="38"/>
        <v/>
      </c>
      <c r="CJ21" s="593" t="str">
        <f t="shared" si="39"/>
        <v/>
      </c>
      <c r="CK21" s="594" t="str">
        <f t="shared" si="40"/>
        <v/>
      </c>
      <c r="CL21" s="595" t="str">
        <f t="shared" si="41"/>
        <v/>
      </c>
      <c r="CM21" s="596" t="str">
        <f t="shared" si="42"/>
        <v/>
      </c>
      <c r="CN21" s="597" t="str">
        <f t="shared" si="43"/>
        <v/>
      </c>
      <c r="CO21" s="598" t="str">
        <f t="shared" si="44"/>
        <v/>
      </c>
      <c r="CP21" s="615" t="str">
        <f t="shared" si="45"/>
        <v/>
      </c>
      <c r="CQ21" s="616" t="str">
        <f t="shared" si="46"/>
        <v/>
      </c>
      <c r="CR21" s="750">
        <f t="shared" si="47"/>
        <v>5</v>
      </c>
      <c r="CS21" s="751">
        <f t="shared" si="48"/>
        <v>5</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49"/>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50"/>
        <v>0</v>
      </c>
      <c r="DO21" s="818">
        <f t="shared" si="51"/>
        <v>0</v>
      </c>
      <c r="DP21" s="822" t="str">
        <f t="shared" si="52"/>
        <v/>
      </c>
      <c r="DQ21" s="822" t="str">
        <f t="shared" si="53"/>
        <v/>
      </c>
      <c r="DR21" s="822" t="str">
        <f t="shared" si="54"/>
        <v/>
      </c>
      <c r="DS21" s="821">
        <f t="shared" si="55"/>
        <v>0</v>
      </c>
      <c r="DT21" s="821">
        <f t="shared" si="56"/>
        <v>0</v>
      </c>
      <c r="DU21" s="821" t="str">
        <f t="shared" si="57"/>
        <v/>
      </c>
      <c r="DV21" s="822" t="str">
        <f t="shared" si="58"/>
        <v/>
      </c>
      <c r="DW21" s="856" t="str">
        <f t="shared" si="59"/>
        <v/>
      </c>
      <c r="DX21" s="1006">
        <f t="shared" si="60"/>
        <v>0</v>
      </c>
      <c r="DY21" s="822">
        <f t="shared" si="61"/>
        <v>0</v>
      </c>
      <c r="DZ21" s="821">
        <f t="shared" si="62"/>
        <v>0</v>
      </c>
      <c r="EA21" s="821" t="str">
        <f t="shared" si="63"/>
        <v/>
      </c>
      <c r="EB21" s="822" t="str">
        <f t="shared" si="64"/>
        <v/>
      </c>
      <c r="EC21" s="856" t="str">
        <f t="shared" si="65"/>
        <v/>
      </c>
      <c r="ED21" s="1006">
        <f t="shared" si="66"/>
        <v>0</v>
      </c>
      <c r="EE21" s="1293" t="str">
        <f t="shared" si="67"/>
        <v/>
      </c>
      <c r="EF21" s="1293" t="str">
        <f t="shared" si="68"/>
        <v/>
      </c>
      <c r="EG21" s="1293" t="str">
        <f t="shared" si="69"/>
        <v/>
      </c>
      <c r="EH21" s="856" t="str">
        <f t="shared" si="70"/>
        <v>ERR</v>
      </c>
      <c r="EI21" s="856" t="str">
        <f t="shared" si="71"/>
        <v>ERR</v>
      </c>
      <c r="EJ21" s="822" t="str">
        <f t="shared" si="72"/>
        <v/>
      </c>
      <c r="EK21" s="822" t="str">
        <f t="shared" si="72"/>
        <v/>
      </c>
      <c r="EL21" s="1293" t="str">
        <f t="shared" si="73"/>
        <v/>
      </c>
      <c r="EM21" s="822" t="str">
        <f t="shared" si="74"/>
        <v/>
      </c>
      <c r="EN21" s="822" t="str">
        <f t="shared" si="75"/>
        <v/>
      </c>
      <c r="EO21" s="856" t="str">
        <f t="shared" si="76"/>
        <v>ERR</v>
      </c>
      <c r="EP21" s="856" t="str">
        <f t="shared" si="77"/>
        <v>ERR</v>
      </c>
      <c r="EQ21" s="1293" t="str">
        <f t="shared" si="78"/>
        <v/>
      </c>
      <c r="ER21" s="822" t="str">
        <f t="shared" si="78"/>
        <v/>
      </c>
      <c r="ES21" s="822" t="str">
        <f t="shared" si="79"/>
        <v/>
      </c>
      <c r="ET21" s="822" t="str">
        <f t="shared" si="80"/>
        <v/>
      </c>
      <c r="EU21" s="829">
        <f t="shared" si="81"/>
        <v>4</v>
      </c>
      <c r="EV21" s="824" t="str">
        <f t="shared" si="82"/>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83"/>
        <v/>
      </c>
      <c r="FA21" s="829" t="str">
        <f>IF(AND(DE21="G", ISBLANK(BW21), ISBLANK(BX21)),VLOOKUP(MIN(BT21:BU21),TblJoistSize!$M$3:$N$10,2),IF(OR(DE21="B", DE21="G"),MIN(BW21:BX21),""))</f>
        <v/>
      </c>
      <c r="FB21" s="829" t="str">
        <f>IF(AND(DE21="G", ISBLANK(BW21), ISBLANK(BX21)),VLOOKUP(MAX(BT21:BU21),TblJoistSize!$M$3:$N$10,2),IF(OR(DE21="B", DE21="G"),MAX(BW21:BX21),""))</f>
        <v/>
      </c>
      <c r="FC21" s="829" t="str">
        <f t="shared" si="84"/>
        <v/>
      </c>
      <c r="FD21" s="821">
        <f t="shared" si="107"/>
        <v>0</v>
      </c>
      <c r="FE21" s="821">
        <f t="shared" si="85"/>
        <v>0</v>
      </c>
      <c r="FF21" s="821">
        <f t="shared" si="86"/>
        <v>0</v>
      </c>
      <c r="FG21" s="821" t="str">
        <f t="shared" si="87"/>
        <v/>
      </c>
      <c r="FH21" s="822" t="str">
        <f t="shared" si="88"/>
        <v/>
      </c>
      <c r="FI21" s="821">
        <f t="shared" si="108"/>
        <v>0</v>
      </c>
      <c r="FJ21" s="821">
        <f t="shared" si="89"/>
        <v>0</v>
      </c>
      <c r="FK21" s="821">
        <f t="shared" si="90"/>
        <v>0</v>
      </c>
      <c r="FL21" s="821" t="str">
        <f t="shared" si="91"/>
        <v/>
      </c>
      <c r="FM21" s="822" t="str">
        <f t="shared" si="92"/>
        <v/>
      </c>
      <c r="FN21" s="822" t="e">
        <f t="shared" si="93"/>
        <v>#VALUE!</v>
      </c>
      <c r="FO21" s="940" t="e">
        <f t="shared" si="94"/>
        <v>#VALUE!</v>
      </c>
      <c r="FP21" s="940" t="e">
        <f t="shared" si="95"/>
        <v>#VALUE!</v>
      </c>
      <c r="FQ21" s="830" t="e">
        <f t="shared" si="96"/>
        <v>#VALUE!</v>
      </c>
      <c r="FR21" s="831" t="e">
        <f t="shared" si="97"/>
        <v>#VALUE!</v>
      </c>
      <c r="FS21" s="832" t="str">
        <f t="shared" si="98"/>
        <v/>
      </c>
      <c r="FT21" s="833" t="str">
        <f t="shared" si="99"/>
        <v/>
      </c>
      <c r="FU21" s="870">
        <f t="shared" si="100"/>
        <v>0</v>
      </c>
      <c r="FV21" s="871">
        <f t="shared" si="101"/>
        <v>0</v>
      </c>
      <c r="GA21" s="1791">
        <v>69</v>
      </c>
      <c r="GB21" s="1792">
        <v>2.25</v>
      </c>
      <c r="GC21" s="1793">
        <v>-0.25</v>
      </c>
      <c r="GD21" s="1794">
        <v>-0.5</v>
      </c>
      <c r="GE21" s="1795">
        <f t="shared" si="102"/>
        <v>0</v>
      </c>
      <c r="GF21" s="600" t="str">
        <f t="shared" si="103"/>
        <v>J72</v>
      </c>
      <c r="GG21" s="1130">
        <v>0</v>
      </c>
      <c r="GH21" s="1131">
        <v>0</v>
      </c>
      <c r="GI21" s="1130"/>
      <c r="GJ21" s="1131"/>
      <c r="GK21" s="1638">
        <f t="shared" si="104"/>
        <v>829.5</v>
      </c>
      <c r="GL21" s="1636">
        <f t="shared" si="105"/>
        <v>829.5</v>
      </c>
      <c r="GM21" s="1637">
        <f>IF(ABS(GK21-GL21)&gt;='Job Info.'!$L$22,ABS(GK21-GL21),0)</f>
        <v>0</v>
      </c>
      <c r="HA21" s="1269" t="s">
        <v>1502</v>
      </c>
      <c r="HB21" s="1270">
        <v>2</v>
      </c>
      <c r="HC21" s="1270" t="s">
        <v>1593</v>
      </c>
      <c r="HD21" s="1271">
        <v>69</v>
      </c>
      <c r="HE21" s="1272">
        <v>1.5</v>
      </c>
      <c r="HF21" s="1270" t="s">
        <v>116</v>
      </c>
      <c r="HG21" s="1270" t="s">
        <v>116</v>
      </c>
      <c r="HH21" s="1270" t="s">
        <v>116</v>
      </c>
      <c r="HI21" s="1273" t="s">
        <v>116</v>
      </c>
      <c r="HJ21" s="1270" t="s">
        <v>116</v>
      </c>
      <c r="HK21" s="1270" t="s">
        <v>116</v>
      </c>
      <c r="HL21" s="1270">
        <v>5</v>
      </c>
      <c r="HM21" s="1270">
        <v>5</v>
      </c>
      <c r="HN21" s="1270" t="s">
        <v>116</v>
      </c>
      <c r="HO21" s="1270" t="s">
        <v>116</v>
      </c>
      <c r="HP21" s="1270" t="s">
        <v>116</v>
      </c>
      <c r="HQ21" s="1273" t="s">
        <v>116</v>
      </c>
      <c r="HR21" s="1270" t="s">
        <v>116</v>
      </c>
      <c r="HS21" s="1270" t="s">
        <v>116</v>
      </c>
      <c r="HT21" s="1270">
        <v>0</v>
      </c>
      <c r="HU21" s="1270">
        <v>2.25</v>
      </c>
      <c r="HV21" s="1270">
        <v>0</v>
      </c>
      <c r="HW21" s="1272">
        <v>2</v>
      </c>
      <c r="HX21" s="1272">
        <v>4</v>
      </c>
      <c r="HY21" s="1272" t="s">
        <v>116</v>
      </c>
      <c r="HZ21" s="1272" t="s">
        <v>116</v>
      </c>
      <c r="IA21" s="1272" t="s">
        <v>1691</v>
      </c>
      <c r="IB21" s="1272"/>
      <c r="IC21" s="1272"/>
      <c r="ID21" s="1272"/>
      <c r="IE21" s="1272"/>
      <c r="IF21" s="1274"/>
    </row>
    <row r="22" spans="1:240" ht="12.6" customHeight="1" x14ac:dyDescent="0.25">
      <c r="A22" s="1448" t="s">
        <v>1503</v>
      </c>
      <c r="B22" s="1681">
        <v>1</v>
      </c>
      <c r="C22" s="1449" t="s">
        <v>1593</v>
      </c>
      <c r="D22" s="1705">
        <v>69</v>
      </c>
      <c r="E22" s="1706">
        <v>1.5</v>
      </c>
      <c r="F22" s="1714" t="str">
        <f t="shared" si="1"/>
        <v/>
      </c>
      <c r="G22" s="1709" t="str">
        <f t="shared" si="2"/>
        <v/>
      </c>
      <c r="H22" s="1779" t="str">
        <f t="shared" si="3"/>
        <v/>
      </c>
      <c r="I22" s="1705" t="str">
        <f t="shared" si="4"/>
        <v/>
      </c>
      <c r="J22" s="1709" t="str">
        <f t="shared" si="5"/>
        <v/>
      </c>
      <c r="K22" s="1796" t="str">
        <f t="shared" si="6"/>
        <v/>
      </c>
      <c r="L22" s="1712">
        <v>5</v>
      </c>
      <c r="M22" s="1713">
        <v>5</v>
      </c>
      <c r="N22" s="1708" t="str">
        <f t="shared" si="7"/>
        <v/>
      </c>
      <c r="O22" s="1709" t="str">
        <f t="shared" si="8"/>
        <v/>
      </c>
      <c r="P22" s="1710" t="str">
        <f t="shared" si="9"/>
        <v/>
      </c>
      <c r="Q22" s="1705" t="str">
        <f t="shared" si="10"/>
        <v/>
      </c>
      <c r="R22" s="1709" t="str">
        <f t="shared" si="11"/>
        <v/>
      </c>
      <c r="S22" s="1711" t="str">
        <f t="shared" si="12"/>
        <v/>
      </c>
      <c r="T22" s="1714">
        <v>0</v>
      </c>
      <c r="U22" s="1709">
        <v>2.25</v>
      </c>
      <c r="V22" s="1705">
        <v>0</v>
      </c>
      <c r="W22" s="1709">
        <v>2</v>
      </c>
      <c r="X22" s="1713">
        <v>4</v>
      </c>
      <c r="Y22" s="1781" t="str">
        <f t="shared" si="13"/>
        <v/>
      </c>
      <c r="Z22" s="1782" t="str">
        <f t="shared" si="14"/>
        <v/>
      </c>
      <c r="AA22" s="1783" t="s">
        <v>1774</v>
      </c>
      <c r="AB22" s="1413"/>
      <c r="AC22" s="964" t="b">
        <v>0</v>
      </c>
      <c r="AD22" s="441">
        <f t="shared" si="15"/>
        <v>0</v>
      </c>
      <c r="AE22" s="442">
        <f t="shared" si="16"/>
        <v>1</v>
      </c>
      <c r="AF22" s="442">
        <f t="shared" si="17"/>
        <v>0</v>
      </c>
      <c r="AG22" s="442">
        <f t="shared" si="18"/>
        <v>0</v>
      </c>
      <c r="AH22" s="443">
        <f t="shared" si="19"/>
        <v>0</v>
      </c>
      <c r="AI22" s="444" t="b">
        <v>0</v>
      </c>
      <c r="AJ22" s="238">
        <f t="shared" si="20"/>
        <v>44</v>
      </c>
      <c r="AK22" s="830" t="str">
        <f t="shared" si="21"/>
        <v>LH</v>
      </c>
      <c r="AL22" s="945" t="str">
        <f t="shared" si="22"/>
        <v/>
      </c>
      <c r="AM22" s="830">
        <f t="shared" si="23"/>
        <v>305</v>
      </c>
      <c r="AN22" s="830">
        <f t="shared" si="24"/>
        <v>180</v>
      </c>
      <c r="AO22" s="830" t="str">
        <f t="shared" si="25"/>
        <v/>
      </c>
      <c r="AP22" s="830" t="b">
        <f>IF(ISERROR(AJ22),FALSE,IF(OR(AJ22=0,ISERROR(AL22),ISERROR(AM22),ISERROR(AN22),ISERROR(AO22)),FALSE,IF(AL22&lt;&gt;"",IF(ISERROR(VLOOKUP(SUBSTITUTE(SUBSTITUTE(C22,"R",""),"A",""),TblJoistSize!$A:$A,1,FALSE)),FALSE,TRUE),TRUE)))</f>
        <v>1</v>
      </c>
      <c r="AQ22" s="1038">
        <f t="shared" si="26"/>
        <v>6</v>
      </c>
      <c r="AR22" s="945" t="b">
        <f t="shared" si="27"/>
        <v>1</v>
      </c>
      <c r="AS22" s="1038">
        <f t="shared" si="28"/>
        <v>6</v>
      </c>
      <c r="AT22" s="945" t="b">
        <f t="shared" si="29"/>
        <v>1</v>
      </c>
      <c r="AU22" s="946" t="str">
        <f t="shared" si="30"/>
        <v>LH</v>
      </c>
      <c r="AV22" s="830" t="str">
        <f t="shared" si="31"/>
        <v/>
      </c>
      <c r="AW22" s="830" t="str">
        <f t="shared" si="32"/>
        <v>LH</v>
      </c>
      <c r="AX22" s="830" t="str">
        <f t="shared" si="106"/>
        <v>J73</v>
      </c>
      <c r="AY22" s="1039" t="b">
        <f t="shared" si="33"/>
        <v>0</v>
      </c>
      <c r="AZ22" s="856" t="b">
        <f t="shared" si="34"/>
        <v>0</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35"/>
        <v/>
      </c>
      <c r="BR22" s="910"/>
      <c r="BS22" s="672"/>
      <c r="BT22" s="713"/>
      <c r="BU22" s="714"/>
      <c r="BV22" s="1625"/>
      <c r="BW22" s="713"/>
      <c r="BX22" s="714"/>
      <c r="BY22" s="715"/>
      <c r="BZ22" s="716"/>
      <c r="CA22" s="680" t="str">
        <f>IF(ISERROR(DE22),"",IF(DE22="","",IF(VLOOKUP(BS22,SectInfo!$B:$N,10,FALSE)="","","X")))</f>
        <v/>
      </c>
      <c r="CB22" s="738"/>
      <c r="CC22" s="1551" t="str">
        <f t="shared" si="36"/>
        <v/>
      </c>
      <c r="CD22" s="910"/>
      <c r="CE22" s="717"/>
      <c r="CF22" s="736"/>
      <c r="CG22" s="737"/>
      <c r="CH22" s="591" t="str">
        <f t="shared" si="37"/>
        <v/>
      </c>
      <c r="CI22" s="592" t="str">
        <f t="shared" si="38"/>
        <v/>
      </c>
      <c r="CJ22" s="593" t="str">
        <f t="shared" si="39"/>
        <v/>
      </c>
      <c r="CK22" s="594" t="str">
        <f t="shared" si="40"/>
        <v/>
      </c>
      <c r="CL22" s="595" t="str">
        <f t="shared" si="41"/>
        <v/>
      </c>
      <c r="CM22" s="596" t="str">
        <f t="shared" si="42"/>
        <v/>
      </c>
      <c r="CN22" s="597" t="str">
        <f t="shared" si="43"/>
        <v/>
      </c>
      <c r="CO22" s="598" t="str">
        <f t="shared" si="44"/>
        <v/>
      </c>
      <c r="CP22" s="615" t="str">
        <f t="shared" si="45"/>
        <v/>
      </c>
      <c r="CQ22" s="616" t="str">
        <f t="shared" si="46"/>
        <v/>
      </c>
      <c r="CR22" s="750">
        <f t="shared" si="47"/>
        <v>5</v>
      </c>
      <c r="CS22" s="751">
        <f t="shared" si="48"/>
        <v>5</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49"/>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50"/>
        <v>0</v>
      </c>
      <c r="DO22" s="818">
        <f t="shared" si="51"/>
        <v>0</v>
      </c>
      <c r="DP22" s="822" t="str">
        <f t="shared" si="52"/>
        <v/>
      </c>
      <c r="DQ22" s="822" t="str">
        <f t="shared" si="53"/>
        <v/>
      </c>
      <c r="DR22" s="822" t="str">
        <f t="shared" si="54"/>
        <v/>
      </c>
      <c r="DS22" s="821">
        <f t="shared" si="55"/>
        <v>0</v>
      </c>
      <c r="DT22" s="821">
        <f t="shared" si="56"/>
        <v>0</v>
      </c>
      <c r="DU22" s="821" t="str">
        <f t="shared" si="57"/>
        <v/>
      </c>
      <c r="DV22" s="822" t="str">
        <f t="shared" si="58"/>
        <v/>
      </c>
      <c r="DW22" s="856" t="str">
        <f t="shared" si="59"/>
        <v/>
      </c>
      <c r="DX22" s="1006">
        <f t="shared" si="60"/>
        <v>0</v>
      </c>
      <c r="DY22" s="822">
        <f t="shared" si="61"/>
        <v>0</v>
      </c>
      <c r="DZ22" s="821">
        <f t="shared" si="62"/>
        <v>0</v>
      </c>
      <c r="EA22" s="821" t="str">
        <f t="shared" si="63"/>
        <v/>
      </c>
      <c r="EB22" s="822" t="str">
        <f t="shared" si="64"/>
        <v/>
      </c>
      <c r="EC22" s="856" t="str">
        <f t="shared" si="65"/>
        <v/>
      </c>
      <c r="ED22" s="1006">
        <f t="shared" si="66"/>
        <v>0</v>
      </c>
      <c r="EE22" s="1293" t="str">
        <f t="shared" si="67"/>
        <v/>
      </c>
      <c r="EF22" s="1293" t="str">
        <f t="shared" si="68"/>
        <v/>
      </c>
      <c r="EG22" s="1293" t="str">
        <f t="shared" si="69"/>
        <v/>
      </c>
      <c r="EH22" s="856" t="str">
        <f t="shared" si="70"/>
        <v>ERR</v>
      </c>
      <c r="EI22" s="856" t="str">
        <f t="shared" si="71"/>
        <v>ERR</v>
      </c>
      <c r="EJ22" s="822" t="str">
        <f t="shared" si="72"/>
        <v/>
      </c>
      <c r="EK22" s="822" t="str">
        <f t="shared" si="72"/>
        <v/>
      </c>
      <c r="EL22" s="1293" t="str">
        <f t="shared" si="73"/>
        <v/>
      </c>
      <c r="EM22" s="822" t="str">
        <f t="shared" si="74"/>
        <v/>
      </c>
      <c r="EN22" s="822" t="str">
        <f t="shared" si="75"/>
        <v/>
      </c>
      <c r="EO22" s="856" t="str">
        <f t="shared" si="76"/>
        <v>ERR</v>
      </c>
      <c r="EP22" s="856" t="str">
        <f t="shared" si="77"/>
        <v>ERR</v>
      </c>
      <c r="EQ22" s="1293" t="str">
        <f t="shared" si="78"/>
        <v/>
      </c>
      <c r="ER22" s="822" t="str">
        <f t="shared" si="78"/>
        <v/>
      </c>
      <c r="ES22" s="822" t="str">
        <f t="shared" si="79"/>
        <v/>
      </c>
      <c r="ET22" s="822" t="str">
        <f t="shared" si="80"/>
        <v/>
      </c>
      <c r="EU22" s="829">
        <f t="shared" si="81"/>
        <v>4</v>
      </c>
      <c r="EV22" s="824" t="str">
        <f t="shared" si="82"/>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83"/>
        <v/>
      </c>
      <c r="FA22" s="829" t="str">
        <f>IF(AND(DE22="G", ISBLANK(BW22), ISBLANK(BX22)),VLOOKUP(MIN(BT22:BU22),TblJoistSize!$M$3:$N$10,2),IF(OR(DE22="B", DE22="G"),MIN(BW22:BX22),""))</f>
        <v/>
      </c>
      <c r="FB22" s="829" t="str">
        <f>IF(AND(DE22="G", ISBLANK(BW22), ISBLANK(BX22)),VLOOKUP(MAX(BT22:BU22),TblJoistSize!$M$3:$N$10,2),IF(OR(DE22="B", DE22="G"),MAX(BW22:BX22),""))</f>
        <v/>
      </c>
      <c r="FC22" s="829" t="str">
        <f t="shared" si="84"/>
        <v/>
      </c>
      <c r="FD22" s="821">
        <f t="shared" si="107"/>
        <v>0</v>
      </c>
      <c r="FE22" s="821">
        <f t="shared" si="85"/>
        <v>0</v>
      </c>
      <c r="FF22" s="821">
        <f t="shared" si="86"/>
        <v>0</v>
      </c>
      <c r="FG22" s="821" t="str">
        <f t="shared" si="87"/>
        <v/>
      </c>
      <c r="FH22" s="822" t="str">
        <f t="shared" si="88"/>
        <v/>
      </c>
      <c r="FI22" s="821">
        <f t="shared" si="108"/>
        <v>0</v>
      </c>
      <c r="FJ22" s="821">
        <f t="shared" si="89"/>
        <v>0</v>
      </c>
      <c r="FK22" s="821">
        <f t="shared" si="90"/>
        <v>0</v>
      </c>
      <c r="FL22" s="821" t="str">
        <f t="shared" si="91"/>
        <v/>
      </c>
      <c r="FM22" s="822" t="str">
        <f t="shared" si="92"/>
        <v/>
      </c>
      <c r="FN22" s="822" t="e">
        <f t="shared" si="93"/>
        <v>#VALUE!</v>
      </c>
      <c r="FO22" s="940" t="e">
        <f t="shared" si="94"/>
        <v>#VALUE!</v>
      </c>
      <c r="FP22" s="940" t="e">
        <f t="shared" si="95"/>
        <v>#VALUE!</v>
      </c>
      <c r="FQ22" s="830" t="e">
        <f t="shared" si="96"/>
        <v>#VALUE!</v>
      </c>
      <c r="FR22" s="831" t="e">
        <f t="shared" si="97"/>
        <v>#VALUE!</v>
      </c>
      <c r="FS22" s="832" t="str">
        <f t="shared" si="98"/>
        <v/>
      </c>
      <c r="FT22" s="833" t="str">
        <f t="shared" si="99"/>
        <v/>
      </c>
      <c r="FU22" s="870">
        <f t="shared" si="100"/>
        <v>0</v>
      </c>
      <c r="FV22" s="871">
        <f t="shared" si="101"/>
        <v>0</v>
      </c>
      <c r="GA22" s="1791">
        <v>69</v>
      </c>
      <c r="GB22" s="1792">
        <v>2.25</v>
      </c>
      <c r="GC22" s="1793">
        <v>-0.25</v>
      </c>
      <c r="GD22" s="1794">
        <v>-0.5</v>
      </c>
      <c r="GE22" s="1795">
        <f t="shared" si="102"/>
        <v>0</v>
      </c>
      <c r="GF22" s="600" t="str">
        <f t="shared" si="103"/>
        <v>J73</v>
      </c>
      <c r="GG22" s="1130">
        <v>0</v>
      </c>
      <c r="GH22" s="1131">
        <v>0</v>
      </c>
      <c r="GI22" s="1130"/>
      <c r="GJ22" s="1131"/>
      <c r="GK22" s="1638">
        <f t="shared" si="104"/>
        <v>829.5</v>
      </c>
      <c r="GL22" s="1636">
        <f t="shared" si="105"/>
        <v>829.5</v>
      </c>
      <c r="GM22" s="1637">
        <f>IF(ABS(GK22-GL22)&gt;='Job Info.'!$L$22,ABS(GK22-GL22),0)</f>
        <v>0</v>
      </c>
      <c r="HA22" s="1269" t="s">
        <v>1503</v>
      </c>
      <c r="HB22" s="1270">
        <v>1</v>
      </c>
      <c r="HC22" s="1270" t="s">
        <v>1593</v>
      </c>
      <c r="HD22" s="1271">
        <v>69</v>
      </c>
      <c r="HE22" s="1272">
        <v>1.5</v>
      </c>
      <c r="HF22" s="1270" t="s">
        <v>116</v>
      </c>
      <c r="HG22" s="1270" t="s">
        <v>116</v>
      </c>
      <c r="HH22" s="1270" t="s">
        <v>116</v>
      </c>
      <c r="HI22" s="1273" t="s">
        <v>116</v>
      </c>
      <c r="HJ22" s="1270" t="s">
        <v>116</v>
      </c>
      <c r="HK22" s="1270" t="s">
        <v>116</v>
      </c>
      <c r="HL22" s="1270">
        <v>5</v>
      </c>
      <c r="HM22" s="1270">
        <v>5</v>
      </c>
      <c r="HN22" s="1270" t="s">
        <v>116</v>
      </c>
      <c r="HO22" s="1270" t="s">
        <v>116</v>
      </c>
      <c r="HP22" s="1270" t="s">
        <v>116</v>
      </c>
      <c r="HQ22" s="1273" t="s">
        <v>116</v>
      </c>
      <c r="HR22" s="1270" t="s">
        <v>116</v>
      </c>
      <c r="HS22" s="1270" t="s">
        <v>116</v>
      </c>
      <c r="HT22" s="1270">
        <v>0</v>
      </c>
      <c r="HU22" s="1270">
        <v>2.25</v>
      </c>
      <c r="HV22" s="1270">
        <v>0</v>
      </c>
      <c r="HW22" s="1272">
        <v>2</v>
      </c>
      <c r="HX22" s="1272">
        <v>4</v>
      </c>
      <c r="HY22" s="1272" t="s">
        <v>116</v>
      </c>
      <c r="HZ22" s="1272" t="s">
        <v>116</v>
      </c>
      <c r="IA22" s="1272" t="s">
        <v>1688</v>
      </c>
      <c r="IB22" s="1272"/>
      <c r="IC22" s="1272"/>
      <c r="ID22" s="1272"/>
      <c r="IE22" s="1272"/>
      <c r="IF22" s="1274"/>
    </row>
    <row r="23" spans="1:240" ht="12.6" customHeight="1" x14ac:dyDescent="0.25">
      <c r="A23" s="1448" t="str">
        <f t="shared" ref="A23:A44" si="109">IF(BB23="","",UPPER(BB23))</f>
        <v/>
      </c>
      <c r="B23" s="1681"/>
      <c r="C23" s="1449" t="str">
        <f t="shared" ref="C23:C44" si="110">IF(BD23="","",UPPER(BD23))</f>
        <v/>
      </c>
      <c r="D23" s="1705" t="str">
        <f t="shared" ref="D23:D44" si="111">IF(DP23="","",TRUNC(DP23/12))</f>
        <v/>
      </c>
      <c r="E23" s="1706" t="str">
        <f t="shared" ref="E23:E44" si="112">IF(DP23="","",DP23-(D23*12))</f>
        <v/>
      </c>
      <c r="F23" s="1714" t="str">
        <f t="shared" si="1"/>
        <v/>
      </c>
      <c r="G23" s="1709" t="str">
        <f t="shared" si="2"/>
        <v/>
      </c>
      <c r="H23" s="1779" t="str">
        <f t="shared" si="3"/>
        <v/>
      </c>
      <c r="I23" s="1705" t="str">
        <f t="shared" si="4"/>
        <v/>
      </c>
      <c r="J23" s="1709" t="str">
        <f t="shared" si="5"/>
        <v/>
      </c>
      <c r="K23" s="1796" t="str">
        <f t="shared" si="6"/>
        <v/>
      </c>
      <c r="L23" s="1712" t="str">
        <f t="shared" ref="L23:M44" si="113">DQ23</f>
        <v/>
      </c>
      <c r="M23" s="1713" t="str">
        <f t="shared" si="113"/>
        <v/>
      </c>
      <c r="N23" s="1708" t="str">
        <f t="shared" si="7"/>
        <v/>
      </c>
      <c r="O23" s="1709" t="str">
        <f t="shared" si="8"/>
        <v/>
      </c>
      <c r="P23" s="1710" t="str">
        <f t="shared" si="9"/>
        <v/>
      </c>
      <c r="Q23" s="1705" t="str">
        <f t="shared" si="10"/>
        <v/>
      </c>
      <c r="R23" s="1709" t="str">
        <f t="shared" si="11"/>
        <v/>
      </c>
      <c r="S23" s="1711" t="str">
        <f t="shared" si="12"/>
        <v/>
      </c>
      <c r="T23" s="1714" t="str">
        <f t="shared" ref="T23:T45" si="114">IF(CH23="ERR","",IF(EK23="","",IF(EK23="ERR",TRUNC(EJ23/12),TRUNC(EK23/12))))</f>
        <v/>
      </c>
      <c r="U23" s="1709" t="str">
        <f t="shared" ref="U23:U45" si="115">IF(CH23="ERR","",IF(EK23="","",IF(EK23="ERR",EJ23-(T23*12),EK23-(T23*12))))</f>
        <v/>
      </c>
      <c r="V23" s="1705" t="str">
        <f t="shared" ref="V23:V45" si="116">IF(CI23="ERR","",IF(ER23="","",IF(ER23="ERR",TRUNC(EQ23/12),TRUNC(ER23/12))))</f>
        <v/>
      </c>
      <c r="W23" s="1709" t="str">
        <f t="shared" ref="W23:W45" si="117">IF(CI23="ERR","",IF(ER23="","",IF(ER23="ERR",EQ23-(V23*12),ER23-(V23*12))))</f>
        <v/>
      </c>
      <c r="X23" s="1713">
        <f t="shared" ref="X23:X44" si="118">IF(EV23="",0,EV23)</f>
        <v>0</v>
      </c>
      <c r="Y23" s="1781" t="str">
        <f t="shared" si="13"/>
        <v/>
      </c>
      <c r="Z23" s="1782" t="str">
        <f t="shared" si="14"/>
        <v/>
      </c>
      <c r="AA23" s="1783" t="s">
        <v>116</v>
      </c>
      <c r="AB23" s="1413"/>
      <c r="AC23" s="964" t="b">
        <v>0</v>
      </c>
      <c r="AD23" s="441">
        <f t="shared" si="15"/>
        <v>0</v>
      </c>
      <c r="AE23" s="442">
        <f t="shared" si="16"/>
        <v>0</v>
      </c>
      <c r="AF23" s="442">
        <f t="shared" si="17"/>
        <v>0</v>
      </c>
      <c r="AG23" s="442">
        <f t="shared" si="18"/>
        <v>0</v>
      </c>
      <c r="AH23" s="443">
        <f t="shared" si="19"/>
        <v>0</v>
      </c>
      <c r="AI23" s="444" t="b">
        <v>0</v>
      </c>
      <c r="AJ23" s="238">
        <f t="shared" si="20"/>
        <v>0</v>
      </c>
      <c r="AK23" s="830" t="str">
        <f t="shared" si="21"/>
        <v/>
      </c>
      <c r="AL23" s="945" t="str">
        <f t="shared" si="22"/>
        <v/>
      </c>
      <c r="AM23" s="830" t="str">
        <f t="shared" si="23"/>
        <v/>
      </c>
      <c r="AN23" s="830" t="str">
        <f t="shared" si="24"/>
        <v/>
      </c>
      <c r="AO23" s="830" t="str">
        <f t="shared" si="25"/>
        <v/>
      </c>
      <c r="AP23" s="830" t="b">
        <f>IF(ISERROR(AJ23),FALSE,IF(OR(AJ23=0,ISERROR(AL23),ISERROR(AM23),ISERROR(AN23),ISERROR(AO23)),FALSE,IF(AL23&lt;&gt;"",IF(ISERROR(VLOOKUP(SUBSTITUTE(SUBSTITUTE(C23,"R",""),"A",""),TblJoistSize!$A:$A,1,FALSE)),FALSE,TRUE),TRUE)))</f>
        <v>0</v>
      </c>
      <c r="AQ23" s="1038" t="e">
        <f t="shared" si="26"/>
        <v>#N/A</v>
      </c>
      <c r="AR23" s="945" t="b">
        <f t="shared" si="27"/>
        <v>0</v>
      </c>
      <c r="AS23" s="1038" t="e">
        <f t="shared" si="28"/>
        <v>#N/A</v>
      </c>
      <c r="AT23" s="945" t="b">
        <f t="shared" si="29"/>
        <v>0</v>
      </c>
      <c r="AU23" s="946" t="str">
        <f t="shared" si="30"/>
        <v/>
      </c>
      <c r="AV23" s="830" t="str">
        <f t="shared" si="31"/>
        <v/>
      </c>
      <c r="AW23" s="830" t="str">
        <f t="shared" si="32"/>
        <v/>
      </c>
      <c r="AX23" s="830" t="str">
        <f t="shared" si="106"/>
        <v/>
      </c>
      <c r="AY23" s="1039" t="b">
        <f t="shared" si="33"/>
        <v>0</v>
      </c>
      <c r="AZ23" s="856" t="str">
        <f t="shared" si="34"/>
        <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35"/>
        <v/>
      </c>
      <c r="BR23" s="910"/>
      <c r="BS23" s="672"/>
      <c r="BT23" s="713"/>
      <c r="BU23" s="714"/>
      <c r="BV23" s="1625"/>
      <c r="BW23" s="713"/>
      <c r="BX23" s="714"/>
      <c r="BY23" s="715"/>
      <c r="BZ23" s="716"/>
      <c r="CA23" s="680" t="str">
        <f>IF(ISERROR(DE23),"",IF(DE23="","",IF(VLOOKUP(BS23,SectInfo!$B:$N,10,FALSE)="","","X")))</f>
        <v/>
      </c>
      <c r="CB23" s="738"/>
      <c r="CC23" s="1551" t="str">
        <f t="shared" si="36"/>
        <v/>
      </c>
      <c r="CD23" s="910"/>
      <c r="CE23" s="717"/>
      <c r="CF23" s="736"/>
      <c r="CG23" s="737"/>
      <c r="CH23" s="591" t="str">
        <f t="shared" si="37"/>
        <v/>
      </c>
      <c r="CI23" s="592" t="str">
        <f t="shared" si="38"/>
        <v/>
      </c>
      <c r="CJ23" s="593" t="str">
        <f t="shared" si="39"/>
        <v/>
      </c>
      <c r="CK23" s="594" t="str">
        <f t="shared" si="40"/>
        <v/>
      </c>
      <c r="CL23" s="595" t="str">
        <f t="shared" si="41"/>
        <v/>
      </c>
      <c r="CM23" s="596" t="str">
        <f t="shared" si="42"/>
        <v/>
      </c>
      <c r="CN23" s="597" t="str">
        <f t="shared" si="43"/>
        <v/>
      </c>
      <c r="CO23" s="598" t="str">
        <f t="shared" si="44"/>
        <v/>
      </c>
      <c r="CP23" s="615" t="str">
        <f t="shared" si="45"/>
        <v/>
      </c>
      <c r="CQ23" s="616" t="str">
        <f t="shared" si="46"/>
        <v/>
      </c>
      <c r="CR23" s="750" t="str">
        <f t="shared" si="47"/>
        <v/>
      </c>
      <c r="CS23" s="751" t="str">
        <f t="shared" si="48"/>
        <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49"/>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50"/>
        <v>0</v>
      </c>
      <c r="DO23" s="818">
        <f t="shared" si="51"/>
        <v>0</v>
      </c>
      <c r="DP23" s="822" t="str">
        <f t="shared" si="52"/>
        <v/>
      </c>
      <c r="DQ23" s="822" t="str">
        <f t="shared" si="53"/>
        <v/>
      </c>
      <c r="DR23" s="822" t="str">
        <f t="shared" si="54"/>
        <v/>
      </c>
      <c r="DS23" s="821">
        <f t="shared" si="55"/>
        <v>0</v>
      </c>
      <c r="DT23" s="821">
        <f t="shared" si="56"/>
        <v>0</v>
      </c>
      <c r="DU23" s="821" t="str">
        <f t="shared" si="57"/>
        <v/>
      </c>
      <c r="DV23" s="822" t="str">
        <f t="shared" si="58"/>
        <v/>
      </c>
      <c r="DW23" s="856" t="str">
        <f t="shared" si="59"/>
        <v/>
      </c>
      <c r="DX23" s="1006">
        <f t="shared" si="60"/>
        <v>0</v>
      </c>
      <c r="DY23" s="822">
        <f t="shared" si="61"/>
        <v>0</v>
      </c>
      <c r="DZ23" s="821">
        <f t="shared" si="62"/>
        <v>0</v>
      </c>
      <c r="EA23" s="821" t="str">
        <f t="shared" si="63"/>
        <v/>
      </c>
      <c r="EB23" s="822" t="str">
        <f t="shared" si="64"/>
        <v/>
      </c>
      <c r="EC23" s="856" t="str">
        <f t="shared" si="65"/>
        <v/>
      </c>
      <c r="ED23" s="1006">
        <f t="shared" si="66"/>
        <v>0</v>
      </c>
      <c r="EE23" s="1293" t="str">
        <f t="shared" si="67"/>
        <v/>
      </c>
      <c r="EF23" s="1293" t="str">
        <f t="shared" si="68"/>
        <v/>
      </c>
      <c r="EG23" s="1293" t="str">
        <f t="shared" si="69"/>
        <v/>
      </c>
      <c r="EH23" s="856" t="e">
        <f t="shared" si="70"/>
        <v>#N/A</v>
      </c>
      <c r="EI23" s="856" t="e">
        <f t="shared" si="71"/>
        <v>#N/A</v>
      </c>
      <c r="EJ23" s="822" t="str">
        <f t="shared" si="72"/>
        <v/>
      </c>
      <c r="EK23" s="822" t="str">
        <f t="shared" si="72"/>
        <v/>
      </c>
      <c r="EL23" s="1293" t="str">
        <f t="shared" si="73"/>
        <v/>
      </c>
      <c r="EM23" s="822" t="str">
        <f t="shared" si="74"/>
        <v/>
      </c>
      <c r="EN23" s="822" t="str">
        <f t="shared" si="75"/>
        <v/>
      </c>
      <c r="EO23" s="856" t="e">
        <f t="shared" si="76"/>
        <v>#N/A</v>
      </c>
      <c r="EP23" s="856" t="e">
        <f t="shared" si="77"/>
        <v>#N/A</v>
      </c>
      <c r="EQ23" s="1293" t="str">
        <f t="shared" si="78"/>
        <v/>
      </c>
      <c r="ER23" s="822" t="str">
        <f t="shared" si="78"/>
        <v/>
      </c>
      <c r="ES23" s="822" t="str">
        <f t="shared" si="79"/>
        <v/>
      </c>
      <c r="ET23" s="822" t="str">
        <f t="shared" si="80"/>
        <v/>
      </c>
      <c r="EU23" s="829" t="str">
        <f t="shared" si="81"/>
        <v/>
      </c>
      <c r="EV23" s="824" t="str">
        <f t="shared" si="82"/>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83"/>
        <v/>
      </c>
      <c r="FA23" s="829" t="str">
        <f>IF(AND(DE23="G", ISBLANK(BW23), ISBLANK(BX23)),VLOOKUP(MIN(BT23:BU23),TblJoistSize!$M$3:$N$10,2),IF(OR(DE23="B", DE23="G"),MIN(BW23:BX23),""))</f>
        <v/>
      </c>
      <c r="FB23" s="829" t="str">
        <f>IF(AND(DE23="G", ISBLANK(BW23), ISBLANK(BX23)),VLOOKUP(MAX(BT23:BU23),TblJoistSize!$M$3:$N$10,2),IF(OR(DE23="B", DE23="G"),MAX(BW23:BX23),""))</f>
        <v/>
      </c>
      <c r="FC23" s="829" t="str">
        <f t="shared" si="84"/>
        <v/>
      </c>
      <c r="FD23" s="821">
        <f t="shared" si="107"/>
        <v>0</v>
      </c>
      <c r="FE23" s="821">
        <f t="shared" si="85"/>
        <v>0</v>
      </c>
      <c r="FF23" s="821">
        <f t="shared" si="86"/>
        <v>0</v>
      </c>
      <c r="FG23" s="821" t="str">
        <f t="shared" si="87"/>
        <v/>
      </c>
      <c r="FH23" s="822" t="str">
        <f t="shared" si="88"/>
        <v/>
      </c>
      <c r="FI23" s="821">
        <f t="shared" si="108"/>
        <v>0</v>
      </c>
      <c r="FJ23" s="821">
        <f t="shared" si="89"/>
        <v>0</v>
      </c>
      <c r="FK23" s="821">
        <f t="shared" si="90"/>
        <v>0</v>
      </c>
      <c r="FL23" s="821" t="str">
        <f t="shared" si="91"/>
        <v/>
      </c>
      <c r="FM23" s="822" t="str">
        <f t="shared" si="92"/>
        <v/>
      </c>
      <c r="FN23" s="822" t="e">
        <f t="shared" si="93"/>
        <v>#VALUE!</v>
      </c>
      <c r="FO23" s="940" t="e">
        <f t="shared" si="94"/>
        <v>#VALUE!</v>
      </c>
      <c r="FP23" s="940" t="e">
        <f t="shared" si="95"/>
        <v>#VALUE!</v>
      </c>
      <c r="FQ23" s="830" t="e">
        <f t="shared" si="96"/>
        <v>#VALUE!</v>
      </c>
      <c r="FR23" s="831" t="e">
        <f t="shared" si="97"/>
        <v>#VALUE!</v>
      </c>
      <c r="FS23" s="832" t="str">
        <f t="shared" si="98"/>
        <v/>
      </c>
      <c r="FT23" s="833" t="str">
        <f t="shared" si="99"/>
        <v/>
      </c>
      <c r="FU23" s="870">
        <f t="shared" si="100"/>
        <v>0</v>
      </c>
      <c r="FV23" s="871">
        <f t="shared" si="101"/>
        <v>0</v>
      </c>
      <c r="GA23" s="1791" t="str">
        <f t="shared" ref="GA23:GA45" si="119">IF(GF23="","",BE23)</f>
        <v/>
      </c>
      <c r="GB23" s="1792" t="str">
        <f t="shared" ref="GB23:GB45" si="120">IF(GF23="","",BF23)</f>
        <v/>
      </c>
      <c r="GC23" s="1793" t="str">
        <f t="shared" ref="GC23:GC45" si="121">IF(GF23="","",IF(CV23="",0,CV23))</f>
        <v/>
      </c>
      <c r="GD23" s="1794" t="str">
        <f t="shared" ref="GD23:GD45" si="122">IF(GF23="","",IF(DF23="",0,DF23))</f>
        <v/>
      </c>
      <c r="GE23" s="1795" t="str">
        <f t="shared" si="102"/>
        <v/>
      </c>
      <c r="GF23" s="600" t="str">
        <f t="shared" si="103"/>
        <v/>
      </c>
      <c r="GG23" s="1130"/>
      <c r="GH23" s="1131"/>
      <c r="GI23" s="1130"/>
      <c r="GJ23" s="1131"/>
      <c r="GK23" s="1638">
        <f t="shared" si="104"/>
        <v>0</v>
      </c>
      <c r="GL23" s="1636" t="e">
        <f t="shared" si="105"/>
        <v>#VALUE!</v>
      </c>
      <c r="GM23" s="1637" t="e">
        <f>IF(ABS(GK23-GL23)&gt;='Job Info.'!$L$22,ABS(GK23-GL23),0)</f>
        <v>#VALUE!</v>
      </c>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1448" t="str">
        <f t="shared" si="109"/>
        <v/>
      </c>
      <c r="B24" s="1681"/>
      <c r="C24" s="1449" t="str">
        <f t="shared" si="110"/>
        <v/>
      </c>
      <c r="D24" s="1705" t="str">
        <f t="shared" si="111"/>
        <v/>
      </c>
      <c r="E24" s="1706" t="str">
        <f t="shared" si="112"/>
        <v/>
      </c>
      <c r="F24" s="1714" t="str">
        <f t="shared" si="1"/>
        <v/>
      </c>
      <c r="G24" s="1709" t="str">
        <f t="shared" si="2"/>
        <v/>
      </c>
      <c r="H24" s="1779" t="str">
        <f t="shared" si="3"/>
        <v/>
      </c>
      <c r="I24" s="1705" t="str">
        <f t="shared" si="4"/>
        <v/>
      </c>
      <c r="J24" s="1709" t="str">
        <f t="shared" si="5"/>
        <v/>
      </c>
      <c r="K24" s="1796" t="str">
        <f t="shared" si="6"/>
        <v/>
      </c>
      <c r="L24" s="1712" t="str">
        <f t="shared" si="113"/>
        <v/>
      </c>
      <c r="M24" s="1713" t="str">
        <f t="shared" si="113"/>
        <v/>
      </c>
      <c r="N24" s="1708" t="str">
        <f t="shared" si="7"/>
        <v/>
      </c>
      <c r="O24" s="1709" t="str">
        <f t="shared" si="8"/>
        <v/>
      </c>
      <c r="P24" s="1710" t="str">
        <f t="shared" si="9"/>
        <v/>
      </c>
      <c r="Q24" s="1705" t="str">
        <f t="shared" si="10"/>
        <v/>
      </c>
      <c r="R24" s="1709" t="str">
        <f t="shared" si="11"/>
        <v/>
      </c>
      <c r="S24" s="1711" t="str">
        <f t="shared" si="12"/>
        <v/>
      </c>
      <c r="T24" s="1714" t="str">
        <f t="shared" si="114"/>
        <v/>
      </c>
      <c r="U24" s="1709" t="str">
        <f t="shared" si="115"/>
        <v/>
      </c>
      <c r="V24" s="1705" t="str">
        <f t="shared" si="116"/>
        <v/>
      </c>
      <c r="W24" s="1709" t="str">
        <f t="shared" si="117"/>
        <v/>
      </c>
      <c r="X24" s="1713">
        <f t="shared" si="118"/>
        <v>0</v>
      </c>
      <c r="Y24" s="1781" t="str">
        <f t="shared" si="13"/>
        <v/>
      </c>
      <c r="Z24" s="1782" t="str">
        <f t="shared" si="14"/>
        <v/>
      </c>
      <c r="AA24" s="1783" t="s">
        <v>116</v>
      </c>
      <c r="AB24" s="1413"/>
      <c r="AC24" s="964" t="b">
        <v>0</v>
      </c>
      <c r="AD24" s="441">
        <f t="shared" si="15"/>
        <v>0</v>
      </c>
      <c r="AE24" s="442">
        <f t="shared" si="16"/>
        <v>0</v>
      </c>
      <c r="AF24" s="442">
        <f t="shared" si="17"/>
        <v>0</v>
      </c>
      <c r="AG24" s="442">
        <f t="shared" si="18"/>
        <v>0</v>
      </c>
      <c r="AH24" s="443">
        <f t="shared" si="19"/>
        <v>0</v>
      </c>
      <c r="AI24" s="444" t="b">
        <v>0</v>
      </c>
      <c r="AJ24" s="238">
        <f t="shared" si="20"/>
        <v>0</v>
      </c>
      <c r="AK24" s="830" t="str">
        <f t="shared" si="21"/>
        <v/>
      </c>
      <c r="AL24" s="945" t="str">
        <f t="shared" si="22"/>
        <v/>
      </c>
      <c r="AM24" s="830" t="str">
        <f t="shared" si="23"/>
        <v/>
      </c>
      <c r="AN24" s="830" t="str">
        <f t="shared" si="24"/>
        <v/>
      </c>
      <c r="AO24" s="830" t="str">
        <f t="shared" si="25"/>
        <v/>
      </c>
      <c r="AP24" s="830" t="b">
        <f>IF(ISERROR(AJ24),FALSE,IF(OR(AJ24=0,ISERROR(AL24),ISERROR(AM24),ISERROR(AN24),ISERROR(AO24)),FALSE,IF(AL24&lt;&gt;"",IF(ISERROR(VLOOKUP(SUBSTITUTE(SUBSTITUTE(C24,"R",""),"A",""),TblJoistSize!$A:$A,1,FALSE)),FALSE,TRUE),TRUE)))</f>
        <v>0</v>
      </c>
      <c r="AQ24" s="1038" t="e">
        <f t="shared" si="26"/>
        <v>#N/A</v>
      </c>
      <c r="AR24" s="945" t="b">
        <f t="shared" si="27"/>
        <v>0</v>
      </c>
      <c r="AS24" s="1038" t="e">
        <f t="shared" si="28"/>
        <v>#N/A</v>
      </c>
      <c r="AT24" s="945" t="b">
        <f t="shared" si="29"/>
        <v>0</v>
      </c>
      <c r="AU24" s="946" t="str">
        <f t="shared" si="30"/>
        <v/>
      </c>
      <c r="AV24" s="830" t="str">
        <f t="shared" si="31"/>
        <v/>
      </c>
      <c r="AW24" s="830" t="str">
        <f t="shared" si="32"/>
        <v/>
      </c>
      <c r="AX24" s="830" t="str">
        <f t="shared" si="106"/>
        <v/>
      </c>
      <c r="AY24" s="1039" t="b">
        <f t="shared" si="33"/>
        <v>0</v>
      </c>
      <c r="AZ24" s="856" t="str">
        <f t="shared" si="34"/>
        <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35"/>
        <v/>
      </c>
      <c r="BR24" s="910"/>
      <c r="BS24" s="672"/>
      <c r="BT24" s="713"/>
      <c r="BU24" s="714"/>
      <c r="BV24" s="1625"/>
      <c r="BW24" s="713"/>
      <c r="BX24" s="714"/>
      <c r="BY24" s="715"/>
      <c r="BZ24" s="716"/>
      <c r="CA24" s="680" t="str">
        <f>IF(ISERROR(DE24),"",IF(DE24="","",IF(VLOOKUP(BS24,SectInfo!$B:$N,10,FALSE)="","","X")))</f>
        <v/>
      </c>
      <c r="CB24" s="738"/>
      <c r="CC24" s="1551" t="str">
        <f t="shared" si="36"/>
        <v/>
      </c>
      <c r="CD24" s="910"/>
      <c r="CE24" s="717"/>
      <c r="CF24" s="736"/>
      <c r="CG24" s="737"/>
      <c r="CH24" s="591" t="str">
        <f t="shared" si="37"/>
        <v/>
      </c>
      <c r="CI24" s="592" t="str">
        <f t="shared" si="38"/>
        <v/>
      </c>
      <c r="CJ24" s="593" t="str">
        <f t="shared" si="39"/>
        <v/>
      </c>
      <c r="CK24" s="594" t="str">
        <f t="shared" si="40"/>
        <v/>
      </c>
      <c r="CL24" s="595" t="str">
        <f t="shared" si="41"/>
        <v/>
      </c>
      <c r="CM24" s="596" t="str">
        <f t="shared" si="42"/>
        <v/>
      </c>
      <c r="CN24" s="597" t="str">
        <f t="shared" si="43"/>
        <v/>
      </c>
      <c r="CO24" s="598" t="str">
        <f t="shared" si="44"/>
        <v/>
      </c>
      <c r="CP24" s="615" t="str">
        <f t="shared" si="45"/>
        <v/>
      </c>
      <c r="CQ24" s="616" t="str">
        <f t="shared" si="46"/>
        <v/>
      </c>
      <c r="CR24" s="750" t="str">
        <f t="shared" si="47"/>
        <v/>
      </c>
      <c r="CS24" s="751" t="str">
        <f t="shared" si="48"/>
        <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49"/>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50"/>
        <v>0</v>
      </c>
      <c r="DO24" s="818">
        <f t="shared" si="51"/>
        <v>0</v>
      </c>
      <c r="DP24" s="822" t="str">
        <f t="shared" si="52"/>
        <v/>
      </c>
      <c r="DQ24" s="822" t="str">
        <f t="shared" si="53"/>
        <v/>
      </c>
      <c r="DR24" s="822" t="str">
        <f t="shared" si="54"/>
        <v/>
      </c>
      <c r="DS24" s="821">
        <f t="shared" si="55"/>
        <v>0</v>
      </c>
      <c r="DT24" s="821">
        <f t="shared" si="56"/>
        <v>0</v>
      </c>
      <c r="DU24" s="821" t="str">
        <f t="shared" si="57"/>
        <v/>
      </c>
      <c r="DV24" s="822" t="str">
        <f t="shared" si="58"/>
        <v/>
      </c>
      <c r="DW24" s="856" t="str">
        <f t="shared" si="59"/>
        <v/>
      </c>
      <c r="DX24" s="1006">
        <f t="shared" si="60"/>
        <v>0</v>
      </c>
      <c r="DY24" s="822">
        <f t="shared" si="61"/>
        <v>0</v>
      </c>
      <c r="DZ24" s="821">
        <f t="shared" si="62"/>
        <v>0</v>
      </c>
      <c r="EA24" s="821" t="str">
        <f t="shared" si="63"/>
        <v/>
      </c>
      <c r="EB24" s="822" t="str">
        <f t="shared" si="64"/>
        <v/>
      </c>
      <c r="EC24" s="856" t="str">
        <f t="shared" si="65"/>
        <v/>
      </c>
      <c r="ED24" s="1006">
        <f t="shared" si="66"/>
        <v>0</v>
      </c>
      <c r="EE24" s="1293" t="str">
        <f t="shared" si="67"/>
        <v/>
      </c>
      <c r="EF24" s="1293" t="str">
        <f t="shared" si="68"/>
        <v/>
      </c>
      <c r="EG24" s="1293" t="str">
        <f t="shared" si="69"/>
        <v/>
      </c>
      <c r="EH24" s="856" t="e">
        <f t="shared" si="70"/>
        <v>#N/A</v>
      </c>
      <c r="EI24" s="856" t="e">
        <f t="shared" si="71"/>
        <v>#N/A</v>
      </c>
      <c r="EJ24" s="822" t="str">
        <f t="shared" si="72"/>
        <v/>
      </c>
      <c r="EK24" s="822" t="str">
        <f t="shared" si="72"/>
        <v/>
      </c>
      <c r="EL24" s="1293" t="str">
        <f t="shared" si="73"/>
        <v/>
      </c>
      <c r="EM24" s="822" t="str">
        <f t="shared" si="74"/>
        <v/>
      </c>
      <c r="EN24" s="822" t="str">
        <f t="shared" si="75"/>
        <v/>
      </c>
      <c r="EO24" s="856" t="e">
        <f t="shared" si="76"/>
        <v>#N/A</v>
      </c>
      <c r="EP24" s="856" t="e">
        <f t="shared" si="77"/>
        <v>#N/A</v>
      </c>
      <c r="EQ24" s="1293" t="str">
        <f t="shared" si="78"/>
        <v/>
      </c>
      <c r="ER24" s="822" t="str">
        <f t="shared" si="78"/>
        <v/>
      </c>
      <c r="ES24" s="822" t="str">
        <f t="shared" si="79"/>
        <v/>
      </c>
      <c r="ET24" s="822" t="str">
        <f t="shared" si="80"/>
        <v/>
      </c>
      <c r="EU24" s="829" t="str">
        <f t="shared" si="81"/>
        <v/>
      </c>
      <c r="EV24" s="824" t="str">
        <f t="shared" si="82"/>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83"/>
        <v/>
      </c>
      <c r="FA24" s="829" t="str">
        <f>IF(AND(DE24="G", ISBLANK(BW24), ISBLANK(BX24)),VLOOKUP(MIN(BT24:BU24),TblJoistSize!$M$3:$N$10,2),IF(OR(DE24="B", DE24="G"),MIN(BW24:BX24),""))</f>
        <v/>
      </c>
      <c r="FB24" s="829" t="str">
        <f>IF(AND(DE24="G", ISBLANK(BW24), ISBLANK(BX24)),VLOOKUP(MAX(BT24:BU24),TblJoistSize!$M$3:$N$10,2),IF(OR(DE24="B", DE24="G"),MAX(BW24:BX24),""))</f>
        <v/>
      </c>
      <c r="FC24" s="829" t="str">
        <f t="shared" si="84"/>
        <v/>
      </c>
      <c r="FD24" s="821">
        <f t="shared" si="107"/>
        <v>0</v>
      </c>
      <c r="FE24" s="821">
        <f t="shared" si="85"/>
        <v>0</v>
      </c>
      <c r="FF24" s="821">
        <f t="shared" si="86"/>
        <v>0</v>
      </c>
      <c r="FG24" s="821" t="str">
        <f t="shared" si="87"/>
        <v/>
      </c>
      <c r="FH24" s="822" t="str">
        <f t="shared" si="88"/>
        <v/>
      </c>
      <c r="FI24" s="821">
        <f t="shared" si="108"/>
        <v>0</v>
      </c>
      <c r="FJ24" s="821">
        <f t="shared" si="89"/>
        <v>0</v>
      </c>
      <c r="FK24" s="821">
        <f t="shared" si="90"/>
        <v>0</v>
      </c>
      <c r="FL24" s="821" t="str">
        <f t="shared" si="91"/>
        <v/>
      </c>
      <c r="FM24" s="822" t="str">
        <f t="shared" si="92"/>
        <v/>
      </c>
      <c r="FN24" s="822" t="e">
        <f t="shared" si="93"/>
        <v>#VALUE!</v>
      </c>
      <c r="FO24" s="940" t="e">
        <f t="shared" si="94"/>
        <v>#VALUE!</v>
      </c>
      <c r="FP24" s="940" t="e">
        <f t="shared" si="95"/>
        <v>#VALUE!</v>
      </c>
      <c r="FQ24" s="830" t="e">
        <f t="shared" si="96"/>
        <v>#VALUE!</v>
      </c>
      <c r="FR24" s="831" t="e">
        <f t="shared" si="97"/>
        <v>#VALUE!</v>
      </c>
      <c r="FS24" s="832" t="str">
        <f t="shared" si="98"/>
        <v/>
      </c>
      <c r="FT24" s="833" t="str">
        <f t="shared" si="99"/>
        <v/>
      </c>
      <c r="FU24" s="870">
        <f t="shared" si="100"/>
        <v>0</v>
      </c>
      <c r="FV24" s="871">
        <f t="shared" si="101"/>
        <v>0</v>
      </c>
      <c r="GA24" s="1791" t="str">
        <f t="shared" si="119"/>
        <v/>
      </c>
      <c r="GB24" s="1792" t="str">
        <f t="shared" si="120"/>
        <v/>
      </c>
      <c r="GC24" s="1793" t="str">
        <f t="shared" si="121"/>
        <v/>
      </c>
      <c r="GD24" s="1794" t="str">
        <f t="shared" si="122"/>
        <v/>
      </c>
      <c r="GE24" s="1795" t="str">
        <f t="shared" si="102"/>
        <v/>
      </c>
      <c r="GF24" s="600" t="str">
        <f t="shared" si="103"/>
        <v/>
      </c>
      <c r="GG24" s="1130"/>
      <c r="GH24" s="1131"/>
      <c r="GI24" s="1130"/>
      <c r="GJ24" s="1131"/>
      <c r="GK24" s="1638">
        <f t="shared" si="104"/>
        <v>0</v>
      </c>
      <c r="GL24" s="1636" t="e">
        <f t="shared" si="105"/>
        <v>#VALUE!</v>
      </c>
      <c r="GM24" s="1637" t="e">
        <f>IF(ABS(GK24-GL24)&gt;='Job Info.'!$L$22,ABS(GK24-GL24),0)</f>
        <v>#VALUE!</v>
      </c>
      <c r="HA24" s="1269"/>
      <c r="HB24" s="1270"/>
      <c r="HC24" s="1270"/>
      <c r="HD24" s="1271"/>
      <c r="HE24" s="1272"/>
      <c r="HF24" s="1270"/>
      <c r="HG24" s="1270"/>
      <c r="HH24" s="1270"/>
      <c r="HI24" s="1273"/>
      <c r="HJ24" s="1270"/>
      <c r="HK24" s="1270"/>
      <c r="HL24" s="1270"/>
      <c r="HM24" s="1270"/>
      <c r="HN24" s="1270"/>
      <c r="HO24" s="1270"/>
      <c r="HP24" s="1270"/>
      <c r="HQ24" s="1273"/>
      <c r="HR24" s="1270"/>
      <c r="HS24" s="1270"/>
      <c r="HT24" s="1270"/>
      <c r="HU24" s="1270"/>
      <c r="HV24" s="1270"/>
      <c r="HW24" s="1272"/>
      <c r="HX24" s="1272"/>
      <c r="HY24" s="1272"/>
      <c r="HZ24" s="1272"/>
      <c r="IA24" s="1272"/>
      <c r="IB24" s="1272"/>
      <c r="IC24" s="1272"/>
      <c r="ID24" s="1272"/>
      <c r="IE24" s="1272"/>
      <c r="IF24" s="1274"/>
    </row>
    <row r="25" spans="1:240" ht="12.6" customHeight="1" x14ac:dyDescent="0.25">
      <c r="A25" s="1448" t="str">
        <f t="shared" si="109"/>
        <v/>
      </c>
      <c r="B25" s="1681"/>
      <c r="C25" s="1449" t="str">
        <f t="shared" si="110"/>
        <v/>
      </c>
      <c r="D25" s="1705" t="str">
        <f t="shared" si="111"/>
        <v/>
      </c>
      <c r="E25" s="1706" t="str">
        <f t="shared" si="112"/>
        <v/>
      </c>
      <c r="F25" s="1714" t="str">
        <f t="shared" si="1"/>
        <v/>
      </c>
      <c r="G25" s="1709" t="str">
        <f t="shared" si="2"/>
        <v/>
      </c>
      <c r="H25" s="1779" t="str">
        <f t="shared" si="3"/>
        <v/>
      </c>
      <c r="I25" s="1705" t="str">
        <f t="shared" si="4"/>
        <v/>
      </c>
      <c r="J25" s="1709" t="str">
        <f t="shared" si="5"/>
        <v/>
      </c>
      <c r="K25" s="1796" t="str">
        <f t="shared" si="6"/>
        <v/>
      </c>
      <c r="L25" s="1712" t="str">
        <f t="shared" si="113"/>
        <v/>
      </c>
      <c r="M25" s="1713" t="str">
        <f t="shared" si="113"/>
        <v/>
      </c>
      <c r="N25" s="1708" t="str">
        <f t="shared" si="7"/>
        <v/>
      </c>
      <c r="O25" s="1709" t="str">
        <f t="shared" si="8"/>
        <v/>
      </c>
      <c r="P25" s="1710" t="str">
        <f t="shared" si="9"/>
        <v/>
      </c>
      <c r="Q25" s="1705" t="str">
        <f t="shared" si="10"/>
        <v/>
      </c>
      <c r="R25" s="1709" t="str">
        <f t="shared" si="11"/>
        <v/>
      </c>
      <c r="S25" s="1711" t="str">
        <f t="shared" si="12"/>
        <v/>
      </c>
      <c r="T25" s="1714" t="str">
        <f t="shared" si="114"/>
        <v/>
      </c>
      <c r="U25" s="1709" t="str">
        <f t="shared" si="115"/>
        <v/>
      </c>
      <c r="V25" s="1705" t="str">
        <f t="shared" si="116"/>
        <v/>
      </c>
      <c r="W25" s="1709" t="str">
        <f t="shared" si="117"/>
        <v/>
      </c>
      <c r="X25" s="1713">
        <f t="shared" si="118"/>
        <v>0</v>
      </c>
      <c r="Y25" s="1781" t="str">
        <f t="shared" si="13"/>
        <v/>
      </c>
      <c r="Z25" s="1782" t="str">
        <f t="shared" si="14"/>
        <v/>
      </c>
      <c r="AA25" s="1783" t="s">
        <v>116</v>
      </c>
      <c r="AB25" s="1413"/>
      <c r="AC25" s="964" t="b">
        <v>0</v>
      </c>
      <c r="AD25" s="441">
        <f t="shared" si="15"/>
        <v>0</v>
      </c>
      <c r="AE25" s="442">
        <f t="shared" si="16"/>
        <v>0</v>
      </c>
      <c r="AF25" s="442">
        <f t="shared" si="17"/>
        <v>0</v>
      </c>
      <c r="AG25" s="442">
        <f t="shared" si="18"/>
        <v>0</v>
      </c>
      <c r="AH25" s="443">
        <f t="shared" si="19"/>
        <v>0</v>
      </c>
      <c r="AI25" s="444" t="b">
        <v>0</v>
      </c>
      <c r="AJ25" s="238">
        <f t="shared" si="20"/>
        <v>0</v>
      </c>
      <c r="AK25" s="830" t="str">
        <f t="shared" si="21"/>
        <v/>
      </c>
      <c r="AL25" s="945" t="str">
        <f t="shared" si="22"/>
        <v/>
      </c>
      <c r="AM25" s="830" t="str">
        <f t="shared" si="23"/>
        <v/>
      </c>
      <c r="AN25" s="830" t="str">
        <f t="shared" si="24"/>
        <v/>
      </c>
      <c r="AO25" s="830" t="str">
        <f t="shared" si="25"/>
        <v/>
      </c>
      <c r="AP25" s="830" t="b">
        <f>IF(ISERROR(AJ25),FALSE,IF(OR(AJ25=0,ISERROR(AL25),ISERROR(AM25),ISERROR(AN25),ISERROR(AO25)),FALSE,IF(AL25&lt;&gt;"",IF(ISERROR(VLOOKUP(SUBSTITUTE(SUBSTITUTE(C25,"R",""),"A",""),TblJoistSize!$A:$A,1,FALSE)),FALSE,TRUE),TRUE)))</f>
        <v>0</v>
      </c>
      <c r="AQ25" s="1038" t="e">
        <f t="shared" si="26"/>
        <v>#N/A</v>
      </c>
      <c r="AR25" s="945" t="b">
        <f t="shared" si="27"/>
        <v>0</v>
      </c>
      <c r="AS25" s="1038" t="e">
        <f t="shared" si="28"/>
        <v>#N/A</v>
      </c>
      <c r="AT25" s="945" t="b">
        <f t="shared" si="29"/>
        <v>0</v>
      </c>
      <c r="AU25" s="946" t="str">
        <f t="shared" si="30"/>
        <v/>
      </c>
      <c r="AV25" s="830" t="str">
        <f t="shared" si="31"/>
        <v/>
      </c>
      <c r="AW25" s="830" t="str">
        <f t="shared" si="32"/>
        <v/>
      </c>
      <c r="AX25" s="830" t="str">
        <f t="shared" si="106"/>
        <v/>
      </c>
      <c r="AY25" s="1039" t="b">
        <f t="shared" si="33"/>
        <v>0</v>
      </c>
      <c r="AZ25" s="856" t="str">
        <f t="shared" si="34"/>
        <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35"/>
        <v/>
      </c>
      <c r="BR25" s="910"/>
      <c r="BS25" s="672"/>
      <c r="BT25" s="713"/>
      <c r="BU25" s="714"/>
      <c r="BV25" s="1625"/>
      <c r="BW25" s="713"/>
      <c r="BX25" s="714"/>
      <c r="BY25" s="715"/>
      <c r="BZ25" s="716"/>
      <c r="CA25" s="680" t="str">
        <f>IF(ISERROR(DE25),"",IF(DE25="","",IF(VLOOKUP(BS25,SectInfo!$B:$N,10,FALSE)="","","X")))</f>
        <v/>
      </c>
      <c r="CB25" s="738"/>
      <c r="CC25" s="1551" t="str">
        <f t="shared" si="36"/>
        <v/>
      </c>
      <c r="CD25" s="910"/>
      <c r="CE25" s="717"/>
      <c r="CF25" s="736"/>
      <c r="CG25" s="737"/>
      <c r="CH25" s="591" t="str">
        <f t="shared" si="37"/>
        <v/>
      </c>
      <c r="CI25" s="592" t="str">
        <f t="shared" si="38"/>
        <v/>
      </c>
      <c r="CJ25" s="593" t="str">
        <f t="shared" si="39"/>
        <v/>
      </c>
      <c r="CK25" s="594" t="str">
        <f t="shared" si="40"/>
        <v/>
      </c>
      <c r="CL25" s="595" t="str">
        <f t="shared" si="41"/>
        <v/>
      </c>
      <c r="CM25" s="596" t="str">
        <f t="shared" si="42"/>
        <v/>
      </c>
      <c r="CN25" s="597" t="str">
        <f t="shared" si="43"/>
        <v/>
      </c>
      <c r="CO25" s="598" t="str">
        <f t="shared" si="44"/>
        <v/>
      </c>
      <c r="CP25" s="615" t="str">
        <f t="shared" si="45"/>
        <v/>
      </c>
      <c r="CQ25" s="616" t="str">
        <f t="shared" si="46"/>
        <v/>
      </c>
      <c r="CR25" s="750" t="str">
        <f t="shared" si="47"/>
        <v/>
      </c>
      <c r="CS25" s="751" t="str">
        <f t="shared" si="48"/>
        <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49"/>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50"/>
        <v>0</v>
      </c>
      <c r="DO25" s="818">
        <f t="shared" si="51"/>
        <v>0</v>
      </c>
      <c r="DP25" s="822" t="str">
        <f t="shared" si="52"/>
        <v/>
      </c>
      <c r="DQ25" s="822" t="str">
        <f t="shared" si="53"/>
        <v/>
      </c>
      <c r="DR25" s="822" t="str">
        <f t="shared" si="54"/>
        <v/>
      </c>
      <c r="DS25" s="821">
        <f t="shared" si="55"/>
        <v>0</v>
      </c>
      <c r="DT25" s="821">
        <f t="shared" si="56"/>
        <v>0</v>
      </c>
      <c r="DU25" s="821" t="str">
        <f t="shared" si="57"/>
        <v/>
      </c>
      <c r="DV25" s="822" t="str">
        <f t="shared" si="58"/>
        <v/>
      </c>
      <c r="DW25" s="856" t="str">
        <f t="shared" si="59"/>
        <v/>
      </c>
      <c r="DX25" s="1006">
        <f t="shared" si="60"/>
        <v>0</v>
      </c>
      <c r="DY25" s="822">
        <f t="shared" si="61"/>
        <v>0</v>
      </c>
      <c r="DZ25" s="821">
        <f t="shared" si="62"/>
        <v>0</v>
      </c>
      <c r="EA25" s="821" t="str">
        <f t="shared" si="63"/>
        <v/>
      </c>
      <c r="EB25" s="822" t="str">
        <f t="shared" si="64"/>
        <v/>
      </c>
      <c r="EC25" s="856" t="str">
        <f t="shared" si="65"/>
        <v/>
      </c>
      <c r="ED25" s="1006">
        <f t="shared" si="66"/>
        <v>0</v>
      </c>
      <c r="EE25" s="1293" t="str">
        <f t="shared" si="67"/>
        <v/>
      </c>
      <c r="EF25" s="1293" t="str">
        <f t="shared" si="68"/>
        <v/>
      </c>
      <c r="EG25" s="1293" t="str">
        <f t="shared" si="69"/>
        <v/>
      </c>
      <c r="EH25" s="856" t="e">
        <f t="shared" si="70"/>
        <v>#N/A</v>
      </c>
      <c r="EI25" s="856" t="e">
        <f t="shared" si="71"/>
        <v>#N/A</v>
      </c>
      <c r="EJ25" s="822" t="str">
        <f t="shared" si="72"/>
        <v/>
      </c>
      <c r="EK25" s="822" t="str">
        <f t="shared" si="72"/>
        <v/>
      </c>
      <c r="EL25" s="1293" t="str">
        <f t="shared" si="73"/>
        <v/>
      </c>
      <c r="EM25" s="822" t="str">
        <f t="shared" si="74"/>
        <v/>
      </c>
      <c r="EN25" s="822" t="str">
        <f t="shared" si="75"/>
        <v/>
      </c>
      <c r="EO25" s="856" t="e">
        <f t="shared" si="76"/>
        <v>#N/A</v>
      </c>
      <c r="EP25" s="856" t="e">
        <f t="shared" si="77"/>
        <v>#N/A</v>
      </c>
      <c r="EQ25" s="1293" t="str">
        <f t="shared" si="78"/>
        <v/>
      </c>
      <c r="ER25" s="822" t="str">
        <f t="shared" si="78"/>
        <v/>
      </c>
      <c r="ES25" s="822" t="str">
        <f t="shared" si="79"/>
        <v/>
      </c>
      <c r="ET25" s="822" t="str">
        <f t="shared" si="80"/>
        <v/>
      </c>
      <c r="EU25" s="829" t="str">
        <f t="shared" si="81"/>
        <v/>
      </c>
      <c r="EV25" s="824" t="str">
        <f t="shared" si="82"/>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83"/>
        <v/>
      </c>
      <c r="FA25" s="829" t="str">
        <f>IF(AND(DE25="G", ISBLANK(BW25), ISBLANK(BX25)),VLOOKUP(MIN(BT25:BU25),TblJoistSize!$M$3:$N$10,2),IF(OR(DE25="B", DE25="G"),MIN(BW25:BX25),""))</f>
        <v/>
      </c>
      <c r="FB25" s="829" t="str">
        <f>IF(AND(DE25="G", ISBLANK(BW25), ISBLANK(BX25)),VLOOKUP(MAX(BT25:BU25),TblJoistSize!$M$3:$N$10,2),IF(OR(DE25="B", DE25="G"),MAX(BW25:BX25),""))</f>
        <v/>
      </c>
      <c r="FC25" s="829" t="str">
        <f t="shared" si="84"/>
        <v/>
      </c>
      <c r="FD25" s="821">
        <f t="shared" si="107"/>
        <v>0</v>
      </c>
      <c r="FE25" s="821">
        <f t="shared" si="85"/>
        <v>0</v>
      </c>
      <c r="FF25" s="821">
        <f t="shared" si="86"/>
        <v>0</v>
      </c>
      <c r="FG25" s="821" t="str">
        <f t="shared" si="87"/>
        <v/>
      </c>
      <c r="FH25" s="822" t="str">
        <f t="shared" si="88"/>
        <v/>
      </c>
      <c r="FI25" s="821">
        <f t="shared" si="108"/>
        <v>0</v>
      </c>
      <c r="FJ25" s="821">
        <f t="shared" si="89"/>
        <v>0</v>
      </c>
      <c r="FK25" s="821">
        <f t="shared" si="90"/>
        <v>0</v>
      </c>
      <c r="FL25" s="821" t="str">
        <f t="shared" si="91"/>
        <v/>
      </c>
      <c r="FM25" s="822" t="str">
        <f t="shared" si="92"/>
        <v/>
      </c>
      <c r="FN25" s="822" t="e">
        <f t="shared" si="93"/>
        <v>#VALUE!</v>
      </c>
      <c r="FO25" s="940" t="e">
        <f t="shared" si="94"/>
        <v>#VALUE!</v>
      </c>
      <c r="FP25" s="940" t="e">
        <f t="shared" si="95"/>
        <v>#VALUE!</v>
      </c>
      <c r="FQ25" s="830" t="e">
        <f t="shared" si="96"/>
        <v>#VALUE!</v>
      </c>
      <c r="FR25" s="831" t="e">
        <f t="shared" si="97"/>
        <v>#VALUE!</v>
      </c>
      <c r="FS25" s="832" t="str">
        <f t="shared" si="98"/>
        <v/>
      </c>
      <c r="FT25" s="833" t="str">
        <f t="shared" si="99"/>
        <v/>
      </c>
      <c r="FU25" s="870">
        <f t="shared" si="100"/>
        <v>0</v>
      </c>
      <c r="FV25" s="871">
        <f t="shared" si="101"/>
        <v>0</v>
      </c>
      <c r="GA25" s="1791" t="str">
        <f t="shared" si="119"/>
        <v/>
      </c>
      <c r="GB25" s="1792" t="str">
        <f t="shared" si="120"/>
        <v/>
      </c>
      <c r="GC25" s="1793" t="str">
        <f t="shared" si="121"/>
        <v/>
      </c>
      <c r="GD25" s="1794" t="str">
        <f t="shared" si="122"/>
        <v/>
      </c>
      <c r="GE25" s="1795" t="str">
        <f t="shared" si="102"/>
        <v/>
      </c>
      <c r="GF25" s="600" t="str">
        <f t="shared" si="103"/>
        <v/>
      </c>
      <c r="GG25" s="1130"/>
      <c r="GH25" s="1131"/>
      <c r="GI25" s="1130"/>
      <c r="GJ25" s="1131"/>
      <c r="GK25" s="1638">
        <f t="shared" si="104"/>
        <v>0</v>
      </c>
      <c r="GL25" s="1636" t="e">
        <f t="shared" si="105"/>
        <v>#VALUE!</v>
      </c>
      <c r="GM25" s="1637" t="e">
        <f>IF(ABS(GK25-GL25)&gt;='Job Info.'!$L$22,ABS(GK25-GL25),0)</f>
        <v>#VALUE!</v>
      </c>
      <c r="HA25" s="1269"/>
      <c r="HB25" s="1270"/>
      <c r="HC25" s="1270"/>
      <c r="HD25" s="1271"/>
      <c r="HE25" s="1272"/>
      <c r="HF25" s="1270"/>
      <c r="HG25" s="1270"/>
      <c r="HH25" s="1270"/>
      <c r="HI25" s="1273"/>
      <c r="HJ25" s="1270"/>
      <c r="HK25" s="1270"/>
      <c r="HL25" s="1270"/>
      <c r="HM25" s="1270"/>
      <c r="HN25" s="1270"/>
      <c r="HO25" s="1270"/>
      <c r="HP25" s="1270"/>
      <c r="HQ25" s="1273"/>
      <c r="HR25" s="1270"/>
      <c r="HS25" s="1270"/>
      <c r="HT25" s="1270"/>
      <c r="HU25" s="1270"/>
      <c r="HV25" s="1270"/>
      <c r="HW25" s="1272"/>
      <c r="HX25" s="1272"/>
      <c r="HY25" s="1272"/>
      <c r="HZ25" s="1272"/>
      <c r="IA25" s="1272"/>
      <c r="IB25" s="1272"/>
      <c r="IC25" s="1272"/>
      <c r="ID25" s="1272"/>
      <c r="IE25" s="1272"/>
      <c r="IF25" s="1274"/>
    </row>
    <row r="26" spans="1:240" ht="12.6" customHeight="1" x14ac:dyDescent="0.25">
      <c r="A26" s="1448" t="str">
        <f t="shared" si="109"/>
        <v/>
      </c>
      <c r="B26" s="1681"/>
      <c r="C26" s="1449" t="str">
        <f t="shared" si="110"/>
        <v/>
      </c>
      <c r="D26" s="1705" t="str">
        <f t="shared" si="111"/>
        <v/>
      </c>
      <c r="E26" s="1706" t="str">
        <f t="shared" si="112"/>
        <v/>
      </c>
      <c r="F26" s="1714" t="str">
        <f t="shared" si="1"/>
        <v/>
      </c>
      <c r="G26" s="1709" t="str">
        <f t="shared" si="2"/>
        <v/>
      </c>
      <c r="H26" s="1779" t="str">
        <f t="shared" si="3"/>
        <v/>
      </c>
      <c r="I26" s="1705" t="str">
        <f t="shared" si="4"/>
        <v/>
      </c>
      <c r="J26" s="1709" t="str">
        <f t="shared" si="5"/>
        <v/>
      </c>
      <c r="K26" s="1796" t="str">
        <f t="shared" si="6"/>
        <v/>
      </c>
      <c r="L26" s="1712" t="str">
        <f t="shared" si="113"/>
        <v/>
      </c>
      <c r="M26" s="1713" t="str">
        <f t="shared" si="113"/>
        <v/>
      </c>
      <c r="N26" s="1708" t="str">
        <f t="shared" si="7"/>
        <v/>
      </c>
      <c r="O26" s="1709" t="str">
        <f t="shared" si="8"/>
        <v/>
      </c>
      <c r="P26" s="1710" t="str">
        <f t="shared" si="9"/>
        <v/>
      </c>
      <c r="Q26" s="1705" t="str">
        <f t="shared" si="10"/>
        <v/>
      </c>
      <c r="R26" s="1709" t="str">
        <f t="shared" si="11"/>
        <v/>
      </c>
      <c r="S26" s="1711" t="str">
        <f t="shared" si="12"/>
        <v/>
      </c>
      <c r="T26" s="1714" t="str">
        <f t="shared" si="114"/>
        <v/>
      </c>
      <c r="U26" s="1709" t="str">
        <f t="shared" si="115"/>
        <v/>
      </c>
      <c r="V26" s="1705" t="str">
        <f t="shared" si="116"/>
        <v/>
      </c>
      <c r="W26" s="1709" t="str">
        <f t="shared" si="117"/>
        <v/>
      </c>
      <c r="X26" s="1713">
        <f t="shared" si="118"/>
        <v>0</v>
      </c>
      <c r="Y26" s="1781" t="str">
        <f t="shared" si="13"/>
        <v/>
      </c>
      <c r="Z26" s="1782" t="str">
        <f t="shared" si="14"/>
        <v/>
      </c>
      <c r="AA26" s="1783" t="s">
        <v>116</v>
      </c>
      <c r="AB26" s="1413"/>
      <c r="AC26" s="964" t="b">
        <v>0</v>
      </c>
      <c r="AD26" s="441">
        <f t="shared" si="15"/>
        <v>0</v>
      </c>
      <c r="AE26" s="442">
        <f t="shared" si="16"/>
        <v>0</v>
      </c>
      <c r="AF26" s="442">
        <f t="shared" si="17"/>
        <v>0</v>
      </c>
      <c r="AG26" s="442">
        <f t="shared" si="18"/>
        <v>0</v>
      </c>
      <c r="AH26" s="443">
        <f t="shared" si="19"/>
        <v>0</v>
      </c>
      <c r="AI26" s="444" t="b">
        <v>0</v>
      </c>
      <c r="AJ26" s="238">
        <f t="shared" si="20"/>
        <v>0</v>
      </c>
      <c r="AK26" s="830" t="str">
        <f t="shared" si="21"/>
        <v/>
      </c>
      <c r="AL26" s="945" t="str">
        <f t="shared" si="22"/>
        <v/>
      </c>
      <c r="AM26" s="830" t="str">
        <f t="shared" si="23"/>
        <v/>
      </c>
      <c r="AN26" s="830" t="str">
        <f t="shared" si="24"/>
        <v/>
      </c>
      <c r="AO26" s="830" t="str">
        <f t="shared" si="25"/>
        <v/>
      </c>
      <c r="AP26" s="830" t="b">
        <f>IF(ISERROR(AJ26),FALSE,IF(OR(AJ26=0,ISERROR(AL26),ISERROR(AM26),ISERROR(AN26),ISERROR(AO26)),FALSE,IF(AL26&lt;&gt;"",IF(ISERROR(VLOOKUP(SUBSTITUTE(SUBSTITUTE(C26,"R",""),"A",""),TblJoistSize!$A:$A,1,FALSE)),FALSE,TRUE),TRUE)))</f>
        <v>0</v>
      </c>
      <c r="AQ26" s="1038" t="e">
        <f t="shared" si="26"/>
        <v>#N/A</v>
      </c>
      <c r="AR26" s="945" t="b">
        <f t="shared" si="27"/>
        <v>0</v>
      </c>
      <c r="AS26" s="1038" t="e">
        <f t="shared" si="28"/>
        <v>#N/A</v>
      </c>
      <c r="AT26" s="945" t="b">
        <f t="shared" si="29"/>
        <v>0</v>
      </c>
      <c r="AU26" s="946" t="str">
        <f t="shared" si="30"/>
        <v/>
      </c>
      <c r="AV26" s="830" t="str">
        <f t="shared" si="31"/>
        <v/>
      </c>
      <c r="AW26" s="830" t="str">
        <f t="shared" si="32"/>
        <v/>
      </c>
      <c r="AX26" s="830" t="str">
        <f t="shared" si="106"/>
        <v/>
      </c>
      <c r="AY26" s="1039" t="b">
        <f t="shared" si="33"/>
        <v>0</v>
      </c>
      <c r="AZ26" s="856" t="str">
        <f t="shared" si="34"/>
        <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35"/>
        <v/>
      </c>
      <c r="BR26" s="910"/>
      <c r="BS26" s="672"/>
      <c r="BT26" s="713"/>
      <c r="BU26" s="714"/>
      <c r="BV26" s="1625"/>
      <c r="BW26" s="713"/>
      <c r="BX26" s="714"/>
      <c r="BY26" s="715"/>
      <c r="BZ26" s="716"/>
      <c r="CA26" s="680" t="str">
        <f>IF(ISERROR(DE26),"",IF(DE26="","",IF(VLOOKUP(BS26,SectInfo!$B:$N,10,FALSE)="","","X")))</f>
        <v/>
      </c>
      <c r="CB26" s="738"/>
      <c r="CC26" s="1551" t="str">
        <f t="shared" si="36"/>
        <v/>
      </c>
      <c r="CD26" s="910"/>
      <c r="CE26" s="717"/>
      <c r="CF26" s="736"/>
      <c r="CG26" s="737"/>
      <c r="CH26" s="591" t="str">
        <f t="shared" si="37"/>
        <v/>
      </c>
      <c r="CI26" s="592" t="str">
        <f t="shared" si="38"/>
        <v/>
      </c>
      <c r="CJ26" s="593" t="str">
        <f t="shared" si="39"/>
        <v/>
      </c>
      <c r="CK26" s="594" t="str">
        <f t="shared" si="40"/>
        <v/>
      </c>
      <c r="CL26" s="595" t="str">
        <f t="shared" si="41"/>
        <v/>
      </c>
      <c r="CM26" s="596" t="str">
        <f t="shared" si="42"/>
        <v/>
      </c>
      <c r="CN26" s="597" t="str">
        <f t="shared" si="43"/>
        <v/>
      </c>
      <c r="CO26" s="598" t="str">
        <f t="shared" si="44"/>
        <v/>
      </c>
      <c r="CP26" s="615" t="str">
        <f t="shared" si="45"/>
        <v/>
      </c>
      <c r="CQ26" s="616" t="str">
        <f t="shared" si="46"/>
        <v/>
      </c>
      <c r="CR26" s="750" t="str">
        <f t="shared" si="47"/>
        <v/>
      </c>
      <c r="CS26" s="751" t="str">
        <f t="shared" si="48"/>
        <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49"/>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50"/>
        <v>0</v>
      </c>
      <c r="DO26" s="818">
        <f t="shared" si="51"/>
        <v>0</v>
      </c>
      <c r="DP26" s="822" t="str">
        <f t="shared" si="52"/>
        <v/>
      </c>
      <c r="DQ26" s="822" t="str">
        <f t="shared" si="53"/>
        <v/>
      </c>
      <c r="DR26" s="822" t="str">
        <f t="shared" si="54"/>
        <v/>
      </c>
      <c r="DS26" s="821">
        <f t="shared" si="55"/>
        <v>0</v>
      </c>
      <c r="DT26" s="821">
        <f t="shared" si="56"/>
        <v>0</v>
      </c>
      <c r="DU26" s="821" t="str">
        <f t="shared" si="57"/>
        <v/>
      </c>
      <c r="DV26" s="822" t="str">
        <f t="shared" si="58"/>
        <v/>
      </c>
      <c r="DW26" s="856" t="str">
        <f t="shared" si="59"/>
        <v/>
      </c>
      <c r="DX26" s="1006">
        <f t="shared" si="60"/>
        <v>0</v>
      </c>
      <c r="DY26" s="822">
        <f t="shared" si="61"/>
        <v>0</v>
      </c>
      <c r="DZ26" s="821">
        <f t="shared" si="62"/>
        <v>0</v>
      </c>
      <c r="EA26" s="821" t="str">
        <f t="shared" si="63"/>
        <v/>
      </c>
      <c r="EB26" s="822" t="str">
        <f t="shared" si="64"/>
        <v/>
      </c>
      <c r="EC26" s="856" t="str">
        <f t="shared" si="65"/>
        <v/>
      </c>
      <c r="ED26" s="1006">
        <f t="shared" si="66"/>
        <v>0</v>
      </c>
      <c r="EE26" s="1293" t="str">
        <f t="shared" si="67"/>
        <v/>
      </c>
      <c r="EF26" s="1293" t="str">
        <f t="shared" si="68"/>
        <v/>
      </c>
      <c r="EG26" s="1293" t="str">
        <f t="shared" si="69"/>
        <v/>
      </c>
      <c r="EH26" s="856" t="e">
        <f t="shared" si="70"/>
        <v>#N/A</v>
      </c>
      <c r="EI26" s="856" t="e">
        <f t="shared" si="71"/>
        <v>#N/A</v>
      </c>
      <c r="EJ26" s="822" t="str">
        <f t="shared" si="72"/>
        <v/>
      </c>
      <c r="EK26" s="822" t="str">
        <f t="shared" si="72"/>
        <v/>
      </c>
      <c r="EL26" s="1293" t="str">
        <f t="shared" si="73"/>
        <v/>
      </c>
      <c r="EM26" s="822" t="str">
        <f t="shared" si="74"/>
        <v/>
      </c>
      <c r="EN26" s="822" t="str">
        <f t="shared" si="75"/>
        <v/>
      </c>
      <c r="EO26" s="856" t="e">
        <f t="shared" si="76"/>
        <v>#N/A</v>
      </c>
      <c r="EP26" s="856" t="e">
        <f t="shared" si="77"/>
        <v>#N/A</v>
      </c>
      <c r="EQ26" s="1293" t="str">
        <f t="shared" si="78"/>
        <v/>
      </c>
      <c r="ER26" s="822" t="str">
        <f t="shared" si="78"/>
        <v/>
      </c>
      <c r="ES26" s="822" t="str">
        <f t="shared" si="79"/>
        <v/>
      </c>
      <c r="ET26" s="822" t="str">
        <f t="shared" si="80"/>
        <v/>
      </c>
      <c r="EU26" s="829" t="str">
        <f t="shared" si="81"/>
        <v/>
      </c>
      <c r="EV26" s="824" t="str">
        <f t="shared" si="82"/>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83"/>
        <v/>
      </c>
      <c r="FA26" s="829" t="str">
        <f>IF(AND(DE26="G", ISBLANK(BW26), ISBLANK(BX26)),VLOOKUP(MIN(BT26:BU26),TblJoistSize!$M$3:$N$10,2),IF(OR(DE26="B", DE26="G"),MIN(BW26:BX26),""))</f>
        <v/>
      </c>
      <c r="FB26" s="829" t="str">
        <f>IF(AND(DE26="G", ISBLANK(BW26), ISBLANK(BX26)),VLOOKUP(MAX(BT26:BU26),TblJoistSize!$M$3:$N$10,2),IF(OR(DE26="B", DE26="G"),MAX(BW26:BX26),""))</f>
        <v/>
      </c>
      <c r="FC26" s="829" t="str">
        <f t="shared" si="84"/>
        <v/>
      </c>
      <c r="FD26" s="821">
        <f t="shared" si="107"/>
        <v>0</v>
      </c>
      <c r="FE26" s="821">
        <f t="shared" si="85"/>
        <v>0</v>
      </c>
      <c r="FF26" s="821">
        <f t="shared" si="86"/>
        <v>0</v>
      </c>
      <c r="FG26" s="821" t="str">
        <f t="shared" si="87"/>
        <v/>
      </c>
      <c r="FH26" s="822" t="str">
        <f t="shared" si="88"/>
        <v/>
      </c>
      <c r="FI26" s="821">
        <f t="shared" si="108"/>
        <v>0</v>
      </c>
      <c r="FJ26" s="821">
        <f t="shared" si="89"/>
        <v>0</v>
      </c>
      <c r="FK26" s="821">
        <f t="shared" si="90"/>
        <v>0</v>
      </c>
      <c r="FL26" s="821" t="str">
        <f t="shared" si="91"/>
        <v/>
      </c>
      <c r="FM26" s="822" t="str">
        <f t="shared" si="92"/>
        <v/>
      </c>
      <c r="FN26" s="822" t="e">
        <f t="shared" si="93"/>
        <v>#VALUE!</v>
      </c>
      <c r="FO26" s="940" t="e">
        <f t="shared" si="94"/>
        <v>#VALUE!</v>
      </c>
      <c r="FP26" s="940" t="e">
        <f t="shared" si="95"/>
        <v>#VALUE!</v>
      </c>
      <c r="FQ26" s="830" t="e">
        <f t="shared" si="96"/>
        <v>#VALUE!</v>
      </c>
      <c r="FR26" s="831" t="e">
        <f t="shared" si="97"/>
        <v>#VALUE!</v>
      </c>
      <c r="FS26" s="832" t="str">
        <f t="shared" si="98"/>
        <v/>
      </c>
      <c r="FT26" s="833" t="str">
        <f t="shared" si="99"/>
        <v/>
      </c>
      <c r="FU26" s="870">
        <f t="shared" si="100"/>
        <v>0</v>
      </c>
      <c r="FV26" s="871">
        <f t="shared" si="101"/>
        <v>0</v>
      </c>
      <c r="GA26" s="1791" t="str">
        <f t="shared" si="119"/>
        <v/>
      </c>
      <c r="GB26" s="1792" t="str">
        <f t="shared" si="120"/>
        <v/>
      </c>
      <c r="GC26" s="1793" t="str">
        <f t="shared" si="121"/>
        <v/>
      </c>
      <c r="GD26" s="1794" t="str">
        <f t="shared" si="122"/>
        <v/>
      </c>
      <c r="GE26" s="1795" t="str">
        <f t="shared" si="102"/>
        <v/>
      </c>
      <c r="GF26" s="600" t="str">
        <f t="shared" si="103"/>
        <v/>
      </c>
      <c r="GG26" s="1130"/>
      <c r="GH26" s="1131"/>
      <c r="GI26" s="1130"/>
      <c r="GJ26" s="1131"/>
      <c r="GK26" s="1638">
        <f t="shared" si="104"/>
        <v>0</v>
      </c>
      <c r="GL26" s="1636" t="e">
        <f t="shared" si="105"/>
        <v>#VALUE!</v>
      </c>
      <c r="GM26" s="1637" t="e">
        <f>IF(ABS(GK26-GL26)&gt;='Job Info.'!$L$22,ABS(GK26-GL26),0)</f>
        <v>#VALUE!</v>
      </c>
      <c r="HA26" s="1269"/>
      <c r="HB26" s="1270"/>
      <c r="HC26" s="1270"/>
      <c r="HD26" s="1271"/>
      <c r="HE26" s="1272"/>
      <c r="HF26" s="1270"/>
      <c r="HG26" s="1270"/>
      <c r="HH26" s="1270"/>
      <c r="HI26" s="1273"/>
      <c r="HJ26" s="1270"/>
      <c r="HK26" s="1270"/>
      <c r="HL26" s="1270"/>
      <c r="HM26" s="1270"/>
      <c r="HN26" s="1270"/>
      <c r="HO26" s="1270"/>
      <c r="HP26" s="1270"/>
      <c r="HQ26" s="1273"/>
      <c r="HR26" s="1270"/>
      <c r="HS26" s="1270"/>
      <c r="HT26" s="1270"/>
      <c r="HU26" s="1270"/>
      <c r="HV26" s="1270"/>
      <c r="HW26" s="1272"/>
      <c r="HX26" s="1272"/>
      <c r="HY26" s="1272"/>
      <c r="HZ26" s="1272"/>
      <c r="IA26" s="1272"/>
      <c r="IB26" s="1272"/>
      <c r="IC26" s="1272"/>
      <c r="ID26" s="1272"/>
      <c r="IE26" s="1272"/>
      <c r="IF26" s="1274"/>
    </row>
    <row r="27" spans="1:240" ht="12.6" customHeight="1" x14ac:dyDescent="0.25">
      <c r="A27" s="1448" t="str">
        <f t="shared" si="109"/>
        <v/>
      </c>
      <c r="B27" s="1681"/>
      <c r="C27" s="1449" t="str">
        <f t="shared" si="110"/>
        <v/>
      </c>
      <c r="D27" s="1705" t="str">
        <f t="shared" si="111"/>
        <v/>
      </c>
      <c r="E27" s="1706" t="str">
        <f t="shared" si="112"/>
        <v/>
      </c>
      <c r="F27" s="1714" t="str">
        <f t="shared" si="1"/>
        <v/>
      </c>
      <c r="G27" s="1709" t="str">
        <f t="shared" si="2"/>
        <v/>
      </c>
      <c r="H27" s="1779" t="str">
        <f t="shared" si="3"/>
        <v/>
      </c>
      <c r="I27" s="1705" t="str">
        <f t="shared" si="4"/>
        <v/>
      </c>
      <c r="J27" s="1709" t="str">
        <f t="shared" si="5"/>
        <v/>
      </c>
      <c r="K27" s="1796" t="str">
        <f t="shared" si="6"/>
        <v/>
      </c>
      <c r="L27" s="1712" t="str">
        <f t="shared" si="113"/>
        <v/>
      </c>
      <c r="M27" s="1713" t="str">
        <f t="shared" si="113"/>
        <v/>
      </c>
      <c r="N27" s="1708" t="str">
        <f t="shared" si="7"/>
        <v/>
      </c>
      <c r="O27" s="1709" t="str">
        <f t="shared" si="8"/>
        <v/>
      </c>
      <c r="P27" s="1710" t="str">
        <f t="shared" si="9"/>
        <v/>
      </c>
      <c r="Q27" s="1705" t="str">
        <f t="shared" si="10"/>
        <v/>
      </c>
      <c r="R27" s="1709" t="str">
        <f t="shared" si="11"/>
        <v/>
      </c>
      <c r="S27" s="1711" t="str">
        <f t="shared" si="12"/>
        <v/>
      </c>
      <c r="T27" s="1714" t="str">
        <f t="shared" si="114"/>
        <v/>
      </c>
      <c r="U27" s="1709" t="str">
        <f t="shared" si="115"/>
        <v/>
      </c>
      <c r="V27" s="1705" t="str">
        <f t="shared" si="116"/>
        <v/>
      </c>
      <c r="W27" s="1709" t="str">
        <f t="shared" si="117"/>
        <v/>
      </c>
      <c r="X27" s="1713">
        <f t="shared" si="118"/>
        <v>0</v>
      </c>
      <c r="Y27" s="1781" t="str">
        <f t="shared" si="13"/>
        <v/>
      </c>
      <c r="Z27" s="1782" t="str">
        <f t="shared" si="14"/>
        <v/>
      </c>
      <c r="AA27" s="1783" t="s">
        <v>116</v>
      </c>
      <c r="AB27" s="1413"/>
      <c r="AC27" s="964" t="b">
        <v>0</v>
      </c>
      <c r="AD27" s="441">
        <f t="shared" si="15"/>
        <v>0</v>
      </c>
      <c r="AE27" s="442">
        <f t="shared" si="16"/>
        <v>0</v>
      </c>
      <c r="AF27" s="442">
        <f t="shared" si="17"/>
        <v>0</v>
      </c>
      <c r="AG27" s="442">
        <f t="shared" si="18"/>
        <v>0</v>
      </c>
      <c r="AH27" s="443">
        <f t="shared" si="19"/>
        <v>0</v>
      </c>
      <c r="AI27" s="444" t="b">
        <v>0</v>
      </c>
      <c r="AJ27" s="238">
        <f t="shared" si="20"/>
        <v>0</v>
      </c>
      <c r="AK27" s="830" t="str">
        <f t="shared" si="21"/>
        <v/>
      </c>
      <c r="AL27" s="945" t="str">
        <f t="shared" si="22"/>
        <v/>
      </c>
      <c r="AM27" s="830" t="str">
        <f t="shared" si="23"/>
        <v/>
      </c>
      <c r="AN27" s="830" t="str">
        <f t="shared" si="24"/>
        <v/>
      </c>
      <c r="AO27" s="830" t="str">
        <f t="shared" si="25"/>
        <v/>
      </c>
      <c r="AP27" s="830" t="b">
        <f>IF(ISERROR(AJ27),FALSE,IF(OR(AJ27=0,ISERROR(AL27),ISERROR(AM27),ISERROR(AN27),ISERROR(AO27)),FALSE,IF(AL27&lt;&gt;"",IF(ISERROR(VLOOKUP(SUBSTITUTE(SUBSTITUTE(C27,"R",""),"A",""),TblJoistSize!$A:$A,1,FALSE)),FALSE,TRUE),TRUE)))</f>
        <v>0</v>
      </c>
      <c r="AQ27" s="1038" t="e">
        <f t="shared" si="26"/>
        <v>#N/A</v>
      </c>
      <c r="AR27" s="945" t="b">
        <f t="shared" si="27"/>
        <v>0</v>
      </c>
      <c r="AS27" s="1038" t="e">
        <f t="shared" si="28"/>
        <v>#N/A</v>
      </c>
      <c r="AT27" s="945" t="b">
        <f t="shared" si="29"/>
        <v>0</v>
      </c>
      <c r="AU27" s="946" t="str">
        <f t="shared" si="30"/>
        <v/>
      </c>
      <c r="AV27" s="830" t="str">
        <f t="shared" si="31"/>
        <v/>
      </c>
      <c r="AW27" s="830" t="str">
        <f t="shared" si="32"/>
        <v/>
      </c>
      <c r="AX27" s="830" t="str">
        <f t="shared" si="106"/>
        <v/>
      </c>
      <c r="AY27" s="1039" t="b">
        <f t="shared" si="33"/>
        <v>0</v>
      </c>
      <c r="AZ27" s="856" t="str">
        <f t="shared" si="34"/>
        <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35"/>
        <v/>
      </c>
      <c r="BR27" s="910"/>
      <c r="BS27" s="672"/>
      <c r="BT27" s="713"/>
      <c r="BU27" s="714"/>
      <c r="BV27" s="1625"/>
      <c r="BW27" s="713"/>
      <c r="BX27" s="714"/>
      <c r="BY27" s="715"/>
      <c r="BZ27" s="716"/>
      <c r="CA27" s="680" t="str">
        <f>IF(ISERROR(DE27),"",IF(DE27="","",IF(VLOOKUP(BS27,SectInfo!$B:$N,10,FALSE)="","","X")))</f>
        <v/>
      </c>
      <c r="CB27" s="738"/>
      <c r="CC27" s="1551" t="str">
        <f t="shared" si="36"/>
        <v/>
      </c>
      <c r="CD27" s="910"/>
      <c r="CE27" s="717"/>
      <c r="CF27" s="736"/>
      <c r="CG27" s="737"/>
      <c r="CH27" s="591" t="str">
        <f t="shared" si="37"/>
        <v/>
      </c>
      <c r="CI27" s="592" t="str">
        <f t="shared" si="38"/>
        <v/>
      </c>
      <c r="CJ27" s="593" t="str">
        <f t="shared" si="39"/>
        <v/>
      </c>
      <c r="CK27" s="594" t="str">
        <f t="shared" si="40"/>
        <v/>
      </c>
      <c r="CL27" s="595" t="str">
        <f t="shared" si="41"/>
        <v/>
      </c>
      <c r="CM27" s="596" t="str">
        <f t="shared" si="42"/>
        <v/>
      </c>
      <c r="CN27" s="597" t="str">
        <f t="shared" si="43"/>
        <v/>
      </c>
      <c r="CO27" s="598" t="str">
        <f t="shared" si="44"/>
        <v/>
      </c>
      <c r="CP27" s="615" t="str">
        <f t="shared" si="45"/>
        <v/>
      </c>
      <c r="CQ27" s="616" t="str">
        <f t="shared" si="46"/>
        <v/>
      </c>
      <c r="CR27" s="750" t="str">
        <f t="shared" si="47"/>
        <v/>
      </c>
      <c r="CS27" s="751" t="str">
        <f t="shared" si="48"/>
        <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49"/>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50"/>
        <v>0</v>
      </c>
      <c r="DO27" s="818">
        <f t="shared" si="51"/>
        <v>0</v>
      </c>
      <c r="DP27" s="822" t="str">
        <f t="shared" si="52"/>
        <v/>
      </c>
      <c r="DQ27" s="822" t="str">
        <f t="shared" si="53"/>
        <v/>
      </c>
      <c r="DR27" s="822" t="str">
        <f t="shared" si="54"/>
        <v/>
      </c>
      <c r="DS27" s="821">
        <f t="shared" si="55"/>
        <v>0</v>
      </c>
      <c r="DT27" s="821">
        <f t="shared" si="56"/>
        <v>0</v>
      </c>
      <c r="DU27" s="821" t="str">
        <f t="shared" si="57"/>
        <v/>
      </c>
      <c r="DV27" s="822" t="str">
        <f t="shared" si="58"/>
        <v/>
      </c>
      <c r="DW27" s="856" t="str">
        <f t="shared" si="59"/>
        <v/>
      </c>
      <c r="DX27" s="1006">
        <f t="shared" si="60"/>
        <v>0</v>
      </c>
      <c r="DY27" s="822">
        <f t="shared" si="61"/>
        <v>0</v>
      </c>
      <c r="DZ27" s="821">
        <f t="shared" si="62"/>
        <v>0</v>
      </c>
      <c r="EA27" s="821" t="str">
        <f t="shared" si="63"/>
        <v/>
      </c>
      <c r="EB27" s="822" t="str">
        <f t="shared" si="64"/>
        <v/>
      </c>
      <c r="EC27" s="856" t="str">
        <f t="shared" si="65"/>
        <v/>
      </c>
      <c r="ED27" s="1006">
        <f t="shared" si="66"/>
        <v>0</v>
      </c>
      <c r="EE27" s="1293" t="str">
        <f t="shared" si="67"/>
        <v/>
      </c>
      <c r="EF27" s="1293" t="str">
        <f t="shared" si="68"/>
        <v/>
      </c>
      <c r="EG27" s="1293" t="str">
        <f t="shared" si="69"/>
        <v/>
      </c>
      <c r="EH27" s="856" t="e">
        <f t="shared" si="70"/>
        <v>#N/A</v>
      </c>
      <c r="EI27" s="856" t="e">
        <f t="shared" si="71"/>
        <v>#N/A</v>
      </c>
      <c r="EJ27" s="822" t="str">
        <f t="shared" si="72"/>
        <v/>
      </c>
      <c r="EK27" s="822" t="str">
        <f t="shared" si="72"/>
        <v/>
      </c>
      <c r="EL27" s="1293" t="str">
        <f t="shared" si="73"/>
        <v/>
      </c>
      <c r="EM27" s="822" t="str">
        <f t="shared" si="74"/>
        <v/>
      </c>
      <c r="EN27" s="822" t="str">
        <f t="shared" si="75"/>
        <v/>
      </c>
      <c r="EO27" s="856" t="e">
        <f t="shared" si="76"/>
        <v>#N/A</v>
      </c>
      <c r="EP27" s="856" t="e">
        <f t="shared" si="77"/>
        <v>#N/A</v>
      </c>
      <c r="EQ27" s="1293" t="str">
        <f t="shared" si="78"/>
        <v/>
      </c>
      <c r="ER27" s="822" t="str">
        <f t="shared" si="78"/>
        <v/>
      </c>
      <c r="ES27" s="822" t="str">
        <f t="shared" si="79"/>
        <v/>
      </c>
      <c r="ET27" s="822" t="str">
        <f t="shared" si="80"/>
        <v/>
      </c>
      <c r="EU27" s="829" t="str">
        <f t="shared" si="81"/>
        <v/>
      </c>
      <c r="EV27" s="824" t="str">
        <f t="shared" si="82"/>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83"/>
        <v/>
      </c>
      <c r="FA27" s="829" t="str">
        <f>IF(AND(DE27="G", ISBLANK(BW27), ISBLANK(BX27)),VLOOKUP(MIN(BT27:BU27),TblJoistSize!$M$3:$N$10,2),IF(OR(DE27="B", DE27="G"),MIN(BW27:BX27),""))</f>
        <v/>
      </c>
      <c r="FB27" s="829" t="str">
        <f>IF(AND(DE27="G", ISBLANK(BW27), ISBLANK(BX27)),VLOOKUP(MAX(BT27:BU27),TblJoistSize!$M$3:$N$10,2),IF(OR(DE27="B", DE27="G"),MAX(BW27:BX27),""))</f>
        <v/>
      </c>
      <c r="FC27" s="829" t="str">
        <f t="shared" si="84"/>
        <v/>
      </c>
      <c r="FD27" s="821">
        <f t="shared" si="107"/>
        <v>0</v>
      </c>
      <c r="FE27" s="821">
        <f t="shared" si="85"/>
        <v>0</v>
      </c>
      <c r="FF27" s="821">
        <f t="shared" si="86"/>
        <v>0</v>
      </c>
      <c r="FG27" s="821" t="str">
        <f t="shared" si="87"/>
        <v/>
      </c>
      <c r="FH27" s="822" t="str">
        <f t="shared" si="88"/>
        <v/>
      </c>
      <c r="FI27" s="821">
        <f t="shared" si="108"/>
        <v>0</v>
      </c>
      <c r="FJ27" s="821">
        <f t="shared" si="89"/>
        <v>0</v>
      </c>
      <c r="FK27" s="821">
        <f t="shared" si="90"/>
        <v>0</v>
      </c>
      <c r="FL27" s="821" t="str">
        <f t="shared" si="91"/>
        <v/>
      </c>
      <c r="FM27" s="822" t="str">
        <f t="shared" si="92"/>
        <v/>
      </c>
      <c r="FN27" s="822" t="e">
        <f t="shared" si="93"/>
        <v>#VALUE!</v>
      </c>
      <c r="FO27" s="940" t="e">
        <f t="shared" si="94"/>
        <v>#VALUE!</v>
      </c>
      <c r="FP27" s="940" t="e">
        <f t="shared" si="95"/>
        <v>#VALUE!</v>
      </c>
      <c r="FQ27" s="830" t="e">
        <f t="shared" si="96"/>
        <v>#VALUE!</v>
      </c>
      <c r="FR27" s="831" t="e">
        <f t="shared" si="97"/>
        <v>#VALUE!</v>
      </c>
      <c r="FS27" s="832" t="str">
        <f t="shared" si="98"/>
        <v/>
      </c>
      <c r="FT27" s="833" t="str">
        <f t="shared" si="99"/>
        <v/>
      </c>
      <c r="FU27" s="870">
        <f t="shared" si="100"/>
        <v>0</v>
      </c>
      <c r="FV27" s="871">
        <f t="shared" si="101"/>
        <v>0</v>
      </c>
      <c r="GA27" s="1791" t="str">
        <f t="shared" si="119"/>
        <v/>
      </c>
      <c r="GB27" s="1792" t="str">
        <f t="shared" si="120"/>
        <v/>
      </c>
      <c r="GC27" s="1793" t="str">
        <f t="shared" si="121"/>
        <v/>
      </c>
      <c r="GD27" s="1794" t="str">
        <f t="shared" si="122"/>
        <v/>
      </c>
      <c r="GE27" s="1795" t="str">
        <f t="shared" si="102"/>
        <v/>
      </c>
      <c r="GF27" s="600" t="str">
        <f t="shared" si="103"/>
        <v/>
      </c>
      <c r="GG27" s="1130"/>
      <c r="GH27" s="1131"/>
      <c r="GI27" s="1130"/>
      <c r="GJ27" s="1131"/>
      <c r="GK27" s="1638">
        <f t="shared" si="104"/>
        <v>0</v>
      </c>
      <c r="GL27" s="1636" t="e">
        <f t="shared" si="105"/>
        <v>#VALUE!</v>
      </c>
      <c r="GM27" s="1637" t="e">
        <f>IF(ABS(GK27-GL27)&gt;='Job Info.'!$L$22,ABS(GK27-GL27),0)</f>
        <v>#VALUE!</v>
      </c>
      <c r="HA27" s="1269"/>
      <c r="HB27" s="1270"/>
      <c r="HC27" s="1270"/>
      <c r="HD27" s="1271"/>
      <c r="HE27" s="1272"/>
      <c r="HF27" s="1270"/>
      <c r="HG27" s="1270"/>
      <c r="HH27" s="1270"/>
      <c r="HI27" s="1273"/>
      <c r="HJ27" s="1270"/>
      <c r="HK27" s="1270"/>
      <c r="HL27" s="1270"/>
      <c r="HM27" s="1270"/>
      <c r="HN27" s="1270"/>
      <c r="HO27" s="1270"/>
      <c r="HP27" s="1270"/>
      <c r="HQ27" s="1273"/>
      <c r="HR27" s="1270"/>
      <c r="HS27" s="1270"/>
      <c r="HT27" s="1270"/>
      <c r="HU27" s="1270"/>
      <c r="HV27" s="1270"/>
      <c r="HW27" s="1272"/>
      <c r="HX27" s="1272"/>
      <c r="HY27" s="1272"/>
      <c r="HZ27" s="1272"/>
      <c r="IA27" s="1272"/>
      <c r="IB27" s="1272"/>
      <c r="IC27" s="1272"/>
      <c r="ID27" s="1272"/>
      <c r="IE27" s="1272"/>
      <c r="IF27" s="1274"/>
    </row>
    <row r="28" spans="1:240" ht="12.6" customHeight="1" x14ac:dyDescent="0.25">
      <c r="A28" s="1448" t="str">
        <f t="shared" si="109"/>
        <v/>
      </c>
      <c r="B28" s="1681"/>
      <c r="C28" s="1449" t="str">
        <f t="shared" si="110"/>
        <v/>
      </c>
      <c r="D28" s="1705" t="str">
        <f t="shared" si="111"/>
        <v/>
      </c>
      <c r="E28" s="1706" t="str">
        <f t="shared" si="112"/>
        <v/>
      </c>
      <c r="F28" s="1714" t="str">
        <f t="shared" si="1"/>
        <v/>
      </c>
      <c r="G28" s="1709" t="str">
        <f t="shared" si="2"/>
        <v/>
      </c>
      <c r="H28" s="1779" t="str">
        <f t="shared" si="3"/>
        <v/>
      </c>
      <c r="I28" s="1705" t="str">
        <f t="shared" si="4"/>
        <v/>
      </c>
      <c r="J28" s="1709" t="str">
        <f t="shared" si="5"/>
        <v/>
      </c>
      <c r="K28" s="1796" t="str">
        <f t="shared" si="6"/>
        <v/>
      </c>
      <c r="L28" s="1712" t="str">
        <f t="shared" si="113"/>
        <v/>
      </c>
      <c r="M28" s="1713" t="str">
        <f t="shared" si="113"/>
        <v/>
      </c>
      <c r="N28" s="1708" t="str">
        <f t="shared" si="7"/>
        <v/>
      </c>
      <c r="O28" s="1709" t="str">
        <f t="shared" si="8"/>
        <v/>
      </c>
      <c r="P28" s="1710" t="str">
        <f t="shared" si="9"/>
        <v/>
      </c>
      <c r="Q28" s="1705" t="str">
        <f t="shared" si="10"/>
        <v/>
      </c>
      <c r="R28" s="1709" t="str">
        <f t="shared" si="11"/>
        <v/>
      </c>
      <c r="S28" s="1711" t="str">
        <f t="shared" si="12"/>
        <v/>
      </c>
      <c r="T28" s="1714" t="str">
        <f t="shared" si="114"/>
        <v/>
      </c>
      <c r="U28" s="1709" t="str">
        <f t="shared" si="115"/>
        <v/>
      </c>
      <c r="V28" s="1705" t="str">
        <f t="shared" si="116"/>
        <v/>
      </c>
      <c r="W28" s="1709" t="str">
        <f t="shared" si="117"/>
        <v/>
      </c>
      <c r="X28" s="1713">
        <f t="shared" si="118"/>
        <v>0</v>
      </c>
      <c r="Y28" s="1781" t="str">
        <f t="shared" si="13"/>
        <v/>
      </c>
      <c r="Z28" s="1782" t="str">
        <f t="shared" si="14"/>
        <v/>
      </c>
      <c r="AA28" s="1783" t="s">
        <v>116</v>
      </c>
      <c r="AB28" s="1413"/>
      <c r="AC28" s="964" t="b">
        <v>0</v>
      </c>
      <c r="AD28" s="441">
        <f t="shared" si="15"/>
        <v>0</v>
      </c>
      <c r="AE28" s="442">
        <f t="shared" si="16"/>
        <v>0</v>
      </c>
      <c r="AF28" s="442">
        <f t="shared" si="17"/>
        <v>0</v>
      </c>
      <c r="AG28" s="442">
        <f t="shared" si="18"/>
        <v>0</v>
      </c>
      <c r="AH28" s="443">
        <f t="shared" si="19"/>
        <v>0</v>
      </c>
      <c r="AI28" s="444" t="b">
        <v>0</v>
      </c>
      <c r="AJ28" s="238">
        <f t="shared" si="20"/>
        <v>0</v>
      </c>
      <c r="AK28" s="830" t="str">
        <f t="shared" si="21"/>
        <v/>
      </c>
      <c r="AL28" s="945" t="str">
        <f t="shared" si="22"/>
        <v/>
      </c>
      <c r="AM28" s="830" t="str">
        <f t="shared" si="23"/>
        <v/>
      </c>
      <c r="AN28" s="830" t="str">
        <f t="shared" si="24"/>
        <v/>
      </c>
      <c r="AO28" s="830" t="str">
        <f t="shared" si="25"/>
        <v/>
      </c>
      <c r="AP28" s="830" t="b">
        <f>IF(ISERROR(AJ28),FALSE,IF(OR(AJ28=0,ISERROR(AL28),ISERROR(AM28),ISERROR(AN28),ISERROR(AO28)),FALSE,IF(AL28&lt;&gt;"",IF(ISERROR(VLOOKUP(SUBSTITUTE(SUBSTITUTE(C28,"R",""),"A",""),TblJoistSize!$A:$A,1,FALSE)),FALSE,TRUE),TRUE)))</f>
        <v>0</v>
      </c>
      <c r="AQ28" s="1038" t="e">
        <f t="shared" si="26"/>
        <v>#N/A</v>
      </c>
      <c r="AR28" s="945" t="b">
        <f t="shared" si="27"/>
        <v>0</v>
      </c>
      <c r="AS28" s="1038" t="e">
        <f t="shared" si="28"/>
        <v>#N/A</v>
      </c>
      <c r="AT28" s="945" t="b">
        <f t="shared" si="29"/>
        <v>0</v>
      </c>
      <c r="AU28" s="946" t="str">
        <f t="shared" si="30"/>
        <v/>
      </c>
      <c r="AV28" s="830" t="str">
        <f t="shared" si="31"/>
        <v/>
      </c>
      <c r="AW28" s="830" t="str">
        <f t="shared" si="32"/>
        <v/>
      </c>
      <c r="AX28" s="830" t="str">
        <f t="shared" si="106"/>
        <v/>
      </c>
      <c r="AY28" s="1039" t="b">
        <f t="shared" si="33"/>
        <v>0</v>
      </c>
      <c r="AZ28" s="856" t="str">
        <f t="shared" si="34"/>
        <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35"/>
        <v/>
      </c>
      <c r="BR28" s="910"/>
      <c r="BS28" s="672"/>
      <c r="BT28" s="713"/>
      <c r="BU28" s="714"/>
      <c r="BV28" s="1625"/>
      <c r="BW28" s="713"/>
      <c r="BX28" s="714"/>
      <c r="BY28" s="715"/>
      <c r="BZ28" s="716"/>
      <c r="CA28" s="680" t="str">
        <f>IF(ISERROR(DE28),"",IF(DE28="","",IF(VLOOKUP(BS28,SectInfo!$B:$N,10,FALSE)="","","X")))</f>
        <v/>
      </c>
      <c r="CB28" s="738"/>
      <c r="CC28" s="1551" t="str">
        <f t="shared" si="36"/>
        <v/>
      </c>
      <c r="CD28" s="910"/>
      <c r="CE28" s="717"/>
      <c r="CF28" s="736"/>
      <c r="CG28" s="737"/>
      <c r="CH28" s="591" t="str">
        <f t="shared" si="37"/>
        <v/>
      </c>
      <c r="CI28" s="592" t="str">
        <f t="shared" si="38"/>
        <v/>
      </c>
      <c r="CJ28" s="593" t="str">
        <f t="shared" si="39"/>
        <v/>
      </c>
      <c r="CK28" s="594" t="str">
        <f t="shared" si="40"/>
        <v/>
      </c>
      <c r="CL28" s="595" t="str">
        <f t="shared" si="41"/>
        <v/>
      </c>
      <c r="CM28" s="596" t="str">
        <f t="shared" si="42"/>
        <v/>
      </c>
      <c r="CN28" s="597" t="str">
        <f t="shared" si="43"/>
        <v/>
      </c>
      <c r="CO28" s="598" t="str">
        <f t="shared" si="44"/>
        <v/>
      </c>
      <c r="CP28" s="615" t="str">
        <f t="shared" si="45"/>
        <v/>
      </c>
      <c r="CQ28" s="616" t="str">
        <f t="shared" si="46"/>
        <v/>
      </c>
      <c r="CR28" s="750" t="str">
        <f t="shared" si="47"/>
        <v/>
      </c>
      <c r="CS28" s="751" t="str">
        <f t="shared" si="48"/>
        <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49"/>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50"/>
        <v>0</v>
      </c>
      <c r="DO28" s="818">
        <f t="shared" si="51"/>
        <v>0</v>
      </c>
      <c r="DP28" s="822" t="str">
        <f t="shared" si="52"/>
        <v/>
      </c>
      <c r="DQ28" s="822" t="str">
        <f t="shared" si="53"/>
        <v/>
      </c>
      <c r="DR28" s="822" t="str">
        <f t="shared" si="54"/>
        <v/>
      </c>
      <c r="DS28" s="821">
        <f t="shared" si="55"/>
        <v>0</v>
      </c>
      <c r="DT28" s="821">
        <f t="shared" si="56"/>
        <v>0</v>
      </c>
      <c r="DU28" s="821" t="str">
        <f t="shared" si="57"/>
        <v/>
      </c>
      <c r="DV28" s="822" t="str">
        <f t="shared" si="58"/>
        <v/>
      </c>
      <c r="DW28" s="856" t="str">
        <f t="shared" si="59"/>
        <v/>
      </c>
      <c r="DX28" s="1006">
        <f t="shared" si="60"/>
        <v>0</v>
      </c>
      <c r="DY28" s="822">
        <f t="shared" si="61"/>
        <v>0</v>
      </c>
      <c r="DZ28" s="821">
        <f t="shared" si="62"/>
        <v>0</v>
      </c>
      <c r="EA28" s="821" t="str">
        <f t="shared" si="63"/>
        <v/>
      </c>
      <c r="EB28" s="822" t="str">
        <f t="shared" si="64"/>
        <v/>
      </c>
      <c r="EC28" s="856" t="str">
        <f t="shared" si="65"/>
        <v/>
      </c>
      <c r="ED28" s="1006">
        <f t="shared" si="66"/>
        <v>0</v>
      </c>
      <c r="EE28" s="1293" t="str">
        <f t="shared" si="67"/>
        <v/>
      </c>
      <c r="EF28" s="1293" t="str">
        <f t="shared" si="68"/>
        <v/>
      </c>
      <c r="EG28" s="1293" t="str">
        <f t="shared" si="69"/>
        <v/>
      </c>
      <c r="EH28" s="856" t="e">
        <f t="shared" si="70"/>
        <v>#N/A</v>
      </c>
      <c r="EI28" s="856" t="e">
        <f t="shared" si="71"/>
        <v>#N/A</v>
      </c>
      <c r="EJ28" s="822" t="str">
        <f t="shared" si="72"/>
        <v/>
      </c>
      <c r="EK28" s="822" t="str">
        <f t="shared" si="72"/>
        <v/>
      </c>
      <c r="EL28" s="1293" t="str">
        <f t="shared" si="73"/>
        <v/>
      </c>
      <c r="EM28" s="822" t="str">
        <f t="shared" si="74"/>
        <v/>
      </c>
      <c r="EN28" s="822" t="str">
        <f t="shared" si="75"/>
        <v/>
      </c>
      <c r="EO28" s="856" t="e">
        <f t="shared" si="76"/>
        <v>#N/A</v>
      </c>
      <c r="EP28" s="856" t="e">
        <f t="shared" si="77"/>
        <v>#N/A</v>
      </c>
      <c r="EQ28" s="1293" t="str">
        <f t="shared" si="78"/>
        <v/>
      </c>
      <c r="ER28" s="822" t="str">
        <f t="shared" si="78"/>
        <v/>
      </c>
      <c r="ES28" s="822" t="str">
        <f t="shared" si="79"/>
        <v/>
      </c>
      <c r="ET28" s="822" t="str">
        <f t="shared" si="80"/>
        <v/>
      </c>
      <c r="EU28" s="829" t="str">
        <f t="shared" si="81"/>
        <v/>
      </c>
      <c r="EV28" s="824" t="str">
        <f t="shared" si="82"/>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83"/>
        <v/>
      </c>
      <c r="FA28" s="829" t="str">
        <f>IF(AND(DE28="G", ISBLANK(BW28), ISBLANK(BX28)),VLOOKUP(MIN(BT28:BU28),TblJoistSize!$M$3:$N$10,2),IF(OR(DE28="B", DE28="G"),MIN(BW28:BX28),""))</f>
        <v/>
      </c>
      <c r="FB28" s="829" t="str">
        <f>IF(AND(DE28="G", ISBLANK(BW28), ISBLANK(BX28)),VLOOKUP(MAX(BT28:BU28),TblJoistSize!$M$3:$N$10,2),IF(OR(DE28="B", DE28="G"),MAX(BW28:BX28),""))</f>
        <v/>
      </c>
      <c r="FC28" s="829" t="str">
        <f t="shared" si="84"/>
        <v/>
      </c>
      <c r="FD28" s="821">
        <f t="shared" si="107"/>
        <v>0</v>
      </c>
      <c r="FE28" s="821">
        <f t="shared" si="85"/>
        <v>0</v>
      </c>
      <c r="FF28" s="821">
        <f t="shared" si="86"/>
        <v>0</v>
      </c>
      <c r="FG28" s="821" t="str">
        <f t="shared" si="87"/>
        <v/>
      </c>
      <c r="FH28" s="822" t="str">
        <f t="shared" si="88"/>
        <v/>
      </c>
      <c r="FI28" s="821">
        <f t="shared" si="108"/>
        <v>0</v>
      </c>
      <c r="FJ28" s="821">
        <f t="shared" si="89"/>
        <v>0</v>
      </c>
      <c r="FK28" s="821">
        <f t="shared" si="90"/>
        <v>0</v>
      </c>
      <c r="FL28" s="821" t="str">
        <f t="shared" si="91"/>
        <v/>
      </c>
      <c r="FM28" s="822" t="str">
        <f t="shared" si="92"/>
        <v/>
      </c>
      <c r="FN28" s="822" t="e">
        <f t="shared" si="93"/>
        <v>#VALUE!</v>
      </c>
      <c r="FO28" s="940" t="e">
        <f t="shared" si="94"/>
        <v>#VALUE!</v>
      </c>
      <c r="FP28" s="940" t="e">
        <f t="shared" si="95"/>
        <v>#VALUE!</v>
      </c>
      <c r="FQ28" s="830" t="e">
        <f t="shared" si="96"/>
        <v>#VALUE!</v>
      </c>
      <c r="FR28" s="831" t="e">
        <f t="shared" si="97"/>
        <v>#VALUE!</v>
      </c>
      <c r="FS28" s="832" t="str">
        <f t="shared" si="98"/>
        <v/>
      </c>
      <c r="FT28" s="833" t="str">
        <f t="shared" si="99"/>
        <v/>
      </c>
      <c r="FU28" s="870">
        <f t="shared" si="100"/>
        <v>0</v>
      </c>
      <c r="FV28" s="871">
        <f t="shared" si="101"/>
        <v>0</v>
      </c>
      <c r="GA28" s="1791" t="str">
        <f t="shared" si="119"/>
        <v/>
      </c>
      <c r="GB28" s="1792" t="str">
        <f t="shared" si="120"/>
        <v/>
      </c>
      <c r="GC28" s="1793" t="str">
        <f t="shared" si="121"/>
        <v/>
      </c>
      <c r="GD28" s="1794" t="str">
        <f t="shared" si="122"/>
        <v/>
      </c>
      <c r="GE28" s="1795" t="str">
        <f t="shared" si="102"/>
        <v/>
      </c>
      <c r="GF28" s="600" t="str">
        <f t="shared" si="103"/>
        <v/>
      </c>
      <c r="GG28" s="1130"/>
      <c r="GH28" s="1131"/>
      <c r="GI28" s="1130"/>
      <c r="GJ28" s="1131"/>
      <c r="GK28" s="1638">
        <f t="shared" si="104"/>
        <v>0</v>
      </c>
      <c r="GL28" s="1636" t="e">
        <f t="shared" si="105"/>
        <v>#VALUE!</v>
      </c>
      <c r="GM28" s="1637" t="e">
        <f>IF(ABS(GK28-GL28)&gt;='Job Info.'!$L$22,ABS(GK28-GL28),0)</f>
        <v>#VALUE!</v>
      </c>
      <c r="HA28" s="1269"/>
      <c r="HB28" s="1270"/>
      <c r="HC28" s="1270"/>
      <c r="HD28" s="1271"/>
      <c r="HE28" s="1272"/>
      <c r="HF28" s="1270"/>
      <c r="HG28" s="1270"/>
      <c r="HH28" s="1270"/>
      <c r="HI28" s="1273"/>
      <c r="HJ28" s="1270"/>
      <c r="HK28" s="1270"/>
      <c r="HL28" s="1270"/>
      <c r="HM28" s="1270"/>
      <c r="HN28" s="1270"/>
      <c r="HO28" s="1270"/>
      <c r="HP28" s="1270"/>
      <c r="HQ28" s="1273"/>
      <c r="HR28" s="1270"/>
      <c r="HS28" s="1270"/>
      <c r="HT28" s="1270"/>
      <c r="HU28" s="1270"/>
      <c r="HV28" s="1270"/>
      <c r="HW28" s="1272"/>
      <c r="HX28" s="1272"/>
      <c r="HY28" s="1272"/>
      <c r="HZ28" s="1272"/>
      <c r="IA28" s="1272"/>
      <c r="IB28" s="1272"/>
      <c r="IC28" s="1272"/>
      <c r="ID28" s="1272"/>
      <c r="IE28" s="1272"/>
      <c r="IF28" s="1274"/>
    </row>
    <row r="29" spans="1:240" ht="12.6" customHeight="1" x14ac:dyDescent="0.25">
      <c r="A29" s="1448" t="str">
        <f t="shared" si="109"/>
        <v/>
      </c>
      <c r="B29" s="1681"/>
      <c r="C29" s="1449" t="str">
        <f t="shared" si="110"/>
        <v/>
      </c>
      <c r="D29" s="1705" t="str">
        <f t="shared" si="111"/>
        <v/>
      </c>
      <c r="E29" s="1706" t="str">
        <f t="shared" si="112"/>
        <v/>
      </c>
      <c r="F29" s="1714" t="str">
        <f t="shared" si="1"/>
        <v/>
      </c>
      <c r="G29" s="1709" t="str">
        <f t="shared" si="2"/>
        <v/>
      </c>
      <c r="H29" s="1779" t="str">
        <f t="shared" si="3"/>
        <v/>
      </c>
      <c r="I29" s="1705" t="str">
        <f t="shared" si="4"/>
        <v/>
      </c>
      <c r="J29" s="1709" t="str">
        <f t="shared" si="5"/>
        <v/>
      </c>
      <c r="K29" s="1796" t="str">
        <f t="shared" si="6"/>
        <v/>
      </c>
      <c r="L29" s="1712" t="str">
        <f t="shared" si="113"/>
        <v/>
      </c>
      <c r="M29" s="1713" t="str">
        <f t="shared" si="113"/>
        <v/>
      </c>
      <c r="N29" s="1708" t="str">
        <f t="shared" si="7"/>
        <v/>
      </c>
      <c r="O29" s="1709" t="str">
        <f t="shared" si="8"/>
        <v/>
      </c>
      <c r="P29" s="1710" t="str">
        <f t="shared" si="9"/>
        <v/>
      </c>
      <c r="Q29" s="1705" t="str">
        <f t="shared" si="10"/>
        <v/>
      </c>
      <c r="R29" s="1709" t="str">
        <f t="shared" si="11"/>
        <v/>
      </c>
      <c r="S29" s="1711" t="str">
        <f t="shared" si="12"/>
        <v/>
      </c>
      <c r="T29" s="1714" t="str">
        <f t="shared" si="114"/>
        <v/>
      </c>
      <c r="U29" s="1709" t="str">
        <f t="shared" si="115"/>
        <v/>
      </c>
      <c r="V29" s="1705" t="str">
        <f t="shared" si="116"/>
        <v/>
      </c>
      <c r="W29" s="1709" t="str">
        <f t="shared" si="117"/>
        <v/>
      </c>
      <c r="X29" s="1713">
        <f t="shared" si="118"/>
        <v>0</v>
      </c>
      <c r="Y29" s="1781" t="str">
        <f t="shared" si="13"/>
        <v/>
      </c>
      <c r="Z29" s="1782" t="str">
        <f t="shared" si="14"/>
        <v/>
      </c>
      <c r="AA29" s="1783" t="s">
        <v>116</v>
      </c>
      <c r="AB29" s="1413"/>
      <c r="AC29" s="964" t="b">
        <v>0</v>
      </c>
      <c r="AD29" s="441">
        <f t="shared" si="15"/>
        <v>0</v>
      </c>
      <c r="AE29" s="442">
        <f t="shared" si="16"/>
        <v>0</v>
      </c>
      <c r="AF29" s="442">
        <f t="shared" si="17"/>
        <v>0</v>
      </c>
      <c r="AG29" s="442">
        <f t="shared" si="18"/>
        <v>0</v>
      </c>
      <c r="AH29" s="443">
        <f t="shared" si="19"/>
        <v>0</v>
      </c>
      <c r="AI29" s="444" t="b">
        <v>0</v>
      </c>
      <c r="AJ29" s="238">
        <f t="shared" si="20"/>
        <v>0</v>
      </c>
      <c r="AK29" s="830" t="str">
        <f t="shared" si="21"/>
        <v/>
      </c>
      <c r="AL29" s="945" t="str">
        <f t="shared" si="22"/>
        <v/>
      </c>
      <c r="AM29" s="830" t="str">
        <f t="shared" si="23"/>
        <v/>
      </c>
      <c r="AN29" s="830" t="str">
        <f t="shared" si="24"/>
        <v/>
      </c>
      <c r="AO29" s="830" t="str">
        <f t="shared" si="25"/>
        <v/>
      </c>
      <c r="AP29" s="830" t="b">
        <f>IF(ISERROR(AJ29),FALSE,IF(OR(AJ29=0,ISERROR(AL29),ISERROR(AM29),ISERROR(AN29),ISERROR(AO29)),FALSE,IF(AL29&lt;&gt;"",IF(ISERROR(VLOOKUP(SUBSTITUTE(SUBSTITUTE(C29,"R",""),"A",""),TblJoistSize!$A:$A,1,FALSE)),FALSE,TRUE),TRUE)))</f>
        <v>0</v>
      </c>
      <c r="AQ29" s="1038" t="e">
        <f t="shared" si="26"/>
        <v>#N/A</v>
      </c>
      <c r="AR29" s="945" t="b">
        <f t="shared" si="27"/>
        <v>0</v>
      </c>
      <c r="AS29" s="1038" t="e">
        <f t="shared" si="28"/>
        <v>#N/A</v>
      </c>
      <c r="AT29" s="945" t="b">
        <f t="shared" si="29"/>
        <v>0</v>
      </c>
      <c r="AU29" s="946" t="str">
        <f t="shared" si="30"/>
        <v/>
      </c>
      <c r="AV29" s="830" t="str">
        <f t="shared" si="31"/>
        <v/>
      </c>
      <c r="AW29" s="830" t="str">
        <f t="shared" si="32"/>
        <v/>
      </c>
      <c r="AX29" s="830" t="str">
        <f t="shared" si="106"/>
        <v/>
      </c>
      <c r="AY29" s="1039" t="b">
        <f t="shared" si="33"/>
        <v>0</v>
      </c>
      <c r="AZ29" s="856" t="str">
        <f t="shared" si="34"/>
        <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35"/>
        <v/>
      </c>
      <c r="BR29" s="910"/>
      <c r="BS29" s="672"/>
      <c r="BT29" s="713"/>
      <c r="BU29" s="714"/>
      <c r="BV29" s="1625"/>
      <c r="BW29" s="713"/>
      <c r="BX29" s="714"/>
      <c r="BY29" s="715"/>
      <c r="BZ29" s="716"/>
      <c r="CA29" s="680" t="str">
        <f>IF(ISERROR(DE29),"",IF(DE29="","",IF(VLOOKUP(BS29,SectInfo!$B:$N,10,FALSE)="","","X")))</f>
        <v/>
      </c>
      <c r="CB29" s="738"/>
      <c r="CC29" s="1551" t="str">
        <f t="shared" si="36"/>
        <v/>
      </c>
      <c r="CD29" s="910"/>
      <c r="CE29" s="717"/>
      <c r="CF29" s="736"/>
      <c r="CG29" s="737"/>
      <c r="CH29" s="591" t="str">
        <f t="shared" si="37"/>
        <v/>
      </c>
      <c r="CI29" s="592" t="str">
        <f t="shared" si="38"/>
        <v/>
      </c>
      <c r="CJ29" s="593" t="str">
        <f t="shared" si="39"/>
        <v/>
      </c>
      <c r="CK29" s="594" t="str">
        <f t="shared" si="40"/>
        <v/>
      </c>
      <c r="CL29" s="595" t="str">
        <f t="shared" si="41"/>
        <v/>
      </c>
      <c r="CM29" s="596" t="str">
        <f t="shared" si="42"/>
        <v/>
      </c>
      <c r="CN29" s="597" t="str">
        <f t="shared" si="43"/>
        <v/>
      </c>
      <c r="CO29" s="598" t="str">
        <f t="shared" si="44"/>
        <v/>
      </c>
      <c r="CP29" s="615" t="str">
        <f t="shared" si="45"/>
        <v/>
      </c>
      <c r="CQ29" s="616" t="str">
        <f t="shared" si="46"/>
        <v/>
      </c>
      <c r="CR29" s="750" t="str">
        <f t="shared" si="47"/>
        <v/>
      </c>
      <c r="CS29" s="751" t="str">
        <f t="shared" si="48"/>
        <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49"/>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50"/>
        <v>0</v>
      </c>
      <c r="DO29" s="818">
        <f t="shared" si="51"/>
        <v>0</v>
      </c>
      <c r="DP29" s="822" t="str">
        <f t="shared" si="52"/>
        <v/>
      </c>
      <c r="DQ29" s="822" t="str">
        <f t="shared" si="53"/>
        <v/>
      </c>
      <c r="DR29" s="822" t="str">
        <f t="shared" si="54"/>
        <v/>
      </c>
      <c r="DS29" s="821">
        <f t="shared" si="55"/>
        <v>0</v>
      </c>
      <c r="DT29" s="821">
        <f t="shared" si="56"/>
        <v>0</v>
      </c>
      <c r="DU29" s="821" t="str">
        <f t="shared" si="57"/>
        <v/>
      </c>
      <c r="DV29" s="822" t="str">
        <f t="shared" si="58"/>
        <v/>
      </c>
      <c r="DW29" s="856" t="str">
        <f t="shared" si="59"/>
        <v/>
      </c>
      <c r="DX29" s="1006">
        <f t="shared" si="60"/>
        <v>0</v>
      </c>
      <c r="DY29" s="822">
        <f t="shared" si="61"/>
        <v>0</v>
      </c>
      <c r="DZ29" s="821">
        <f t="shared" si="62"/>
        <v>0</v>
      </c>
      <c r="EA29" s="821" t="str">
        <f t="shared" si="63"/>
        <v/>
      </c>
      <c r="EB29" s="822" t="str">
        <f t="shared" si="64"/>
        <v/>
      </c>
      <c r="EC29" s="856" t="str">
        <f t="shared" si="65"/>
        <v/>
      </c>
      <c r="ED29" s="1006">
        <f t="shared" si="66"/>
        <v>0</v>
      </c>
      <c r="EE29" s="1293" t="str">
        <f t="shared" si="67"/>
        <v/>
      </c>
      <c r="EF29" s="1293" t="str">
        <f t="shared" si="68"/>
        <v/>
      </c>
      <c r="EG29" s="1293" t="str">
        <f t="shared" si="69"/>
        <v/>
      </c>
      <c r="EH29" s="856" t="e">
        <f t="shared" si="70"/>
        <v>#N/A</v>
      </c>
      <c r="EI29" s="856" t="e">
        <f t="shared" si="71"/>
        <v>#N/A</v>
      </c>
      <c r="EJ29" s="822" t="str">
        <f t="shared" si="72"/>
        <v/>
      </c>
      <c r="EK29" s="822" t="str">
        <f t="shared" si="72"/>
        <v/>
      </c>
      <c r="EL29" s="1293" t="str">
        <f t="shared" si="73"/>
        <v/>
      </c>
      <c r="EM29" s="822" t="str">
        <f t="shared" si="74"/>
        <v/>
      </c>
      <c r="EN29" s="822" t="str">
        <f t="shared" si="75"/>
        <v/>
      </c>
      <c r="EO29" s="856" t="e">
        <f t="shared" si="76"/>
        <v>#N/A</v>
      </c>
      <c r="EP29" s="856" t="e">
        <f t="shared" si="77"/>
        <v>#N/A</v>
      </c>
      <c r="EQ29" s="1293" t="str">
        <f t="shared" si="78"/>
        <v/>
      </c>
      <c r="ER29" s="822" t="str">
        <f t="shared" si="78"/>
        <v/>
      </c>
      <c r="ES29" s="822" t="str">
        <f t="shared" si="79"/>
        <v/>
      </c>
      <c r="ET29" s="822" t="str">
        <f t="shared" si="80"/>
        <v/>
      </c>
      <c r="EU29" s="829" t="str">
        <f t="shared" si="81"/>
        <v/>
      </c>
      <c r="EV29" s="824" t="str">
        <f t="shared" si="82"/>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83"/>
        <v/>
      </c>
      <c r="FA29" s="829" t="str">
        <f>IF(AND(DE29="G", ISBLANK(BW29), ISBLANK(BX29)),VLOOKUP(MIN(BT29:BU29),TblJoistSize!$M$3:$N$10,2),IF(OR(DE29="B", DE29="G"),MIN(BW29:BX29),""))</f>
        <v/>
      </c>
      <c r="FB29" s="829" t="str">
        <f>IF(AND(DE29="G", ISBLANK(BW29), ISBLANK(BX29)),VLOOKUP(MAX(BT29:BU29),TblJoistSize!$M$3:$N$10,2),IF(OR(DE29="B", DE29="G"),MAX(BW29:BX29),""))</f>
        <v/>
      </c>
      <c r="FC29" s="829" t="str">
        <f t="shared" si="84"/>
        <v/>
      </c>
      <c r="FD29" s="821">
        <f t="shared" si="107"/>
        <v>0</v>
      </c>
      <c r="FE29" s="821">
        <f t="shared" si="85"/>
        <v>0</v>
      </c>
      <c r="FF29" s="821">
        <f t="shared" si="86"/>
        <v>0</v>
      </c>
      <c r="FG29" s="821" t="str">
        <f t="shared" si="87"/>
        <v/>
      </c>
      <c r="FH29" s="822" t="str">
        <f t="shared" si="88"/>
        <v/>
      </c>
      <c r="FI29" s="821">
        <f t="shared" si="108"/>
        <v>0</v>
      </c>
      <c r="FJ29" s="821">
        <f t="shared" si="89"/>
        <v>0</v>
      </c>
      <c r="FK29" s="821">
        <f t="shared" si="90"/>
        <v>0</v>
      </c>
      <c r="FL29" s="821" t="str">
        <f t="shared" si="91"/>
        <v/>
      </c>
      <c r="FM29" s="822" t="str">
        <f t="shared" si="92"/>
        <v/>
      </c>
      <c r="FN29" s="822" t="e">
        <f t="shared" si="93"/>
        <v>#VALUE!</v>
      </c>
      <c r="FO29" s="940" t="e">
        <f t="shared" si="94"/>
        <v>#VALUE!</v>
      </c>
      <c r="FP29" s="940" t="e">
        <f t="shared" si="95"/>
        <v>#VALUE!</v>
      </c>
      <c r="FQ29" s="830" t="e">
        <f t="shared" si="96"/>
        <v>#VALUE!</v>
      </c>
      <c r="FR29" s="831" t="e">
        <f t="shared" si="97"/>
        <v>#VALUE!</v>
      </c>
      <c r="FS29" s="832" t="str">
        <f t="shared" si="98"/>
        <v/>
      </c>
      <c r="FT29" s="833" t="str">
        <f t="shared" si="99"/>
        <v/>
      </c>
      <c r="FU29" s="870">
        <f t="shared" si="100"/>
        <v>0</v>
      </c>
      <c r="FV29" s="871">
        <f t="shared" si="101"/>
        <v>0</v>
      </c>
      <c r="GA29" s="1791" t="str">
        <f t="shared" si="119"/>
        <v/>
      </c>
      <c r="GB29" s="1792" t="str">
        <f t="shared" si="120"/>
        <v/>
      </c>
      <c r="GC29" s="1793" t="str">
        <f t="shared" si="121"/>
        <v/>
      </c>
      <c r="GD29" s="1794" t="str">
        <f t="shared" si="122"/>
        <v/>
      </c>
      <c r="GE29" s="1795" t="str">
        <f t="shared" si="102"/>
        <v/>
      </c>
      <c r="GF29" s="600" t="str">
        <f t="shared" si="103"/>
        <v/>
      </c>
      <c r="GG29" s="1130"/>
      <c r="GH29" s="1131"/>
      <c r="GI29" s="1130"/>
      <c r="GJ29" s="1131"/>
      <c r="GK29" s="1638">
        <f t="shared" si="104"/>
        <v>0</v>
      </c>
      <c r="GL29" s="1636" t="e">
        <f t="shared" si="105"/>
        <v>#VALUE!</v>
      </c>
      <c r="GM29" s="1637" t="e">
        <f>IF(ABS(GK29-GL29)&gt;='Job Info.'!$L$22,ABS(GK29-GL29),0)</f>
        <v>#VALUE!</v>
      </c>
      <c r="HA29" s="1269"/>
      <c r="HB29" s="1270"/>
      <c r="HC29" s="1270"/>
      <c r="HD29" s="1271"/>
      <c r="HE29" s="1272"/>
      <c r="HF29" s="1270"/>
      <c r="HG29" s="1270"/>
      <c r="HH29" s="1270"/>
      <c r="HI29" s="1273"/>
      <c r="HJ29" s="1270"/>
      <c r="HK29" s="1270"/>
      <c r="HL29" s="1270"/>
      <c r="HM29" s="1270"/>
      <c r="HN29" s="1270"/>
      <c r="HO29" s="1270"/>
      <c r="HP29" s="1270"/>
      <c r="HQ29" s="1273"/>
      <c r="HR29" s="1270"/>
      <c r="HS29" s="1270"/>
      <c r="HT29" s="1270"/>
      <c r="HU29" s="1270"/>
      <c r="HV29" s="1270"/>
      <c r="HW29" s="1272"/>
      <c r="HX29" s="1272"/>
      <c r="HY29" s="1272"/>
      <c r="HZ29" s="1272"/>
      <c r="IA29" s="1272"/>
      <c r="IB29" s="1272"/>
      <c r="IC29" s="1272"/>
      <c r="ID29" s="1272"/>
      <c r="IE29" s="1272"/>
      <c r="IF29" s="1274"/>
    </row>
    <row r="30" spans="1:240" ht="12.6" customHeight="1" x14ac:dyDescent="0.25">
      <c r="A30" s="1448" t="str">
        <f t="shared" si="109"/>
        <v/>
      </c>
      <c r="B30" s="1681"/>
      <c r="C30" s="1449" t="str">
        <f t="shared" si="110"/>
        <v/>
      </c>
      <c r="D30" s="1705" t="str">
        <f t="shared" si="111"/>
        <v/>
      </c>
      <c r="E30" s="1706" t="str">
        <f t="shared" si="112"/>
        <v/>
      </c>
      <c r="F30" s="1714" t="str">
        <f t="shared" si="1"/>
        <v/>
      </c>
      <c r="G30" s="1709" t="str">
        <f t="shared" si="2"/>
        <v/>
      </c>
      <c r="H30" s="1779" t="str">
        <f t="shared" si="3"/>
        <v/>
      </c>
      <c r="I30" s="1705" t="str">
        <f t="shared" si="4"/>
        <v/>
      </c>
      <c r="J30" s="1709" t="str">
        <f t="shared" si="5"/>
        <v/>
      </c>
      <c r="K30" s="1796" t="str">
        <f t="shared" si="6"/>
        <v/>
      </c>
      <c r="L30" s="1712" t="str">
        <f t="shared" si="113"/>
        <v/>
      </c>
      <c r="M30" s="1713" t="str">
        <f t="shared" si="113"/>
        <v/>
      </c>
      <c r="N30" s="1708" t="str">
        <f t="shared" si="7"/>
        <v/>
      </c>
      <c r="O30" s="1709" t="str">
        <f t="shared" si="8"/>
        <v/>
      </c>
      <c r="P30" s="1710" t="str">
        <f t="shared" si="9"/>
        <v/>
      </c>
      <c r="Q30" s="1705" t="str">
        <f t="shared" si="10"/>
        <v/>
      </c>
      <c r="R30" s="1709" t="str">
        <f t="shared" si="11"/>
        <v/>
      </c>
      <c r="S30" s="1711" t="str">
        <f t="shared" si="12"/>
        <v/>
      </c>
      <c r="T30" s="1714" t="str">
        <f t="shared" si="114"/>
        <v/>
      </c>
      <c r="U30" s="1709" t="str">
        <f t="shared" si="115"/>
        <v/>
      </c>
      <c r="V30" s="1705" t="str">
        <f t="shared" si="116"/>
        <v/>
      </c>
      <c r="W30" s="1709" t="str">
        <f t="shared" si="117"/>
        <v/>
      </c>
      <c r="X30" s="1713">
        <f t="shared" si="118"/>
        <v>0</v>
      </c>
      <c r="Y30" s="1781" t="str">
        <f t="shared" si="13"/>
        <v/>
      </c>
      <c r="Z30" s="1782" t="str">
        <f t="shared" si="14"/>
        <v/>
      </c>
      <c r="AA30" s="1783" t="s">
        <v>116</v>
      </c>
      <c r="AB30" s="1413"/>
      <c r="AC30" s="964" t="b">
        <v>0</v>
      </c>
      <c r="AD30" s="441">
        <f t="shared" si="15"/>
        <v>0</v>
      </c>
      <c r="AE30" s="442">
        <f t="shared" si="16"/>
        <v>0</v>
      </c>
      <c r="AF30" s="442">
        <f t="shared" si="17"/>
        <v>0</v>
      </c>
      <c r="AG30" s="442">
        <f t="shared" si="18"/>
        <v>0</v>
      </c>
      <c r="AH30" s="443">
        <f t="shared" si="19"/>
        <v>0</v>
      </c>
      <c r="AI30" s="444" t="b">
        <v>0</v>
      </c>
      <c r="AJ30" s="238">
        <f t="shared" si="20"/>
        <v>0</v>
      </c>
      <c r="AK30" s="830" t="str">
        <f t="shared" si="21"/>
        <v/>
      </c>
      <c r="AL30" s="945" t="str">
        <f t="shared" si="22"/>
        <v/>
      </c>
      <c r="AM30" s="830" t="str">
        <f t="shared" si="23"/>
        <v/>
      </c>
      <c r="AN30" s="830" t="str">
        <f t="shared" si="24"/>
        <v/>
      </c>
      <c r="AO30" s="830" t="str">
        <f t="shared" si="25"/>
        <v/>
      </c>
      <c r="AP30" s="830" t="b">
        <f>IF(ISERROR(AJ30),FALSE,IF(OR(AJ30=0,ISERROR(AL30),ISERROR(AM30),ISERROR(AN30),ISERROR(AO30)),FALSE,IF(AL30&lt;&gt;"",IF(ISERROR(VLOOKUP(SUBSTITUTE(SUBSTITUTE(C30,"R",""),"A",""),TblJoistSize!$A:$A,1,FALSE)),FALSE,TRUE),TRUE)))</f>
        <v>0</v>
      </c>
      <c r="AQ30" s="1038" t="e">
        <f t="shared" si="26"/>
        <v>#N/A</v>
      </c>
      <c r="AR30" s="945" t="b">
        <f t="shared" si="27"/>
        <v>0</v>
      </c>
      <c r="AS30" s="1038" t="e">
        <f t="shared" si="28"/>
        <v>#N/A</v>
      </c>
      <c r="AT30" s="945" t="b">
        <f t="shared" si="29"/>
        <v>0</v>
      </c>
      <c r="AU30" s="946" t="str">
        <f t="shared" si="30"/>
        <v/>
      </c>
      <c r="AV30" s="830" t="str">
        <f t="shared" si="31"/>
        <v/>
      </c>
      <c r="AW30" s="830" t="str">
        <f t="shared" si="32"/>
        <v/>
      </c>
      <c r="AX30" s="830" t="str">
        <f t="shared" si="106"/>
        <v/>
      </c>
      <c r="AY30" s="1039" t="b">
        <f t="shared" si="33"/>
        <v>0</v>
      </c>
      <c r="AZ30" s="856" t="str">
        <f t="shared" si="34"/>
        <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35"/>
        <v/>
      </c>
      <c r="BR30" s="910"/>
      <c r="BS30" s="672"/>
      <c r="BT30" s="713"/>
      <c r="BU30" s="714"/>
      <c r="BV30" s="1625"/>
      <c r="BW30" s="713"/>
      <c r="BX30" s="714"/>
      <c r="BY30" s="715"/>
      <c r="BZ30" s="716"/>
      <c r="CA30" s="680" t="str">
        <f>IF(ISERROR(DE30),"",IF(DE30="","",IF(VLOOKUP(BS30,SectInfo!$B:$N,10,FALSE)="","","X")))</f>
        <v/>
      </c>
      <c r="CB30" s="738"/>
      <c r="CC30" s="1551" t="str">
        <f t="shared" si="36"/>
        <v/>
      </c>
      <c r="CD30" s="910"/>
      <c r="CE30" s="717"/>
      <c r="CF30" s="736"/>
      <c r="CG30" s="737"/>
      <c r="CH30" s="591" t="str">
        <f t="shared" si="37"/>
        <v/>
      </c>
      <c r="CI30" s="592" t="str">
        <f t="shared" si="38"/>
        <v/>
      </c>
      <c r="CJ30" s="593" t="str">
        <f t="shared" si="39"/>
        <v/>
      </c>
      <c r="CK30" s="594" t="str">
        <f t="shared" si="40"/>
        <v/>
      </c>
      <c r="CL30" s="595" t="str">
        <f t="shared" si="41"/>
        <v/>
      </c>
      <c r="CM30" s="596" t="str">
        <f t="shared" si="42"/>
        <v/>
      </c>
      <c r="CN30" s="597" t="str">
        <f t="shared" si="43"/>
        <v/>
      </c>
      <c r="CO30" s="598" t="str">
        <f t="shared" si="44"/>
        <v/>
      </c>
      <c r="CP30" s="615" t="str">
        <f t="shared" si="45"/>
        <v/>
      </c>
      <c r="CQ30" s="616" t="str">
        <f t="shared" si="46"/>
        <v/>
      </c>
      <c r="CR30" s="750" t="str">
        <f t="shared" si="47"/>
        <v/>
      </c>
      <c r="CS30" s="751" t="str">
        <f t="shared" si="48"/>
        <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49"/>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50"/>
        <v>0</v>
      </c>
      <c r="DO30" s="818">
        <f t="shared" si="51"/>
        <v>0</v>
      </c>
      <c r="DP30" s="822" t="str">
        <f t="shared" si="52"/>
        <v/>
      </c>
      <c r="DQ30" s="822" t="str">
        <f t="shared" si="53"/>
        <v/>
      </c>
      <c r="DR30" s="822" t="str">
        <f t="shared" si="54"/>
        <v/>
      </c>
      <c r="DS30" s="821">
        <f t="shared" si="55"/>
        <v>0</v>
      </c>
      <c r="DT30" s="821">
        <f t="shared" si="56"/>
        <v>0</v>
      </c>
      <c r="DU30" s="821" t="str">
        <f t="shared" si="57"/>
        <v/>
      </c>
      <c r="DV30" s="822" t="str">
        <f t="shared" si="58"/>
        <v/>
      </c>
      <c r="DW30" s="856" t="str">
        <f t="shared" si="59"/>
        <v/>
      </c>
      <c r="DX30" s="1006">
        <f t="shared" si="60"/>
        <v>0</v>
      </c>
      <c r="DY30" s="822">
        <f t="shared" si="61"/>
        <v>0</v>
      </c>
      <c r="DZ30" s="821">
        <f t="shared" si="62"/>
        <v>0</v>
      </c>
      <c r="EA30" s="821" t="str">
        <f t="shared" si="63"/>
        <v/>
      </c>
      <c r="EB30" s="822" t="str">
        <f t="shared" si="64"/>
        <v/>
      </c>
      <c r="EC30" s="856" t="str">
        <f t="shared" si="65"/>
        <v/>
      </c>
      <c r="ED30" s="1006">
        <f t="shared" si="66"/>
        <v>0</v>
      </c>
      <c r="EE30" s="1293" t="str">
        <f t="shared" si="67"/>
        <v/>
      </c>
      <c r="EF30" s="1293" t="str">
        <f t="shared" si="68"/>
        <v/>
      </c>
      <c r="EG30" s="1293" t="str">
        <f t="shared" si="69"/>
        <v/>
      </c>
      <c r="EH30" s="856" t="e">
        <f t="shared" si="70"/>
        <v>#N/A</v>
      </c>
      <c r="EI30" s="856" t="e">
        <f t="shared" si="71"/>
        <v>#N/A</v>
      </c>
      <c r="EJ30" s="822" t="str">
        <f t="shared" si="72"/>
        <v/>
      </c>
      <c r="EK30" s="822" t="str">
        <f t="shared" si="72"/>
        <v/>
      </c>
      <c r="EL30" s="1293" t="str">
        <f t="shared" si="73"/>
        <v/>
      </c>
      <c r="EM30" s="822" t="str">
        <f t="shared" si="74"/>
        <v/>
      </c>
      <c r="EN30" s="822" t="str">
        <f t="shared" si="75"/>
        <v/>
      </c>
      <c r="EO30" s="856" t="e">
        <f t="shared" si="76"/>
        <v>#N/A</v>
      </c>
      <c r="EP30" s="856" t="e">
        <f t="shared" si="77"/>
        <v>#N/A</v>
      </c>
      <c r="EQ30" s="1293" t="str">
        <f t="shared" si="78"/>
        <v/>
      </c>
      <c r="ER30" s="822" t="str">
        <f t="shared" si="78"/>
        <v/>
      </c>
      <c r="ES30" s="822" t="str">
        <f t="shared" si="79"/>
        <v/>
      </c>
      <c r="ET30" s="822" t="str">
        <f t="shared" si="80"/>
        <v/>
      </c>
      <c r="EU30" s="829" t="str">
        <f t="shared" si="81"/>
        <v/>
      </c>
      <c r="EV30" s="824" t="str">
        <f t="shared" si="82"/>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83"/>
        <v/>
      </c>
      <c r="FA30" s="829" t="str">
        <f>IF(AND(DE30="G", ISBLANK(BW30), ISBLANK(BX30)),VLOOKUP(MIN(BT30:BU30),TblJoistSize!$M$3:$N$10,2),IF(OR(DE30="B", DE30="G"),MIN(BW30:BX30),""))</f>
        <v/>
      </c>
      <c r="FB30" s="829" t="str">
        <f>IF(AND(DE30="G", ISBLANK(BW30), ISBLANK(BX30)),VLOOKUP(MAX(BT30:BU30),TblJoistSize!$M$3:$N$10,2),IF(OR(DE30="B", DE30="G"),MAX(BW30:BX30),""))</f>
        <v/>
      </c>
      <c r="FC30" s="829" t="str">
        <f t="shared" si="84"/>
        <v/>
      </c>
      <c r="FD30" s="821">
        <f t="shared" si="107"/>
        <v>0</v>
      </c>
      <c r="FE30" s="821">
        <f t="shared" si="85"/>
        <v>0</v>
      </c>
      <c r="FF30" s="821">
        <f t="shared" si="86"/>
        <v>0</v>
      </c>
      <c r="FG30" s="821" t="str">
        <f t="shared" si="87"/>
        <v/>
      </c>
      <c r="FH30" s="822" t="str">
        <f t="shared" si="88"/>
        <v/>
      </c>
      <c r="FI30" s="821">
        <f t="shared" si="108"/>
        <v>0</v>
      </c>
      <c r="FJ30" s="821">
        <f t="shared" si="89"/>
        <v>0</v>
      </c>
      <c r="FK30" s="821">
        <f t="shared" si="90"/>
        <v>0</v>
      </c>
      <c r="FL30" s="821" t="str">
        <f t="shared" si="91"/>
        <v/>
      </c>
      <c r="FM30" s="822" t="str">
        <f t="shared" si="92"/>
        <v/>
      </c>
      <c r="FN30" s="822" t="e">
        <f t="shared" si="93"/>
        <v>#VALUE!</v>
      </c>
      <c r="FO30" s="940" t="e">
        <f t="shared" si="94"/>
        <v>#VALUE!</v>
      </c>
      <c r="FP30" s="940" t="e">
        <f t="shared" si="95"/>
        <v>#VALUE!</v>
      </c>
      <c r="FQ30" s="830" t="e">
        <f t="shared" si="96"/>
        <v>#VALUE!</v>
      </c>
      <c r="FR30" s="831" t="e">
        <f t="shared" si="97"/>
        <v>#VALUE!</v>
      </c>
      <c r="FS30" s="832" t="str">
        <f t="shared" si="98"/>
        <v/>
      </c>
      <c r="FT30" s="833" t="str">
        <f t="shared" si="99"/>
        <v/>
      </c>
      <c r="FU30" s="870">
        <f t="shared" si="100"/>
        <v>0</v>
      </c>
      <c r="FV30" s="871">
        <f t="shared" si="101"/>
        <v>0</v>
      </c>
      <c r="GA30" s="1791" t="str">
        <f t="shared" si="119"/>
        <v/>
      </c>
      <c r="GB30" s="1792" t="str">
        <f t="shared" si="120"/>
        <v/>
      </c>
      <c r="GC30" s="1793" t="str">
        <f t="shared" si="121"/>
        <v/>
      </c>
      <c r="GD30" s="1794" t="str">
        <f t="shared" si="122"/>
        <v/>
      </c>
      <c r="GE30" s="1795" t="str">
        <f t="shared" si="102"/>
        <v/>
      </c>
      <c r="GF30" s="600" t="str">
        <f t="shared" si="103"/>
        <v/>
      </c>
      <c r="GG30" s="1130"/>
      <c r="GH30" s="1131"/>
      <c r="GI30" s="1130"/>
      <c r="GJ30" s="1131"/>
      <c r="GK30" s="1638">
        <f t="shared" si="104"/>
        <v>0</v>
      </c>
      <c r="GL30" s="1636" t="e">
        <f t="shared" si="105"/>
        <v>#VALUE!</v>
      </c>
      <c r="GM30" s="1637" t="e">
        <f>IF(ABS(GK30-GL30)&gt;='Job Info.'!$L$22,ABS(GK30-GL30),0)</f>
        <v>#VALUE!</v>
      </c>
      <c r="HA30" s="1269"/>
      <c r="HB30" s="1270"/>
      <c r="HC30" s="1270"/>
      <c r="HD30" s="1271"/>
      <c r="HE30" s="1272"/>
      <c r="HF30" s="1270"/>
      <c r="HG30" s="1270"/>
      <c r="HH30" s="1270"/>
      <c r="HI30" s="1273"/>
      <c r="HJ30" s="1270"/>
      <c r="HK30" s="1270"/>
      <c r="HL30" s="1270"/>
      <c r="HM30" s="1270"/>
      <c r="HN30" s="1270"/>
      <c r="HO30" s="1270"/>
      <c r="HP30" s="1270"/>
      <c r="HQ30" s="1273"/>
      <c r="HR30" s="1270"/>
      <c r="HS30" s="1270"/>
      <c r="HT30" s="1270"/>
      <c r="HU30" s="1270"/>
      <c r="HV30" s="1270"/>
      <c r="HW30" s="1272"/>
      <c r="HX30" s="1272"/>
      <c r="HY30" s="1272"/>
      <c r="HZ30" s="1272"/>
      <c r="IA30" s="1272"/>
      <c r="IB30" s="1272"/>
      <c r="IC30" s="1272"/>
      <c r="ID30" s="1272"/>
      <c r="IE30" s="1272"/>
      <c r="IF30" s="1274"/>
    </row>
    <row r="31" spans="1:240" ht="12.6" customHeight="1" x14ac:dyDescent="0.25">
      <c r="A31" s="1448" t="str">
        <f t="shared" si="109"/>
        <v/>
      </c>
      <c r="B31" s="1681"/>
      <c r="C31" s="1449" t="str">
        <f t="shared" si="110"/>
        <v/>
      </c>
      <c r="D31" s="1705" t="str">
        <f t="shared" si="111"/>
        <v/>
      </c>
      <c r="E31" s="1706" t="str">
        <f t="shared" si="112"/>
        <v/>
      </c>
      <c r="F31" s="1714" t="str">
        <f t="shared" si="1"/>
        <v/>
      </c>
      <c r="G31" s="1709" t="str">
        <f t="shared" si="2"/>
        <v/>
      </c>
      <c r="H31" s="1779" t="str">
        <f t="shared" si="3"/>
        <v/>
      </c>
      <c r="I31" s="1705" t="str">
        <f t="shared" si="4"/>
        <v/>
      </c>
      <c r="J31" s="1709" t="str">
        <f t="shared" si="5"/>
        <v/>
      </c>
      <c r="K31" s="1796" t="str">
        <f t="shared" si="6"/>
        <v/>
      </c>
      <c r="L31" s="1712" t="str">
        <f t="shared" si="113"/>
        <v/>
      </c>
      <c r="M31" s="1713" t="str">
        <f t="shared" si="113"/>
        <v/>
      </c>
      <c r="N31" s="1708" t="str">
        <f t="shared" si="7"/>
        <v/>
      </c>
      <c r="O31" s="1709" t="str">
        <f t="shared" si="8"/>
        <v/>
      </c>
      <c r="P31" s="1710" t="str">
        <f t="shared" si="9"/>
        <v/>
      </c>
      <c r="Q31" s="1705" t="str">
        <f t="shared" si="10"/>
        <v/>
      </c>
      <c r="R31" s="1709" t="str">
        <f t="shared" si="11"/>
        <v/>
      </c>
      <c r="S31" s="1711" t="str">
        <f t="shared" si="12"/>
        <v/>
      </c>
      <c r="T31" s="1714" t="str">
        <f t="shared" si="114"/>
        <v/>
      </c>
      <c r="U31" s="1709" t="str">
        <f t="shared" si="115"/>
        <v/>
      </c>
      <c r="V31" s="1705" t="str">
        <f t="shared" si="116"/>
        <v/>
      </c>
      <c r="W31" s="1709" t="str">
        <f t="shared" si="117"/>
        <v/>
      </c>
      <c r="X31" s="1713">
        <f t="shared" si="118"/>
        <v>0</v>
      </c>
      <c r="Y31" s="1781" t="str">
        <f t="shared" si="13"/>
        <v/>
      </c>
      <c r="Z31" s="1782" t="str">
        <f t="shared" si="14"/>
        <v/>
      </c>
      <c r="AA31" s="1783" t="s">
        <v>116</v>
      </c>
      <c r="AB31" s="1413"/>
      <c r="AC31" s="964" t="b">
        <v>0</v>
      </c>
      <c r="AD31" s="441">
        <f t="shared" si="15"/>
        <v>0</v>
      </c>
      <c r="AE31" s="442">
        <f t="shared" si="16"/>
        <v>0</v>
      </c>
      <c r="AF31" s="442">
        <f t="shared" si="17"/>
        <v>0</v>
      </c>
      <c r="AG31" s="442">
        <f t="shared" si="18"/>
        <v>0</v>
      </c>
      <c r="AH31" s="443">
        <f t="shared" si="19"/>
        <v>0</v>
      </c>
      <c r="AI31" s="444" t="b">
        <v>0</v>
      </c>
      <c r="AJ31" s="238">
        <f t="shared" si="20"/>
        <v>0</v>
      </c>
      <c r="AK31" s="830" t="str">
        <f t="shared" si="21"/>
        <v/>
      </c>
      <c r="AL31" s="945" t="str">
        <f t="shared" si="22"/>
        <v/>
      </c>
      <c r="AM31" s="830" t="str">
        <f t="shared" si="23"/>
        <v/>
      </c>
      <c r="AN31" s="830" t="str">
        <f t="shared" si="24"/>
        <v/>
      </c>
      <c r="AO31" s="830" t="str">
        <f t="shared" si="25"/>
        <v/>
      </c>
      <c r="AP31" s="830" t="b">
        <f>IF(ISERROR(AJ31),FALSE,IF(OR(AJ31=0,ISERROR(AL31),ISERROR(AM31),ISERROR(AN31),ISERROR(AO31)),FALSE,IF(AL31&lt;&gt;"",IF(ISERROR(VLOOKUP(SUBSTITUTE(SUBSTITUTE(C31,"R",""),"A",""),TblJoistSize!$A:$A,1,FALSE)),FALSE,TRUE),TRUE)))</f>
        <v>0</v>
      </c>
      <c r="AQ31" s="1038" t="e">
        <f t="shared" si="26"/>
        <v>#N/A</v>
      </c>
      <c r="AR31" s="945" t="b">
        <f t="shared" si="27"/>
        <v>0</v>
      </c>
      <c r="AS31" s="1038" t="e">
        <f t="shared" si="28"/>
        <v>#N/A</v>
      </c>
      <c r="AT31" s="945" t="b">
        <f t="shared" si="29"/>
        <v>0</v>
      </c>
      <c r="AU31" s="946" t="str">
        <f t="shared" si="30"/>
        <v/>
      </c>
      <c r="AV31" s="830" t="str">
        <f t="shared" si="31"/>
        <v/>
      </c>
      <c r="AW31" s="830" t="str">
        <f t="shared" si="32"/>
        <v/>
      </c>
      <c r="AX31" s="830" t="str">
        <f t="shared" si="106"/>
        <v/>
      </c>
      <c r="AY31" s="1039" t="b">
        <f t="shared" si="33"/>
        <v>0</v>
      </c>
      <c r="AZ31" s="856" t="str">
        <f t="shared" si="34"/>
        <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35"/>
        <v/>
      </c>
      <c r="BR31" s="910"/>
      <c r="BS31" s="672"/>
      <c r="BT31" s="713"/>
      <c r="BU31" s="714"/>
      <c r="BV31" s="1625"/>
      <c r="BW31" s="713"/>
      <c r="BX31" s="714"/>
      <c r="BY31" s="715"/>
      <c r="BZ31" s="716"/>
      <c r="CA31" s="680" t="str">
        <f>IF(ISERROR(DE31),"",IF(DE31="","",IF(VLOOKUP(BS31,SectInfo!$B:$N,10,FALSE)="","","X")))</f>
        <v/>
      </c>
      <c r="CB31" s="738"/>
      <c r="CC31" s="1551" t="str">
        <f t="shared" si="36"/>
        <v/>
      </c>
      <c r="CD31" s="910"/>
      <c r="CE31" s="717"/>
      <c r="CF31" s="736"/>
      <c r="CG31" s="737"/>
      <c r="CH31" s="591" t="str">
        <f t="shared" si="37"/>
        <v/>
      </c>
      <c r="CI31" s="592" t="str">
        <f t="shared" si="38"/>
        <v/>
      </c>
      <c r="CJ31" s="593" t="str">
        <f t="shared" si="39"/>
        <v/>
      </c>
      <c r="CK31" s="594" t="str">
        <f t="shared" si="40"/>
        <v/>
      </c>
      <c r="CL31" s="595" t="str">
        <f t="shared" si="41"/>
        <v/>
      </c>
      <c r="CM31" s="596" t="str">
        <f t="shared" si="42"/>
        <v/>
      </c>
      <c r="CN31" s="597" t="str">
        <f t="shared" si="43"/>
        <v/>
      </c>
      <c r="CO31" s="598" t="str">
        <f t="shared" si="44"/>
        <v/>
      </c>
      <c r="CP31" s="615" t="str">
        <f t="shared" si="45"/>
        <v/>
      </c>
      <c r="CQ31" s="616" t="str">
        <f t="shared" si="46"/>
        <v/>
      </c>
      <c r="CR31" s="750" t="str">
        <f t="shared" si="47"/>
        <v/>
      </c>
      <c r="CS31" s="751" t="str">
        <f t="shared" si="48"/>
        <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49"/>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50"/>
        <v>0</v>
      </c>
      <c r="DO31" s="818">
        <f t="shared" si="51"/>
        <v>0</v>
      </c>
      <c r="DP31" s="822" t="str">
        <f t="shared" si="52"/>
        <v/>
      </c>
      <c r="DQ31" s="822" t="str">
        <f t="shared" si="53"/>
        <v/>
      </c>
      <c r="DR31" s="822" t="str">
        <f t="shared" si="54"/>
        <v/>
      </c>
      <c r="DS31" s="821">
        <f t="shared" si="55"/>
        <v>0</v>
      </c>
      <c r="DT31" s="821">
        <f t="shared" si="56"/>
        <v>0</v>
      </c>
      <c r="DU31" s="821" t="str">
        <f t="shared" si="57"/>
        <v/>
      </c>
      <c r="DV31" s="822" t="str">
        <f t="shared" si="58"/>
        <v/>
      </c>
      <c r="DW31" s="856" t="str">
        <f t="shared" si="59"/>
        <v/>
      </c>
      <c r="DX31" s="1006">
        <f t="shared" si="60"/>
        <v>0</v>
      </c>
      <c r="DY31" s="822">
        <f t="shared" si="61"/>
        <v>0</v>
      </c>
      <c r="DZ31" s="821">
        <f t="shared" si="62"/>
        <v>0</v>
      </c>
      <c r="EA31" s="821" t="str">
        <f t="shared" si="63"/>
        <v/>
      </c>
      <c r="EB31" s="822" t="str">
        <f t="shared" si="64"/>
        <v/>
      </c>
      <c r="EC31" s="856" t="str">
        <f t="shared" si="65"/>
        <v/>
      </c>
      <c r="ED31" s="1006">
        <f t="shared" si="66"/>
        <v>0</v>
      </c>
      <c r="EE31" s="1293" t="str">
        <f t="shared" si="67"/>
        <v/>
      </c>
      <c r="EF31" s="1293" t="str">
        <f t="shared" si="68"/>
        <v/>
      </c>
      <c r="EG31" s="1293" t="str">
        <f t="shared" si="69"/>
        <v/>
      </c>
      <c r="EH31" s="856" t="e">
        <f t="shared" si="70"/>
        <v>#N/A</v>
      </c>
      <c r="EI31" s="856" t="e">
        <f t="shared" si="71"/>
        <v>#N/A</v>
      </c>
      <c r="EJ31" s="822" t="str">
        <f t="shared" si="72"/>
        <v/>
      </c>
      <c r="EK31" s="822" t="str">
        <f t="shared" si="72"/>
        <v/>
      </c>
      <c r="EL31" s="1293" t="str">
        <f t="shared" si="73"/>
        <v/>
      </c>
      <c r="EM31" s="822" t="str">
        <f t="shared" si="74"/>
        <v/>
      </c>
      <c r="EN31" s="822" t="str">
        <f t="shared" si="75"/>
        <v/>
      </c>
      <c r="EO31" s="856" t="e">
        <f t="shared" si="76"/>
        <v>#N/A</v>
      </c>
      <c r="EP31" s="856" t="e">
        <f t="shared" si="77"/>
        <v>#N/A</v>
      </c>
      <c r="EQ31" s="1293" t="str">
        <f t="shared" si="78"/>
        <v/>
      </c>
      <c r="ER31" s="822" t="str">
        <f t="shared" si="78"/>
        <v/>
      </c>
      <c r="ES31" s="822" t="str">
        <f t="shared" si="79"/>
        <v/>
      </c>
      <c r="ET31" s="822" t="str">
        <f t="shared" si="80"/>
        <v/>
      </c>
      <c r="EU31" s="829" t="str">
        <f t="shared" si="81"/>
        <v/>
      </c>
      <c r="EV31" s="824" t="str">
        <f t="shared" si="82"/>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83"/>
        <v/>
      </c>
      <c r="FA31" s="829" t="str">
        <f>IF(AND(DE31="G", ISBLANK(BW31), ISBLANK(BX31)),VLOOKUP(MIN(BT31:BU31),TblJoistSize!$M$3:$N$10,2),IF(OR(DE31="B", DE31="G"),MIN(BW31:BX31),""))</f>
        <v/>
      </c>
      <c r="FB31" s="829" t="str">
        <f>IF(AND(DE31="G", ISBLANK(BW31), ISBLANK(BX31)),VLOOKUP(MAX(BT31:BU31),TblJoistSize!$M$3:$N$10,2),IF(OR(DE31="B", DE31="G"),MAX(BW31:BX31),""))</f>
        <v/>
      </c>
      <c r="FC31" s="829" t="str">
        <f t="shared" si="84"/>
        <v/>
      </c>
      <c r="FD31" s="821">
        <f t="shared" si="107"/>
        <v>0</v>
      </c>
      <c r="FE31" s="821">
        <f t="shared" si="85"/>
        <v>0</v>
      </c>
      <c r="FF31" s="821">
        <f t="shared" si="86"/>
        <v>0</v>
      </c>
      <c r="FG31" s="821" t="str">
        <f t="shared" si="87"/>
        <v/>
      </c>
      <c r="FH31" s="822" t="str">
        <f t="shared" si="88"/>
        <v/>
      </c>
      <c r="FI31" s="821">
        <f t="shared" si="108"/>
        <v>0</v>
      </c>
      <c r="FJ31" s="821">
        <f t="shared" si="89"/>
        <v>0</v>
      </c>
      <c r="FK31" s="821">
        <f t="shared" si="90"/>
        <v>0</v>
      </c>
      <c r="FL31" s="821" t="str">
        <f t="shared" si="91"/>
        <v/>
      </c>
      <c r="FM31" s="822" t="str">
        <f t="shared" si="92"/>
        <v/>
      </c>
      <c r="FN31" s="822" t="e">
        <f t="shared" si="93"/>
        <v>#VALUE!</v>
      </c>
      <c r="FO31" s="940" t="e">
        <f t="shared" si="94"/>
        <v>#VALUE!</v>
      </c>
      <c r="FP31" s="940" t="e">
        <f t="shared" si="95"/>
        <v>#VALUE!</v>
      </c>
      <c r="FQ31" s="830" t="e">
        <f t="shared" si="96"/>
        <v>#VALUE!</v>
      </c>
      <c r="FR31" s="831" t="e">
        <f t="shared" si="97"/>
        <v>#VALUE!</v>
      </c>
      <c r="FS31" s="832" t="str">
        <f t="shared" si="98"/>
        <v/>
      </c>
      <c r="FT31" s="833" t="str">
        <f t="shared" si="99"/>
        <v/>
      </c>
      <c r="FU31" s="870">
        <f t="shared" si="100"/>
        <v>0</v>
      </c>
      <c r="FV31" s="871">
        <f t="shared" si="101"/>
        <v>0</v>
      </c>
      <c r="GA31" s="1791" t="str">
        <f t="shared" si="119"/>
        <v/>
      </c>
      <c r="GB31" s="1792" t="str">
        <f t="shared" si="120"/>
        <v/>
      </c>
      <c r="GC31" s="1793" t="str">
        <f t="shared" si="121"/>
        <v/>
      </c>
      <c r="GD31" s="1794" t="str">
        <f t="shared" si="122"/>
        <v/>
      </c>
      <c r="GE31" s="1795" t="str">
        <f t="shared" si="102"/>
        <v/>
      </c>
      <c r="GF31" s="600" t="str">
        <f t="shared" si="103"/>
        <v/>
      </c>
      <c r="GG31" s="1130"/>
      <c r="GH31" s="1131"/>
      <c r="GI31" s="1130"/>
      <c r="GJ31" s="1131"/>
      <c r="GK31" s="1638">
        <f t="shared" si="104"/>
        <v>0</v>
      </c>
      <c r="GL31" s="1636" t="e">
        <f t="shared" si="105"/>
        <v>#VALUE!</v>
      </c>
      <c r="GM31" s="1637" t="e">
        <f>IF(ABS(GK31-GL31)&gt;='Job Info.'!$L$22,ABS(GK31-GL31),0)</f>
        <v>#VALUE!</v>
      </c>
      <c r="HA31" s="1269"/>
      <c r="HB31" s="1270"/>
      <c r="HC31" s="1270"/>
      <c r="HD31" s="1271"/>
      <c r="HE31" s="1272"/>
      <c r="HF31" s="1270"/>
      <c r="HG31" s="1270"/>
      <c r="HH31" s="1270"/>
      <c r="HI31" s="1273"/>
      <c r="HJ31" s="1270"/>
      <c r="HK31" s="1270"/>
      <c r="HL31" s="1270"/>
      <c r="HM31" s="1270"/>
      <c r="HN31" s="1270"/>
      <c r="HO31" s="1270"/>
      <c r="HP31" s="1270"/>
      <c r="HQ31" s="1273"/>
      <c r="HR31" s="1270"/>
      <c r="HS31" s="1270"/>
      <c r="HT31" s="1270"/>
      <c r="HU31" s="1270"/>
      <c r="HV31" s="1270"/>
      <c r="HW31" s="1272"/>
      <c r="HX31" s="1272"/>
      <c r="HY31" s="1272"/>
      <c r="HZ31" s="1272"/>
      <c r="IA31" s="1272"/>
      <c r="IB31" s="1272"/>
      <c r="IC31" s="1272"/>
      <c r="ID31" s="1272"/>
      <c r="IE31" s="1272"/>
      <c r="IF31" s="1274"/>
    </row>
    <row r="32" spans="1:240" ht="12.6" customHeight="1" x14ac:dyDescent="0.25">
      <c r="A32" s="1448" t="str">
        <f t="shared" si="109"/>
        <v/>
      </c>
      <c r="B32" s="1681"/>
      <c r="C32" s="1449" t="str">
        <f t="shared" si="110"/>
        <v/>
      </c>
      <c r="D32" s="1705" t="str">
        <f t="shared" si="111"/>
        <v/>
      </c>
      <c r="E32" s="1706" t="str">
        <f t="shared" si="112"/>
        <v/>
      </c>
      <c r="F32" s="1714" t="str">
        <f t="shared" si="1"/>
        <v/>
      </c>
      <c r="G32" s="1709" t="str">
        <f t="shared" si="2"/>
        <v/>
      </c>
      <c r="H32" s="1779" t="str">
        <f t="shared" si="3"/>
        <v/>
      </c>
      <c r="I32" s="1705" t="str">
        <f t="shared" si="4"/>
        <v/>
      </c>
      <c r="J32" s="1709" t="str">
        <f t="shared" si="5"/>
        <v/>
      </c>
      <c r="K32" s="1796" t="str">
        <f t="shared" si="6"/>
        <v/>
      </c>
      <c r="L32" s="1712" t="str">
        <f t="shared" si="113"/>
        <v/>
      </c>
      <c r="M32" s="1713" t="str">
        <f t="shared" si="113"/>
        <v/>
      </c>
      <c r="N32" s="1708" t="str">
        <f t="shared" si="7"/>
        <v/>
      </c>
      <c r="O32" s="1709" t="str">
        <f t="shared" si="8"/>
        <v/>
      </c>
      <c r="P32" s="1710" t="str">
        <f t="shared" si="9"/>
        <v/>
      </c>
      <c r="Q32" s="1705" t="str">
        <f t="shared" si="10"/>
        <v/>
      </c>
      <c r="R32" s="1709" t="str">
        <f t="shared" si="11"/>
        <v/>
      </c>
      <c r="S32" s="1711" t="str">
        <f t="shared" si="12"/>
        <v/>
      </c>
      <c r="T32" s="1714" t="str">
        <f t="shared" si="114"/>
        <v/>
      </c>
      <c r="U32" s="1709" t="str">
        <f t="shared" si="115"/>
        <v/>
      </c>
      <c r="V32" s="1705" t="str">
        <f t="shared" si="116"/>
        <v/>
      </c>
      <c r="W32" s="1709" t="str">
        <f t="shared" si="117"/>
        <v/>
      </c>
      <c r="X32" s="1713">
        <f t="shared" si="118"/>
        <v>0</v>
      </c>
      <c r="Y32" s="1781" t="str">
        <f t="shared" si="13"/>
        <v/>
      </c>
      <c r="Z32" s="1782" t="str">
        <f t="shared" si="14"/>
        <v/>
      </c>
      <c r="AA32" s="1783" t="s">
        <v>116</v>
      </c>
      <c r="AB32" s="1413"/>
      <c r="AC32" s="964" t="b">
        <v>0</v>
      </c>
      <c r="AD32" s="441">
        <f t="shared" si="15"/>
        <v>0</v>
      </c>
      <c r="AE32" s="442">
        <f t="shared" si="16"/>
        <v>0</v>
      </c>
      <c r="AF32" s="442">
        <f t="shared" si="17"/>
        <v>0</v>
      </c>
      <c r="AG32" s="442">
        <f t="shared" si="18"/>
        <v>0</v>
      </c>
      <c r="AH32" s="443">
        <f t="shared" si="19"/>
        <v>0</v>
      </c>
      <c r="AI32" s="444" t="b">
        <v>0</v>
      </c>
      <c r="AJ32" s="238">
        <f t="shared" si="20"/>
        <v>0</v>
      </c>
      <c r="AK32" s="830" t="str">
        <f t="shared" si="21"/>
        <v/>
      </c>
      <c r="AL32" s="945" t="str">
        <f t="shared" si="22"/>
        <v/>
      </c>
      <c r="AM32" s="830" t="str">
        <f t="shared" si="23"/>
        <v/>
      </c>
      <c r="AN32" s="830" t="str">
        <f t="shared" si="24"/>
        <v/>
      </c>
      <c r="AO32" s="830" t="str">
        <f t="shared" si="25"/>
        <v/>
      </c>
      <c r="AP32" s="830" t="b">
        <f>IF(ISERROR(AJ32),FALSE,IF(OR(AJ32=0,ISERROR(AL32),ISERROR(AM32),ISERROR(AN32),ISERROR(AO32)),FALSE,IF(AL32&lt;&gt;"",IF(ISERROR(VLOOKUP(SUBSTITUTE(SUBSTITUTE(C32,"R",""),"A",""),TblJoistSize!$A:$A,1,FALSE)),FALSE,TRUE),TRUE)))</f>
        <v>0</v>
      </c>
      <c r="AQ32" s="1038" t="e">
        <f t="shared" si="26"/>
        <v>#N/A</v>
      </c>
      <c r="AR32" s="945" t="b">
        <f t="shared" si="27"/>
        <v>0</v>
      </c>
      <c r="AS32" s="1038" t="e">
        <f t="shared" si="28"/>
        <v>#N/A</v>
      </c>
      <c r="AT32" s="945" t="b">
        <f t="shared" si="29"/>
        <v>0</v>
      </c>
      <c r="AU32" s="946" t="str">
        <f t="shared" si="30"/>
        <v/>
      </c>
      <c r="AV32" s="830" t="str">
        <f t="shared" si="31"/>
        <v/>
      </c>
      <c r="AW32" s="830" t="str">
        <f t="shared" si="32"/>
        <v/>
      </c>
      <c r="AX32" s="830" t="str">
        <f t="shared" si="106"/>
        <v/>
      </c>
      <c r="AY32" s="1039" t="b">
        <f t="shared" si="33"/>
        <v>0</v>
      </c>
      <c r="AZ32" s="856" t="str">
        <f t="shared" si="34"/>
        <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35"/>
        <v/>
      </c>
      <c r="BR32" s="910"/>
      <c r="BS32" s="672"/>
      <c r="BT32" s="713"/>
      <c r="BU32" s="714"/>
      <c r="BV32" s="1625"/>
      <c r="BW32" s="713"/>
      <c r="BX32" s="714"/>
      <c r="BY32" s="715"/>
      <c r="BZ32" s="716"/>
      <c r="CA32" s="680" t="str">
        <f>IF(ISERROR(DE32),"",IF(DE32="","",IF(VLOOKUP(BS32,SectInfo!$B:$N,10,FALSE)="","","X")))</f>
        <v/>
      </c>
      <c r="CB32" s="738"/>
      <c r="CC32" s="1551" t="str">
        <f t="shared" si="36"/>
        <v/>
      </c>
      <c r="CD32" s="910"/>
      <c r="CE32" s="717"/>
      <c r="CF32" s="736"/>
      <c r="CG32" s="737"/>
      <c r="CH32" s="591" t="str">
        <f t="shared" si="37"/>
        <v/>
      </c>
      <c r="CI32" s="592" t="str">
        <f t="shared" si="38"/>
        <v/>
      </c>
      <c r="CJ32" s="593" t="str">
        <f t="shared" si="39"/>
        <v/>
      </c>
      <c r="CK32" s="594" t="str">
        <f t="shared" si="40"/>
        <v/>
      </c>
      <c r="CL32" s="595" t="str">
        <f t="shared" si="41"/>
        <v/>
      </c>
      <c r="CM32" s="596" t="str">
        <f t="shared" si="42"/>
        <v/>
      </c>
      <c r="CN32" s="597" t="str">
        <f t="shared" si="43"/>
        <v/>
      </c>
      <c r="CO32" s="598" t="str">
        <f t="shared" si="44"/>
        <v/>
      </c>
      <c r="CP32" s="615" t="str">
        <f t="shared" si="45"/>
        <v/>
      </c>
      <c r="CQ32" s="616" t="str">
        <f t="shared" si="46"/>
        <v/>
      </c>
      <c r="CR32" s="750" t="str">
        <f t="shared" si="47"/>
        <v/>
      </c>
      <c r="CS32" s="751" t="str">
        <f t="shared" si="48"/>
        <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49"/>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50"/>
        <v>0</v>
      </c>
      <c r="DO32" s="818">
        <f t="shared" si="51"/>
        <v>0</v>
      </c>
      <c r="DP32" s="822" t="str">
        <f t="shared" si="52"/>
        <v/>
      </c>
      <c r="DQ32" s="822" t="str">
        <f t="shared" si="53"/>
        <v/>
      </c>
      <c r="DR32" s="822" t="str">
        <f t="shared" si="54"/>
        <v/>
      </c>
      <c r="DS32" s="821">
        <f t="shared" si="55"/>
        <v>0</v>
      </c>
      <c r="DT32" s="821">
        <f t="shared" si="56"/>
        <v>0</v>
      </c>
      <c r="DU32" s="821" t="str">
        <f t="shared" si="57"/>
        <v/>
      </c>
      <c r="DV32" s="822" t="str">
        <f t="shared" si="58"/>
        <v/>
      </c>
      <c r="DW32" s="856" t="str">
        <f t="shared" si="59"/>
        <v/>
      </c>
      <c r="DX32" s="1006">
        <f t="shared" si="60"/>
        <v>0</v>
      </c>
      <c r="DY32" s="822">
        <f t="shared" si="61"/>
        <v>0</v>
      </c>
      <c r="DZ32" s="821">
        <f t="shared" si="62"/>
        <v>0</v>
      </c>
      <c r="EA32" s="821" t="str">
        <f t="shared" si="63"/>
        <v/>
      </c>
      <c r="EB32" s="822" t="str">
        <f t="shared" si="64"/>
        <v/>
      </c>
      <c r="EC32" s="856" t="str">
        <f t="shared" si="65"/>
        <v/>
      </c>
      <c r="ED32" s="1006">
        <f t="shared" si="66"/>
        <v>0</v>
      </c>
      <c r="EE32" s="1293" t="str">
        <f t="shared" si="67"/>
        <v/>
      </c>
      <c r="EF32" s="1293" t="str">
        <f t="shared" si="68"/>
        <v/>
      </c>
      <c r="EG32" s="1293" t="str">
        <f t="shared" si="69"/>
        <v/>
      </c>
      <c r="EH32" s="856" t="e">
        <f t="shared" si="70"/>
        <v>#N/A</v>
      </c>
      <c r="EI32" s="856" t="e">
        <f t="shared" si="71"/>
        <v>#N/A</v>
      </c>
      <c r="EJ32" s="822" t="str">
        <f t="shared" si="72"/>
        <v/>
      </c>
      <c r="EK32" s="822" t="str">
        <f t="shared" si="72"/>
        <v/>
      </c>
      <c r="EL32" s="1293" t="str">
        <f t="shared" si="73"/>
        <v/>
      </c>
      <c r="EM32" s="822" t="str">
        <f t="shared" si="74"/>
        <v/>
      </c>
      <c r="EN32" s="822" t="str">
        <f t="shared" si="75"/>
        <v/>
      </c>
      <c r="EO32" s="856" t="e">
        <f t="shared" si="76"/>
        <v>#N/A</v>
      </c>
      <c r="EP32" s="856" t="e">
        <f t="shared" si="77"/>
        <v>#N/A</v>
      </c>
      <c r="EQ32" s="1293" t="str">
        <f t="shared" si="78"/>
        <v/>
      </c>
      <c r="ER32" s="822" t="str">
        <f t="shared" si="78"/>
        <v/>
      </c>
      <c r="ES32" s="822" t="str">
        <f t="shared" si="79"/>
        <v/>
      </c>
      <c r="ET32" s="822" t="str">
        <f t="shared" si="80"/>
        <v/>
      </c>
      <c r="EU32" s="829" t="str">
        <f t="shared" si="81"/>
        <v/>
      </c>
      <c r="EV32" s="824" t="str">
        <f t="shared" si="82"/>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83"/>
        <v/>
      </c>
      <c r="FA32" s="829" t="str">
        <f>IF(AND(DE32="G", ISBLANK(BW32), ISBLANK(BX32)),VLOOKUP(MIN(BT32:BU32),TblJoistSize!$M$3:$N$10,2),IF(OR(DE32="B", DE32="G"),MIN(BW32:BX32),""))</f>
        <v/>
      </c>
      <c r="FB32" s="829" t="str">
        <f>IF(AND(DE32="G", ISBLANK(BW32), ISBLANK(BX32)),VLOOKUP(MAX(BT32:BU32),TblJoistSize!$M$3:$N$10,2),IF(OR(DE32="B", DE32="G"),MAX(BW32:BX32),""))</f>
        <v/>
      </c>
      <c r="FC32" s="829" t="str">
        <f t="shared" si="84"/>
        <v/>
      </c>
      <c r="FD32" s="821">
        <f t="shared" si="107"/>
        <v>0</v>
      </c>
      <c r="FE32" s="821">
        <f t="shared" si="85"/>
        <v>0</v>
      </c>
      <c r="FF32" s="821">
        <f t="shared" si="86"/>
        <v>0</v>
      </c>
      <c r="FG32" s="821" t="str">
        <f t="shared" si="87"/>
        <v/>
      </c>
      <c r="FH32" s="822" t="str">
        <f t="shared" si="88"/>
        <v/>
      </c>
      <c r="FI32" s="821">
        <f t="shared" si="108"/>
        <v>0</v>
      </c>
      <c r="FJ32" s="821">
        <f t="shared" si="89"/>
        <v>0</v>
      </c>
      <c r="FK32" s="821">
        <f t="shared" si="90"/>
        <v>0</v>
      </c>
      <c r="FL32" s="821" t="str">
        <f t="shared" si="91"/>
        <v/>
      </c>
      <c r="FM32" s="822" t="str">
        <f t="shared" si="92"/>
        <v/>
      </c>
      <c r="FN32" s="822" t="e">
        <f t="shared" si="93"/>
        <v>#VALUE!</v>
      </c>
      <c r="FO32" s="940" t="e">
        <f t="shared" si="94"/>
        <v>#VALUE!</v>
      </c>
      <c r="FP32" s="940" t="e">
        <f t="shared" si="95"/>
        <v>#VALUE!</v>
      </c>
      <c r="FQ32" s="830" t="e">
        <f t="shared" si="96"/>
        <v>#VALUE!</v>
      </c>
      <c r="FR32" s="831" t="e">
        <f t="shared" si="97"/>
        <v>#VALUE!</v>
      </c>
      <c r="FS32" s="832" t="str">
        <f t="shared" si="98"/>
        <v/>
      </c>
      <c r="FT32" s="833" t="str">
        <f t="shared" si="99"/>
        <v/>
      </c>
      <c r="FU32" s="870">
        <f t="shared" si="100"/>
        <v>0</v>
      </c>
      <c r="FV32" s="871">
        <f t="shared" si="101"/>
        <v>0</v>
      </c>
      <c r="GA32" s="1791" t="str">
        <f t="shared" si="119"/>
        <v/>
      </c>
      <c r="GB32" s="1792" t="str">
        <f t="shared" si="120"/>
        <v/>
      </c>
      <c r="GC32" s="1793" t="str">
        <f t="shared" si="121"/>
        <v/>
      </c>
      <c r="GD32" s="1794" t="str">
        <f t="shared" si="122"/>
        <v/>
      </c>
      <c r="GE32" s="1795" t="str">
        <f t="shared" si="102"/>
        <v/>
      </c>
      <c r="GF32" s="600" t="str">
        <f t="shared" si="103"/>
        <v/>
      </c>
      <c r="GG32" s="1130"/>
      <c r="GH32" s="1131"/>
      <c r="GI32" s="1130"/>
      <c r="GJ32" s="1131"/>
      <c r="GK32" s="1638">
        <f t="shared" si="104"/>
        <v>0</v>
      </c>
      <c r="GL32" s="1636" t="e">
        <f t="shared" si="105"/>
        <v>#VALUE!</v>
      </c>
      <c r="GM32" s="1637" t="e">
        <f>IF(ABS(GK32-GL32)&gt;='Job Info.'!$L$22,ABS(GK32-GL32),0)</f>
        <v>#VALUE!</v>
      </c>
      <c r="HA32" s="1269"/>
      <c r="HB32" s="1270"/>
      <c r="HC32" s="1270"/>
      <c r="HD32" s="1271"/>
      <c r="HE32" s="1272"/>
      <c r="HF32" s="1270"/>
      <c r="HG32" s="1270"/>
      <c r="HH32" s="1270"/>
      <c r="HI32" s="1273"/>
      <c r="HJ32" s="1270"/>
      <c r="HK32" s="1270"/>
      <c r="HL32" s="1270"/>
      <c r="HM32" s="1270"/>
      <c r="HN32" s="1270"/>
      <c r="HO32" s="1270"/>
      <c r="HP32" s="1270"/>
      <c r="HQ32" s="1273"/>
      <c r="HR32" s="1270"/>
      <c r="HS32" s="1270"/>
      <c r="HT32" s="1270"/>
      <c r="HU32" s="1270"/>
      <c r="HV32" s="1270"/>
      <c r="HW32" s="1272"/>
      <c r="HX32" s="1272"/>
      <c r="HY32" s="1272"/>
      <c r="HZ32" s="1272"/>
      <c r="IA32" s="1272"/>
      <c r="IB32" s="1272"/>
      <c r="IC32" s="1272"/>
      <c r="ID32" s="1272"/>
      <c r="IE32" s="1272"/>
      <c r="IF32" s="1274"/>
    </row>
    <row r="33" spans="1:240" ht="12.6" customHeight="1" x14ac:dyDescent="0.25">
      <c r="A33" s="1448" t="str">
        <f t="shared" si="109"/>
        <v/>
      </c>
      <c r="B33" s="1681"/>
      <c r="C33" s="1449" t="str">
        <f t="shared" si="110"/>
        <v/>
      </c>
      <c r="D33" s="1705" t="str">
        <f t="shared" si="111"/>
        <v/>
      </c>
      <c r="E33" s="1706" t="str">
        <f t="shared" si="112"/>
        <v/>
      </c>
      <c r="F33" s="1714" t="str">
        <f t="shared" si="1"/>
        <v/>
      </c>
      <c r="G33" s="1709" t="str">
        <f t="shared" si="2"/>
        <v/>
      </c>
      <c r="H33" s="1779" t="str">
        <f t="shared" si="3"/>
        <v/>
      </c>
      <c r="I33" s="1705" t="str">
        <f t="shared" si="4"/>
        <v/>
      </c>
      <c r="J33" s="1709" t="str">
        <f t="shared" si="5"/>
        <v/>
      </c>
      <c r="K33" s="1796" t="str">
        <f t="shared" si="6"/>
        <v/>
      </c>
      <c r="L33" s="1712" t="str">
        <f t="shared" si="113"/>
        <v/>
      </c>
      <c r="M33" s="1713" t="str">
        <f t="shared" si="113"/>
        <v/>
      </c>
      <c r="N33" s="1708" t="str">
        <f t="shared" si="7"/>
        <v/>
      </c>
      <c r="O33" s="1709" t="str">
        <f t="shared" si="8"/>
        <v/>
      </c>
      <c r="P33" s="1710" t="str">
        <f t="shared" si="9"/>
        <v/>
      </c>
      <c r="Q33" s="1705" t="str">
        <f t="shared" si="10"/>
        <v/>
      </c>
      <c r="R33" s="1709" t="str">
        <f t="shared" si="11"/>
        <v/>
      </c>
      <c r="S33" s="1711" t="str">
        <f t="shared" si="12"/>
        <v/>
      </c>
      <c r="T33" s="1714" t="str">
        <f t="shared" si="114"/>
        <v/>
      </c>
      <c r="U33" s="1709" t="str">
        <f t="shared" si="115"/>
        <v/>
      </c>
      <c r="V33" s="1705" t="str">
        <f t="shared" si="116"/>
        <v/>
      </c>
      <c r="W33" s="1709" t="str">
        <f t="shared" si="117"/>
        <v/>
      </c>
      <c r="X33" s="1713">
        <f t="shared" si="118"/>
        <v>0</v>
      </c>
      <c r="Y33" s="1781" t="str">
        <f t="shared" si="13"/>
        <v/>
      </c>
      <c r="Z33" s="1782" t="str">
        <f t="shared" si="14"/>
        <v/>
      </c>
      <c r="AA33" s="1783" t="s">
        <v>116</v>
      </c>
      <c r="AB33" s="1413"/>
      <c r="AC33" s="964" t="b">
        <v>0</v>
      </c>
      <c r="AD33" s="441">
        <f t="shared" si="15"/>
        <v>0</v>
      </c>
      <c r="AE33" s="442">
        <f t="shared" si="16"/>
        <v>0</v>
      </c>
      <c r="AF33" s="442">
        <f t="shared" si="17"/>
        <v>0</v>
      </c>
      <c r="AG33" s="442">
        <f t="shared" si="18"/>
        <v>0</v>
      </c>
      <c r="AH33" s="443">
        <f t="shared" si="19"/>
        <v>0</v>
      </c>
      <c r="AI33" s="444" t="b">
        <v>0</v>
      </c>
      <c r="AJ33" s="238">
        <f t="shared" si="20"/>
        <v>0</v>
      </c>
      <c r="AK33" s="830" t="str">
        <f t="shared" si="21"/>
        <v/>
      </c>
      <c r="AL33" s="945" t="str">
        <f t="shared" si="22"/>
        <v/>
      </c>
      <c r="AM33" s="830" t="str">
        <f t="shared" si="23"/>
        <v/>
      </c>
      <c r="AN33" s="830" t="str">
        <f t="shared" si="24"/>
        <v/>
      </c>
      <c r="AO33" s="830" t="str">
        <f t="shared" si="25"/>
        <v/>
      </c>
      <c r="AP33" s="830" t="b">
        <f>IF(ISERROR(AJ33),FALSE,IF(OR(AJ33=0,ISERROR(AL33),ISERROR(AM33),ISERROR(AN33),ISERROR(AO33)),FALSE,IF(AL33&lt;&gt;"",IF(ISERROR(VLOOKUP(SUBSTITUTE(SUBSTITUTE(C33,"R",""),"A",""),TblJoistSize!$A:$A,1,FALSE)),FALSE,TRUE),TRUE)))</f>
        <v>0</v>
      </c>
      <c r="AQ33" s="1038" t="e">
        <f t="shared" si="26"/>
        <v>#N/A</v>
      </c>
      <c r="AR33" s="945" t="b">
        <f t="shared" si="27"/>
        <v>0</v>
      </c>
      <c r="AS33" s="1038" t="e">
        <f t="shared" si="28"/>
        <v>#N/A</v>
      </c>
      <c r="AT33" s="945" t="b">
        <f t="shared" si="29"/>
        <v>0</v>
      </c>
      <c r="AU33" s="946" t="str">
        <f t="shared" si="30"/>
        <v/>
      </c>
      <c r="AV33" s="830" t="str">
        <f t="shared" si="31"/>
        <v/>
      </c>
      <c r="AW33" s="830" t="str">
        <f t="shared" si="32"/>
        <v/>
      </c>
      <c r="AX33" s="830" t="str">
        <f t="shared" si="106"/>
        <v/>
      </c>
      <c r="AY33" s="1039" t="b">
        <f t="shared" si="33"/>
        <v>0</v>
      </c>
      <c r="AZ33" s="856" t="str">
        <f t="shared" si="34"/>
        <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35"/>
        <v/>
      </c>
      <c r="BR33" s="910"/>
      <c r="BS33" s="672"/>
      <c r="BT33" s="713"/>
      <c r="BU33" s="714"/>
      <c r="BV33" s="1625"/>
      <c r="BW33" s="713"/>
      <c r="BX33" s="714"/>
      <c r="BY33" s="715"/>
      <c r="BZ33" s="716"/>
      <c r="CA33" s="680" t="str">
        <f>IF(ISERROR(DE33),"",IF(DE33="","",IF(VLOOKUP(BS33,SectInfo!$B:$N,10,FALSE)="","","X")))</f>
        <v/>
      </c>
      <c r="CB33" s="738"/>
      <c r="CC33" s="1551" t="str">
        <f t="shared" si="36"/>
        <v/>
      </c>
      <c r="CD33" s="910"/>
      <c r="CE33" s="717"/>
      <c r="CF33" s="736"/>
      <c r="CG33" s="737"/>
      <c r="CH33" s="591" t="str">
        <f t="shared" si="37"/>
        <v/>
      </c>
      <c r="CI33" s="592" t="str">
        <f t="shared" si="38"/>
        <v/>
      </c>
      <c r="CJ33" s="593" t="str">
        <f t="shared" si="39"/>
        <v/>
      </c>
      <c r="CK33" s="594" t="str">
        <f t="shared" si="40"/>
        <v/>
      </c>
      <c r="CL33" s="595" t="str">
        <f t="shared" si="41"/>
        <v/>
      </c>
      <c r="CM33" s="596" t="str">
        <f t="shared" si="42"/>
        <v/>
      </c>
      <c r="CN33" s="597" t="str">
        <f t="shared" si="43"/>
        <v/>
      </c>
      <c r="CO33" s="598" t="str">
        <f t="shared" si="44"/>
        <v/>
      </c>
      <c r="CP33" s="615" t="str">
        <f t="shared" si="45"/>
        <v/>
      </c>
      <c r="CQ33" s="616" t="str">
        <f t="shared" si="46"/>
        <v/>
      </c>
      <c r="CR33" s="750" t="str">
        <f t="shared" si="47"/>
        <v/>
      </c>
      <c r="CS33" s="751" t="str">
        <f t="shared" si="48"/>
        <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49"/>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50"/>
        <v>0</v>
      </c>
      <c r="DO33" s="818">
        <f t="shared" si="51"/>
        <v>0</v>
      </c>
      <c r="DP33" s="822" t="str">
        <f t="shared" si="52"/>
        <v/>
      </c>
      <c r="DQ33" s="822" t="str">
        <f t="shared" si="53"/>
        <v/>
      </c>
      <c r="DR33" s="822" t="str">
        <f t="shared" si="54"/>
        <v/>
      </c>
      <c r="DS33" s="821">
        <f t="shared" si="55"/>
        <v>0</v>
      </c>
      <c r="DT33" s="821">
        <f t="shared" si="56"/>
        <v>0</v>
      </c>
      <c r="DU33" s="821" t="str">
        <f t="shared" si="57"/>
        <v/>
      </c>
      <c r="DV33" s="822" t="str">
        <f t="shared" si="58"/>
        <v/>
      </c>
      <c r="DW33" s="856" t="str">
        <f t="shared" si="59"/>
        <v/>
      </c>
      <c r="DX33" s="1006">
        <f t="shared" si="60"/>
        <v>0</v>
      </c>
      <c r="DY33" s="822">
        <f t="shared" si="61"/>
        <v>0</v>
      </c>
      <c r="DZ33" s="821">
        <f t="shared" si="62"/>
        <v>0</v>
      </c>
      <c r="EA33" s="821" t="str">
        <f t="shared" si="63"/>
        <v/>
      </c>
      <c r="EB33" s="822" t="str">
        <f t="shared" si="64"/>
        <v/>
      </c>
      <c r="EC33" s="856" t="str">
        <f t="shared" si="65"/>
        <v/>
      </c>
      <c r="ED33" s="1006">
        <f t="shared" si="66"/>
        <v>0</v>
      </c>
      <c r="EE33" s="1293" t="str">
        <f t="shared" si="67"/>
        <v/>
      </c>
      <c r="EF33" s="1293" t="str">
        <f t="shared" si="68"/>
        <v/>
      </c>
      <c r="EG33" s="1293" t="str">
        <f t="shared" si="69"/>
        <v/>
      </c>
      <c r="EH33" s="856" t="e">
        <f t="shared" si="70"/>
        <v>#N/A</v>
      </c>
      <c r="EI33" s="856" t="e">
        <f t="shared" si="71"/>
        <v>#N/A</v>
      </c>
      <c r="EJ33" s="822" t="str">
        <f t="shared" si="72"/>
        <v/>
      </c>
      <c r="EK33" s="822" t="str">
        <f t="shared" si="72"/>
        <v/>
      </c>
      <c r="EL33" s="1293" t="str">
        <f t="shared" si="73"/>
        <v/>
      </c>
      <c r="EM33" s="822" t="str">
        <f t="shared" si="74"/>
        <v/>
      </c>
      <c r="EN33" s="822" t="str">
        <f t="shared" si="75"/>
        <v/>
      </c>
      <c r="EO33" s="856" t="e">
        <f t="shared" si="76"/>
        <v>#N/A</v>
      </c>
      <c r="EP33" s="856" t="e">
        <f t="shared" si="77"/>
        <v>#N/A</v>
      </c>
      <c r="EQ33" s="1293" t="str">
        <f t="shared" si="78"/>
        <v/>
      </c>
      <c r="ER33" s="822" t="str">
        <f t="shared" si="78"/>
        <v/>
      </c>
      <c r="ES33" s="822" t="str">
        <f t="shared" si="79"/>
        <v/>
      </c>
      <c r="ET33" s="822" t="str">
        <f t="shared" si="80"/>
        <v/>
      </c>
      <c r="EU33" s="829" t="str">
        <f t="shared" si="81"/>
        <v/>
      </c>
      <c r="EV33" s="824" t="str">
        <f t="shared" si="82"/>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83"/>
        <v/>
      </c>
      <c r="FA33" s="829" t="str">
        <f>IF(AND(DE33="G", ISBLANK(BW33), ISBLANK(BX33)),VLOOKUP(MIN(BT33:BU33),TblJoistSize!$M$3:$N$10,2),IF(OR(DE33="B", DE33="G"),MIN(BW33:BX33),""))</f>
        <v/>
      </c>
      <c r="FB33" s="829" t="str">
        <f>IF(AND(DE33="G", ISBLANK(BW33), ISBLANK(BX33)),VLOOKUP(MAX(BT33:BU33),TblJoistSize!$M$3:$N$10,2),IF(OR(DE33="B", DE33="G"),MAX(BW33:BX33),""))</f>
        <v/>
      </c>
      <c r="FC33" s="829" t="str">
        <f t="shared" si="84"/>
        <v/>
      </c>
      <c r="FD33" s="821">
        <f t="shared" si="107"/>
        <v>0</v>
      </c>
      <c r="FE33" s="821">
        <f t="shared" si="85"/>
        <v>0</v>
      </c>
      <c r="FF33" s="821">
        <f t="shared" si="86"/>
        <v>0</v>
      </c>
      <c r="FG33" s="821" t="str">
        <f t="shared" si="87"/>
        <v/>
      </c>
      <c r="FH33" s="822" t="str">
        <f t="shared" si="88"/>
        <v/>
      </c>
      <c r="FI33" s="821">
        <f t="shared" si="108"/>
        <v>0</v>
      </c>
      <c r="FJ33" s="821">
        <f t="shared" si="89"/>
        <v>0</v>
      </c>
      <c r="FK33" s="821">
        <f t="shared" si="90"/>
        <v>0</v>
      </c>
      <c r="FL33" s="821" t="str">
        <f t="shared" si="91"/>
        <v/>
      </c>
      <c r="FM33" s="822" t="str">
        <f t="shared" si="92"/>
        <v/>
      </c>
      <c r="FN33" s="822" t="e">
        <f t="shared" si="93"/>
        <v>#VALUE!</v>
      </c>
      <c r="FO33" s="940" t="e">
        <f t="shared" si="94"/>
        <v>#VALUE!</v>
      </c>
      <c r="FP33" s="940" t="e">
        <f t="shared" si="95"/>
        <v>#VALUE!</v>
      </c>
      <c r="FQ33" s="830" t="e">
        <f t="shared" si="96"/>
        <v>#VALUE!</v>
      </c>
      <c r="FR33" s="831" t="e">
        <f t="shared" si="97"/>
        <v>#VALUE!</v>
      </c>
      <c r="FS33" s="832" t="str">
        <f t="shared" si="98"/>
        <v/>
      </c>
      <c r="FT33" s="833" t="str">
        <f t="shared" si="99"/>
        <v/>
      </c>
      <c r="FU33" s="870">
        <f t="shared" si="100"/>
        <v>0</v>
      </c>
      <c r="FV33" s="871">
        <f t="shared" si="101"/>
        <v>0</v>
      </c>
      <c r="GA33" s="1791" t="str">
        <f t="shared" si="119"/>
        <v/>
      </c>
      <c r="GB33" s="1792" t="str">
        <f t="shared" si="120"/>
        <v/>
      </c>
      <c r="GC33" s="1793" t="str">
        <f t="shared" si="121"/>
        <v/>
      </c>
      <c r="GD33" s="1794" t="str">
        <f t="shared" si="122"/>
        <v/>
      </c>
      <c r="GE33" s="1795" t="str">
        <f t="shared" si="102"/>
        <v/>
      </c>
      <c r="GF33" s="600" t="str">
        <f t="shared" si="103"/>
        <v/>
      </c>
      <c r="GG33" s="1130"/>
      <c r="GH33" s="1131"/>
      <c r="GI33" s="1130"/>
      <c r="GJ33" s="1131"/>
      <c r="GK33" s="1638">
        <f t="shared" si="104"/>
        <v>0</v>
      </c>
      <c r="GL33" s="1636" t="e">
        <f t="shared" si="105"/>
        <v>#VALUE!</v>
      </c>
      <c r="GM33" s="1637" t="e">
        <f>IF(ABS(GK33-GL33)&gt;='Job Info.'!$L$22,ABS(GK33-GL33),0)</f>
        <v>#VALUE!</v>
      </c>
      <c r="HA33" s="1269"/>
      <c r="HB33" s="1270"/>
      <c r="HC33" s="1270"/>
      <c r="HD33" s="1271"/>
      <c r="HE33" s="1272"/>
      <c r="HF33" s="1270"/>
      <c r="HG33" s="1270"/>
      <c r="HH33" s="1270"/>
      <c r="HI33" s="1273"/>
      <c r="HJ33" s="1270"/>
      <c r="HK33" s="1270"/>
      <c r="HL33" s="1270"/>
      <c r="HM33" s="1270"/>
      <c r="HN33" s="1270"/>
      <c r="HO33" s="1270"/>
      <c r="HP33" s="1270"/>
      <c r="HQ33" s="1273"/>
      <c r="HR33" s="1270"/>
      <c r="HS33" s="1270"/>
      <c r="HT33" s="1270"/>
      <c r="HU33" s="1270"/>
      <c r="HV33" s="1270"/>
      <c r="HW33" s="1272"/>
      <c r="HX33" s="1272"/>
      <c r="HY33" s="1272"/>
      <c r="HZ33" s="1272"/>
      <c r="IA33" s="1272"/>
      <c r="IB33" s="1272"/>
      <c r="IC33" s="1272"/>
      <c r="ID33" s="1272"/>
      <c r="IE33" s="1272"/>
      <c r="IF33" s="1274"/>
    </row>
    <row r="34" spans="1:240" ht="12.6" customHeight="1" x14ac:dyDescent="0.25">
      <c r="A34" s="1448" t="str">
        <f t="shared" si="109"/>
        <v/>
      </c>
      <c r="B34" s="1681"/>
      <c r="C34" s="1449" t="str">
        <f t="shared" si="110"/>
        <v/>
      </c>
      <c r="D34" s="1705" t="str">
        <f t="shared" si="111"/>
        <v/>
      </c>
      <c r="E34" s="1706" t="str">
        <f t="shared" si="112"/>
        <v/>
      </c>
      <c r="F34" s="1714" t="str">
        <f t="shared" si="1"/>
        <v/>
      </c>
      <c r="G34" s="1709" t="str">
        <f t="shared" si="2"/>
        <v/>
      </c>
      <c r="H34" s="1779" t="str">
        <f t="shared" si="3"/>
        <v/>
      </c>
      <c r="I34" s="1705" t="str">
        <f t="shared" si="4"/>
        <v/>
      </c>
      <c r="J34" s="1709" t="str">
        <f t="shared" si="5"/>
        <v/>
      </c>
      <c r="K34" s="1796" t="str">
        <f t="shared" si="6"/>
        <v/>
      </c>
      <c r="L34" s="1712" t="str">
        <f t="shared" si="113"/>
        <v/>
      </c>
      <c r="M34" s="1713" t="str">
        <f t="shared" si="113"/>
        <v/>
      </c>
      <c r="N34" s="1708" t="str">
        <f t="shared" si="7"/>
        <v/>
      </c>
      <c r="O34" s="1709" t="str">
        <f t="shared" si="8"/>
        <v/>
      </c>
      <c r="P34" s="1710" t="str">
        <f t="shared" si="9"/>
        <v/>
      </c>
      <c r="Q34" s="1705" t="str">
        <f t="shared" si="10"/>
        <v/>
      </c>
      <c r="R34" s="1709" t="str">
        <f t="shared" si="11"/>
        <v/>
      </c>
      <c r="S34" s="1711" t="str">
        <f t="shared" si="12"/>
        <v/>
      </c>
      <c r="T34" s="1714" t="str">
        <f t="shared" si="114"/>
        <v/>
      </c>
      <c r="U34" s="1709" t="str">
        <f t="shared" si="115"/>
        <v/>
      </c>
      <c r="V34" s="1705" t="str">
        <f t="shared" si="116"/>
        <v/>
      </c>
      <c r="W34" s="1709" t="str">
        <f t="shared" si="117"/>
        <v/>
      </c>
      <c r="X34" s="1713">
        <f t="shared" si="118"/>
        <v>0</v>
      </c>
      <c r="Y34" s="1781" t="str">
        <f t="shared" si="13"/>
        <v/>
      </c>
      <c r="Z34" s="1782" t="str">
        <f t="shared" si="14"/>
        <v/>
      </c>
      <c r="AA34" s="1783" t="s">
        <v>116</v>
      </c>
      <c r="AB34" s="1413"/>
      <c r="AC34" s="964" t="b">
        <v>0</v>
      </c>
      <c r="AD34" s="441">
        <f t="shared" si="15"/>
        <v>0</v>
      </c>
      <c r="AE34" s="442">
        <f t="shared" si="16"/>
        <v>0</v>
      </c>
      <c r="AF34" s="442">
        <f t="shared" si="17"/>
        <v>0</v>
      </c>
      <c r="AG34" s="442">
        <f t="shared" si="18"/>
        <v>0</v>
      </c>
      <c r="AH34" s="443">
        <f t="shared" si="19"/>
        <v>0</v>
      </c>
      <c r="AI34" s="444" t="b">
        <v>0</v>
      </c>
      <c r="AJ34" s="238">
        <f t="shared" si="20"/>
        <v>0</v>
      </c>
      <c r="AK34" s="830" t="str">
        <f t="shared" si="21"/>
        <v/>
      </c>
      <c r="AL34" s="945" t="str">
        <f t="shared" si="22"/>
        <v/>
      </c>
      <c r="AM34" s="830" t="str">
        <f t="shared" si="23"/>
        <v/>
      </c>
      <c r="AN34" s="830" t="str">
        <f t="shared" si="24"/>
        <v/>
      </c>
      <c r="AO34" s="830" t="str">
        <f t="shared" si="25"/>
        <v/>
      </c>
      <c r="AP34" s="830" t="b">
        <f>IF(ISERROR(AJ34),FALSE,IF(OR(AJ34=0,ISERROR(AL34),ISERROR(AM34),ISERROR(AN34),ISERROR(AO34)),FALSE,IF(AL34&lt;&gt;"",IF(ISERROR(VLOOKUP(SUBSTITUTE(SUBSTITUTE(C34,"R",""),"A",""),TblJoistSize!$A:$A,1,FALSE)),FALSE,TRUE),TRUE)))</f>
        <v>0</v>
      </c>
      <c r="AQ34" s="1038" t="e">
        <f t="shared" si="26"/>
        <v>#N/A</v>
      </c>
      <c r="AR34" s="945" t="b">
        <f t="shared" si="27"/>
        <v>0</v>
      </c>
      <c r="AS34" s="1038" t="e">
        <f t="shared" si="28"/>
        <v>#N/A</v>
      </c>
      <c r="AT34" s="945" t="b">
        <f t="shared" si="29"/>
        <v>0</v>
      </c>
      <c r="AU34" s="946" t="str">
        <f t="shared" si="30"/>
        <v/>
      </c>
      <c r="AV34" s="830" t="str">
        <f t="shared" si="31"/>
        <v/>
      </c>
      <c r="AW34" s="830" t="str">
        <f t="shared" si="32"/>
        <v/>
      </c>
      <c r="AX34" s="830" t="str">
        <f t="shared" si="106"/>
        <v/>
      </c>
      <c r="AY34" s="1039" t="b">
        <f t="shared" si="33"/>
        <v>0</v>
      </c>
      <c r="AZ34" s="856" t="str">
        <f t="shared" si="34"/>
        <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35"/>
        <v/>
      </c>
      <c r="BR34" s="910"/>
      <c r="BS34" s="672"/>
      <c r="BT34" s="713"/>
      <c r="BU34" s="714"/>
      <c r="BV34" s="1625"/>
      <c r="BW34" s="713"/>
      <c r="BX34" s="714"/>
      <c r="BY34" s="715"/>
      <c r="BZ34" s="716"/>
      <c r="CA34" s="680" t="str">
        <f>IF(ISERROR(DE34),"",IF(DE34="","",IF(VLOOKUP(BS34,SectInfo!$B:$N,10,FALSE)="","","X")))</f>
        <v/>
      </c>
      <c r="CB34" s="738"/>
      <c r="CC34" s="1551" t="str">
        <f t="shared" si="36"/>
        <v/>
      </c>
      <c r="CD34" s="910"/>
      <c r="CE34" s="717"/>
      <c r="CF34" s="736"/>
      <c r="CG34" s="737"/>
      <c r="CH34" s="591" t="str">
        <f t="shared" si="37"/>
        <v/>
      </c>
      <c r="CI34" s="592" t="str">
        <f t="shared" si="38"/>
        <v/>
      </c>
      <c r="CJ34" s="593" t="str">
        <f t="shared" si="39"/>
        <v/>
      </c>
      <c r="CK34" s="594" t="str">
        <f t="shared" si="40"/>
        <v/>
      </c>
      <c r="CL34" s="595" t="str">
        <f t="shared" si="41"/>
        <v/>
      </c>
      <c r="CM34" s="596" t="str">
        <f t="shared" si="42"/>
        <v/>
      </c>
      <c r="CN34" s="597" t="str">
        <f t="shared" si="43"/>
        <v/>
      </c>
      <c r="CO34" s="598" t="str">
        <f t="shared" si="44"/>
        <v/>
      </c>
      <c r="CP34" s="615" t="str">
        <f t="shared" si="45"/>
        <v/>
      </c>
      <c r="CQ34" s="616" t="str">
        <f t="shared" si="46"/>
        <v/>
      </c>
      <c r="CR34" s="750" t="str">
        <f t="shared" si="47"/>
        <v/>
      </c>
      <c r="CS34" s="751" t="str">
        <f t="shared" si="48"/>
        <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49"/>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50"/>
        <v>0</v>
      </c>
      <c r="DO34" s="818">
        <f t="shared" si="51"/>
        <v>0</v>
      </c>
      <c r="DP34" s="822" t="str">
        <f t="shared" si="52"/>
        <v/>
      </c>
      <c r="DQ34" s="822" t="str">
        <f t="shared" si="53"/>
        <v/>
      </c>
      <c r="DR34" s="822" t="str">
        <f t="shared" si="54"/>
        <v/>
      </c>
      <c r="DS34" s="821">
        <f t="shared" si="55"/>
        <v>0</v>
      </c>
      <c r="DT34" s="821">
        <f t="shared" si="56"/>
        <v>0</v>
      </c>
      <c r="DU34" s="821" t="str">
        <f t="shared" si="57"/>
        <v/>
      </c>
      <c r="DV34" s="822" t="str">
        <f t="shared" si="58"/>
        <v/>
      </c>
      <c r="DW34" s="856" t="str">
        <f t="shared" si="59"/>
        <v/>
      </c>
      <c r="DX34" s="1006">
        <f t="shared" si="60"/>
        <v>0</v>
      </c>
      <c r="DY34" s="822">
        <f t="shared" si="61"/>
        <v>0</v>
      </c>
      <c r="DZ34" s="821">
        <f t="shared" si="62"/>
        <v>0</v>
      </c>
      <c r="EA34" s="821" t="str">
        <f t="shared" si="63"/>
        <v/>
      </c>
      <c r="EB34" s="822" t="str">
        <f t="shared" si="64"/>
        <v/>
      </c>
      <c r="EC34" s="856" t="str">
        <f t="shared" si="65"/>
        <v/>
      </c>
      <c r="ED34" s="1006">
        <f t="shared" si="66"/>
        <v>0</v>
      </c>
      <c r="EE34" s="1293" t="str">
        <f t="shared" si="67"/>
        <v/>
      </c>
      <c r="EF34" s="1293" t="str">
        <f t="shared" si="68"/>
        <v/>
      </c>
      <c r="EG34" s="1293" t="str">
        <f t="shared" si="69"/>
        <v/>
      </c>
      <c r="EH34" s="856" t="e">
        <f t="shared" si="70"/>
        <v>#N/A</v>
      </c>
      <c r="EI34" s="856" t="e">
        <f t="shared" si="71"/>
        <v>#N/A</v>
      </c>
      <c r="EJ34" s="822" t="str">
        <f t="shared" si="72"/>
        <v/>
      </c>
      <c r="EK34" s="822" t="str">
        <f t="shared" si="72"/>
        <v/>
      </c>
      <c r="EL34" s="1293" t="str">
        <f t="shared" si="73"/>
        <v/>
      </c>
      <c r="EM34" s="822" t="str">
        <f t="shared" si="74"/>
        <v/>
      </c>
      <c r="EN34" s="822" t="str">
        <f t="shared" si="75"/>
        <v/>
      </c>
      <c r="EO34" s="856" t="e">
        <f t="shared" si="76"/>
        <v>#N/A</v>
      </c>
      <c r="EP34" s="856" t="e">
        <f t="shared" si="77"/>
        <v>#N/A</v>
      </c>
      <c r="EQ34" s="1293" t="str">
        <f t="shared" si="78"/>
        <v/>
      </c>
      <c r="ER34" s="822" t="str">
        <f t="shared" si="78"/>
        <v/>
      </c>
      <c r="ES34" s="822" t="str">
        <f t="shared" si="79"/>
        <v/>
      </c>
      <c r="ET34" s="822" t="str">
        <f t="shared" si="80"/>
        <v/>
      </c>
      <c r="EU34" s="829" t="str">
        <f t="shared" si="81"/>
        <v/>
      </c>
      <c r="EV34" s="824" t="str">
        <f t="shared" si="82"/>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83"/>
        <v/>
      </c>
      <c r="FA34" s="829" t="str">
        <f>IF(AND(DE34="G", ISBLANK(BW34), ISBLANK(BX34)),VLOOKUP(MIN(BT34:BU34),TblJoistSize!$M$3:$N$10,2),IF(OR(DE34="B", DE34="G"),MIN(BW34:BX34),""))</f>
        <v/>
      </c>
      <c r="FB34" s="829" t="str">
        <f>IF(AND(DE34="G", ISBLANK(BW34), ISBLANK(BX34)),VLOOKUP(MAX(BT34:BU34),TblJoistSize!$M$3:$N$10,2),IF(OR(DE34="B", DE34="G"),MAX(BW34:BX34),""))</f>
        <v/>
      </c>
      <c r="FC34" s="829" t="str">
        <f t="shared" si="84"/>
        <v/>
      </c>
      <c r="FD34" s="821">
        <f t="shared" si="107"/>
        <v>0</v>
      </c>
      <c r="FE34" s="821">
        <f t="shared" si="85"/>
        <v>0</v>
      </c>
      <c r="FF34" s="821">
        <f t="shared" si="86"/>
        <v>0</v>
      </c>
      <c r="FG34" s="821" t="str">
        <f t="shared" si="87"/>
        <v/>
      </c>
      <c r="FH34" s="822" t="str">
        <f t="shared" si="88"/>
        <v/>
      </c>
      <c r="FI34" s="821">
        <f t="shared" si="108"/>
        <v>0</v>
      </c>
      <c r="FJ34" s="821">
        <f t="shared" si="89"/>
        <v>0</v>
      </c>
      <c r="FK34" s="821">
        <f t="shared" si="90"/>
        <v>0</v>
      </c>
      <c r="FL34" s="821" t="str">
        <f t="shared" si="91"/>
        <v/>
      </c>
      <c r="FM34" s="822" t="str">
        <f t="shared" si="92"/>
        <v/>
      </c>
      <c r="FN34" s="822" t="e">
        <f t="shared" si="93"/>
        <v>#VALUE!</v>
      </c>
      <c r="FO34" s="940" t="e">
        <f t="shared" si="94"/>
        <v>#VALUE!</v>
      </c>
      <c r="FP34" s="940" t="e">
        <f t="shared" si="95"/>
        <v>#VALUE!</v>
      </c>
      <c r="FQ34" s="830" t="e">
        <f t="shared" si="96"/>
        <v>#VALUE!</v>
      </c>
      <c r="FR34" s="831" t="e">
        <f t="shared" si="97"/>
        <v>#VALUE!</v>
      </c>
      <c r="FS34" s="832" t="str">
        <f t="shared" si="98"/>
        <v/>
      </c>
      <c r="FT34" s="833" t="str">
        <f t="shared" si="99"/>
        <v/>
      </c>
      <c r="FU34" s="870">
        <f t="shared" si="100"/>
        <v>0</v>
      </c>
      <c r="FV34" s="871">
        <f t="shared" si="101"/>
        <v>0</v>
      </c>
      <c r="GA34" s="1791" t="str">
        <f t="shared" si="119"/>
        <v/>
      </c>
      <c r="GB34" s="1792" t="str">
        <f t="shared" si="120"/>
        <v/>
      </c>
      <c r="GC34" s="1793" t="str">
        <f t="shared" si="121"/>
        <v/>
      </c>
      <c r="GD34" s="1794" t="str">
        <f t="shared" si="122"/>
        <v/>
      </c>
      <c r="GE34" s="1795" t="str">
        <f t="shared" si="102"/>
        <v/>
      </c>
      <c r="GF34" s="600" t="str">
        <f t="shared" si="103"/>
        <v/>
      </c>
      <c r="GG34" s="1130"/>
      <c r="GH34" s="1131"/>
      <c r="GI34" s="1130"/>
      <c r="GJ34" s="1131"/>
      <c r="GK34" s="1638">
        <f t="shared" si="104"/>
        <v>0</v>
      </c>
      <c r="GL34" s="1636" t="e">
        <f t="shared" si="105"/>
        <v>#VALUE!</v>
      </c>
      <c r="GM34" s="1637" t="e">
        <f>IF(ABS(GK34-GL34)&gt;='Job Info.'!$L$22,ABS(GK34-GL34),0)</f>
        <v>#VALUE!</v>
      </c>
      <c r="HA34" s="1269"/>
      <c r="HB34" s="1270"/>
      <c r="HC34" s="1270"/>
      <c r="HD34" s="1271"/>
      <c r="HE34" s="1272"/>
      <c r="HF34" s="1270"/>
      <c r="HG34" s="1270"/>
      <c r="HH34" s="1270"/>
      <c r="HI34" s="1273"/>
      <c r="HJ34" s="1270"/>
      <c r="HK34" s="1270"/>
      <c r="HL34" s="1270"/>
      <c r="HM34" s="1270"/>
      <c r="HN34" s="1270"/>
      <c r="HO34" s="1270"/>
      <c r="HP34" s="1270"/>
      <c r="HQ34" s="1273"/>
      <c r="HR34" s="1270"/>
      <c r="HS34" s="1270"/>
      <c r="HT34" s="1270"/>
      <c r="HU34" s="1270"/>
      <c r="HV34" s="1270"/>
      <c r="HW34" s="1272"/>
      <c r="HX34" s="1272"/>
      <c r="HY34" s="1272"/>
      <c r="HZ34" s="1272"/>
      <c r="IA34" s="1272"/>
      <c r="IB34" s="1272"/>
      <c r="IC34" s="1272"/>
      <c r="ID34" s="1272"/>
      <c r="IE34" s="1272"/>
      <c r="IF34" s="1274"/>
    </row>
    <row r="35" spans="1:240" ht="12.6" customHeight="1" x14ac:dyDescent="0.25">
      <c r="A35" s="1448" t="str">
        <f t="shared" si="109"/>
        <v/>
      </c>
      <c r="B35" s="1681"/>
      <c r="C35" s="1449" t="str">
        <f t="shared" si="110"/>
        <v/>
      </c>
      <c r="D35" s="1705" t="str">
        <f t="shared" si="111"/>
        <v/>
      </c>
      <c r="E35" s="1706" t="str">
        <f t="shared" si="112"/>
        <v/>
      </c>
      <c r="F35" s="1714" t="str">
        <f t="shared" si="1"/>
        <v/>
      </c>
      <c r="G35" s="1709" t="str">
        <f t="shared" si="2"/>
        <v/>
      </c>
      <c r="H35" s="1779" t="str">
        <f t="shared" si="3"/>
        <v/>
      </c>
      <c r="I35" s="1705" t="str">
        <f t="shared" si="4"/>
        <v/>
      </c>
      <c r="J35" s="1709" t="str">
        <f t="shared" si="5"/>
        <v/>
      </c>
      <c r="K35" s="1796" t="str">
        <f t="shared" si="6"/>
        <v/>
      </c>
      <c r="L35" s="1712" t="str">
        <f t="shared" si="113"/>
        <v/>
      </c>
      <c r="M35" s="1713" t="str">
        <f t="shared" si="113"/>
        <v/>
      </c>
      <c r="N35" s="1708" t="str">
        <f t="shared" si="7"/>
        <v/>
      </c>
      <c r="O35" s="1709" t="str">
        <f t="shared" si="8"/>
        <v/>
      </c>
      <c r="P35" s="1710" t="str">
        <f t="shared" si="9"/>
        <v/>
      </c>
      <c r="Q35" s="1705" t="str">
        <f t="shared" si="10"/>
        <v/>
      </c>
      <c r="R35" s="1709" t="str">
        <f t="shared" si="11"/>
        <v/>
      </c>
      <c r="S35" s="1711" t="str">
        <f t="shared" si="12"/>
        <v/>
      </c>
      <c r="T35" s="1714" t="str">
        <f t="shared" si="114"/>
        <v/>
      </c>
      <c r="U35" s="1709" t="str">
        <f t="shared" si="115"/>
        <v/>
      </c>
      <c r="V35" s="1705" t="str">
        <f t="shared" si="116"/>
        <v/>
      </c>
      <c r="W35" s="1709" t="str">
        <f t="shared" si="117"/>
        <v/>
      </c>
      <c r="X35" s="1713">
        <f t="shared" si="118"/>
        <v>0</v>
      </c>
      <c r="Y35" s="1781" t="str">
        <f t="shared" si="13"/>
        <v/>
      </c>
      <c r="Z35" s="1782" t="str">
        <f t="shared" si="14"/>
        <v/>
      </c>
      <c r="AA35" s="1783" t="s">
        <v>116</v>
      </c>
      <c r="AB35" s="1413"/>
      <c r="AC35" s="964" t="b">
        <v>0</v>
      </c>
      <c r="AD35" s="441">
        <f t="shared" si="15"/>
        <v>0</v>
      </c>
      <c r="AE35" s="442">
        <f t="shared" si="16"/>
        <v>0</v>
      </c>
      <c r="AF35" s="442">
        <f t="shared" si="17"/>
        <v>0</v>
      </c>
      <c r="AG35" s="442">
        <f t="shared" si="18"/>
        <v>0</v>
      </c>
      <c r="AH35" s="443">
        <f t="shared" si="19"/>
        <v>0</v>
      </c>
      <c r="AI35" s="444" t="b">
        <v>0</v>
      </c>
      <c r="AJ35" s="238">
        <f t="shared" si="20"/>
        <v>0</v>
      </c>
      <c r="AK35" s="830" t="str">
        <f t="shared" si="21"/>
        <v/>
      </c>
      <c r="AL35" s="945" t="str">
        <f t="shared" si="22"/>
        <v/>
      </c>
      <c r="AM35" s="830" t="str">
        <f t="shared" si="23"/>
        <v/>
      </c>
      <c r="AN35" s="830" t="str">
        <f t="shared" si="24"/>
        <v/>
      </c>
      <c r="AO35" s="830" t="str">
        <f t="shared" si="25"/>
        <v/>
      </c>
      <c r="AP35" s="830" t="b">
        <f>IF(ISERROR(AJ35),FALSE,IF(OR(AJ35=0,ISERROR(AL35),ISERROR(AM35),ISERROR(AN35),ISERROR(AO35)),FALSE,IF(AL35&lt;&gt;"",IF(ISERROR(VLOOKUP(SUBSTITUTE(SUBSTITUTE(C35,"R",""),"A",""),TblJoistSize!$A:$A,1,FALSE)),FALSE,TRUE),TRUE)))</f>
        <v>0</v>
      </c>
      <c r="AQ35" s="1038" t="e">
        <f t="shared" si="26"/>
        <v>#N/A</v>
      </c>
      <c r="AR35" s="945" t="b">
        <f t="shared" si="27"/>
        <v>0</v>
      </c>
      <c r="AS35" s="1038" t="e">
        <f t="shared" si="28"/>
        <v>#N/A</v>
      </c>
      <c r="AT35" s="945" t="b">
        <f t="shared" si="29"/>
        <v>0</v>
      </c>
      <c r="AU35" s="946" t="str">
        <f t="shared" si="30"/>
        <v/>
      </c>
      <c r="AV35" s="830" t="str">
        <f t="shared" si="31"/>
        <v/>
      </c>
      <c r="AW35" s="830" t="str">
        <f t="shared" si="32"/>
        <v/>
      </c>
      <c r="AX35" s="830" t="str">
        <f t="shared" si="106"/>
        <v/>
      </c>
      <c r="AY35" s="1039" t="b">
        <f t="shared" si="33"/>
        <v>0</v>
      </c>
      <c r="AZ35" s="856" t="str">
        <f t="shared" si="34"/>
        <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35"/>
        <v/>
      </c>
      <c r="BR35" s="910"/>
      <c r="BS35" s="672"/>
      <c r="BT35" s="713"/>
      <c r="BU35" s="714"/>
      <c r="BV35" s="1625"/>
      <c r="BW35" s="713"/>
      <c r="BX35" s="714"/>
      <c r="BY35" s="715"/>
      <c r="BZ35" s="716"/>
      <c r="CA35" s="680" t="str">
        <f>IF(ISERROR(DE35),"",IF(DE35="","",IF(VLOOKUP(BS35,SectInfo!$B:$N,10,FALSE)="","","X")))</f>
        <v/>
      </c>
      <c r="CB35" s="738"/>
      <c r="CC35" s="1551" t="str">
        <f t="shared" si="36"/>
        <v/>
      </c>
      <c r="CD35" s="910"/>
      <c r="CE35" s="717"/>
      <c r="CF35" s="736"/>
      <c r="CG35" s="737"/>
      <c r="CH35" s="591" t="str">
        <f t="shared" si="37"/>
        <v/>
      </c>
      <c r="CI35" s="592" t="str">
        <f t="shared" si="38"/>
        <v/>
      </c>
      <c r="CJ35" s="593" t="str">
        <f t="shared" si="39"/>
        <v/>
      </c>
      <c r="CK35" s="594" t="str">
        <f t="shared" si="40"/>
        <v/>
      </c>
      <c r="CL35" s="595" t="str">
        <f t="shared" si="41"/>
        <v/>
      </c>
      <c r="CM35" s="596" t="str">
        <f t="shared" si="42"/>
        <v/>
      </c>
      <c r="CN35" s="597" t="str">
        <f t="shared" si="43"/>
        <v/>
      </c>
      <c r="CO35" s="598" t="str">
        <f t="shared" si="44"/>
        <v/>
      </c>
      <c r="CP35" s="615" t="str">
        <f t="shared" si="45"/>
        <v/>
      </c>
      <c r="CQ35" s="616" t="str">
        <f t="shared" si="46"/>
        <v/>
      </c>
      <c r="CR35" s="750" t="str">
        <f t="shared" si="47"/>
        <v/>
      </c>
      <c r="CS35" s="751" t="str">
        <f t="shared" si="48"/>
        <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49"/>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50"/>
        <v>0</v>
      </c>
      <c r="DO35" s="818">
        <f t="shared" si="51"/>
        <v>0</v>
      </c>
      <c r="DP35" s="822" t="str">
        <f t="shared" si="52"/>
        <v/>
      </c>
      <c r="DQ35" s="822" t="str">
        <f t="shared" si="53"/>
        <v/>
      </c>
      <c r="DR35" s="822" t="str">
        <f t="shared" si="54"/>
        <v/>
      </c>
      <c r="DS35" s="821">
        <f t="shared" si="55"/>
        <v>0</v>
      </c>
      <c r="DT35" s="821">
        <f t="shared" si="56"/>
        <v>0</v>
      </c>
      <c r="DU35" s="821" t="str">
        <f t="shared" si="57"/>
        <v/>
      </c>
      <c r="DV35" s="822" t="str">
        <f t="shared" si="58"/>
        <v/>
      </c>
      <c r="DW35" s="856" t="str">
        <f t="shared" si="59"/>
        <v/>
      </c>
      <c r="DX35" s="1006">
        <f t="shared" si="60"/>
        <v>0</v>
      </c>
      <c r="DY35" s="822">
        <f t="shared" si="61"/>
        <v>0</v>
      </c>
      <c r="DZ35" s="821">
        <f t="shared" si="62"/>
        <v>0</v>
      </c>
      <c r="EA35" s="821" t="str">
        <f t="shared" si="63"/>
        <v/>
      </c>
      <c r="EB35" s="822" t="str">
        <f t="shared" si="64"/>
        <v/>
      </c>
      <c r="EC35" s="856" t="str">
        <f t="shared" si="65"/>
        <v/>
      </c>
      <c r="ED35" s="1006">
        <f t="shared" si="66"/>
        <v>0</v>
      </c>
      <c r="EE35" s="1293" t="str">
        <f t="shared" si="67"/>
        <v/>
      </c>
      <c r="EF35" s="1293" t="str">
        <f t="shared" si="68"/>
        <v/>
      </c>
      <c r="EG35" s="1293" t="str">
        <f t="shared" si="69"/>
        <v/>
      </c>
      <c r="EH35" s="856" t="e">
        <f t="shared" si="70"/>
        <v>#N/A</v>
      </c>
      <c r="EI35" s="856" t="e">
        <f t="shared" si="71"/>
        <v>#N/A</v>
      </c>
      <c r="EJ35" s="822" t="str">
        <f t="shared" si="72"/>
        <v/>
      </c>
      <c r="EK35" s="822" t="str">
        <f t="shared" si="72"/>
        <v/>
      </c>
      <c r="EL35" s="1293" t="str">
        <f t="shared" si="73"/>
        <v/>
      </c>
      <c r="EM35" s="822" t="str">
        <f t="shared" si="74"/>
        <v/>
      </c>
      <c r="EN35" s="822" t="str">
        <f t="shared" si="75"/>
        <v/>
      </c>
      <c r="EO35" s="856" t="e">
        <f t="shared" si="76"/>
        <v>#N/A</v>
      </c>
      <c r="EP35" s="856" t="e">
        <f t="shared" si="77"/>
        <v>#N/A</v>
      </c>
      <c r="EQ35" s="1293" t="str">
        <f t="shared" si="78"/>
        <v/>
      </c>
      <c r="ER35" s="822" t="str">
        <f t="shared" si="78"/>
        <v/>
      </c>
      <c r="ES35" s="822" t="str">
        <f t="shared" si="79"/>
        <v/>
      </c>
      <c r="ET35" s="822" t="str">
        <f t="shared" si="80"/>
        <v/>
      </c>
      <c r="EU35" s="829" t="str">
        <f t="shared" si="81"/>
        <v/>
      </c>
      <c r="EV35" s="824" t="str">
        <f t="shared" si="82"/>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83"/>
        <v/>
      </c>
      <c r="FA35" s="829" t="str">
        <f>IF(AND(DE35="G", ISBLANK(BW35), ISBLANK(BX35)),VLOOKUP(MIN(BT35:BU35),TblJoistSize!$M$3:$N$10,2),IF(OR(DE35="B", DE35="G"),MIN(BW35:BX35),""))</f>
        <v/>
      </c>
      <c r="FB35" s="829" t="str">
        <f>IF(AND(DE35="G", ISBLANK(BW35), ISBLANK(BX35)),VLOOKUP(MAX(BT35:BU35),TblJoistSize!$M$3:$N$10,2),IF(OR(DE35="B", DE35="G"),MAX(BW35:BX35),""))</f>
        <v/>
      </c>
      <c r="FC35" s="829" t="str">
        <f t="shared" si="84"/>
        <v/>
      </c>
      <c r="FD35" s="821">
        <f t="shared" si="107"/>
        <v>0</v>
      </c>
      <c r="FE35" s="821">
        <f t="shared" si="85"/>
        <v>0</v>
      </c>
      <c r="FF35" s="821">
        <f t="shared" si="86"/>
        <v>0</v>
      </c>
      <c r="FG35" s="821" t="str">
        <f t="shared" si="87"/>
        <v/>
      </c>
      <c r="FH35" s="822" t="str">
        <f t="shared" si="88"/>
        <v/>
      </c>
      <c r="FI35" s="821">
        <f t="shared" si="108"/>
        <v>0</v>
      </c>
      <c r="FJ35" s="821">
        <f t="shared" si="89"/>
        <v>0</v>
      </c>
      <c r="FK35" s="821">
        <f t="shared" si="90"/>
        <v>0</v>
      </c>
      <c r="FL35" s="821" t="str">
        <f t="shared" si="91"/>
        <v/>
      </c>
      <c r="FM35" s="822" t="str">
        <f t="shared" si="92"/>
        <v/>
      </c>
      <c r="FN35" s="822" t="e">
        <f t="shared" si="93"/>
        <v>#VALUE!</v>
      </c>
      <c r="FO35" s="940" t="e">
        <f t="shared" si="94"/>
        <v>#VALUE!</v>
      </c>
      <c r="FP35" s="940" t="e">
        <f t="shared" si="95"/>
        <v>#VALUE!</v>
      </c>
      <c r="FQ35" s="830" t="e">
        <f t="shared" si="96"/>
        <v>#VALUE!</v>
      </c>
      <c r="FR35" s="831" t="e">
        <f t="shared" si="97"/>
        <v>#VALUE!</v>
      </c>
      <c r="FS35" s="832" t="str">
        <f t="shared" si="98"/>
        <v/>
      </c>
      <c r="FT35" s="833" t="str">
        <f t="shared" si="99"/>
        <v/>
      </c>
      <c r="FU35" s="870">
        <f t="shared" si="100"/>
        <v>0</v>
      </c>
      <c r="FV35" s="871">
        <f t="shared" si="101"/>
        <v>0</v>
      </c>
      <c r="GA35" s="1791" t="str">
        <f t="shared" si="119"/>
        <v/>
      </c>
      <c r="GB35" s="1792" t="str">
        <f t="shared" si="120"/>
        <v/>
      </c>
      <c r="GC35" s="1793" t="str">
        <f t="shared" si="121"/>
        <v/>
      </c>
      <c r="GD35" s="1794" t="str">
        <f t="shared" si="122"/>
        <v/>
      </c>
      <c r="GE35" s="1795" t="str">
        <f t="shared" si="102"/>
        <v/>
      </c>
      <c r="GF35" s="600" t="str">
        <f t="shared" si="103"/>
        <v/>
      </c>
      <c r="GG35" s="1130"/>
      <c r="GH35" s="1131"/>
      <c r="GI35" s="1130"/>
      <c r="GJ35" s="1131"/>
      <c r="GK35" s="1638">
        <f t="shared" si="104"/>
        <v>0</v>
      </c>
      <c r="GL35" s="1636" t="e">
        <f t="shared" si="105"/>
        <v>#VALUE!</v>
      </c>
      <c r="GM35" s="1637" t="e">
        <f>IF(ABS(GK35-GL35)&gt;='Job Info.'!$L$22,ABS(GK35-GL35),0)</f>
        <v>#VALUE!</v>
      </c>
      <c r="HA35" s="1269"/>
      <c r="HB35" s="1270"/>
      <c r="HC35" s="1270"/>
      <c r="HD35" s="1271"/>
      <c r="HE35" s="1272"/>
      <c r="HF35" s="1270"/>
      <c r="HG35" s="1270"/>
      <c r="HH35" s="1270"/>
      <c r="HI35" s="1273"/>
      <c r="HJ35" s="1270"/>
      <c r="HK35" s="1270"/>
      <c r="HL35" s="1270"/>
      <c r="HM35" s="1270"/>
      <c r="HN35" s="1270"/>
      <c r="HO35" s="1270"/>
      <c r="HP35" s="1270"/>
      <c r="HQ35" s="1273"/>
      <c r="HR35" s="1270"/>
      <c r="HS35" s="1270"/>
      <c r="HT35" s="1270"/>
      <c r="HU35" s="1270"/>
      <c r="HV35" s="1270"/>
      <c r="HW35" s="1272"/>
      <c r="HX35" s="1272"/>
      <c r="HY35" s="1272"/>
      <c r="HZ35" s="1272"/>
      <c r="IA35" s="1272"/>
      <c r="IB35" s="1272"/>
      <c r="IC35" s="1272"/>
      <c r="ID35" s="1272"/>
      <c r="IE35" s="1272"/>
      <c r="IF35" s="1274"/>
    </row>
    <row r="36" spans="1:240" ht="12.6" customHeight="1" x14ac:dyDescent="0.25">
      <c r="A36" s="1448" t="str">
        <f t="shared" si="109"/>
        <v/>
      </c>
      <c r="B36" s="1681"/>
      <c r="C36" s="1449" t="str">
        <f t="shared" si="110"/>
        <v/>
      </c>
      <c r="D36" s="1705" t="str">
        <f t="shared" si="111"/>
        <v/>
      </c>
      <c r="E36" s="1706" t="str">
        <f t="shared" si="112"/>
        <v/>
      </c>
      <c r="F36" s="1714" t="str">
        <f t="shared" si="1"/>
        <v/>
      </c>
      <c r="G36" s="1709" t="str">
        <f t="shared" si="2"/>
        <v/>
      </c>
      <c r="H36" s="1779" t="str">
        <f t="shared" si="3"/>
        <v/>
      </c>
      <c r="I36" s="1705" t="str">
        <f t="shared" si="4"/>
        <v/>
      </c>
      <c r="J36" s="1709" t="str">
        <f t="shared" si="5"/>
        <v/>
      </c>
      <c r="K36" s="1796" t="str">
        <f t="shared" si="6"/>
        <v/>
      </c>
      <c r="L36" s="1712" t="str">
        <f t="shared" si="113"/>
        <v/>
      </c>
      <c r="M36" s="1713" t="str">
        <f t="shared" si="113"/>
        <v/>
      </c>
      <c r="N36" s="1708" t="str">
        <f t="shared" si="7"/>
        <v/>
      </c>
      <c r="O36" s="1709" t="str">
        <f t="shared" si="8"/>
        <v/>
      </c>
      <c r="P36" s="1710" t="str">
        <f t="shared" si="9"/>
        <v/>
      </c>
      <c r="Q36" s="1705" t="str">
        <f t="shared" si="10"/>
        <v/>
      </c>
      <c r="R36" s="1709" t="str">
        <f t="shared" si="11"/>
        <v/>
      </c>
      <c r="S36" s="1711" t="str">
        <f t="shared" si="12"/>
        <v/>
      </c>
      <c r="T36" s="1714" t="str">
        <f t="shared" si="114"/>
        <v/>
      </c>
      <c r="U36" s="1709" t="str">
        <f t="shared" si="115"/>
        <v/>
      </c>
      <c r="V36" s="1705" t="str">
        <f t="shared" si="116"/>
        <v/>
      </c>
      <c r="W36" s="1709" t="str">
        <f t="shared" si="117"/>
        <v/>
      </c>
      <c r="X36" s="1713">
        <f t="shared" si="118"/>
        <v>0</v>
      </c>
      <c r="Y36" s="1781" t="str">
        <f t="shared" si="13"/>
        <v/>
      </c>
      <c r="Z36" s="1782" t="str">
        <f t="shared" si="14"/>
        <v/>
      </c>
      <c r="AA36" s="1783" t="s">
        <v>116</v>
      </c>
      <c r="AB36" s="1413"/>
      <c r="AC36" s="964" t="b">
        <v>0</v>
      </c>
      <c r="AD36" s="441">
        <f t="shared" si="15"/>
        <v>0</v>
      </c>
      <c r="AE36" s="442">
        <f t="shared" si="16"/>
        <v>0</v>
      </c>
      <c r="AF36" s="442">
        <f t="shared" si="17"/>
        <v>0</v>
      </c>
      <c r="AG36" s="442">
        <f t="shared" si="18"/>
        <v>0</v>
      </c>
      <c r="AH36" s="443">
        <f t="shared" si="19"/>
        <v>0</v>
      </c>
      <c r="AI36" s="444" t="b">
        <v>0</v>
      </c>
      <c r="AJ36" s="238">
        <f t="shared" si="20"/>
        <v>0</v>
      </c>
      <c r="AK36" s="830" t="str">
        <f t="shared" si="21"/>
        <v/>
      </c>
      <c r="AL36" s="945" t="str">
        <f t="shared" si="22"/>
        <v/>
      </c>
      <c r="AM36" s="830" t="str">
        <f t="shared" si="23"/>
        <v/>
      </c>
      <c r="AN36" s="830" t="str">
        <f t="shared" si="24"/>
        <v/>
      </c>
      <c r="AO36" s="830" t="str">
        <f t="shared" si="25"/>
        <v/>
      </c>
      <c r="AP36" s="830" t="b">
        <f>IF(ISERROR(AJ36),FALSE,IF(OR(AJ36=0,ISERROR(AL36),ISERROR(AM36),ISERROR(AN36),ISERROR(AO36)),FALSE,IF(AL36&lt;&gt;"",IF(ISERROR(VLOOKUP(SUBSTITUTE(SUBSTITUTE(C36,"R",""),"A",""),TblJoistSize!$A:$A,1,FALSE)),FALSE,TRUE),TRUE)))</f>
        <v>0</v>
      </c>
      <c r="AQ36" s="1038" t="e">
        <f t="shared" si="26"/>
        <v>#N/A</v>
      </c>
      <c r="AR36" s="945" t="b">
        <f t="shared" si="27"/>
        <v>0</v>
      </c>
      <c r="AS36" s="1038" t="e">
        <f t="shared" si="28"/>
        <v>#N/A</v>
      </c>
      <c r="AT36" s="945" t="b">
        <f t="shared" si="29"/>
        <v>0</v>
      </c>
      <c r="AU36" s="946" t="str">
        <f t="shared" si="30"/>
        <v/>
      </c>
      <c r="AV36" s="830" t="str">
        <f t="shared" si="31"/>
        <v/>
      </c>
      <c r="AW36" s="830" t="str">
        <f t="shared" si="32"/>
        <v/>
      </c>
      <c r="AX36" s="830" t="str">
        <f t="shared" si="106"/>
        <v/>
      </c>
      <c r="AY36" s="1039" t="b">
        <f t="shared" si="33"/>
        <v>0</v>
      </c>
      <c r="AZ36" s="856" t="str">
        <f t="shared" si="34"/>
        <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35"/>
        <v/>
      </c>
      <c r="BR36" s="910"/>
      <c r="BS36" s="672"/>
      <c r="BT36" s="713"/>
      <c r="BU36" s="714"/>
      <c r="BV36" s="1625"/>
      <c r="BW36" s="713"/>
      <c r="BX36" s="714"/>
      <c r="BY36" s="715"/>
      <c r="BZ36" s="716"/>
      <c r="CA36" s="680" t="str">
        <f>IF(ISERROR(DE36),"",IF(DE36="","",IF(VLOOKUP(BS36,SectInfo!$B:$N,10,FALSE)="","","X")))</f>
        <v/>
      </c>
      <c r="CB36" s="738"/>
      <c r="CC36" s="1551" t="str">
        <f t="shared" si="36"/>
        <v/>
      </c>
      <c r="CD36" s="910"/>
      <c r="CE36" s="717"/>
      <c r="CF36" s="736"/>
      <c r="CG36" s="737"/>
      <c r="CH36" s="591" t="str">
        <f t="shared" si="37"/>
        <v/>
      </c>
      <c r="CI36" s="592" t="str">
        <f t="shared" si="38"/>
        <v/>
      </c>
      <c r="CJ36" s="593" t="str">
        <f t="shared" si="39"/>
        <v/>
      </c>
      <c r="CK36" s="594" t="str">
        <f t="shared" si="40"/>
        <v/>
      </c>
      <c r="CL36" s="595" t="str">
        <f t="shared" si="41"/>
        <v/>
      </c>
      <c r="CM36" s="596" t="str">
        <f t="shared" si="42"/>
        <v/>
      </c>
      <c r="CN36" s="597" t="str">
        <f t="shared" si="43"/>
        <v/>
      </c>
      <c r="CO36" s="598" t="str">
        <f t="shared" si="44"/>
        <v/>
      </c>
      <c r="CP36" s="615" t="str">
        <f t="shared" si="45"/>
        <v/>
      </c>
      <c r="CQ36" s="616" t="str">
        <f t="shared" si="46"/>
        <v/>
      </c>
      <c r="CR36" s="750" t="str">
        <f t="shared" si="47"/>
        <v/>
      </c>
      <c r="CS36" s="751" t="str">
        <f t="shared" si="48"/>
        <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49"/>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50"/>
        <v>0</v>
      </c>
      <c r="DO36" s="818">
        <f t="shared" si="51"/>
        <v>0</v>
      </c>
      <c r="DP36" s="822" t="str">
        <f t="shared" si="52"/>
        <v/>
      </c>
      <c r="DQ36" s="822" t="str">
        <f t="shared" si="53"/>
        <v/>
      </c>
      <c r="DR36" s="822" t="str">
        <f t="shared" si="54"/>
        <v/>
      </c>
      <c r="DS36" s="821">
        <f t="shared" si="55"/>
        <v>0</v>
      </c>
      <c r="DT36" s="821">
        <f t="shared" si="56"/>
        <v>0</v>
      </c>
      <c r="DU36" s="821" t="str">
        <f t="shared" si="57"/>
        <v/>
      </c>
      <c r="DV36" s="822" t="str">
        <f t="shared" si="58"/>
        <v/>
      </c>
      <c r="DW36" s="856" t="str">
        <f t="shared" si="59"/>
        <v/>
      </c>
      <c r="DX36" s="1006">
        <f t="shared" si="60"/>
        <v>0</v>
      </c>
      <c r="DY36" s="822">
        <f t="shared" si="61"/>
        <v>0</v>
      </c>
      <c r="DZ36" s="821">
        <f t="shared" si="62"/>
        <v>0</v>
      </c>
      <c r="EA36" s="821" t="str">
        <f t="shared" si="63"/>
        <v/>
      </c>
      <c r="EB36" s="822" t="str">
        <f t="shared" si="64"/>
        <v/>
      </c>
      <c r="EC36" s="856" t="str">
        <f t="shared" si="65"/>
        <v/>
      </c>
      <c r="ED36" s="1006">
        <f t="shared" si="66"/>
        <v>0</v>
      </c>
      <c r="EE36" s="1293" t="str">
        <f t="shared" si="67"/>
        <v/>
      </c>
      <c r="EF36" s="1293" t="str">
        <f t="shared" si="68"/>
        <v/>
      </c>
      <c r="EG36" s="1293" t="str">
        <f t="shared" si="69"/>
        <v/>
      </c>
      <c r="EH36" s="856" t="e">
        <f t="shared" si="70"/>
        <v>#N/A</v>
      </c>
      <c r="EI36" s="856" t="e">
        <f t="shared" si="71"/>
        <v>#N/A</v>
      </c>
      <c r="EJ36" s="822" t="str">
        <f t="shared" si="72"/>
        <v/>
      </c>
      <c r="EK36" s="822" t="str">
        <f t="shared" si="72"/>
        <v/>
      </c>
      <c r="EL36" s="1293" t="str">
        <f t="shared" si="73"/>
        <v/>
      </c>
      <c r="EM36" s="822" t="str">
        <f t="shared" si="74"/>
        <v/>
      </c>
      <c r="EN36" s="822" t="str">
        <f t="shared" si="75"/>
        <v/>
      </c>
      <c r="EO36" s="856" t="e">
        <f t="shared" si="76"/>
        <v>#N/A</v>
      </c>
      <c r="EP36" s="856" t="e">
        <f t="shared" si="77"/>
        <v>#N/A</v>
      </c>
      <c r="EQ36" s="1293" t="str">
        <f t="shared" si="78"/>
        <v/>
      </c>
      <c r="ER36" s="822" t="str">
        <f t="shared" si="78"/>
        <v/>
      </c>
      <c r="ES36" s="822" t="str">
        <f t="shared" si="79"/>
        <v/>
      </c>
      <c r="ET36" s="822" t="str">
        <f t="shared" si="80"/>
        <v/>
      </c>
      <c r="EU36" s="829" t="str">
        <f t="shared" si="81"/>
        <v/>
      </c>
      <c r="EV36" s="824" t="str">
        <f t="shared" si="82"/>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83"/>
        <v/>
      </c>
      <c r="FA36" s="829" t="str">
        <f>IF(AND(DE36="G", ISBLANK(BW36), ISBLANK(BX36)),VLOOKUP(MIN(BT36:BU36),TblJoistSize!$M$3:$N$10,2),IF(OR(DE36="B", DE36="G"),MIN(BW36:BX36),""))</f>
        <v/>
      </c>
      <c r="FB36" s="829" t="str">
        <f>IF(AND(DE36="G", ISBLANK(BW36), ISBLANK(BX36)),VLOOKUP(MAX(BT36:BU36),TblJoistSize!$M$3:$N$10,2),IF(OR(DE36="B", DE36="G"),MAX(BW36:BX36),""))</f>
        <v/>
      </c>
      <c r="FC36" s="829" t="str">
        <f t="shared" si="84"/>
        <v/>
      </c>
      <c r="FD36" s="821">
        <f t="shared" si="107"/>
        <v>0</v>
      </c>
      <c r="FE36" s="821">
        <f t="shared" si="85"/>
        <v>0</v>
      </c>
      <c r="FF36" s="821">
        <f t="shared" si="86"/>
        <v>0</v>
      </c>
      <c r="FG36" s="821" t="str">
        <f t="shared" si="87"/>
        <v/>
      </c>
      <c r="FH36" s="822" t="str">
        <f t="shared" si="88"/>
        <v/>
      </c>
      <c r="FI36" s="821">
        <f t="shared" si="108"/>
        <v>0</v>
      </c>
      <c r="FJ36" s="821">
        <f t="shared" si="89"/>
        <v>0</v>
      </c>
      <c r="FK36" s="821">
        <f t="shared" si="90"/>
        <v>0</v>
      </c>
      <c r="FL36" s="821" t="str">
        <f t="shared" si="91"/>
        <v/>
      </c>
      <c r="FM36" s="822" t="str">
        <f t="shared" si="92"/>
        <v/>
      </c>
      <c r="FN36" s="822" t="e">
        <f t="shared" si="93"/>
        <v>#VALUE!</v>
      </c>
      <c r="FO36" s="940" t="e">
        <f t="shared" si="94"/>
        <v>#VALUE!</v>
      </c>
      <c r="FP36" s="940" t="e">
        <f t="shared" si="95"/>
        <v>#VALUE!</v>
      </c>
      <c r="FQ36" s="830" t="e">
        <f t="shared" si="96"/>
        <v>#VALUE!</v>
      </c>
      <c r="FR36" s="831" t="e">
        <f t="shared" si="97"/>
        <v>#VALUE!</v>
      </c>
      <c r="FS36" s="832" t="str">
        <f t="shared" si="98"/>
        <v/>
      </c>
      <c r="FT36" s="833" t="str">
        <f t="shared" si="99"/>
        <v/>
      </c>
      <c r="FU36" s="870">
        <f t="shared" si="100"/>
        <v>0</v>
      </c>
      <c r="FV36" s="871">
        <f t="shared" si="101"/>
        <v>0</v>
      </c>
      <c r="GA36" s="1791" t="str">
        <f t="shared" si="119"/>
        <v/>
      </c>
      <c r="GB36" s="1792" t="str">
        <f t="shared" si="120"/>
        <v/>
      </c>
      <c r="GC36" s="1793" t="str">
        <f t="shared" si="121"/>
        <v/>
      </c>
      <c r="GD36" s="1794" t="str">
        <f t="shared" si="122"/>
        <v/>
      </c>
      <c r="GE36" s="1795" t="str">
        <f t="shared" si="102"/>
        <v/>
      </c>
      <c r="GF36" s="600" t="str">
        <f t="shared" si="103"/>
        <v/>
      </c>
      <c r="GG36" s="1130"/>
      <c r="GH36" s="1131"/>
      <c r="GI36" s="1130"/>
      <c r="GJ36" s="1131"/>
      <c r="GK36" s="1638">
        <f t="shared" si="104"/>
        <v>0</v>
      </c>
      <c r="GL36" s="1636" t="e">
        <f t="shared" si="105"/>
        <v>#VALUE!</v>
      </c>
      <c r="GM36" s="1637" t="e">
        <f>IF(ABS(GK36-GL36)&gt;='Job Info.'!$L$22,ABS(GK36-GL36),0)</f>
        <v>#VALUE!</v>
      </c>
      <c r="HA36" s="1269"/>
      <c r="HB36" s="1270"/>
      <c r="HC36" s="1270"/>
      <c r="HD36" s="1271"/>
      <c r="HE36" s="1272"/>
      <c r="HF36" s="1270"/>
      <c r="HG36" s="1270"/>
      <c r="HH36" s="1270"/>
      <c r="HI36" s="1273"/>
      <c r="HJ36" s="1270"/>
      <c r="HK36" s="1270"/>
      <c r="HL36" s="1270"/>
      <c r="HM36" s="1270"/>
      <c r="HN36" s="1270"/>
      <c r="HO36" s="1270"/>
      <c r="HP36" s="1270"/>
      <c r="HQ36" s="1273"/>
      <c r="HR36" s="1270"/>
      <c r="HS36" s="1270"/>
      <c r="HT36" s="1270"/>
      <c r="HU36" s="1270"/>
      <c r="HV36" s="1270"/>
      <c r="HW36" s="1272"/>
      <c r="HX36" s="1272"/>
      <c r="HY36" s="1272"/>
      <c r="HZ36" s="1272"/>
      <c r="IA36" s="1272"/>
      <c r="IB36" s="1272"/>
      <c r="IC36" s="1272"/>
      <c r="ID36" s="1272"/>
      <c r="IE36" s="1272"/>
      <c r="IF36" s="1274"/>
    </row>
    <row r="37" spans="1:240" ht="12.6" customHeight="1" x14ac:dyDescent="0.25">
      <c r="A37" s="1448" t="str">
        <f t="shared" si="109"/>
        <v/>
      </c>
      <c r="B37" s="1681"/>
      <c r="C37" s="1449" t="str">
        <f t="shared" si="110"/>
        <v/>
      </c>
      <c r="D37" s="1705" t="str">
        <f t="shared" si="111"/>
        <v/>
      </c>
      <c r="E37" s="1706" t="str">
        <f t="shared" si="112"/>
        <v/>
      </c>
      <c r="F37" s="1714" t="str">
        <f t="shared" si="1"/>
        <v/>
      </c>
      <c r="G37" s="1709" t="str">
        <f t="shared" si="2"/>
        <v/>
      </c>
      <c r="H37" s="1779" t="str">
        <f t="shared" si="3"/>
        <v/>
      </c>
      <c r="I37" s="1705" t="str">
        <f t="shared" si="4"/>
        <v/>
      </c>
      <c r="J37" s="1709" t="str">
        <f t="shared" si="5"/>
        <v/>
      </c>
      <c r="K37" s="1796" t="str">
        <f t="shared" si="6"/>
        <v/>
      </c>
      <c r="L37" s="1712" t="str">
        <f t="shared" si="113"/>
        <v/>
      </c>
      <c r="M37" s="1713" t="str">
        <f t="shared" si="113"/>
        <v/>
      </c>
      <c r="N37" s="1708" t="str">
        <f t="shared" si="7"/>
        <v/>
      </c>
      <c r="O37" s="1709" t="str">
        <f t="shared" si="8"/>
        <v/>
      </c>
      <c r="P37" s="1710" t="str">
        <f t="shared" si="9"/>
        <v/>
      </c>
      <c r="Q37" s="1705" t="str">
        <f t="shared" si="10"/>
        <v/>
      </c>
      <c r="R37" s="1709" t="str">
        <f t="shared" si="11"/>
        <v/>
      </c>
      <c r="S37" s="1711" t="str">
        <f t="shared" si="12"/>
        <v/>
      </c>
      <c r="T37" s="1714" t="str">
        <f t="shared" si="114"/>
        <v/>
      </c>
      <c r="U37" s="1709" t="str">
        <f t="shared" si="115"/>
        <v/>
      </c>
      <c r="V37" s="1705" t="str">
        <f t="shared" si="116"/>
        <v/>
      </c>
      <c r="W37" s="1709" t="str">
        <f t="shared" si="117"/>
        <v/>
      </c>
      <c r="X37" s="1713">
        <f t="shared" si="118"/>
        <v>0</v>
      </c>
      <c r="Y37" s="1781" t="str">
        <f t="shared" si="13"/>
        <v/>
      </c>
      <c r="Z37" s="1782" t="str">
        <f t="shared" si="14"/>
        <v/>
      </c>
      <c r="AA37" s="1783" t="s">
        <v>116</v>
      </c>
      <c r="AB37" s="1413"/>
      <c r="AC37" s="964" t="b">
        <v>0</v>
      </c>
      <c r="AD37" s="441">
        <f t="shared" si="15"/>
        <v>0</v>
      </c>
      <c r="AE37" s="442">
        <f t="shared" si="16"/>
        <v>0</v>
      </c>
      <c r="AF37" s="442">
        <f t="shared" si="17"/>
        <v>0</v>
      </c>
      <c r="AG37" s="442">
        <f t="shared" si="18"/>
        <v>0</v>
      </c>
      <c r="AH37" s="443">
        <f t="shared" si="19"/>
        <v>0</v>
      </c>
      <c r="AI37" s="444" t="b">
        <v>0</v>
      </c>
      <c r="AJ37" s="238">
        <f t="shared" si="20"/>
        <v>0</v>
      </c>
      <c r="AK37" s="830" t="str">
        <f t="shared" si="21"/>
        <v/>
      </c>
      <c r="AL37" s="945" t="str">
        <f t="shared" si="22"/>
        <v/>
      </c>
      <c r="AM37" s="830" t="str">
        <f t="shared" si="23"/>
        <v/>
      </c>
      <c r="AN37" s="830" t="str">
        <f t="shared" si="24"/>
        <v/>
      </c>
      <c r="AO37" s="830" t="str">
        <f t="shared" si="25"/>
        <v/>
      </c>
      <c r="AP37" s="830" t="b">
        <f>IF(ISERROR(AJ37),FALSE,IF(OR(AJ37=0,ISERROR(AL37),ISERROR(AM37),ISERROR(AN37),ISERROR(AO37)),FALSE,IF(AL37&lt;&gt;"",IF(ISERROR(VLOOKUP(SUBSTITUTE(SUBSTITUTE(C37,"R",""),"A",""),TblJoistSize!$A:$A,1,FALSE)),FALSE,TRUE),TRUE)))</f>
        <v>0</v>
      </c>
      <c r="AQ37" s="1038" t="e">
        <f t="shared" si="26"/>
        <v>#N/A</v>
      </c>
      <c r="AR37" s="945" t="b">
        <f t="shared" si="27"/>
        <v>0</v>
      </c>
      <c r="AS37" s="1038" t="e">
        <f t="shared" si="28"/>
        <v>#N/A</v>
      </c>
      <c r="AT37" s="945" t="b">
        <f t="shared" si="29"/>
        <v>0</v>
      </c>
      <c r="AU37" s="946" t="str">
        <f t="shared" si="30"/>
        <v/>
      </c>
      <c r="AV37" s="830" t="str">
        <f t="shared" si="31"/>
        <v/>
      </c>
      <c r="AW37" s="830" t="str">
        <f t="shared" si="32"/>
        <v/>
      </c>
      <c r="AX37" s="830" t="str">
        <f t="shared" si="106"/>
        <v/>
      </c>
      <c r="AY37" s="1039" t="b">
        <f t="shared" si="33"/>
        <v>0</v>
      </c>
      <c r="AZ37" s="856" t="str">
        <f t="shared" si="34"/>
        <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35"/>
        <v/>
      </c>
      <c r="BR37" s="910"/>
      <c r="BS37" s="672"/>
      <c r="BT37" s="713"/>
      <c r="BU37" s="714"/>
      <c r="BV37" s="1625"/>
      <c r="BW37" s="713"/>
      <c r="BX37" s="714"/>
      <c r="BY37" s="715"/>
      <c r="BZ37" s="716"/>
      <c r="CA37" s="680" t="str">
        <f>IF(ISERROR(DE37),"",IF(DE37="","",IF(VLOOKUP(BS37,SectInfo!$B:$N,10,FALSE)="","","X")))</f>
        <v/>
      </c>
      <c r="CB37" s="738"/>
      <c r="CC37" s="1551" t="str">
        <f t="shared" si="36"/>
        <v/>
      </c>
      <c r="CD37" s="910"/>
      <c r="CE37" s="717"/>
      <c r="CF37" s="736"/>
      <c r="CG37" s="737"/>
      <c r="CH37" s="591" t="str">
        <f t="shared" si="37"/>
        <v/>
      </c>
      <c r="CI37" s="592" t="str">
        <f t="shared" si="38"/>
        <v/>
      </c>
      <c r="CJ37" s="593" t="str">
        <f t="shared" si="39"/>
        <v/>
      </c>
      <c r="CK37" s="594" t="str">
        <f t="shared" si="40"/>
        <v/>
      </c>
      <c r="CL37" s="595" t="str">
        <f t="shared" si="41"/>
        <v/>
      </c>
      <c r="CM37" s="596" t="str">
        <f t="shared" si="42"/>
        <v/>
      </c>
      <c r="CN37" s="597" t="str">
        <f t="shared" si="43"/>
        <v/>
      </c>
      <c r="CO37" s="598" t="str">
        <f t="shared" si="44"/>
        <v/>
      </c>
      <c r="CP37" s="615" t="str">
        <f t="shared" si="45"/>
        <v/>
      </c>
      <c r="CQ37" s="616" t="str">
        <f t="shared" si="46"/>
        <v/>
      </c>
      <c r="CR37" s="750" t="str">
        <f t="shared" si="47"/>
        <v/>
      </c>
      <c r="CS37" s="751" t="str">
        <f t="shared" si="48"/>
        <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49"/>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50"/>
        <v>0</v>
      </c>
      <c r="DO37" s="818">
        <f t="shared" si="51"/>
        <v>0</v>
      </c>
      <c r="DP37" s="822" t="str">
        <f t="shared" si="52"/>
        <v/>
      </c>
      <c r="DQ37" s="822" t="str">
        <f t="shared" si="53"/>
        <v/>
      </c>
      <c r="DR37" s="822" t="str">
        <f t="shared" si="54"/>
        <v/>
      </c>
      <c r="DS37" s="821">
        <f t="shared" si="55"/>
        <v>0</v>
      </c>
      <c r="DT37" s="821">
        <f t="shared" si="56"/>
        <v>0</v>
      </c>
      <c r="DU37" s="821" t="str">
        <f t="shared" si="57"/>
        <v/>
      </c>
      <c r="DV37" s="822" t="str">
        <f t="shared" si="58"/>
        <v/>
      </c>
      <c r="DW37" s="856" t="str">
        <f t="shared" si="59"/>
        <v/>
      </c>
      <c r="DX37" s="1006">
        <f t="shared" si="60"/>
        <v>0</v>
      </c>
      <c r="DY37" s="822">
        <f t="shared" si="61"/>
        <v>0</v>
      </c>
      <c r="DZ37" s="821">
        <f t="shared" si="62"/>
        <v>0</v>
      </c>
      <c r="EA37" s="821" t="str">
        <f t="shared" si="63"/>
        <v/>
      </c>
      <c r="EB37" s="822" t="str">
        <f t="shared" si="64"/>
        <v/>
      </c>
      <c r="EC37" s="856" t="str">
        <f t="shared" si="65"/>
        <v/>
      </c>
      <c r="ED37" s="1006">
        <f t="shared" si="66"/>
        <v>0</v>
      </c>
      <c r="EE37" s="1293" t="str">
        <f t="shared" si="67"/>
        <v/>
      </c>
      <c r="EF37" s="1293" t="str">
        <f t="shared" si="68"/>
        <v/>
      </c>
      <c r="EG37" s="1293" t="str">
        <f t="shared" si="69"/>
        <v/>
      </c>
      <c r="EH37" s="856" t="e">
        <f t="shared" si="70"/>
        <v>#N/A</v>
      </c>
      <c r="EI37" s="856" t="e">
        <f t="shared" si="71"/>
        <v>#N/A</v>
      </c>
      <c r="EJ37" s="822" t="str">
        <f t="shared" si="72"/>
        <v/>
      </c>
      <c r="EK37" s="822" t="str">
        <f t="shared" si="72"/>
        <v/>
      </c>
      <c r="EL37" s="1293" t="str">
        <f t="shared" si="73"/>
        <v/>
      </c>
      <c r="EM37" s="822" t="str">
        <f t="shared" si="74"/>
        <v/>
      </c>
      <c r="EN37" s="822" t="str">
        <f t="shared" si="75"/>
        <v/>
      </c>
      <c r="EO37" s="856" t="e">
        <f t="shared" si="76"/>
        <v>#N/A</v>
      </c>
      <c r="EP37" s="856" t="e">
        <f t="shared" si="77"/>
        <v>#N/A</v>
      </c>
      <c r="EQ37" s="1293" t="str">
        <f t="shared" si="78"/>
        <v/>
      </c>
      <c r="ER37" s="822" t="str">
        <f t="shared" si="78"/>
        <v/>
      </c>
      <c r="ES37" s="822" t="str">
        <f t="shared" si="79"/>
        <v/>
      </c>
      <c r="ET37" s="822" t="str">
        <f t="shared" si="80"/>
        <v/>
      </c>
      <c r="EU37" s="829" t="str">
        <f t="shared" si="81"/>
        <v/>
      </c>
      <c r="EV37" s="824" t="str">
        <f t="shared" si="82"/>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83"/>
        <v/>
      </c>
      <c r="FA37" s="829" t="str">
        <f>IF(AND(DE37="G", ISBLANK(BW37), ISBLANK(BX37)),VLOOKUP(MIN(BT37:BU37),TblJoistSize!$M$3:$N$10,2),IF(OR(DE37="B", DE37="G"),MIN(BW37:BX37),""))</f>
        <v/>
      </c>
      <c r="FB37" s="829" t="str">
        <f>IF(AND(DE37="G", ISBLANK(BW37), ISBLANK(BX37)),VLOOKUP(MAX(BT37:BU37),TblJoistSize!$M$3:$N$10,2),IF(OR(DE37="B", DE37="G"),MAX(BW37:BX37),""))</f>
        <v/>
      </c>
      <c r="FC37" s="829" t="str">
        <f t="shared" si="84"/>
        <v/>
      </c>
      <c r="FD37" s="821">
        <f t="shared" si="107"/>
        <v>0</v>
      </c>
      <c r="FE37" s="821">
        <f t="shared" si="85"/>
        <v>0</v>
      </c>
      <c r="FF37" s="821">
        <f t="shared" si="86"/>
        <v>0</v>
      </c>
      <c r="FG37" s="821" t="str">
        <f t="shared" si="87"/>
        <v/>
      </c>
      <c r="FH37" s="822" t="str">
        <f t="shared" si="88"/>
        <v/>
      </c>
      <c r="FI37" s="821">
        <f t="shared" si="108"/>
        <v>0</v>
      </c>
      <c r="FJ37" s="821">
        <f t="shared" si="89"/>
        <v>0</v>
      </c>
      <c r="FK37" s="821">
        <f t="shared" si="90"/>
        <v>0</v>
      </c>
      <c r="FL37" s="821" t="str">
        <f t="shared" si="91"/>
        <v/>
      </c>
      <c r="FM37" s="822" t="str">
        <f t="shared" si="92"/>
        <v/>
      </c>
      <c r="FN37" s="822" t="e">
        <f t="shared" si="93"/>
        <v>#VALUE!</v>
      </c>
      <c r="FO37" s="940" t="e">
        <f t="shared" si="94"/>
        <v>#VALUE!</v>
      </c>
      <c r="FP37" s="940" t="e">
        <f t="shared" si="95"/>
        <v>#VALUE!</v>
      </c>
      <c r="FQ37" s="830" t="e">
        <f t="shared" si="96"/>
        <v>#VALUE!</v>
      </c>
      <c r="FR37" s="831" t="e">
        <f t="shared" si="97"/>
        <v>#VALUE!</v>
      </c>
      <c r="FS37" s="832" t="str">
        <f t="shared" si="98"/>
        <v/>
      </c>
      <c r="FT37" s="833" t="str">
        <f t="shared" si="99"/>
        <v/>
      </c>
      <c r="FU37" s="870">
        <f t="shared" si="100"/>
        <v>0</v>
      </c>
      <c r="FV37" s="871">
        <f t="shared" si="101"/>
        <v>0</v>
      </c>
      <c r="GA37" s="1791" t="str">
        <f t="shared" si="119"/>
        <v/>
      </c>
      <c r="GB37" s="1792" t="str">
        <f t="shared" si="120"/>
        <v/>
      </c>
      <c r="GC37" s="1793" t="str">
        <f t="shared" si="121"/>
        <v/>
      </c>
      <c r="GD37" s="1794" t="str">
        <f t="shared" si="122"/>
        <v/>
      </c>
      <c r="GE37" s="1795" t="str">
        <f t="shared" si="102"/>
        <v/>
      </c>
      <c r="GF37" s="600" t="str">
        <f t="shared" si="103"/>
        <v/>
      </c>
      <c r="GG37" s="1130"/>
      <c r="GH37" s="1131"/>
      <c r="GI37" s="1130"/>
      <c r="GJ37" s="1131"/>
      <c r="GK37" s="1638">
        <f t="shared" si="104"/>
        <v>0</v>
      </c>
      <c r="GL37" s="1636" t="e">
        <f t="shared" si="105"/>
        <v>#VALUE!</v>
      </c>
      <c r="GM37" s="1637" t="e">
        <f>IF(ABS(GK37-GL37)&gt;='Job Info.'!$L$22,ABS(GK37-GL37),0)</f>
        <v>#VALUE!</v>
      </c>
      <c r="HA37" s="1269"/>
      <c r="HB37" s="1270"/>
      <c r="HC37" s="1270"/>
      <c r="HD37" s="1271"/>
      <c r="HE37" s="1272"/>
      <c r="HF37" s="1270"/>
      <c r="HG37" s="1270"/>
      <c r="HH37" s="1270"/>
      <c r="HI37" s="1273"/>
      <c r="HJ37" s="1270"/>
      <c r="HK37" s="1270"/>
      <c r="HL37" s="1270"/>
      <c r="HM37" s="1270"/>
      <c r="HN37" s="1270"/>
      <c r="HO37" s="1270"/>
      <c r="HP37" s="1270"/>
      <c r="HQ37" s="1273"/>
      <c r="HR37" s="1270"/>
      <c r="HS37" s="1270"/>
      <c r="HT37" s="1270"/>
      <c r="HU37" s="1270"/>
      <c r="HV37" s="1270"/>
      <c r="HW37" s="1272"/>
      <c r="HX37" s="1272"/>
      <c r="HY37" s="1272"/>
      <c r="HZ37" s="1272"/>
      <c r="IA37" s="1272"/>
      <c r="IB37" s="1272"/>
      <c r="IC37" s="1272"/>
      <c r="ID37" s="1272"/>
      <c r="IE37" s="1272"/>
      <c r="IF37" s="1274"/>
    </row>
    <row r="38" spans="1:240" ht="12.6" customHeight="1" x14ac:dyDescent="0.25">
      <c r="A38" s="1448" t="str">
        <f t="shared" si="109"/>
        <v/>
      </c>
      <c r="B38" s="1681"/>
      <c r="C38" s="1449" t="str">
        <f t="shared" si="110"/>
        <v/>
      </c>
      <c r="D38" s="1705" t="str">
        <f t="shared" si="111"/>
        <v/>
      </c>
      <c r="E38" s="1706" t="str">
        <f t="shared" si="112"/>
        <v/>
      </c>
      <c r="F38" s="1714" t="str">
        <f t="shared" si="1"/>
        <v/>
      </c>
      <c r="G38" s="1709" t="str">
        <f t="shared" si="2"/>
        <v/>
      </c>
      <c r="H38" s="1779" t="str">
        <f t="shared" si="3"/>
        <v/>
      </c>
      <c r="I38" s="1705" t="str">
        <f t="shared" si="4"/>
        <v/>
      </c>
      <c r="J38" s="1709" t="str">
        <f t="shared" si="5"/>
        <v/>
      </c>
      <c r="K38" s="1796" t="str">
        <f t="shared" si="6"/>
        <v/>
      </c>
      <c r="L38" s="1712" t="str">
        <f t="shared" si="113"/>
        <v/>
      </c>
      <c r="M38" s="1713" t="str">
        <f t="shared" si="113"/>
        <v/>
      </c>
      <c r="N38" s="1708" t="str">
        <f t="shared" si="7"/>
        <v/>
      </c>
      <c r="O38" s="1709" t="str">
        <f t="shared" si="8"/>
        <v/>
      </c>
      <c r="P38" s="1710" t="str">
        <f t="shared" si="9"/>
        <v/>
      </c>
      <c r="Q38" s="1705" t="str">
        <f t="shared" si="10"/>
        <v/>
      </c>
      <c r="R38" s="1709" t="str">
        <f t="shared" si="11"/>
        <v/>
      </c>
      <c r="S38" s="1711" t="str">
        <f t="shared" si="12"/>
        <v/>
      </c>
      <c r="T38" s="1714" t="str">
        <f t="shared" si="114"/>
        <v/>
      </c>
      <c r="U38" s="1709" t="str">
        <f t="shared" si="115"/>
        <v/>
      </c>
      <c r="V38" s="1705" t="str">
        <f t="shared" si="116"/>
        <v/>
      </c>
      <c r="W38" s="1709" t="str">
        <f t="shared" si="117"/>
        <v/>
      </c>
      <c r="X38" s="1713">
        <f t="shared" si="118"/>
        <v>0</v>
      </c>
      <c r="Y38" s="1781" t="str">
        <f t="shared" si="13"/>
        <v/>
      </c>
      <c r="Z38" s="1782" t="str">
        <f t="shared" si="14"/>
        <v/>
      </c>
      <c r="AA38" s="1783" t="s">
        <v>116</v>
      </c>
      <c r="AB38" s="1413"/>
      <c r="AC38" s="964" t="b">
        <v>0</v>
      </c>
      <c r="AD38" s="441">
        <f t="shared" si="15"/>
        <v>0</v>
      </c>
      <c r="AE38" s="442">
        <f t="shared" si="16"/>
        <v>0</v>
      </c>
      <c r="AF38" s="442">
        <f t="shared" si="17"/>
        <v>0</v>
      </c>
      <c r="AG38" s="442">
        <f t="shared" si="18"/>
        <v>0</v>
      </c>
      <c r="AH38" s="443">
        <f t="shared" si="19"/>
        <v>0</v>
      </c>
      <c r="AI38" s="444" t="b">
        <v>0</v>
      </c>
      <c r="AJ38" s="238">
        <f t="shared" si="20"/>
        <v>0</v>
      </c>
      <c r="AK38" s="830" t="str">
        <f t="shared" si="21"/>
        <v/>
      </c>
      <c r="AL38" s="945" t="str">
        <f t="shared" si="22"/>
        <v/>
      </c>
      <c r="AM38" s="830" t="str">
        <f t="shared" si="23"/>
        <v/>
      </c>
      <c r="AN38" s="830" t="str">
        <f t="shared" si="24"/>
        <v/>
      </c>
      <c r="AO38" s="830" t="str">
        <f t="shared" si="25"/>
        <v/>
      </c>
      <c r="AP38" s="830" t="b">
        <f>IF(ISERROR(AJ38),FALSE,IF(OR(AJ38=0,ISERROR(AL38),ISERROR(AM38),ISERROR(AN38),ISERROR(AO38)),FALSE,IF(AL38&lt;&gt;"",IF(ISERROR(VLOOKUP(SUBSTITUTE(SUBSTITUTE(C38,"R",""),"A",""),TblJoistSize!$A:$A,1,FALSE)),FALSE,TRUE),TRUE)))</f>
        <v>0</v>
      </c>
      <c r="AQ38" s="1038" t="e">
        <f t="shared" si="26"/>
        <v>#N/A</v>
      </c>
      <c r="AR38" s="945" t="b">
        <f t="shared" si="27"/>
        <v>0</v>
      </c>
      <c r="AS38" s="1038" t="e">
        <f t="shared" si="28"/>
        <v>#N/A</v>
      </c>
      <c r="AT38" s="945" t="b">
        <f t="shared" si="29"/>
        <v>0</v>
      </c>
      <c r="AU38" s="946" t="str">
        <f t="shared" si="30"/>
        <v/>
      </c>
      <c r="AV38" s="830" t="str">
        <f t="shared" si="31"/>
        <v/>
      </c>
      <c r="AW38" s="830" t="str">
        <f t="shared" si="32"/>
        <v/>
      </c>
      <c r="AX38" s="830" t="str">
        <f t="shared" si="106"/>
        <v/>
      </c>
      <c r="AY38" s="1039" t="b">
        <f t="shared" si="33"/>
        <v>0</v>
      </c>
      <c r="AZ38" s="856" t="str">
        <f t="shared" si="34"/>
        <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35"/>
        <v/>
      </c>
      <c r="BR38" s="910"/>
      <c r="BS38" s="672"/>
      <c r="BT38" s="713"/>
      <c r="BU38" s="714"/>
      <c r="BV38" s="1625"/>
      <c r="BW38" s="713"/>
      <c r="BX38" s="714"/>
      <c r="BY38" s="715"/>
      <c r="BZ38" s="716"/>
      <c r="CA38" s="680" t="str">
        <f>IF(ISERROR(DE38),"",IF(DE38="","",IF(VLOOKUP(BS38,SectInfo!$B:$N,10,FALSE)="","","X")))</f>
        <v/>
      </c>
      <c r="CB38" s="738"/>
      <c r="CC38" s="1551" t="str">
        <f t="shared" si="36"/>
        <v/>
      </c>
      <c r="CD38" s="910"/>
      <c r="CE38" s="717"/>
      <c r="CF38" s="736"/>
      <c r="CG38" s="737"/>
      <c r="CH38" s="591" t="str">
        <f t="shared" si="37"/>
        <v/>
      </c>
      <c r="CI38" s="592" t="str">
        <f t="shared" si="38"/>
        <v/>
      </c>
      <c r="CJ38" s="593" t="str">
        <f t="shared" si="39"/>
        <v/>
      </c>
      <c r="CK38" s="594" t="str">
        <f t="shared" si="40"/>
        <v/>
      </c>
      <c r="CL38" s="595" t="str">
        <f t="shared" si="41"/>
        <v/>
      </c>
      <c r="CM38" s="596" t="str">
        <f t="shared" si="42"/>
        <v/>
      </c>
      <c r="CN38" s="597" t="str">
        <f t="shared" si="43"/>
        <v/>
      </c>
      <c r="CO38" s="598" t="str">
        <f t="shared" si="44"/>
        <v/>
      </c>
      <c r="CP38" s="615" t="str">
        <f t="shared" si="45"/>
        <v/>
      </c>
      <c r="CQ38" s="616" t="str">
        <f t="shared" si="46"/>
        <v/>
      </c>
      <c r="CR38" s="750" t="str">
        <f t="shared" si="47"/>
        <v/>
      </c>
      <c r="CS38" s="751" t="str">
        <f t="shared" si="48"/>
        <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49"/>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50"/>
        <v>0</v>
      </c>
      <c r="DO38" s="818">
        <f t="shared" si="51"/>
        <v>0</v>
      </c>
      <c r="DP38" s="822" t="str">
        <f t="shared" si="52"/>
        <v/>
      </c>
      <c r="DQ38" s="822" t="str">
        <f t="shared" si="53"/>
        <v/>
      </c>
      <c r="DR38" s="822" t="str">
        <f t="shared" si="54"/>
        <v/>
      </c>
      <c r="DS38" s="821">
        <f t="shared" si="55"/>
        <v>0</v>
      </c>
      <c r="DT38" s="821">
        <f t="shared" si="56"/>
        <v>0</v>
      </c>
      <c r="DU38" s="821" t="str">
        <f t="shared" si="57"/>
        <v/>
      </c>
      <c r="DV38" s="822" t="str">
        <f t="shared" si="58"/>
        <v/>
      </c>
      <c r="DW38" s="856" t="str">
        <f t="shared" si="59"/>
        <v/>
      </c>
      <c r="DX38" s="1006">
        <f t="shared" si="60"/>
        <v>0</v>
      </c>
      <c r="DY38" s="822">
        <f t="shared" si="61"/>
        <v>0</v>
      </c>
      <c r="DZ38" s="821">
        <f t="shared" si="62"/>
        <v>0</v>
      </c>
      <c r="EA38" s="821" t="str">
        <f t="shared" si="63"/>
        <v/>
      </c>
      <c r="EB38" s="822" t="str">
        <f t="shared" si="64"/>
        <v/>
      </c>
      <c r="EC38" s="856" t="str">
        <f t="shared" si="65"/>
        <v/>
      </c>
      <c r="ED38" s="1006">
        <f t="shared" si="66"/>
        <v>0</v>
      </c>
      <c r="EE38" s="1293" t="str">
        <f t="shared" si="67"/>
        <v/>
      </c>
      <c r="EF38" s="1293" t="str">
        <f t="shared" si="68"/>
        <v/>
      </c>
      <c r="EG38" s="1293" t="str">
        <f t="shared" si="69"/>
        <v/>
      </c>
      <c r="EH38" s="856" t="e">
        <f t="shared" si="70"/>
        <v>#N/A</v>
      </c>
      <c r="EI38" s="856" t="e">
        <f t="shared" si="71"/>
        <v>#N/A</v>
      </c>
      <c r="EJ38" s="822" t="str">
        <f t="shared" si="72"/>
        <v/>
      </c>
      <c r="EK38" s="822" t="str">
        <f t="shared" si="72"/>
        <v/>
      </c>
      <c r="EL38" s="1293" t="str">
        <f t="shared" si="73"/>
        <v/>
      </c>
      <c r="EM38" s="822" t="str">
        <f t="shared" si="74"/>
        <v/>
      </c>
      <c r="EN38" s="822" t="str">
        <f t="shared" si="75"/>
        <v/>
      </c>
      <c r="EO38" s="856" t="e">
        <f t="shared" si="76"/>
        <v>#N/A</v>
      </c>
      <c r="EP38" s="856" t="e">
        <f t="shared" si="77"/>
        <v>#N/A</v>
      </c>
      <c r="EQ38" s="1293" t="str">
        <f t="shared" si="78"/>
        <v/>
      </c>
      <c r="ER38" s="822" t="str">
        <f t="shared" si="78"/>
        <v/>
      </c>
      <c r="ES38" s="822" t="str">
        <f t="shared" si="79"/>
        <v/>
      </c>
      <c r="ET38" s="822" t="str">
        <f t="shared" si="80"/>
        <v/>
      </c>
      <c r="EU38" s="829" t="str">
        <f t="shared" si="81"/>
        <v/>
      </c>
      <c r="EV38" s="824" t="str">
        <f t="shared" si="82"/>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83"/>
        <v/>
      </c>
      <c r="FA38" s="829" t="str">
        <f>IF(AND(DE38="G", ISBLANK(BW38), ISBLANK(BX38)),VLOOKUP(MIN(BT38:BU38),TblJoistSize!$M$3:$N$10,2),IF(OR(DE38="B", DE38="G"),MIN(BW38:BX38),""))</f>
        <v/>
      </c>
      <c r="FB38" s="829" t="str">
        <f>IF(AND(DE38="G", ISBLANK(BW38), ISBLANK(BX38)),VLOOKUP(MAX(BT38:BU38),TblJoistSize!$M$3:$N$10,2),IF(OR(DE38="B", DE38="G"),MAX(BW38:BX38),""))</f>
        <v/>
      </c>
      <c r="FC38" s="829" t="str">
        <f t="shared" si="84"/>
        <v/>
      </c>
      <c r="FD38" s="821">
        <f t="shared" si="107"/>
        <v>0</v>
      </c>
      <c r="FE38" s="821">
        <f t="shared" si="85"/>
        <v>0</v>
      </c>
      <c r="FF38" s="821">
        <f t="shared" si="86"/>
        <v>0</v>
      </c>
      <c r="FG38" s="821" t="str">
        <f t="shared" si="87"/>
        <v/>
      </c>
      <c r="FH38" s="822" t="str">
        <f t="shared" si="88"/>
        <v/>
      </c>
      <c r="FI38" s="821">
        <f t="shared" si="108"/>
        <v>0</v>
      </c>
      <c r="FJ38" s="821">
        <f t="shared" si="89"/>
        <v>0</v>
      </c>
      <c r="FK38" s="821">
        <f t="shared" si="90"/>
        <v>0</v>
      </c>
      <c r="FL38" s="821" t="str">
        <f t="shared" si="91"/>
        <v/>
      </c>
      <c r="FM38" s="822" t="str">
        <f t="shared" si="92"/>
        <v/>
      </c>
      <c r="FN38" s="822" t="e">
        <f t="shared" si="93"/>
        <v>#VALUE!</v>
      </c>
      <c r="FO38" s="940" t="e">
        <f t="shared" si="94"/>
        <v>#VALUE!</v>
      </c>
      <c r="FP38" s="940" t="e">
        <f t="shared" si="95"/>
        <v>#VALUE!</v>
      </c>
      <c r="FQ38" s="830" t="e">
        <f t="shared" si="96"/>
        <v>#VALUE!</v>
      </c>
      <c r="FR38" s="831" t="e">
        <f t="shared" si="97"/>
        <v>#VALUE!</v>
      </c>
      <c r="FS38" s="832" t="str">
        <f t="shared" si="98"/>
        <v/>
      </c>
      <c r="FT38" s="833" t="str">
        <f t="shared" si="99"/>
        <v/>
      </c>
      <c r="FU38" s="870">
        <f t="shared" si="100"/>
        <v>0</v>
      </c>
      <c r="FV38" s="871">
        <f t="shared" si="101"/>
        <v>0</v>
      </c>
      <c r="GA38" s="1791" t="str">
        <f t="shared" si="119"/>
        <v/>
      </c>
      <c r="GB38" s="1792" t="str">
        <f t="shared" si="120"/>
        <v/>
      </c>
      <c r="GC38" s="1793" t="str">
        <f t="shared" si="121"/>
        <v/>
      </c>
      <c r="GD38" s="1794" t="str">
        <f t="shared" si="122"/>
        <v/>
      </c>
      <c r="GE38" s="1795" t="str">
        <f t="shared" si="102"/>
        <v/>
      </c>
      <c r="GF38" s="600" t="str">
        <f t="shared" si="103"/>
        <v/>
      </c>
      <c r="GG38" s="1130"/>
      <c r="GH38" s="1131"/>
      <c r="GI38" s="1130"/>
      <c r="GJ38" s="1131"/>
      <c r="GK38" s="1638">
        <f t="shared" si="104"/>
        <v>0</v>
      </c>
      <c r="GL38" s="1636" t="e">
        <f t="shared" si="105"/>
        <v>#VALUE!</v>
      </c>
      <c r="GM38" s="1637" t="e">
        <f>IF(ABS(GK38-GL38)&gt;='Job Info.'!$L$22,ABS(GK38-GL38),0)</f>
        <v>#VALUE!</v>
      </c>
      <c r="HA38" s="1269"/>
      <c r="HB38" s="1270"/>
      <c r="HC38" s="1270"/>
      <c r="HD38" s="1271"/>
      <c r="HE38" s="1272"/>
      <c r="HF38" s="1270"/>
      <c r="HG38" s="1270"/>
      <c r="HH38" s="1270"/>
      <c r="HI38" s="1273"/>
      <c r="HJ38" s="1270"/>
      <c r="HK38" s="1270"/>
      <c r="HL38" s="1270"/>
      <c r="HM38" s="1270"/>
      <c r="HN38" s="1270"/>
      <c r="HO38" s="1270"/>
      <c r="HP38" s="1270"/>
      <c r="HQ38" s="1273"/>
      <c r="HR38" s="1270"/>
      <c r="HS38" s="1270"/>
      <c r="HT38" s="1270"/>
      <c r="HU38" s="1270"/>
      <c r="HV38" s="1270"/>
      <c r="HW38" s="1272"/>
      <c r="HX38" s="1272"/>
      <c r="HY38" s="1272"/>
      <c r="HZ38" s="1272"/>
      <c r="IA38" s="1272"/>
      <c r="IB38" s="1272"/>
      <c r="IC38" s="1272"/>
      <c r="ID38" s="1272"/>
      <c r="IE38" s="1272"/>
      <c r="IF38" s="1274"/>
    </row>
    <row r="39" spans="1:240" ht="12.6" customHeight="1" x14ac:dyDescent="0.25">
      <c r="A39" s="1448" t="str">
        <f t="shared" si="109"/>
        <v/>
      </c>
      <c r="B39" s="1681"/>
      <c r="C39" s="1449" t="str">
        <f t="shared" si="110"/>
        <v/>
      </c>
      <c r="D39" s="1705" t="str">
        <f t="shared" si="111"/>
        <v/>
      </c>
      <c r="E39" s="1706" t="str">
        <f t="shared" si="112"/>
        <v/>
      </c>
      <c r="F39" s="1714" t="str">
        <f t="shared" si="1"/>
        <v/>
      </c>
      <c r="G39" s="1709" t="str">
        <f t="shared" si="2"/>
        <v/>
      </c>
      <c r="H39" s="1779" t="str">
        <f t="shared" si="3"/>
        <v/>
      </c>
      <c r="I39" s="1705" t="str">
        <f t="shared" si="4"/>
        <v/>
      </c>
      <c r="J39" s="1709" t="str">
        <f t="shared" si="5"/>
        <v/>
      </c>
      <c r="K39" s="1796" t="str">
        <f t="shared" si="6"/>
        <v/>
      </c>
      <c r="L39" s="1712" t="str">
        <f t="shared" si="113"/>
        <v/>
      </c>
      <c r="M39" s="1713" t="str">
        <f t="shared" si="113"/>
        <v/>
      </c>
      <c r="N39" s="1708" t="str">
        <f t="shared" si="7"/>
        <v/>
      </c>
      <c r="O39" s="1709" t="str">
        <f t="shared" si="8"/>
        <v/>
      </c>
      <c r="P39" s="1710" t="str">
        <f t="shared" si="9"/>
        <v/>
      </c>
      <c r="Q39" s="1705" t="str">
        <f t="shared" si="10"/>
        <v/>
      </c>
      <c r="R39" s="1709" t="str">
        <f t="shared" si="11"/>
        <v/>
      </c>
      <c r="S39" s="1711" t="str">
        <f t="shared" si="12"/>
        <v/>
      </c>
      <c r="T39" s="1714" t="str">
        <f t="shared" si="114"/>
        <v/>
      </c>
      <c r="U39" s="1709" t="str">
        <f t="shared" si="115"/>
        <v/>
      </c>
      <c r="V39" s="1705" t="str">
        <f t="shared" si="116"/>
        <v/>
      </c>
      <c r="W39" s="1709" t="str">
        <f t="shared" si="117"/>
        <v/>
      </c>
      <c r="X39" s="1713">
        <f t="shared" si="118"/>
        <v>0</v>
      </c>
      <c r="Y39" s="1781" t="str">
        <f t="shared" si="13"/>
        <v/>
      </c>
      <c r="Z39" s="1782" t="str">
        <f t="shared" si="14"/>
        <v/>
      </c>
      <c r="AA39" s="1783" t="s">
        <v>116</v>
      </c>
      <c r="AB39" s="1413"/>
      <c r="AC39" s="964" t="b">
        <v>0</v>
      </c>
      <c r="AD39" s="441">
        <f t="shared" si="15"/>
        <v>0</v>
      </c>
      <c r="AE39" s="442">
        <f t="shared" si="16"/>
        <v>0</v>
      </c>
      <c r="AF39" s="442">
        <f t="shared" si="17"/>
        <v>0</v>
      </c>
      <c r="AG39" s="442">
        <f t="shared" si="18"/>
        <v>0</v>
      </c>
      <c r="AH39" s="443">
        <f t="shared" si="19"/>
        <v>0</v>
      </c>
      <c r="AI39" s="444" t="b">
        <v>0</v>
      </c>
      <c r="AJ39" s="238">
        <f t="shared" si="20"/>
        <v>0</v>
      </c>
      <c r="AK39" s="830" t="str">
        <f t="shared" si="21"/>
        <v/>
      </c>
      <c r="AL39" s="945" t="str">
        <f t="shared" si="22"/>
        <v/>
      </c>
      <c r="AM39" s="830" t="str">
        <f t="shared" si="23"/>
        <v/>
      </c>
      <c r="AN39" s="830" t="str">
        <f t="shared" si="24"/>
        <v/>
      </c>
      <c r="AO39" s="830" t="str">
        <f t="shared" si="25"/>
        <v/>
      </c>
      <c r="AP39" s="830" t="b">
        <f>IF(ISERROR(AJ39),FALSE,IF(OR(AJ39=0,ISERROR(AL39),ISERROR(AM39),ISERROR(AN39),ISERROR(AO39)),FALSE,IF(AL39&lt;&gt;"",IF(ISERROR(VLOOKUP(SUBSTITUTE(SUBSTITUTE(C39,"R",""),"A",""),TblJoistSize!$A:$A,1,FALSE)),FALSE,TRUE),TRUE)))</f>
        <v>0</v>
      </c>
      <c r="AQ39" s="1038" t="e">
        <f t="shared" si="26"/>
        <v>#N/A</v>
      </c>
      <c r="AR39" s="945" t="b">
        <f t="shared" si="27"/>
        <v>0</v>
      </c>
      <c r="AS39" s="1038" t="e">
        <f t="shared" si="28"/>
        <v>#N/A</v>
      </c>
      <c r="AT39" s="945" t="b">
        <f t="shared" si="29"/>
        <v>0</v>
      </c>
      <c r="AU39" s="946" t="str">
        <f t="shared" si="30"/>
        <v/>
      </c>
      <c r="AV39" s="830" t="str">
        <f t="shared" si="31"/>
        <v/>
      </c>
      <c r="AW39" s="830" t="str">
        <f t="shared" si="32"/>
        <v/>
      </c>
      <c r="AX39" s="830" t="str">
        <f t="shared" si="106"/>
        <v/>
      </c>
      <c r="AY39" s="1039" t="b">
        <f t="shared" si="33"/>
        <v>0</v>
      </c>
      <c r="AZ39" s="856" t="str">
        <f t="shared" si="34"/>
        <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35"/>
        <v/>
      </c>
      <c r="BR39" s="910"/>
      <c r="BS39" s="672"/>
      <c r="BT39" s="713"/>
      <c r="BU39" s="714"/>
      <c r="BV39" s="1625"/>
      <c r="BW39" s="713"/>
      <c r="BX39" s="714"/>
      <c r="BY39" s="715"/>
      <c r="BZ39" s="716"/>
      <c r="CA39" s="680" t="str">
        <f>IF(ISERROR(DE39),"",IF(DE39="","",IF(VLOOKUP(BS39,SectInfo!$B:$N,10,FALSE)="","","X")))</f>
        <v/>
      </c>
      <c r="CB39" s="738"/>
      <c r="CC39" s="1551" t="str">
        <f t="shared" si="36"/>
        <v/>
      </c>
      <c r="CD39" s="910"/>
      <c r="CE39" s="717"/>
      <c r="CF39" s="736"/>
      <c r="CG39" s="737"/>
      <c r="CH39" s="591" t="str">
        <f t="shared" si="37"/>
        <v/>
      </c>
      <c r="CI39" s="592" t="str">
        <f t="shared" si="38"/>
        <v/>
      </c>
      <c r="CJ39" s="593" t="str">
        <f t="shared" si="39"/>
        <v/>
      </c>
      <c r="CK39" s="594" t="str">
        <f t="shared" si="40"/>
        <v/>
      </c>
      <c r="CL39" s="595" t="str">
        <f t="shared" si="41"/>
        <v/>
      </c>
      <c r="CM39" s="596" t="str">
        <f t="shared" si="42"/>
        <v/>
      </c>
      <c r="CN39" s="597" t="str">
        <f t="shared" si="43"/>
        <v/>
      </c>
      <c r="CO39" s="598" t="str">
        <f t="shared" si="44"/>
        <v/>
      </c>
      <c r="CP39" s="615" t="str">
        <f t="shared" si="45"/>
        <v/>
      </c>
      <c r="CQ39" s="616" t="str">
        <f t="shared" si="46"/>
        <v/>
      </c>
      <c r="CR39" s="750" t="str">
        <f t="shared" si="47"/>
        <v/>
      </c>
      <c r="CS39" s="751" t="str">
        <f t="shared" si="48"/>
        <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49"/>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50"/>
        <v>0</v>
      </c>
      <c r="DO39" s="818">
        <f t="shared" si="51"/>
        <v>0</v>
      </c>
      <c r="DP39" s="822" t="str">
        <f t="shared" si="52"/>
        <v/>
      </c>
      <c r="DQ39" s="822" t="str">
        <f t="shared" si="53"/>
        <v/>
      </c>
      <c r="DR39" s="822" t="str">
        <f t="shared" si="54"/>
        <v/>
      </c>
      <c r="DS39" s="821">
        <f t="shared" si="55"/>
        <v>0</v>
      </c>
      <c r="DT39" s="821">
        <f t="shared" si="56"/>
        <v>0</v>
      </c>
      <c r="DU39" s="821" t="str">
        <f t="shared" si="57"/>
        <v/>
      </c>
      <c r="DV39" s="822" t="str">
        <f t="shared" si="58"/>
        <v/>
      </c>
      <c r="DW39" s="856" t="str">
        <f t="shared" si="59"/>
        <v/>
      </c>
      <c r="DX39" s="1006">
        <f t="shared" si="60"/>
        <v>0</v>
      </c>
      <c r="DY39" s="822">
        <f t="shared" si="61"/>
        <v>0</v>
      </c>
      <c r="DZ39" s="821">
        <f t="shared" si="62"/>
        <v>0</v>
      </c>
      <c r="EA39" s="821" t="str">
        <f t="shared" si="63"/>
        <v/>
      </c>
      <c r="EB39" s="822" t="str">
        <f t="shared" si="64"/>
        <v/>
      </c>
      <c r="EC39" s="856" t="str">
        <f t="shared" si="65"/>
        <v/>
      </c>
      <c r="ED39" s="1006">
        <f t="shared" si="66"/>
        <v>0</v>
      </c>
      <c r="EE39" s="1293" t="str">
        <f t="shared" si="67"/>
        <v/>
      </c>
      <c r="EF39" s="1293" t="str">
        <f t="shared" si="68"/>
        <v/>
      </c>
      <c r="EG39" s="1293" t="str">
        <f t="shared" si="69"/>
        <v/>
      </c>
      <c r="EH39" s="856" t="e">
        <f t="shared" si="70"/>
        <v>#N/A</v>
      </c>
      <c r="EI39" s="856" t="e">
        <f t="shared" si="71"/>
        <v>#N/A</v>
      </c>
      <c r="EJ39" s="822" t="str">
        <f t="shared" si="72"/>
        <v/>
      </c>
      <c r="EK39" s="822" t="str">
        <f t="shared" si="72"/>
        <v/>
      </c>
      <c r="EL39" s="1293" t="str">
        <f t="shared" si="73"/>
        <v/>
      </c>
      <c r="EM39" s="822" t="str">
        <f t="shared" si="74"/>
        <v/>
      </c>
      <c r="EN39" s="822" t="str">
        <f t="shared" si="75"/>
        <v/>
      </c>
      <c r="EO39" s="856" t="e">
        <f t="shared" si="76"/>
        <v>#N/A</v>
      </c>
      <c r="EP39" s="856" t="e">
        <f t="shared" si="77"/>
        <v>#N/A</v>
      </c>
      <c r="EQ39" s="1293" t="str">
        <f t="shared" si="78"/>
        <v/>
      </c>
      <c r="ER39" s="822" t="str">
        <f t="shared" si="78"/>
        <v/>
      </c>
      <c r="ES39" s="822" t="str">
        <f t="shared" si="79"/>
        <v/>
      </c>
      <c r="ET39" s="822" t="str">
        <f t="shared" si="80"/>
        <v/>
      </c>
      <c r="EU39" s="829" t="str">
        <f t="shared" si="81"/>
        <v/>
      </c>
      <c r="EV39" s="824" t="str">
        <f t="shared" si="82"/>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83"/>
        <v/>
      </c>
      <c r="FA39" s="829" t="str">
        <f>IF(AND(DE39="G", ISBLANK(BW39), ISBLANK(BX39)),VLOOKUP(MIN(BT39:BU39),TblJoistSize!$M$3:$N$10,2),IF(OR(DE39="B", DE39="G"),MIN(BW39:BX39),""))</f>
        <v/>
      </c>
      <c r="FB39" s="829" t="str">
        <f>IF(AND(DE39="G", ISBLANK(BW39), ISBLANK(BX39)),VLOOKUP(MAX(BT39:BU39),TblJoistSize!$M$3:$N$10,2),IF(OR(DE39="B", DE39="G"),MAX(BW39:BX39),""))</f>
        <v/>
      </c>
      <c r="FC39" s="829" t="str">
        <f t="shared" si="84"/>
        <v/>
      </c>
      <c r="FD39" s="821">
        <f t="shared" si="107"/>
        <v>0</v>
      </c>
      <c r="FE39" s="821">
        <f t="shared" si="85"/>
        <v>0</v>
      </c>
      <c r="FF39" s="821">
        <f t="shared" si="86"/>
        <v>0</v>
      </c>
      <c r="FG39" s="821" t="str">
        <f t="shared" si="87"/>
        <v/>
      </c>
      <c r="FH39" s="822" t="str">
        <f t="shared" si="88"/>
        <v/>
      </c>
      <c r="FI39" s="821">
        <f t="shared" si="108"/>
        <v>0</v>
      </c>
      <c r="FJ39" s="821">
        <f t="shared" si="89"/>
        <v>0</v>
      </c>
      <c r="FK39" s="821">
        <f t="shared" si="90"/>
        <v>0</v>
      </c>
      <c r="FL39" s="821" t="str">
        <f t="shared" si="91"/>
        <v/>
      </c>
      <c r="FM39" s="822" t="str">
        <f t="shared" si="92"/>
        <v/>
      </c>
      <c r="FN39" s="822" t="e">
        <f t="shared" si="93"/>
        <v>#VALUE!</v>
      </c>
      <c r="FO39" s="940" t="e">
        <f t="shared" si="94"/>
        <v>#VALUE!</v>
      </c>
      <c r="FP39" s="940" t="e">
        <f t="shared" si="95"/>
        <v>#VALUE!</v>
      </c>
      <c r="FQ39" s="830" t="e">
        <f t="shared" si="96"/>
        <v>#VALUE!</v>
      </c>
      <c r="FR39" s="831" t="e">
        <f t="shared" si="97"/>
        <v>#VALUE!</v>
      </c>
      <c r="FS39" s="832" t="str">
        <f t="shared" si="98"/>
        <v/>
      </c>
      <c r="FT39" s="833" t="str">
        <f t="shared" si="99"/>
        <v/>
      </c>
      <c r="FU39" s="870">
        <f t="shared" si="100"/>
        <v>0</v>
      </c>
      <c r="FV39" s="871">
        <f t="shared" si="101"/>
        <v>0</v>
      </c>
      <c r="GA39" s="1791" t="str">
        <f t="shared" si="119"/>
        <v/>
      </c>
      <c r="GB39" s="1792" t="str">
        <f t="shared" si="120"/>
        <v/>
      </c>
      <c r="GC39" s="1793" t="str">
        <f t="shared" si="121"/>
        <v/>
      </c>
      <c r="GD39" s="1794" t="str">
        <f t="shared" si="122"/>
        <v/>
      </c>
      <c r="GE39" s="1795" t="str">
        <f t="shared" si="102"/>
        <v/>
      </c>
      <c r="GF39" s="600" t="str">
        <f t="shared" si="103"/>
        <v/>
      </c>
      <c r="GG39" s="1130"/>
      <c r="GH39" s="1131"/>
      <c r="GI39" s="1130"/>
      <c r="GJ39" s="1131"/>
      <c r="GK39" s="1638">
        <f t="shared" si="104"/>
        <v>0</v>
      </c>
      <c r="GL39" s="1636" t="e">
        <f t="shared" si="105"/>
        <v>#VALUE!</v>
      </c>
      <c r="GM39" s="1637" t="e">
        <f>IF(ABS(GK39-GL39)&gt;='Job Info.'!$L$22,ABS(GK39-GL39),0)</f>
        <v>#VALUE!</v>
      </c>
      <c r="HA39" s="1269"/>
      <c r="HB39" s="1270"/>
      <c r="HC39" s="1270"/>
      <c r="HD39" s="1271"/>
      <c r="HE39" s="1272"/>
      <c r="HF39" s="1270"/>
      <c r="HG39" s="1270"/>
      <c r="HH39" s="1270"/>
      <c r="HI39" s="1273"/>
      <c r="HJ39" s="1270"/>
      <c r="HK39" s="1270"/>
      <c r="HL39" s="1270"/>
      <c r="HM39" s="1270"/>
      <c r="HN39" s="1270"/>
      <c r="HO39" s="1270"/>
      <c r="HP39" s="1270"/>
      <c r="HQ39" s="1273"/>
      <c r="HR39" s="1270"/>
      <c r="HS39" s="1270"/>
      <c r="HT39" s="1270"/>
      <c r="HU39" s="1270"/>
      <c r="HV39" s="1270"/>
      <c r="HW39" s="1272"/>
      <c r="HX39" s="1272"/>
      <c r="HY39" s="1272"/>
      <c r="HZ39" s="1272"/>
      <c r="IA39" s="1272"/>
      <c r="IB39" s="1272"/>
      <c r="IC39" s="1272"/>
      <c r="ID39" s="1272"/>
      <c r="IE39" s="1272"/>
      <c r="IF39" s="1274"/>
    </row>
    <row r="40" spans="1:240" ht="12.6" customHeight="1" x14ac:dyDescent="0.25">
      <c r="A40" s="1448" t="str">
        <f t="shared" si="109"/>
        <v/>
      </c>
      <c r="B40" s="1681"/>
      <c r="C40" s="1449" t="str">
        <f t="shared" si="110"/>
        <v/>
      </c>
      <c r="D40" s="1705" t="str">
        <f t="shared" si="111"/>
        <v/>
      </c>
      <c r="E40" s="1706" t="str">
        <f t="shared" si="112"/>
        <v/>
      </c>
      <c r="F40" s="1714" t="str">
        <f t="shared" si="1"/>
        <v/>
      </c>
      <c r="G40" s="1709" t="str">
        <f t="shared" si="2"/>
        <v/>
      </c>
      <c r="H40" s="1779" t="str">
        <f t="shared" si="3"/>
        <v/>
      </c>
      <c r="I40" s="1705" t="str">
        <f t="shared" si="4"/>
        <v/>
      </c>
      <c r="J40" s="1709" t="str">
        <f t="shared" si="5"/>
        <v/>
      </c>
      <c r="K40" s="1796" t="str">
        <f t="shared" si="6"/>
        <v/>
      </c>
      <c r="L40" s="1712" t="str">
        <f t="shared" si="113"/>
        <v/>
      </c>
      <c r="M40" s="1713" t="str">
        <f t="shared" si="113"/>
        <v/>
      </c>
      <c r="N40" s="1708" t="str">
        <f t="shared" si="7"/>
        <v/>
      </c>
      <c r="O40" s="1709" t="str">
        <f t="shared" si="8"/>
        <v/>
      </c>
      <c r="P40" s="1710" t="str">
        <f t="shared" si="9"/>
        <v/>
      </c>
      <c r="Q40" s="1705" t="str">
        <f t="shared" si="10"/>
        <v/>
      </c>
      <c r="R40" s="1709" t="str">
        <f t="shared" si="11"/>
        <v/>
      </c>
      <c r="S40" s="1711" t="str">
        <f t="shared" si="12"/>
        <v/>
      </c>
      <c r="T40" s="1714" t="str">
        <f t="shared" si="114"/>
        <v/>
      </c>
      <c r="U40" s="1709" t="str">
        <f t="shared" si="115"/>
        <v/>
      </c>
      <c r="V40" s="1705" t="str">
        <f t="shared" si="116"/>
        <v/>
      </c>
      <c r="W40" s="1709" t="str">
        <f t="shared" si="117"/>
        <v/>
      </c>
      <c r="X40" s="1713">
        <f t="shared" si="118"/>
        <v>0</v>
      </c>
      <c r="Y40" s="1781" t="str">
        <f t="shared" si="13"/>
        <v/>
      </c>
      <c r="Z40" s="1782" t="str">
        <f t="shared" si="14"/>
        <v/>
      </c>
      <c r="AA40" s="1783" t="s">
        <v>116</v>
      </c>
      <c r="AB40" s="1413"/>
      <c r="AC40" s="964" t="b">
        <v>0</v>
      </c>
      <c r="AD40" s="441">
        <f t="shared" si="15"/>
        <v>0</v>
      </c>
      <c r="AE40" s="442">
        <f t="shared" si="16"/>
        <v>0</v>
      </c>
      <c r="AF40" s="442">
        <f t="shared" si="17"/>
        <v>0</v>
      </c>
      <c r="AG40" s="442">
        <f t="shared" si="18"/>
        <v>0</v>
      </c>
      <c r="AH40" s="443">
        <f t="shared" si="19"/>
        <v>0</v>
      </c>
      <c r="AI40" s="444" t="b">
        <v>0</v>
      </c>
      <c r="AJ40" s="238">
        <f t="shared" si="20"/>
        <v>0</v>
      </c>
      <c r="AK40" s="830" t="str">
        <f t="shared" si="21"/>
        <v/>
      </c>
      <c r="AL40" s="945" t="str">
        <f t="shared" si="22"/>
        <v/>
      </c>
      <c r="AM40" s="830" t="str">
        <f t="shared" si="23"/>
        <v/>
      </c>
      <c r="AN40" s="830" t="str">
        <f t="shared" si="24"/>
        <v/>
      </c>
      <c r="AO40" s="830" t="str">
        <f t="shared" si="25"/>
        <v/>
      </c>
      <c r="AP40" s="830" t="b">
        <f>IF(ISERROR(AJ40),FALSE,IF(OR(AJ40=0,ISERROR(AL40),ISERROR(AM40),ISERROR(AN40),ISERROR(AO40)),FALSE,IF(AL40&lt;&gt;"",IF(ISERROR(VLOOKUP(SUBSTITUTE(SUBSTITUTE(C40,"R",""),"A",""),TblJoistSize!$A:$A,1,FALSE)),FALSE,TRUE),TRUE)))</f>
        <v>0</v>
      </c>
      <c r="AQ40" s="1038" t="e">
        <f t="shared" si="26"/>
        <v>#N/A</v>
      </c>
      <c r="AR40" s="945" t="b">
        <f t="shared" si="27"/>
        <v>0</v>
      </c>
      <c r="AS40" s="1038" t="e">
        <f t="shared" si="28"/>
        <v>#N/A</v>
      </c>
      <c r="AT40" s="945" t="b">
        <f t="shared" si="29"/>
        <v>0</v>
      </c>
      <c r="AU40" s="946" t="str">
        <f t="shared" si="30"/>
        <v/>
      </c>
      <c r="AV40" s="830" t="str">
        <f t="shared" si="31"/>
        <v/>
      </c>
      <c r="AW40" s="830" t="str">
        <f t="shared" si="32"/>
        <v/>
      </c>
      <c r="AX40" s="830" t="str">
        <f t="shared" si="106"/>
        <v/>
      </c>
      <c r="AY40" s="1039" t="b">
        <f t="shared" si="33"/>
        <v>0</v>
      </c>
      <c r="AZ40" s="856" t="str">
        <f t="shared" si="34"/>
        <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35"/>
        <v/>
      </c>
      <c r="BR40" s="910"/>
      <c r="BS40" s="672"/>
      <c r="BT40" s="713"/>
      <c r="BU40" s="714"/>
      <c r="BV40" s="1625"/>
      <c r="BW40" s="713"/>
      <c r="BX40" s="714"/>
      <c r="BY40" s="715"/>
      <c r="BZ40" s="716"/>
      <c r="CA40" s="680" t="str">
        <f>IF(ISERROR(DE40),"",IF(DE40="","",IF(VLOOKUP(BS40,SectInfo!$B:$N,10,FALSE)="","","X")))</f>
        <v/>
      </c>
      <c r="CB40" s="738"/>
      <c r="CC40" s="1551" t="str">
        <f t="shared" si="36"/>
        <v/>
      </c>
      <c r="CD40" s="910"/>
      <c r="CE40" s="717"/>
      <c r="CF40" s="736"/>
      <c r="CG40" s="737"/>
      <c r="CH40" s="591" t="str">
        <f t="shared" si="37"/>
        <v/>
      </c>
      <c r="CI40" s="592" t="str">
        <f t="shared" si="38"/>
        <v/>
      </c>
      <c r="CJ40" s="593" t="str">
        <f t="shared" si="39"/>
        <v/>
      </c>
      <c r="CK40" s="594" t="str">
        <f t="shared" si="40"/>
        <v/>
      </c>
      <c r="CL40" s="595" t="str">
        <f t="shared" si="41"/>
        <v/>
      </c>
      <c r="CM40" s="596" t="str">
        <f t="shared" si="42"/>
        <v/>
      </c>
      <c r="CN40" s="597" t="str">
        <f t="shared" si="43"/>
        <v/>
      </c>
      <c r="CO40" s="598" t="str">
        <f t="shared" si="44"/>
        <v/>
      </c>
      <c r="CP40" s="615" t="str">
        <f t="shared" si="45"/>
        <v/>
      </c>
      <c r="CQ40" s="616" t="str">
        <f t="shared" si="46"/>
        <v/>
      </c>
      <c r="CR40" s="750" t="str">
        <f t="shared" si="47"/>
        <v/>
      </c>
      <c r="CS40" s="751" t="str">
        <f t="shared" si="48"/>
        <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49"/>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50"/>
        <v>0</v>
      </c>
      <c r="DO40" s="818">
        <f t="shared" si="51"/>
        <v>0</v>
      </c>
      <c r="DP40" s="822" t="str">
        <f t="shared" si="52"/>
        <v/>
      </c>
      <c r="DQ40" s="822" t="str">
        <f t="shared" si="53"/>
        <v/>
      </c>
      <c r="DR40" s="822" t="str">
        <f t="shared" si="54"/>
        <v/>
      </c>
      <c r="DS40" s="821">
        <f t="shared" si="55"/>
        <v>0</v>
      </c>
      <c r="DT40" s="821">
        <f t="shared" si="56"/>
        <v>0</v>
      </c>
      <c r="DU40" s="821" t="str">
        <f t="shared" si="57"/>
        <v/>
      </c>
      <c r="DV40" s="822" t="str">
        <f t="shared" si="58"/>
        <v/>
      </c>
      <c r="DW40" s="856" t="str">
        <f t="shared" si="59"/>
        <v/>
      </c>
      <c r="DX40" s="1006">
        <f t="shared" si="60"/>
        <v>0</v>
      </c>
      <c r="DY40" s="822">
        <f t="shared" si="61"/>
        <v>0</v>
      </c>
      <c r="DZ40" s="821">
        <f t="shared" si="62"/>
        <v>0</v>
      </c>
      <c r="EA40" s="821" t="str">
        <f t="shared" si="63"/>
        <v/>
      </c>
      <c r="EB40" s="822" t="str">
        <f t="shared" si="64"/>
        <v/>
      </c>
      <c r="EC40" s="856" t="str">
        <f t="shared" si="65"/>
        <v/>
      </c>
      <c r="ED40" s="1006">
        <f t="shared" si="66"/>
        <v>0</v>
      </c>
      <c r="EE40" s="1293" t="str">
        <f t="shared" si="67"/>
        <v/>
      </c>
      <c r="EF40" s="1293" t="str">
        <f t="shared" si="68"/>
        <v/>
      </c>
      <c r="EG40" s="1293" t="str">
        <f t="shared" si="69"/>
        <v/>
      </c>
      <c r="EH40" s="856" t="e">
        <f t="shared" si="70"/>
        <v>#N/A</v>
      </c>
      <c r="EI40" s="856" t="e">
        <f t="shared" si="71"/>
        <v>#N/A</v>
      </c>
      <c r="EJ40" s="822" t="str">
        <f t="shared" si="72"/>
        <v/>
      </c>
      <c r="EK40" s="822" t="str">
        <f t="shared" si="72"/>
        <v/>
      </c>
      <c r="EL40" s="1293" t="str">
        <f t="shared" si="73"/>
        <v/>
      </c>
      <c r="EM40" s="822" t="str">
        <f t="shared" si="74"/>
        <v/>
      </c>
      <c r="EN40" s="822" t="str">
        <f t="shared" si="75"/>
        <v/>
      </c>
      <c r="EO40" s="856" t="e">
        <f t="shared" si="76"/>
        <v>#N/A</v>
      </c>
      <c r="EP40" s="856" t="e">
        <f t="shared" si="77"/>
        <v>#N/A</v>
      </c>
      <c r="EQ40" s="1293" t="str">
        <f t="shared" si="78"/>
        <v/>
      </c>
      <c r="ER40" s="822" t="str">
        <f t="shared" si="78"/>
        <v/>
      </c>
      <c r="ES40" s="822" t="str">
        <f t="shared" si="79"/>
        <v/>
      </c>
      <c r="ET40" s="822" t="str">
        <f t="shared" si="80"/>
        <v/>
      </c>
      <c r="EU40" s="829" t="str">
        <f t="shared" si="81"/>
        <v/>
      </c>
      <c r="EV40" s="824" t="str">
        <f t="shared" si="82"/>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83"/>
        <v/>
      </c>
      <c r="FA40" s="829" t="str">
        <f>IF(AND(DE40="G", ISBLANK(BW40), ISBLANK(BX40)),VLOOKUP(MIN(BT40:BU40),TblJoistSize!$M$3:$N$10,2),IF(OR(DE40="B", DE40="G"),MIN(BW40:BX40),""))</f>
        <v/>
      </c>
      <c r="FB40" s="829" t="str">
        <f>IF(AND(DE40="G", ISBLANK(BW40), ISBLANK(BX40)),VLOOKUP(MAX(BT40:BU40),TblJoistSize!$M$3:$N$10,2),IF(OR(DE40="B", DE40="G"),MAX(BW40:BX40),""))</f>
        <v/>
      </c>
      <c r="FC40" s="829" t="str">
        <f t="shared" si="84"/>
        <v/>
      </c>
      <c r="FD40" s="821">
        <f t="shared" si="107"/>
        <v>0</v>
      </c>
      <c r="FE40" s="821">
        <f t="shared" si="85"/>
        <v>0</v>
      </c>
      <c r="FF40" s="821">
        <f t="shared" si="86"/>
        <v>0</v>
      </c>
      <c r="FG40" s="821" t="str">
        <f t="shared" si="87"/>
        <v/>
      </c>
      <c r="FH40" s="822" t="str">
        <f t="shared" si="88"/>
        <v/>
      </c>
      <c r="FI40" s="821">
        <f t="shared" si="108"/>
        <v>0</v>
      </c>
      <c r="FJ40" s="821">
        <f t="shared" si="89"/>
        <v>0</v>
      </c>
      <c r="FK40" s="821">
        <f t="shared" si="90"/>
        <v>0</v>
      </c>
      <c r="FL40" s="821" t="str">
        <f t="shared" si="91"/>
        <v/>
      </c>
      <c r="FM40" s="822" t="str">
        <f t="shared" si="92"/>
        <v/>
      </c>
      <c r="FN40" s="822" t="e">
        <f t="shared" si="93"/>
        <v>#VALUE!</v>
      </c>
      <c r="FO40" s="940" t="e">
        <f t="shared" si="94"/>
        <v>#VALUE!</v>
      </c>
      <c r="FP40" s="940" t="e">
        <f t="shared" si="95"/>
        <v>#VALUE!</v>
      </c>
      <c r="FQ40" s="830" t="e">
        <f t="shared" si="96"/>
        <v>#VALUE!</v>
      </c>
      <c r="FR40" s="831" t="e">
        <f t="shared" si="97"/>
        <v>#VALUE!</v>
      </c>
      <c r="FS40" s="832" t="str">
        <f t="shared" si="98"/>
        <v/>
      </c>
      <c r="FT40" s="833" t="str">
        <f t="shared" si="99"/>
        <v/>
      </c>
      <c r="FU40" s="870">
        <f t="shared" si="100"/>
        <v>0</v>
      </c>
      <c r="FV40" s="871">
        <f t="shared" si="101"/>
        <v>0</v>
      </c>
      <c r="GA40" s="1791" t="str">
        <f t="shared" si="119"/>
        <v/>
      </c>
      <c r="GB40" s="1792" t="str">
        <f t="shared" si="120"/>
        <v/>
      </c>
      <c r="GC40" s="1793" t="str">
        <f t="shared" si="121"/>
        <v/>
      </c>
      <c r="GD40" s="1794" t="str">
        <f t="shared" si="122"/>
        <v/>
      </c>
      <c r="GE40" s="1795" t="str">
        <f t="shared" si="102"/>
        <v/>
      </c>
      <c r="GF40" s="600" t="str">
        <f t="shared" si="103"/>
        <v/>
      </c>
      <c r="GG40" s="1130"/>
      <c r="GH40" s="1131"/>
      <c r="GI40" s="1130"/>
      <c r="GJ40" s="1131"/>
      <c r="GK40" s="1638">
        <f t="shared" si="104"/>
        <v>0</v>
      </c>
      <c r="GL40" s="1636" t="e">
        <f t="shared" si="105"/>
        <v>#VALUE!</v>
      </c>
      <c r="GM40" s="1637" t="e">
        <f>IF(ABS(GK40-GL40)&gt;='Job Info.'!$L$22,ABS(GK40-GL40),0)</f>
        <v>#VALUE!</v>
      </c>
      <c r="HA40" s="1269"/>
      <c r="HB40" s="1270"/>
      <c r="HC40" s="1270"/>
      <c r="HD40" s="1271"/>
      <c r="HE40" s="1272"/>
      <c r="HF40" s="1270"/>
      <c r="HG40" s="1270"/>
      <c r="HH40" s="1270"/>
      <c r="HI40" s="1273"/>
      <c r="HJ40" s="1270"/>
      <c r="HK40" s="1270"/>
      <c r="HL40" s="1270"/>
      <c r="HM40" s="1270"/>
      <c r="HN40" s="1270"/>
      <c r="HO40" s="1270"/>
      <c r="HP40" s="1270"/>
      <c r="HQ40" s="1273"/>
      <c r="HR40" s="1270"/>
      <c r="HS40" s="1270"/>
      <c r="HT40" s="1270"/>
      <c r="HU40" s="1270"/>
      <c r="HV40" s="1270"/>
      <c r="HW40" s="1272"/>
      <c r="HX40" s="1272"/>
      <c r="HY40" s="1272"/>
      <c r="HZ40" s="1272"/>
      <c r="IA40" s="1272"/>
      <c r="IB40" s="1272"/>
      <c r="IC40" s="1272"/>
      <c r="ID40" s="1272"/>
      <c r="IE40" s="1272"/>
      <c r="IF40" s="1274"/>
    </row>
    <row r="41" spans="1:240" ht="12.6" customHeight="1" x14ac:dyDescent="0.25">
      <c r="A41" s="1448" t="str">
        <f t="shared" si="109"/>
        <v/>
      </c>
      <c r="B41" s="1681"/>
      <c r="C41" s="1449" t="str">
        <f t="shared" si="110"/>
        <v/>
      </c>
      <c r="D41" s="1705" t="str">
        <f t="shared" si="111"/>
        <v/>
      </c>
      <c r="E41" s="1706" t="str">
        <f t="shared" si="112"/>
        <v/>
      </c>
      <c r="F41" s="1714" t="str">
        <f t="shared" si="1"/>
        <v/>
      </c>
      <c r="G41" s="1709" t="str">
        <f t="shared" si="2"/>
        <v/>
      </c>
      <c r="H41" s="1779" t="str">
        <f t="shared" si="3"/>
        <v/>
      </c>
      <c r="I41" s="1705" t="str">
        <f t="shared" si="4"/>
        <v/>
      </c>
      <c r="J41" s="1709" t="str">
        <f t="shared" si="5"/>
        <v/>
      </c>
      <c r="K41" s="1796" t="str">
        <f t="shared" si="6"/>
        <v/>
      </c>
      <c r="L41" s="1712" t="str">
        <f t="shared" si="113"/>
        <v/>
      </c>
      <c r="M41" s="1713" t="str">
        <f t="shared" si="113"/>
        <v/>
      </c>
      <c r="N41" s="1708" t="str">
        <f t="shared" si="7"/>
        <v/>
      </c>
      <c r="O41" s="1709" t="str">
        <f t="shared" si="8"/>
        <v/>
      </c>
      <c r="P41" s="1710" t="str">
        <f t="shared" si="9"/>
        <v/>
      </c>
      <c r="Q41" s="1705" t="str">
        <f t="shared" si="10"/>
        <v/>
      </c>
      <c r="R41" s="1709" t="str">
        <f t="shared" si="11"/>
        <v/>
      </c>
      <c r="S41" s="1711" t="str">
        <f t="shared" si="12"/>
        <v/>
      </c>
      <c r="T41" s="1714" t="str">
        <f t="shared" si="114"/>
        <v/>
      </c>
      <c r="U41" s="1709" t="str">
        <f t="shared" si="115"/>
        <v/>
      </c>
      <c r="V41" s="1705" t="str">
        <f t="shared" si="116"/>
        <v/>
      </c>
      <c r="W41" s="1709" t="str">
        <f t="shared" si="117"/>
        <v/>
      </c>
      <c r="X41" s="1713">
        <f t="shared" si="118"/>
        <v>0</v>
      </c>
      <c r="Y41" s="1781" t="str">
        <f t="shared" si="13"/>
        <v/>
      </c>
      <c r="Z41" s="1782" t="str">
        <f t="shared" si="14"/>
        <v/>
      </c>
      <c r="AA41" s="1783" t="s">
        <v>116</v>
      </c>
      <c r="AB41" s="1413"/>
      <c r="AC41" s="964" t="b">
        <v>0</v>
      </c>
      <c r="AD41" s="441">
        <f t="shared" si="15"/>
        <v>0</v>
      </c>
      <c r="AE41" s="442">
        <f t="shared" si="16"/>
        <v>0</v>
      </c>
      <c r="AF41" s="442">
        <f t="shared" si="17"/>
        <v>0</v>
      </c>
      <c r="AG41" s="442">
        <f t="shared" si="18"/>
        <v>0</v>
      </c>
      <c r="AH41" s="443">
        <f t="shared" si="19"/>
        <v>0</v>
      </c>
      <c r="AI41" s="444" t="b">
        <v>0</v>
      </c>
      <c r="AJ41" s="238">
        <f t="shared" si="20"/>
        <v>0</v>
      </c>
      <c r="AK41" s="830" t="str">
        <f t="shared" si="21"/>
        <v/>
      </c>
      <c r="AL41" s="945" t="str">
        <f t="shared" si="22"/>
        <v/>
      </c>
      <c r="AM41" s="830" t="str">
        <f t="shared" si="23"/>
        <v/>
      </c>
      <c r="AN41" s="830" t="str">
        <f t="shared" si="24"/>
        <v/>
      </c>
      <c r="AO41" s="830" t="str">
        <f t="shared" si="25"/>
        <v/>
      </c>
      <c r="AP41" s="830" t="b">
        <f>IF(ISERROR(AJ41),FALSE,IF(OR(AJ41=0,ISERROR(AL41),ISERROR(AM41),ISERROR(AN41),ISERROR(AO41)),FALSE,IF(AL41&lt;&gt;"",IF(ISERROR(VLOOKUP(SUBSTITUTE(SUBSTITUTE(C41,"R",""),"A",""),TblJoistSize!$A:$A,1,FALSE)),FALSE,TRUE),TRUE)))</f>
        <v>0</v>
      </c>
      <c r="AQ41" s="1038" t="e">
        <f t="shared" si="26"/>
        <v>#N/A</v>
      </c>
      <c r="AR41" s="945" t="b">
        <f t="shared" si="27"/>
        <v>0</v>
      </c>
      <c r="AS41" s="1038" t="e">
        <f t="shared" si="28"/>
        <v>#N/A</v>
      </c>
      <c r="AT41" s="945" t="b">
        <f t="shared" si="29"/>
        <v>0</v>
      </c>
      <c r="AU41" s="946" t="str">
        <f t="shared" si="30"/>
        <v/>
      </c>
      <c r="AV41" s="830" t="str">
        <f t="shared" si="31"/>
        <v/>
      </c>
      <c r="AW41" s="830" t="str">
        <f t="shared" si="32"/>
        <v/>
      </c>
      <c r="AX41" s="830" t="str">
        <f t="shared" si="106"/>
        <v/>
      </c>
      <c r="AY41" s="1039" t="b">
        <f t="shared" si="33"/>
        <v>0</v>
      </c>
      <c r="AZ41" s="856" t="str">
        <f t="shared" si="34"/>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35"/>
        <v/>
      </c>
      <c r="BR41" s="910"/>
      <c r="BS41" s="672"/>
      <c r="BT41" s="713"/>
      <c r="BU41" s="714"/>
      <c r="BV41" s="1625"/>
      <c r="BW41" s="713"/>
      <c r="BX41" s="714"/>
      <c r="BY41" s="715"/>
      <c r="BZ41" s="716"/>
      <c r="CA41" s="680" t="str">
        <f>IF(ISERROR(DE41),"",IF(DE41="","",IF(VLOOKUP(BS41,SectInfo!$B:$N,10,FALSE)="","","X")))</f>
        <v/>
      </c>
      <c r="CB41" s="738"/>
      <c r="CC41" s="1551" t="str">
        <f t="shared" si="36"/>
        <v/>
      </c>
      <c r="CD41" s="910"/>
      <c r="CE41" s="717"/>
      <c r="CF41" s="736"/>
      <c r="CG41" s="737"/>
      <c r="CH41" s="591" t="str">
        <f t="shared" si="37"/>
        <v/>
      </c>
      <c r="CI41" s="592" t="str">
        <f t="shared" si="38"/>
        <v/>
      </c>
      <c r="CJ41" s="593" t="str">
        <f t="shared" si="39"/>
        <v/>
      </c>
      <c r="CK41" s="594" t="str">
        <f t="shared" si="40"/>
        <v/>
      </c>
      <c r="CL41" s="595" t="str">
        <f t="shared" si="41"/>
        <v/>
      </c>
      <c r="CM41" s="596" t="str">
        <f t="shared" si="42"/>
        <v/>
      </c>
      <c r="CN41" s="597" t="str">
        <f t="shared" si="43"/>
        <v/>
      </c>
      <c r="CO41" s="598" t="str">
        <f t="shared" si="44"/>
        <v/>
      </c>
      <c r="CP41" s="615" t="str">
        <f t="shared" si="45"/>
        <v/>
      </c>
      <c r="CQ41" s="616" t="str">
        <f t="shared" si="46"/>
        <v/>
      </c>
      <c r="CR41" s="750" t="str">
        <f t="shared" si="47"/>
        <v/>
      </c>
      <c r="CS41" s="751" t="str">
        <f t="shared" si="48"/>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49"/>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50"/>
        <v>0</v>
      </c>
      <c r="DO41" s="818">
        <f t="shared" si="51"/>
        <v>0</v>
      </c>
      <c r="DP41" s="822" t="str">
        <f t="shared" si="52"/>
        <v/>
      </c>
      <c r="DQ41" s="822" t="str">
        <f t="shared" si="53"/>
        <v/>
      </c>
      <c r="DR41" s="822" t="str">
        <f t="shared" si="54"/>
        <v/>
      </c>
      <c r="DS41" s="821">
        <f t="shared" si="55"/>
        <v>0</v>
      </c>
      <c r="DT41" s="821">
        <f t="shared" si="56"/>
        <v>0</v>
      </c>
      <c r="DU41" s="821" t="str">
        <f t="shared" si="57"/>
        <v/>
      </c>
      <c r="DV41" s="822" t="str">
        <f t="shared" si="58"/>
        <v/>
      </c>
      <c r="DW41" s="856" t="str">
        <f t="shared" si="59"/>
        <v/>
      </c>
      <c r="DX41" s="1006">
        <f t="shared" si="60"/>
        <v>0</v>
      </c>
      <c r="DY41" s="822">
        <f t="shared" si="61"/>
        <v>0</v>
      </c>
      <c r="DZ41" s="821">
        <f t="shared" si="62"/>
        <v>0</v>
      </c>
      <c r="EA41" s="821" t="str">
        <f t="shared" si="63"/>
        <v/>
      </c>
      <c r="EB41" s="822" t="str">
        <f t="shared" si="64"/>
        <v/>
      </c>
      <c r="EC41" s="856" t="str">
        <f t="shared" si="65"/>
        <v/>
      </c>
      <c r="ED41" s="1006">
        <f t="shared" si="66"/>
        <v>0</v>
      </c>
      <c r="EE41" s="1293" t="str">
        <f t="shared" si="67"/>
        <v/>
      </c>
      <c r="EF41" s="1293" t="str">
        <f t="shared" si="68"/>
        <v/>
      </c>
      <c r="EG41" s="1293" t="str">
        <f t="shared" si="69"/>
        <v/>
      </c>
      <c r="EH41" s="856" t="e">
        <f t="shared" si="70"/>
        <v>#N/A</v>
      </c>
      <c r="EI41" s="856" t="e">
        <f t="shared" si="71"/>
        <v>#N/A</v>
      </c>
      <c r="EJ41" s="822" t="str">
        <f t="shared" si="72"/>
        <v/>
      </c>
      <c r="EK41" s="822" t="str">
        <f t="shared" si="72"/>
        <v/>
      </c>
      <c r="EL41" s="1293" t="str">
        <f t="shared" si="73"/>
        <v/>
      </c>
      <c r="EM41" s="822" t="str">
        <f t="shared" si="74"/>
        <v/>
      </c>
      <c r="EN41" s="822" t="str">
        <f t="shared" si="75"/>
        <v/>
      </c>
      <c r="EO41" s="856" t="e">
        <f t="shared" si="76"/>
        <v>#N/A</v>
      </c>
      <c r="EP41" s="856" t="e">
        <f t="shared" si="77"/>
        <v>#N/A</v>
      </c>
      <c r="EQ41" s="1293" t="str">
        <f t="shared" si="78"/>
        <v/>
      </c>
      <c r="ER41" s="822" t="str">
        <f t="shared" si="78"/>
        <v/>
      </c>
      <c r="ES41" s="822" t="str">
        <f t="shared" si="79"/>
        <v/>
      </c>
      <c r="ET41" s="822" t="str">
        <f t="shared" si="80"/>
        <v/>
      </c>
      <c r="EU41" s="829" t="str">
        <f t="shared" si="81"/>
        <v/>
      </c>
      <c r="EV41" s="824" t="str">
        <f t="shared" si="82"/>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83"/>
        <v/>
      </c>
      <c r="FA41" s="829" t="str">
        <f>IF(AND(DE41="G", ISBLANK(BW41), ISBLANK(BX41)),VLOOKUP(MIN(BT41:BU41),TblJoistSize!$M$3:$N$10,2),IF(OR(DE41="B", DE41="G"),MIN(BW41:BX41),""))</f>
        <v/>
      </c>
      <c r="FB41" s="829" t="str">
        <f>IF(AND(DE41="G", ISBLANK(BW41), ISBLANK(BX41)),VLOOKUP(MAX(BT41:BU41),TblJoistSize!$M$3:$N$10,2),IF(OR(DE41="B", DE41="G"),MAX(BW41:BX41),""))</f>
        <v/>
      </c>
      <c r="FC41" s="829" t="str">
        <f t="shared" si="84"/>
        <v/>
      </c>
      <c r="FD41" s="821">
        <f t="shared" si="107"/>
        <v>0</v>
      </c>
      <c r="FE41" s="821">
        <f t="shared" si="85"/>
        <v>0</v>
      </c>
      <c r="FF41" s="821">
        <f t="shared" si="86"/>
        <v>0</v>
      </c>
      <c r="FG41" s="821" t="str">
        <f t="shared" si="87"/>
        <v/>
      </c>
      <c r="FH41" s="822" t="str">
        <f t="shared" si="88"/>
        <v/>
      </c>
      <c r="FI41" s="821">
        <f t="shared" si="108"/>
        <v>0</v>
      </c>
      <c r="FJ41" s="821">
        <f t="shared" si="89"/>
        <v>0</v>
      </c>
      <c r="FK41" s="821">
        <f t="shared" si="90"/>
        <v>0</v>
      </c>
      <c r="FL41" s="821" t="str">
        <f t="shared" si="91"/>
        <v/>
      </c>
      <c r="FM41" s="822" t="str">
        <f t="shared" si="92"/>
        <v/>
      </c>
      <c r="FN41" s="822" t="e">
        <f t="shared" si="93"/>
        <v>#VALUE!</v>
      </c>
      <c r="FO41" s="940" t="e">
        <f t="shared" si="94"/>
        <v>#VALUE!</v>
      </c>
      <c r="FP41" s="940" t="e">
        <f t="shared" si="95"/>
        <v>#VALUE!</v>
      </c>
      <c r="FQ41" s="830" t="e">
        <f t="shared" si="96"/>
        <v>#VALUE!</v>
      </c>
      <c r="FR41" s="831" t="e">
        <f t="shared" si="97"/>
        <v>#VALUE!</v>
      </c>
      <c r="FS41" s="832" t="str">
        <f t="shared" si="98"/>
        <v/>
      </c>
      <c r="FT41" s="833" t="str">
        <f t="shared" si="99"/>
        <v/>
      </c>
      <c r="FU41" s="870">
        <f t="shared" si="100"/>
        <v>0</v>
      </c>
      <c r="FV41" s="871">
        <f t="shared" si="101"/>
        <v>0</v>
      </c>
      <c r="GA41" s="1791" t="str">
        <f t="shared" si="119"/>
        <v/>
      </c>
      <c r="GB41" s="1792" t="str">
        <f t="shared" si="120"/>
        <v/>
      </c>
      <c r="GC41" s="1793" t="str">
        <f t="shared" si="121"/>
        <v/>
      </c>
      <c r="GD41" s="1794" t="str">
        <f t="shared" si="122"/>
        <v/>
      </c>
      <c r="GE41" s="1795" t="str">
        <f t="shared" si="102"/>
        <v/>
      </c>
      <c r="GF41" s="600" t="str">
        <f t="shared" si="103"/>
        <v/>
      </c>
      <c r="GG41" s="1130"/>
      <c r="GH41" s="1131"/>
      <c r="GI41" s="1130"/>
      <c r="GJ41" s="1131"/>
      <c r="GK41" s="1638">
        <f t="shared" si="104"/>
        <v>0</v>
      </c>
      <c r="GL41" s="1636" t="e">
        <f t="shared" si="105"/>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09"/>
        <v/>
      </c>
      <c r="B42" s="1681"/>
      <c r="C42" s="1449" t="str">
        <f t="shared" si="110"/>
        <v/>
      </c>
      <c r="D42" s="1705" t="str">
        <f t="shared" si="111"/>
        <v/>
      </c>
      <c r="E42" s="1706" t="str">
        <f t="shared" si="112"/>
        <v/>
      </c>
      <c r="F42" s="1714" t="str">
        <f t="shared" si="1"/>
        <v/>
      </c>
      <c r="G42" s="1709" t="str">
        <f t="shared" si="2"/>
        <v/>
      </c>
      <c r="H42" s="1779" t="str">
        <f t="shared" si="3"/>
        <v/>
      </c>
      <c r="I42" s="1705" t="str">
        <f t="shared" si="4"/>
        <v/>
      </c>
      <c r="J42" s="1709" t="str">
        <f t="shared" si="5"/>
        <v/>
      </c>
      <c r="K42" s="1796" t="str">
        <f t="shared" si="6"/>
        <v/>
      </c>
      <c r="L42" s="1712" t="str">
        <f t="shared" si="113"/>
        <v/>
      </c>
      <c r="M42" s="1713" t="str">
        <f t="shared" si="113"/>
        <v/>
      </c>
      <c r="N42" s="1708" t="str">
        <f t="shared" si="7"/>
        <v/>
      </c>
      <c r="O42" s="1709" t="str">
        <f t="shared" si="8"/>
        <v/>
      </c>
      <c r="P42" s="1710" t="str">
        <f t="shared" si="9"/>
        <v/>
      </c>
      <c r="Q42" s="1705" t="str">
        <f t="shared" si="10"/>
        <v/>
      </c>
      <c r="R42" s="1709" t="str">
        <f t="shared" si="11"/>
        <v/>
      </c>
      <c r="S42" s="1711" t="str">
        <f t="shared" si="12"/>
        <v/>
      </c>
      <c r="T42" s="1714" t="str">
        <f t="shared" si="114"/>
        <v/>
      </c>
      <c r="U42" s="1709" t="str">
        <f t="shared" si="115"/>
        <v/>
      </c>
      <c r="V42" s="1705" t="str">
        <f t="shared" si="116"/>
        <v/>
      </c>
      <c r="W42" s="1709" t="str">
        <f t="shared" si="117"/>
        <v/>
      </c>
      <c r="X42" s="1713">
        <f t="shared" si="118"/>
        <v>0</v>
      </c>
      <c r="Y42" s="1781" t="str">
        <f t="shared" si="13"/>
        <v/>
      </c>
      <c r="Z42" s="1782" t="str">
        <f t="shared" si="14"/>
        <v/>
      </c>
      <c r="AA42" s="1783" t="s">
        <v>116</v>
      </c>
      <c r="AB42" s="1413"/>
      <c r="AC42" s="964" t="b">
        <v>0</v>
      </c>
      <c r="AD42" s="441">
        <f t="shared" si="15"/>
        <v>0</v>
      </c>
      <c r="AE42" s="442">
        <f t="shared" si="16"/>
        <v>0</v>
      </c>
      <c r="AF42" s="442">
        <f t="shared" si="17"/>
        <v>0</v>
      </c>
      <c r="AG42" s="442">
        <f t="shared" si="18"/>
        <v>0</v>
      </c>
      <c r="AH42" s="443">
        <f t="shared" si="19"/>
        <v>0</v>
      </c>
      <c r="AI42" s="444" t="b">
        <v>0</v>
      </c>
      <c r="AJ42" s="238">
        <f t="shared" si="20"/>
        <v>0</v>
      </c>
      <c r="AK42" s="830" t="str">
        <f t="shared" si="21"/>
        <v/>
      </c>
      <c r="AL42" s="945" t="str">
        <f t="shared" si="22"/>
        <v/>
      </c>
      <c r="AM42" s="830" t="str">
        <f t="shared" si="23"/>
        <v/>
      </c>
      <c r="AN42" s="830" t="str">
        <f t="shared" si="24"/>
        <v/>
      </c>
      <c r="AO42" s="830" t="str">
        <f t="shared" si="25"/>
        <v/>
      </c>
      <c r="AP42" s="830" t="b">
        <f>IF(ISERROR(AJ42),FALSE,IF(OR(AJ42=0,ISERROR(AL42),ISERROR(AM42),ISERROR(AN42),ISERROR(AO42)),FALSE,IF(AL42&lt;&gt;"",IF(ISERROR(VLOOKUP(SUBSTITUTE(SUBSTITUTE(C42,"R",""),"A",""),TblJoistSize!$A:$A,1,FALSE)),FALSE,TRUE),TRUE)))</f>
        <v>0</v>
      </c>
      <c r="AQ42" s="1038" t="e">
        <f t="shared" si="26"/>
        <v>#N/A</v>
      </c>
      <c r="AR42" s="945" t="b">
        <f t="shared" si="27"/>
        <v>0</v>
      </c>
      <c r="AS42" s="1038" t="e">
        <f t="shared" si="28"/>
        <v>#N/A</v>
      </c>
      <c r="AT42" s="945" t="b">
        <f t="shared" si="29"/>
        <v>0</v>
      </c>
      <c r="AU42" s="946" t="str">
        <f t="shared" si="30"/>
        <v/>
      </c>
      <c r="AV42" s="830" t="str">
        <f t="shared" si="31"/>
        <v/>
      </c>
      <c r="AW42" s="830" t="str">
        <f t="shared" si="32"/>
        <v/>
      </c>
      <c r="AX42" s="830" t="str">
        <f t="shared" si="106"/>
        <v/>
      </c>
      <c r="AY42" s="1039" t="b">
        <f t="shared" si="33"/>
        <v>0</v>
      </c>
      <c r="AZ42" s="856" t="str">
        <f t="shared" si="34"/>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35"/>
        <v/>
      </c>
      <c r="BR42" s="910"/>
      <c r="BS42" s="672"/>
      <c r="BT42" s="713"/>
      <c r="BU42" s="714"/>
      <c r="BV42" s="1625"/>
      <c r="BW42" s="713"/>
      <c r="BX42" s="714"/>
      <c r="BY42" s="715"/>
      <c r="BZ42" s="716"/>
      <c r="CA42" s="680" t="str">
        <f>IF(ISERROR(DE42),"",IF(DE42="","",IF(VLOOKUP(BS42,SectInfo!$B:$N,10,FALSE)="","","X")))</f>
        <v/>
      </c>
      <c r="CB42" s="738"/>
      <c r="CC42" s="1551" t="str">
        <f t="shared" si="36"/>
        <v/>
      </c>
      <c r="CD42" s="910"/>
      <c r="CE42" s="717"/>
      <c r="CF42" s="736"/>
      <c r="CG42" s="737"/>
      <c r="CH42" s="591" t="str">
        <f t="shared" si="37"/>
        <v/>
      </c>
      <c r="CI42" s="592" t="str">
        <f t="shared" si="38"/>
        <v/>
      </c>
      <c r="CJ42" s="593" t="str">
        <f t="shared" si="39"/>
        <v/>
      </c>
      <c r="CK42" s="594" t="str">
        <f t="shared" si="40"/>
        <v/>
      </c>
      <c r="CL42" s="595" t="str">
        <f t="shared" si="41"/>
        <v/>
      </c>
      <c r="CM42" s="596" t="str">
        <f t="shared" si="42"/>
        <v/>
      </c>
      <c r="CN42" s="597" t="str">
        <f t="shared" si="43"/>
        <v/>
      </c>
      <c r="CO42" s="598" t="str">
        <f t="shared" si="44"/>
        <v/>
      </c>
      <c r="CP42" s="615" t="str">
        <f t="shared" si="45"/>
        <v/>
      </c>
      <c r="CQ42" s="616" t="str">
        <f t="shared" si="46"/>
        <v/>
      </c>
      <c r="CR42" s="750" t="str">
        <f t="shared" si="47"/>
        <v/>
      </c>
      <c r="CS42" s="751" t="str">
        <f t="shared" si="48"/>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49"/>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50"/>
        <v>0</v>
      </c>
      <c r="DO42" s="818">
        <f t="shared" si="51"/>
        <v>0</v>
      </c>
      <c r="DP42" s="822" t="str">
        <f t="shared" si="52"/>
        <v/>
      </c>
      <c r="DQ42" s="822" t="str">
        <f t="shared" si="53"/>
        <v/>
      </c>
      <c r="DR42" s="822" t="str">
        <f t="shared" si="54"/>
        <v/>
      </c>
      <c r="DS42" s="821">
        <f t="shared" si="55"/>
        <v>0</v>
      </c>
      <c r="DT42" s="821">
        <f t="shared" si="56"/>
        <v>0</v>
      </c>
      <c r="DU42" s="821" t="str">
        <f t="shared" si="57"/>
        <v/>
      </c>
      <c r="DV42" s="822" t="str">
        <f t="shared" si="58"/>
        <v/>
      </c>
      <c r="DW42" s="856" t="str">
        <f t="shared" si="59"/>
        <v/>
      </c>
      <c r="DX42" s="1006">
        <f t="shared" si="60"/>
        <v>0</v>
      </c>
      <c r="DY42" s="822">
        <f t="shared" si="61"/>
        <v>0</v>
      </c>
      <c r="DZ42" s="821">
        <f t="shared" si="62"/>
        <v>0</v>
      </c>
      <c r="EA42" s="821" t="str">
        <f t="shared" si="63"/>
        <v/>
      </c>
      <c r="EB42" s="822" t="str">
        <f t="shared" si="64"/>
        <v/>
      </c>
      <c r="EC42" s="856" t="str">
        <f t="shared" si="65"/>
        <v/>
      </c>
      <c r="ED42" s="1006">
        <f t="shared" si="66"/>
        <v>0</v>
      </c>
      <c r="EE42" s="1293" t="str">
        <f t="shared" si="67"/>
        <v/>
      </c>
      <c r="EF42" s="1293" t="str">
        <f t="shared" si="68"/>
        <v/>
      </c>
      <c r="EG42" s="1293" t="str">
        <f t="shared" si="69"/>
        <v/>
      </c>
      <c r="EH42" s="856" t="e">
        <f t="shared" si="70"/>
        <v>#N/A</v>
      </c>
      <c r="EI42" s="856" t="e">
        <f t="shared" si="71"/>
        <v>#N/A</v>
      </c>
      <c r="EJ42" s="822" t="str">
        <f t="shared" si="72"/>
        <v/>
      </c>
      <c r="EK42" s="822" t="str">
        <f t="shared" si="72"/>
        <v/>
      </c>
      <c r="EL42" s="1293" t="str">
        <f t="shared" si="73"/>
        <v/>
      </c>
      <c r="EM42" s="822" t="str">
        <f t="shared" si="74"/>
        <v/>
      </c>
      <c r="EN42" s="822" t="str">
        <f t="shared" si="75"/>
        <v/>
      </c>
      <c r="EO42" s="856" t="e">
        <f t="shared" si="76"/>
        <v>#N/A</v>
      </c>
      <c r="EP42" s="856" t="e">
        <f t="shared" si="77"/>
        <v>#N/A</v>
      </c>
      <c r="EQ42" s="1293" t="str">
        <f t="shared" si="78"/>
        <v/>
      </c>
      <c r="ER42" s="822" t="str">
        <f t="shared" si="78"/>
        <v/>
      </c>
      <c r="ES42" s="822" t="str">
        <f t="shared" si="79"/>
        <v/>
      </c>
      <c r="ET42" s="822" t="str">
        <f t="shared" si="80"/>
        <v/>
      </c>
      <c r="EU42" s="829" t="str">
        <f t="shared" si="81"/>
        <v/>
      </c>
      <c r="EV42" s="824" t="str">
        <f t="shared" si="82"/>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83"/>
        <v/>
      </c>
      <c r="FA42" s="829" t="str">
        <f>IF(AND(DE42="G", ISBLANK(BW42), ISBLANK(BX42)),VLOOKUP(MIN(BT42:BU42),TblJoistSize!$M$3:$N$10,2),IF(OR(DE42="B", DE42="G"),MIN(BW42:BX42),""))</f>
        <v/>
      </c>
      <c r="FB42" s="829" t="str">
        <f>IF(AND(DE42="G", ISBLANK(BW42), ISBLANK(BX42)),VLOOKUP(MAX(BT42:BU42),TblJoistSize!$M$3:$N$10,2),IF(OR(DE42="B", DE42="G"),MAX(BW42:BX42),""))</f>
        <v/>
      </c>
      <c r="FC42" s="829" t="str">
        <f t="shared" si="84"/>
        <v/>
      </c>
      <c r="FD42" s="821">
        <f t="shared" si="107"/>
        <v>0</v>
      </c>
      <c r="FE42" s="821">
        <f t="shared" si="85"/>
        <v>0</v>
      </c>
      <c r="FF42" s="821">
        <f t="shared" si="86"/>
        <v>0</v>
      </c>
      <c r="FG42" s="821" t="str">
        <f t="shared" si="87"/>
        <v/>
      </c>
      <c r="FH42" s="822" t="str">
        <f t="shared" si="88"/>
        <v/>
      </c>
      <c r="FI42" s="821">
        <f t="shared" si="108"/>
        <v>0</v>
      </c>
      <c r="FJ42" s="821">
        <f t="shared" si="89"/>
        <v>0</v>
      </c>
      <c r="FK42" s="821">
        <f t="shared" si="90"/>
        <v>0</v>
      </c>
      <c r="FL42" s="821" t="str">
        <f t="shared" si="91"/>
        <v/>
      </c>
      <c r="FM42" s="822" t="str">
        <f t="shared" si="92"/>
        <v/>
      </c>
      <c r="FN42" s="822" t="e">
        <f t="shared" si="93"/>
        <v>#VALUE!</v>
      </c>
      <c r="FO42" s="940" t="e">
        <f t="shared" si="94"/>
        <v>#VALUE!</v>
      </c>
      <c r="FP42" s="940" t="e">
        <f t="shared" si="95"/>
        <v>#VALUE!</v>
      </c>
      <c r="FQ42" s="830" t="e">
        <f t="shared" si="96"/>
        <v>#VALUE!</v>
      </c>
      <c r="FR42" s="831" t="e">
        <f t="shared" si="97"/>
        <v>#VALUE!</v>
      </c>
      <c r="FS42" s="832" t="str">
        <f t="shared" si="98"/>
        <v/>
      </c>
      <c r="FT42" s="833" t="str">
        <f t="shared" si="99"/>
        <v/>
      </c>
      <c r="FU42" s="870">
        <f t="shared" si="100"/>
        <v>0</v>
      </c>
      <c r="FV42" s="871">
        <f t="shared" si="101"/>
        <v>0</v>
      </c>
      <c r="GA42" s="1791" t="str">
        <f t="shared" si="119"/>
        <v/>
      </c>
      <c r="GB42" s="1792" t="str">
        <f t="shared" si="120"/>
        <v/>
      </c>
      <c r="GC42" s="1793" t="str">
        <f t="shared" si="121"/>
        <v/>
      </c>
      <c r="GD42" s="1794" t="str">
        <f t="shared" si="122"/>
        <v/>
      </c>
      <c r="GE42" s="1795" t="str">
        <f t="shared" si="102"/>
        <v/>
      </c>
      <c r="GF42" s="600" t="str">
        <f t="shared" si="103"/>
        <v/>
      </c>
      <c r="GG42" s="1130"/>
      <c r="GH42" s="1131"/>
      <c r="GI42" s="1130"/>
      <c r="GJ42" s="1131"/>
      <c r="GK42" s="1638">
        <f t="shared" si="104"/>
        <v>0</v>
      </c>
      <c r="GL42" s="1636" t="e">
        <f t="shared" si="105"/>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09"/>
        <v/>
      </c>
      <c r="B43" s="1681"/>
      <c r="C43" s="1449" t="str">
        <f t="shared" si="110"/>
        <v/>
      </c>
      <c r="D43" s="1705" t="str">
        <f t="shared" si="111"/>
        <v/>
      </c>
      <c r="E43" s="1706" t="str">
        <f t="shared" si="112"/>
        <v/>
      </c>
      <c r="F43" s="1714" t="str">
        <f t="shared" si="1"/>
        <v/>
      </c>
      <c r="G43" s="1709" t="str">
        <f t="shared" si="2"/>
        <v/>
      </c>
      <c r="H43" s="1779" t="str">
        <f t="shared" si="3"/>
        <v/>
      </c>
      <c r="I43" s="1705" t="str">
        <f t="shared" si="4"/>
        <v/>
      </c>
      <c r="J43" s="1709" t="str">
        <f t="shared" si="5"/>
        <v/>
      </c>
      <c r="K43" s="1796" t="str">
        <f t="shared" si="6"/>
        <v/>
      </c>
      <c r="L43" s="1712" t="str">
        <f t="shared" si="113"/>
        <v/>
      </c>
      <c r="M43" s="1713" t="str">
        <f t="shared" si="113"/>
        <v/>
      </c>
      <c r="N43" s="1708" t="str">
        <f t="shared" si="7"/>
        <v/>
      </c>
      <c r="O43" s="1709" t="str">
        <f t="shared" si="8"/>
        <v/>
      </c>
      <c r="P43" s="1710" t="str">
        <f t="shared" si="9"/>
        <v/>
      </c>
      <c r="Q43" s="1705" t="str">
        <f t="shared" si="10"/>
        <v/>
      </c>
      <c r="R43" s="1709" t="str">
        <f t="shared" si="11"/>
        <v/>
      </c>
      <c r="S43" s="1711" t="str">
        <f t="shared" si="12"/>
        <v/>
      </c>
      <c r="T43" s="1714" t="str">
        <f t="shared" si="114"/>
        <v/>
      </c>
      <c r="U43" s="1709" t="str">
        <f t="shared" si="115"/>
        <v/>
      </c>
      <c r="V43" s="1705" t="str">
        <f t="shared" si="116"/>
        <v/>
      </c>
      <c r="W43" s="1709" t="str">
        <f t="shared" si="117"/>
        <v/>
      </c>
      <c r="X43" s="1713">
        <f t="shared" si="118"/>
        <v>0</v>
      </c>
      <c r="Y43" s="1781" t="str">
        <f t="shared" si="13"/>
        <v/>
      </c>
      <c r="Z43" s="1782" t="str">
        <f t="shared" si="14"/>
        <v/>
      </c>
      <c r="AA43" s="1783" t="s">
        <v>116</v>
      </c>
      <c r="AB43" s="1413"/>
      <c r="AC43" s="964" t="b">
        <v>0</v>
      </c>
      <c r="AD43" s="441">
        <f t="shared" si="15"/>
        <v>0</v>
      </c>
      <c r="AE43" s="442">
        <f t="shared" si="16"/>
        <v>0</v>
      </c>
      <c r="AF43" s="442">
        <f t="shared" si="17"/>
        <v>0</v>
      </c>
      <c r="AG43" s="442">
        <f t="shared" si="18"/>
        <v>0</v>
      </c>
      <c r="AH43" s="443">
        <f t="shared" si="19"/>
        <v>0</v>
      </c>
      <c r="AI43" s="444" t="b">
        <v>0</v>
      </c>
      <c r="AJ43" s="238">
        <f t="shared" si="20"/>
        <v>0</v>
      </c>
      <c r="AK43" s="830" t="str">
        <f t="shared" si="21"/>
        <v/>
      </c>
      <c r="AL43" s="945" t="str">
        <f t="shared" si="22"/>
        <v/>
      </c>
      <c r="AM43" s="830" t="str">
        <f t="shared" si="23"/>
        <v/>
      </c>
      <c r="AN43" s="830" t="str">
        <f t="shared" si="24"/>
        <v/>
      </c>
      <c r="AO43" s="830" t="str">
        <f t="shared" si="25"/>
        <v/>
      </c>
      <c r="AP43" s="830" t="b">
        <f>IF(ISERROR(AJ43),FALSE,IF(OR(AJ43=0,ISERROR(AL43),ISERROR(AM43),ISERROR(AN43),ISERROR(AO43)),FALSE,IF(AL43&lt;&gt;"",IF(ISERROR(VLOOKUP(SUBSTITUTE(SUBSTITUTE(C43,"R",""),"A",""),TblJoistSize!$A:$A,1,FALSE)),FALSE,TRUE),TRUE)))</f>
        <v>0</v>
      </c>
      <c r="AQ43" s="1038" t="e">
        <f t="shared" si="26"/>
        <v>#N/A</v>
      </c>
      <c r="AR43" s="945" t="b">
        <f t="shared" si="27"/>
        <v>0</v>
      </c>
      <c r="AS43" s="1038" t="e">
        <f t="shared" si="28"/>
        <v>#N/A</v>
      </c>
      <c r="AT43" s="945" t="b">
        <f t="shared" si="29"/>
        <v>0</v>
      </c>
      <c r="AU43" s="946" t="str">
        <f t="shared" si="30"/>
        <v/>
      </c>
      <c r="AV43" s="830" t="str">
        <f t="shared" si="31"/>
        <v/>
      </c>
      <c r="AW43" s="830" t="str">
        <f t="shared" si="32"/>
        <v/>
      </c>
      <c r="AX43" s="830" t="str">
        <f t="shared" si="106"/>
        <v/>
      </c>
      <c r="AY43" s="1039" t="b">
        <f t="shared" si="33"/>
        <v>0</v>
      </c>
      <c r="AZ43" s="856" t="str">
        <f t="shared" si="34"/>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35"/>
        <v/>
      </c>
      <c r="BR43" s="910"/>
      <c r="BS43" s="672"/>
      <c r="BT43" s="713"/>
      <c r="BU43" s="714"/>
      <c r="BV43" s="1625"/>
      <c r="BW43" s="713"/>
      <c r="BX43" s="714"/>
      <c r="BY43" s="715"/>
      <c r="BZ43" s="716"/>
      <c r="CA43" s="680" t="str">
        <f>IF(ISERROR(DE43),"",IF(DE43="","",IF(VLOOKUP(BS43,SectInfo!$B:$N,10,FALSE)="","","X")))</f>
        <v/>
      </c>
      <c r="CB43" s="738"/>
      <c r="CC43" s="1551" t="str">
        <f t="shared" si="36"/>
        <v/>
      </c>
      <c r="CD43" s="910"/>
      <c r="CE43" s="717"/>
      <c r="CF43" s="736"/>
      <c r="CG43" s="737"/>
      <c r="CH43" s="591" t="str">
        <f t="shared" si="37"/>
        <v/>
      </c>
      <c r="CI43" s="592" t="str">
        <f t="shared" si="38"/>
        <v/>
      </c>
      <c r="CJ43" s="593" t="str">
        <f t="shared" si="39"/>
        <v/>
      </c>
      <c r="CK43" s="594" t="str">
        <f t="shared" si="40"/>
        <v/>
      </c>
      <c r="CL43" s="595" t="str">
        <f t="shared" si="41"/>
        <v/>
      </c>
      <c r="CM43" s="596" t="str">
        <f t="shared" si="42"/>
        <v/>
      </c>
      <c r="CN43" s="597" t="str">
        <f t="shared" si="43"/>
        <v/>
      </c>
      <c r="CO43" s="598" t="str">
        <f t="shared" si="44"/>
        <v/>
      </c>
      <c r="CP43" s="615" t="str">
        <f t="shared" si="45"/>
        <v/>
      </c>
      <c r="CQ43" s="616" t="str">
        <f t="shared" si="46"/>
        <v/>
      </c>
      <c r="CR43" s="750" t="str">
        <f t="shared" si="47"/>
        <v/>
      </c>
      <c r="CS43" s="751" t="str">
        <f t="shared" si="48"/>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49"/>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50"/>
        <v>0</v>
      </c>
      <c r="DO43" s="818">
        <f t="shared" si="51"/>
        <v>0</v>
      </c>
      <c r="DP43" s="822" t="str">
        <f t="shared" si="52"/>
        <v/>
      </c>
      <c r="DQ43" s="822" t="str">
        <f t="shared" si="53"/>
        <v/>
      </c>
      <c r="DR43" s="822" t="str">
        <f t="shared" si="54"/>
        <v/>
      </c>
      <c r="DS43" s="821">
        <f t="shared" si="55"/>
        <v>0</v>
      </c>
      <c r="DT43" s="821">
        <f t="shared" si="56"/>
        <v>0</v>
      </c>
      <c r="DU43" s="821" t="str">
        <f t="shared" si="57"/>
        <v/>
      </c>
      <c r="DV43" s="822" t="str">
        <f t="shared" si="58"/>
        <v/>
      </c>
      <c r="DW43" s="856" t="str">
        <f t="shared" si="59"/>
        <v/>
      </c>
      <c r="DX43" s="1006">
        <f t="shared" si="60"/>
        <v>0</v>
      </c>
      <c r="DY43" s="822">
        <f t="shared" si="61"/>
        <v>0</v>
      </c>
      <c r="DZ43" s="821">
        <f t="shared" si="62"/>
        <v>0</v>
      </c>
      <c r="EA43" s="821" t="str">
        <f t="shared" si="63"/>
        <v/>
      </c>
      <c r="EB43" s="822" t="str">
        <f t="shared" si="64"/>
        <v/>
      </c>
      <c r="EC43" s="856" t="str">
        <f t="shared" si="65"/>
        <v/>
      </c>
      <c r="ED43" s="1006">
        <f t="shared" si="66"/>
        <v>0</v>
      </c>
      <c r="EE43" s="1293" t="str">
        <f t="shared" si="67"/>
        <v/>
      </c>
      <c r="EF43" s="1293" t="str">
        <f t="shared" si="68"/>
        <v/>
      </c>
      <c r="EG43" s="1293" t="str">
        <f t="shared" si="69"/>
        <v/>
      </c>
      <c r="EH43" s="856" t="e">
        <f t="shared" si="70"/>
        <v>#N/A</v>
      </c>
      <c r="EI43" s="856" t="e">
        <f t="shared" si="71"/>
        <v>#N/A</v>
      </c>
      <c r="EJ43" s="822" t="str">
        <f t="shared" si="72"/>
        <v/>
      </c>
      <c r="EK43" s="822" t="str">
        <f t="shared" si="72"/>
        <v/>
      </c>
      <c r="EL43" s="1293" t="str">
        <f t="shared" si="73"/>
        <v/>
      </c>
      <c r="EM43" s="822" t="str">
        <f t="shared" si="74"/>
        <v/>
      </c>
      <c r="EN43" s="822" t="str">
        <f t="shared" si="75"/>
        <v/>
      </c>
      <c r="EO43" s="856" t="e">
        <f t="shared" si="76"/>
        <v>#N/A</v>
      </c>
      <c r="EP43" s="856" t="e">
        <f t="shared" si="77"/>
        <v>#N/A</v>
      </c>
      <c r="EQ43" s="1293" t="str">
        <f t="shared" si="78"/>
        <v/>
      </c>
      <c r="ER43" s="822" t="str">
        <f t="shared" si="78"/>
        <v/>
      </c>
      <c r="ES43" s="822" t="str">
        <f t="shared" si="79"/>
        <v/>
      </c>
      <c r="ET43" s="822" t="str">
        <f t="shared" si="80"/>
        <v/>
      </c>
      <c r="EU43" s="829" t="str">
        <f t="shared" si="81"/>
        <v/>
      </c>
      <c r="EV43" s="824" t="str">
        <f t="shared" si="82"/>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83"/>
        <v/>
      </c>
      <c r="FA43" s="829" t="str">
        <f>IF(AND(DE43="G", ISBLANK(BW43), ISBLANK(BX43)),VLOOKUP(MIN(BT43:BU43),TblJoistSize!$M$3:$N$10,2),IF(OR(DE43="B", DE43="G"),MIN(BW43:BX43),""))</f>
        <v/>
      </c>
      <c r="FB43" s="829" t="str">
        <f>IF(AND(DE43="G", ISBLANK(BW43), ISBLANK(BX43)),VLOOKUP(MAX(BT43:BU43),TblJoistSize!$M$3:$N$10,2),IF(OR(DE43="B", DE43="G"),MAX(BW43:BX43),""))</f>
        <v/>
      </c>
      <c r="FC43" s="829" t="str">
        <f t="shared" si="84"/>
        <v/>
      </c>
      <c r="FD43" s="821">
        <f t="shared" si="107"/>
        <v>0</v>
      </c>
      <c r="FE43" s="821">
        <f t="shared" si="85"/>
        <v>0</v>
      </c>
      <c r="FF43" s="821">
        <f t="shared" si="86"/>
        <v>0</v>
      </c>
      <c r="FG43" s="821" t="str">
        <f t="shared" si="87"/>
        <v/>
      </c>
      <c r="FH43" s="822" t="str">
        <f t="shared" si="88"/>
        <v/>
      </c>
      <c r="FI43" s="821">
        <f t="shared" si="108"/>
        <v>0</v>
      </c>
      <c r="FJ43" s="821">
        <f t="shared" si="89"/>
        <v>0</v>
      </c>
      <c r="FK43" s="821">
        <f t="shared" si="90"/>
        <v>0</v>
      </c>
      <c r="FL43" s="821" t="str">
        <f t="shared" si="91"/>
        <v/>
      </c>
      <c r="FM43" s="822" t="str">
        <f t="shared" si="92"/>
        <v/>
      </c>
      <c r="FN43" s="822" t="e">
        <f t="shared" si="93"/>
        <v>#VALUE!</v>
      </c>
      <c r="FO43" s="940" t="e">
        <f t="shared" si="94"/>
        <v>#VALUE!</v>
      </c>
      <c r="FP43" s="940" t="e">
        <f t="shared" si="95"/>
        <v>#VALUE!</v>
      </c>
      <c r="FQ43" s="830" t="e">
        <f t="shared" si="96"/>
        <v>#VALUE!</v>
      </c>
      <c r="FR43" s="831" t="e">
        <f t="shared" si="97"/>
        <v>#VALUE!</v>
      </c>
      <c r="FS43" s="832" t="str">
        <f t="shared" si="98"/>
        <v/>
      </c>
      <c r="FT43" s="833" t="str">
        <f t="shared" si="99"/>
        <v/>
      </c>
      <c r="FU43" s="870">
        <f t="shared" si="100"/>
        <v>0</v>
      </c>
      <c r="FV43" s="871">
        <f t="shared" si="101"/>
        <v>0</v>
      </c>
      <c r="GA43" s="1791" t="str">
        <f t="shared" si="119"/>
        <v/>
      </c>
      <c r="GB43" s="1792" t="str">
        <f t="shared" si="120"/>
        <v/>
      </c>
      <c r="GC43" s="1793" t="str">
        <f t="shared" si="121"/>
        <v/>
      </c>
      <c r="GD43" s="1794" t="str">
        <f t="shared" si="122"/>
        <v/>
      </c>
      <c r="GE43" s="1795" t="str">
        <f t="shared" si="102"/>
        <v/>
      </c>
      <c r="GF43" s="600" t="str">
        <f t="shared" si="103"/>
        <v/>
      </c>
      <c r="GG43" s="1130"/>
      <c r="GH43" s="1131"/>
      <c r="GI43" s="1130"/>
      <c r="GJ43" s="1131"/>
      <c r="GK43" s="1638">
        <f t="shared" si="104"/>
        <v>0</v>
      </c>
      <c r="GL43" s="1636" t="e">
        <f t="shared" si="105"/>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09"/>
        <v/>
      </c>
      <c r="B44" s="1681"/>
      <c r="C44" s="1449" t="str">
        <f t="shared" si="110"/>
        <v/>
      </c>
      <c r="D44" s="1705" t="str">
        <f t="shared" si="111"/>
        <v/>
      </c>
      <c r="E44" s="1706" t="str">
        <f t="shared" si="112"/>
        <v/>
      </c>
      <c r="F44" s="1714" t="str">
        <f t="shared" si="1"/>
        <v/>
      </c>
      <c r="G44" s="1709" t="str">
        <f t="shared" si="2"/>
        <v/>
      </c>
      <c r="H44" s="1779" t="str">
        <f t="shared" si="3"/>
        <v/>
      </c>
      <c r="I44" s="1705" t="str">
        <f t="shared" si="4"/>
        <v/>
      </c>
      <c r="J44" s="1709" t="str">
        <f t="shared" si="5"/>
        <v/>
      </c>
      <c r="K44" s="1796" t="str">
        <f t="shared" si="6"/>
        <v/>
      </c>
      <c r="L44" s="1712" t="str">
        <f t="shared" si="113"/>
        <v/>
      </c>
      <c r="M44" s="1713" t="str">
        <f t="shared" si="113"/>
        <v/>
      </c>
      <c r="N44" s="1708" t="str">
        <f t="shared" si="7"/>
        <v/>
      </c>
      <c r="O44" s="1709" t="str">
        <f t="shared" si="8"/>
        <v/>
      </c>
      <c r="P44" s="1710" t="str">
        <f t="shared" si="9"/>
        <v/>
      </c>
      <c r="Q44" s="1705" t="str">
        <f t="shared" si="10"/>
        <v/>
      </c>
      <c r="R44" s="1709" t="str">
        <f t="shared" si="11"/>
        <v/>
      </c>
      <c r="S44" s="1711" t="str">
        <f t="shared" si="12"/>
        <v/>
      </c>
      <c r="T44" s="1714" t="str">
        <f t="shared" si="114"/>
        <v/>
      </c>
      <c r="U44" s="1709" t="str">
        <f t="shared" si="115"/>
        <v/>
      </c>
      <c r="V44" s="1705" t="str">
        <f t="shared" si="116"/>
        <v/>
      </c>
      <c r="W44" s="1709" t="str">
        <f t="shared" si="117"/>
        <v/>
      </c>
      <c r="X44" s="1713">
        <f t="shared" si="118"/>
        <v>0</v>
      </c>
      <c r="Y44" s="1781" t="str">
        <f t="shared" si="13"/>
        <v/>
      </c>
      <c r="Z44" s="1782" t="str">
        <f t="shared" si="14"/>
        <v/>
      </c>
      <c r="AA44" s="1783" t="s">
        <v>116</v>
      </c>
      <c r="AB44" s="1413"/>
      <c r="AC44" s="964" t="b">
        <v>0</v>
      </c>
      <c r="AD44" s="441">
        <f t="shared" si="15"/>
        <v>0</v>
      </c>
      <c r="AE44" s="442">
        <f t="shared" si="16"/>
        <v>0</v>
      </c>
      <c r="AF44" s="442">
        <f t="shared" si="17"/>
        <v>0</v>
      </c>
      <c r="AG44" s="442">
        <f t="shared" si="18"/>
        <v>0</v>
      </c>
      <c r="AH44" s="443">
        <f t="shared" si="19"/>
        <v>0</v>
      </c>
      <c r="AI44" s="444" t="b">
        <v>0</v>
      </c>
      <c r="AJ44" s="238">
        <f t="shared" si="20"/>
        <v>0</v>
      </c>
      <c r="AK44" s="830" t="str">
        <f t="shared" si="21"/>
        <v/>
      </c>
      <c r="AL44" s="945" t="str">
        <f t="shared" si="22"/>
        <v/>
      </c>
      <c r="AM44" s="830" t="str">
        <f t="shared" si="23"/>
        <v/>
      </c>
      <c r="AN44" s="830" t="str">
        <f t="shared" si="24"/>
        <v/>
      </c>
      <c r="AO44" s="830" t="str">
        <f t="shared" si="25"/>
        <v/>
      </c>
      <c r="AP44" s="830" t="b">
        <f>IF(ISERROR(AJ44),FALSE,IF(OR(AJ44=0,ISERROR(AL44),ISERROR(AM44),ISERROR(AN44),ISERROR(AO44)),FALSE,IF(AL44&lt;&gt;"",IF(ISERROR(VLOOKUP(SUBSTITUTE(SUBSTITUTE(C44,"R",""),"A",""),TblJoistSize!$A:$A,1,FALSE)),FALSE,TRUE),TRUE)))</f>
        <v>0</v>
      </c>
      <c r="AQ44" s="1038" t="e">
        <f t="shared" si="26"/>
        <v>#N/A</v>
      </c>
      <c r="AR44" s="945" t="b">
        <f t="shared" si="27"/>
        <v>0</v>
      </c>
      <c r="AS44" s="1038" t="e">
        <f t="shared" si="28"/>
        <v>#N/A</v>
      </c>
      <c r="AT44" s="945" t="b">
        <f t="shared" si="29"/>
        <v>0</v>
      </c>
      <c r="AU44" s="946" t="str">
        <f t="shared" si="30"/>
        <v/>
      </c>
      <c r="AV44" s="830" t="str">
        <f t="shared" si="31"/>
        <v/>
      </c>
      <c r="AW44" s="830" t="str">
        <f t="shared" si="32"/>
        <v/>
      </c>
      <c r="AX44" s="830" t="str">
        <f t="shared" si="106"/>
        <v/>
      </c>
      <c r="AY44" s="1039" t="b">
        <f t="shared" si="33"/>
        <v>0</v>
      </c>
      <c r="AZ44" s="856" t="str">
        <f t="shared" si="34"/>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35"/>
        <v/>
      </c>
      <c r="BR44" s="910"/>
      <c r="BS44" s="672"/>
      <c r="BT44" s="713"/>
      <c r="BU44" s="714"/>
      <c r="BV44" s="1625"/>
      <c r="BW44" s="713"/>
      <c r="BX44" s="714"/>
      <c r="BY44" s="715"/>
      <c r="BZ44" s="716"/>
      <c r="CA44" s="680" t="str">
        <f>IF(ISERROR(DE44),"",IF(DE44="","",IF(VLOOKUP(BS44,SectInfo!$B:$N,10,FALSE)="","","X")))</f>
        <v/>
      </c>
      <c r="CB44" s="738"/>
      <c r="CC44" s="1551" t="str">
        <f t="shared" si="36"/>
        <v/>
      </c>
      <c r="CD44" s="910"/>
      <c r="CE44" s="717"/>
      <c r="CF44" s="736"/>
      <c r="CG44" s="737"/>
      <c r="CH44" s="591" t="str">
        <f t="shared" si="37"/>
        <v/>
      </c>
      <c r="CI44" s="592" t="str">
        <f t="shared" si="38"/>
        <v/>
      </c>
      <c r="CJ44" s="593" t="str">
        <f t="shared" si="39"/>
        <v/>
      </c>
      <c r="CK44" s="594" t="str">
        <f t="shared" si="40"/>
        <v/>
      </c>
      <c r="CL44" s="595" t="str">
        <f t="shared" si="41"/>
        <v/>
      </c>
      <c r="CM44" s="596" t="str">
        <f t="shared" si="42"/>
        <v/>
      </c>
      <c r="CN44" s="597" t="str">
        <f t="shared" si="43"/>
        <v/>
      </c>
      <c r="CO44" s="598" t="str">
        <f t="shared" si="44"/>
        <v/>
      </c>
      <c r="CP44" s="615" t="str">
        <f t="shared" si="45"/>
        <v/>
      </c>
      <c r="CQ44" s="616" t="str">
        <f t="shared" si="46"/>
        <v/>
      </c>
      <c r="CR44" s="750" t="str">
        <f t="shared" si="47"/>
        <v/>
      </c>
      <c r="CS44" s="751" t="str">
        <f t="shared" si="48"/>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49"/>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50"/>
        <v>0</v>
      </c>
      <c r="DO44" s="818">
        <f t="shared" si="51"/>
        <v>0</v>
      </c>
      <c r="DP44" s="822" t="str">
        <f t="shared" si="52"/>
        <v/>
      </c>
      <c r="DQ44" s="822" t="str">
        <f t="shared" si="53"/>
        <v/>
      </c>
      <c r="DR44" s="822" t="str">
        <f t="shared" si="54"/>
        <v/>
      </c>
      <c r="DS44" s="821">
        <f t="shared" si="55"/>
        <v>0</v>
      </c>
      <c r="DT44" s="821">
        <f t="shared" si="56"/>
        <v>0</v>
      </c>
      <c r="DU44" s="821" t="str">
        <f t="shared" si="57"/>
        <v/>
      </c>
      <c r="DV44" s="822" t="str">
        <f t="shared" si="58"/>
        <v/>
      </c>
      <c r="DW44" s="856" t="str">
        <f t="shared" si="59"/>
        <v/>
      </c>
      <c r="DX44" s="1006">
        <f t="shared" si="60"/>
        <v>0</v>
      </c>
      <c r="DY44" s="822">
        <f t="shared" si="61"/>
        <v>0</v>
      </c>
      <c r="DZ44" s="821">
        <f t="shared" si="62"/>
        <v>0</v>
      </c>
      <c r="EA44" s="821" t="str">
        <f t="shared" si="63"/>
        <v/>
      </c>
      <c r="EB44" s="822" t="str">
        <f t="shared" si="64"/>
        <v/>
      </c>
      <c r="EC44" s="856" t="str">
        <f t="shared" si="65"/>
        <v/>
      </c>
      <c r="ED44" s="1006">
        <f t="shared" si="66"/>
        <v>0</v>
      </c>
      <c r="EE44" s="1293" t="str">
        <f t="shared" si="67"/>
        <v/>
      </c>
      <c r="EF44" s="1293" t="str">
        <f t="shared" si="68"/>
        <v/>
      </c>
      <c r="EG44" s="1293" t="str">
        <f t="shared" si="69"/>
        <v/>
      </c>
      <c r="EH44" s="856" t="e">
        <f t="shared" si="70"/>
        <v>#N/A</v>
      </c>
      <c r="EI44" s="856" t="e">
        <f t="shared" si="71"/>
        <v>#N/A</v>
      </c>
      <c r="EJ44" s="822" t="str">
        <f t="shared" si="72"/>
        <v/>
      </c>
      <c r="EK44" s="822" t="str">
        <f t="shared" si="72"/>
        <v/>
      </c>
      <c r="EL44" s="1293" t="str">
        <f t="shared" si="73"/>
        <v/>
      </c>
      <c r="EM44" s="822" t="str">
        <f t="shared" si="74"/>
        <v/>
      </c>
      <c r="EN44" s="822" t="str">
        <f t="shared" si="75"/>
        <v/>
      </c>
      <c r="EO44" s="856" t="e">
        <f t="shared" si="76"/>
        <v>#N/A</v>
      </c>
      <c r="EP44" s="856" t="e">
        <f t="shared" si="77"/>
        <v>#N/A</v>
      </c>
      <c r="EQ44" s="1293" t="str">
        <f t="shared" si="78"/>
        <v/>
      </c>
      <c r="ER44" s="822" t="str">
        <f t="shared" si="78"/>
        <v/>
      </c>
      <c r="ES44" s="822" t="str">
        <f t="shared" si="79"/>
        <v/>
      </c>
      <c r="ET44" s="822" t="str">
        <f t="shared" si="80"/>
        <v/>
      </c>
      <c r="EU44" s="829" t="str">
        <f t="shared" si="81"/>
        <v/>
      </c>
      <c r="EV44" s="824" t="str">
        <f t="shared" si="82"/>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83"/>
        <v/>
      </c>
      <c r="FA44" s="829" t="str">
        <f>IF(AND(DE44="G", ISBLANK(BW44), ISBLANK(BX44)),VLOOKUP(MIN(BT44:BU44),TblJoistSize!$M$3:$N$10,2),IF(OR(DE44="B", DE44="G"),MIN(BW44:BX44),""))</f>
        <v/>
      </c>
      <c r="FB44" s="829" t="str">
        <f>IF(AND(DE44="G", ISBLANK(BW44), ISBLANK(BX44)),VLOOKUP(MAX(BT44:BU44),TblJoistSize!$M$3:$N$10,2),IF(OR(DE44="B", DE44="G"),MAX(BW44:BX44),""))</f>
        <v/>
      </c>
      <c r="FC44" s="829" t="str">
        <f t="shared" si="84"/>
        <v/>
      </c>
      <c r="FD44" s="821">
        <f t="shared" si="107"/>
        <v>0</v>
      </c>
      <c r="FE44" s="821">
        <f t="shared" si="85"/>
        <v>0</v>
      </c>
      <c r="FF44" s="821">
        <f t="shared" si="86"/>
        <v>0</v>
      </c>
      <c r="FG44" s="821" t="str">
        <f t="shared" si="87"/>
        <v/>
      </c>
      <c r="FH44" s="822" t="str">
        <f t="shared" si="88"/>
        <v/>
      </c>
      <c r="FI44" s="821">
        <f t="shared" si="108"/>
        <v>0</v>
      </c>
      <c r="FJ44" s="821">
        <f t="shared" si="89"/>
        <v>0</v>
      </c>
      <c r="FK44" s="821">
        <f t="shared" si="90"/>
        <v>0</v>
      </c>
      <c r="FL44" s="821" t="str">
        <f t="shared" si="91"/>
        <v/>
      </c>
      <c r="FM44" s="822" t="str">
        <f t="shared" si="92"/>
        <v/>
      </c>
      <c r="FN44" s="822" t="e">
        <f t="shared" si="93"/>
        <v>#VALUE!</v>
      </c>
      <c r="FO44" s="940" t="e">
        <f t="shared" si="94"/>
        <v>#VALUE!</v>
      </c>
      <c r="FP44" s="940" t="e">
        <f t="shared" si="95"/>
        <v>#VALUE!</v>
      </c>
      <c r="FQ44" s="830" t="e">
        <f t="shared" si="96"/>
        <v>#VALUE!</v>
      </c>
      <c r="FR44" s="831" t="e">
        <f t="shared" si="97"/>
        <v>#VALUE!</v>
      </c>
      <c r="FS44" s="832" t="str">
        <f t="shared" si="98"/>
        <v/>
      </c>
      <c r="FT44" s="833" t="str">
        <f t="shared" si="99"/>
        <v/>
      </c>
      <c r="FU44" s="870">
        <f t="shared" si="100"/>
        <v>0</v>
      </c>
      <c r="FV44" s="871">
        <f t="shared" si="101"/>
        <v>0</v>
      </c>
      <c r="GA44" s="1791" t="str">
        <f t="shared" si="119"/>
        <v/>
      </c>
      <c r="GB44" s="1792" t="str">
        <f t="shared" si="120"/>
        <v/>
      </c>
      <c r="GC44" s="1793" t="str">
        <f t="shared" si="121"/>
        <v/>
      </c>
      <c r="GD44" s="1794" t="str">
        <f t="shared" si="122"/>
        <v/>
      </c>
      <c r="GE44" s="1795" t="str">
        <f t="shared" si="102"/>
        <v/>
      </c>
      <c r="GF44" s="600" t="str">
        <f t="shared" si="103"/>
        <v/>
      </c>
      <c r="GG44" s="1130"/>
      <c r="GH44" s="1131"/>
      <c r="GI44" s="1130"/>
      <c r="GJ44" s="1131"/>
      <c r="GK44" s="1638">
        <f t="shared" si="104"/>
        <v>0</v>
      </c>
      <c r="GL44" s="1636" t="e">
        <f t="shared" si="105"/>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7"/>
        <v/>
      </c>
      <c r="O45" s="1723" t="str">
        <f t="shared" si="8"/>
        <v/>
      </c>
      <c r="P45" s="1724" t="str">
        <f t="shared" si="9"/>
        <v/>
      </c>
      <c r="Q45" s="1719" t="str">
        <f t="shared" si="10"/>
        <v/>
      </c>
      <c r="R45" s="1723" t="str">
        <f t="shared" si="11"/>
        <v/>
      </c>
      <c r="S45" s="1725" t="str">
        <f t="shared" si="12"/>
        <v/>
      </c>
      <c r="T45" s="1728" t="str">
        <f t="shared" si="114"/>
        <v/>
      </c>
      <c r="U45" s="1723" t="str">
        <f t="shared" si="115"/>
        <v/>
      </c>
      <c r="V45" s="1719" t="str">
        <f t="shared" si="116"/>
        <v/>
      </c>
      <c r="W45" s="1723" t="str">
        <f t="shared" si="117"/>
        <v/>
      </c>
      <c r="X45" s="1727">
        <f>IF(EV45="",0,EV45)</f>
        <v>0</v>
      </c>
      <c r="Y45" s="1787" t="str">
        <f>FG45</f>
        <v/>
      </c>
      <c r="Z45" s="1788" t="str">
        <f>FL45</f>
        <v/>
      </c>
      <c r="AA45" s="1789" t="s">
        <v>116</v>
      </c>
      <c r="AB45" s="1413"/>
      <c r="AC45" s="964" t="b">
        <v>0</v>
      </c>
      <c r="AD45" s="441">
        <f t="shared" si="15"/>
        <v>0</v>
      </c>
      <c r="AE45" s="442">
        <f t="shared" si="16"/>
        <v>0</v>
      </c>
      <c r="AF45" s="442">
        <f t="shared" si="17"/>
        <v>0</v>
      </c>
      <c r="AG45" s="442">
        <f t="shared" si="18"/>
        <v>0</v>
      </c>
      <c r="AH45" s="443">
        <f t="shared" si="19"/>
        <v>0</v>
      </c>
      <c r="AI45" s="444" t="b">
        <v>0</v>
      </c>
      <c r="AJ45" s="238">
        <f t="shared" si="20"/>
        <v>0</v>
      </c>
      <c r="AK45" s="830" t="str">
        <f t="shared" si="21"/>
        <v/>
      </c>
      <c r="AL45" s="945" t="str">
        <f t="shared" si="22"/>
        <v/>
      </c>
      <c r="AM45" s="830" t="str">
        <f t="shared" si="23"/>
        <v/>
      </c>
      <c r="AN45" s="830" t="str">
        <f t="shared" si="24"/>
        <v/>
      </c>
      <c r="AO45" s="830" t="str">
        <f t="shared" si="25"/>
        <v/>
      </c>
      <c r="AP45" s="830" t="b">
        <f>IF(ISERROR(AJ45),FALSE,IF(OR(AJ45=0,ISERROR(AL45),ISERROR(AM45),ISERROR(AN45),ISERROR(AO45)),FALSE,IF(AL45&lt;&gt;"",IF(ISERROR(VLOOKUP(SUBSTITUTE(SUBSTITUTE(C45,"R",""),"A",""),TblJoistSize!$A:$A,1,FALSE)),FALSE,TRUE),TRUE)))</f>
        <v>0</v>
      </c>
      <c r="AQ45" s="1038" t="e">
        <f t="shared" si="26"/>
        <v>#N/A</v>
      </c>
      <c r="AR45" s="945" t="b">
        <f t="shared" si="27"/>
        <v>0</v>
      </c>
      <c r="AS45" s="1038" t="e">
        <f t="shared" si="28"/>
        <v>#N/A</v>
      </c>
      <c r="AT45" s="945" t="b">
        <f t="shared" si="29"/>
        <v>0</v>
      </c>
      <c r="AU45" s="946" t="str">
        <f t="shared" si="30"/>
        <v/>
      </c>
      <c r="AV45" s="830" t="str">
        <f t="shared" si="31"/>
        <v/>
      </c>
      <c r="AW45" s="830" t="str">
        <f t="shared" si="32"/>
        <v/>
      </c>
      <c r="AX45" s="830" t="str">
        <f t="shared" si="106"/>
        <v/>
      </c>
      <c r="AY45" s="1039" t="b">
        <f t="shared" si="33"/>
        <v>0</v>
      </c>
      <c r="AZ45" s="856" t="str">
        <f t="shared" si="34"/>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35"/>
        <v/>
      </c>
      <c r="BR45" s="911"/>
      <c r="BS45" s="681"/>
      <c r="BT45" s="718"/>
      <c r="BU45" s="719"/>
      <c r="BV45" s="1626"/>
      <c r="BW45" s="718"/>
      <c r="BX45" s="719"/>
      <c r="BY45" s="720"/>
      <c r="BZ45" s="721"/>
      <c r="CA45" s="689" t="str">
        <f>IF(ISERROR(DE45),"",IF(DE45="","",IF(VLOOKUP(BS45,SectInfo!$B:$N,10,FALSE)="","","X")))</f>
        <v/>
      </c>
      <c r="CB45" s="741"/>
      <c r="CC45" s="1552" t="str">
        <f t="shared" si="36"/>
        <v/>
      </c>
      <c r="CD45" s="911"/>
      <c r="CE45" s="722"/>
      <c r="CF45" s="739"/>
      <c r="CG45" s="740"/>
      <c r="CH45" s="601" t="str">
        <f t="shared" si="37"/>
        <v/>
      </c>
      <c r="CI45" s="602" t="str">
        <f t="shared" si="38"/>
        <v/>
      </c>
      <c r="CJ45" s="603" t="str">
        <f t="shared" si="39"/>
        <v/>
      </c>
      <c r="CK45" s="604" t="str">
        <f t="shared" si="40"/>
        <v/>
      </c>
      <c r="CL45" s="605" t="str">
        <f t="shared" si="41"/>
        <v/>
      </c>
      <c r="CM45" s="606" t="str">
        <f t="shared" si="42"/>
        <v/>
      </c>
      <c r="CN45" s="607" t="str">
        <f t="shared" si="43"/>
        <v/>
      </c>
      <c r="CO45" s="608" t="str">
        <f t="shared" si="44"/>
        <v/>
      </c>
      <c r="CP45" s="617" t="str">
        <f t="shared" si="45"/>
        <v/>
      </c>
      <c r="CQ45" s="618" t="str">
        <f t="shared" si="46"/>
        <v/>
      </c>
      <c r="CR45" s="752" t="str">
        <f t="shared" si="47"/>
        <v/>
      </c>
      <c r="CS45" s="753" t="str">
        <f t="shared" si="48"/>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49"/>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50"/>
        <v>0</v>
      </c>
      <c r="DO45" s="818">
        <f t="shared" si="51"/>
        <v>0</v>
      </c>
      <c r="DP45" s="822" t="str">
        <f t="shared" si="52"/>
        <v/>
      </c>
      <c r="DQ45" s="822" t="str">
        <f t="shared" si="53"/>
        <v/>
      </c>
      <c r="DR45" s="822" t="str">
        <f t="shared" si="54"/>
        <v/>
      </c>
      <c r="DS45" s="821">
        <f t="shared" si="55"/>
        <v>0</v>
      </c>
      <c r="DT45" s="821">
        <f t="shared" si="56"/>
        <v>0</v>
      </c>
      <c r="DU45" s="821" t="str">
        <f t="shared" si="57"/>
        <v/>
      </c>
      <c r="DV45" s="822" t="str">
        <f t="shared" si="58"/>
        <v/>
      </c>
      <c r="DW45" s="856" t="str">
        <f t="shared" si="59"/>
        <v/>
      </c>
      <c r="DX45" s="1006">
        <f t="shared" si="60"/>
        <v>0</v>
      </c>
      <c r="DY45" s="822">
        <f t="shared" si="61"/>
        <v>0</v>
      </c>
      <c r="DZ45" s="821">
        <f t="shared" si="62"/>
        <v>0</v>
      </c>
      <c r="EA45" s="821" t="str">
        <f t="shared" si="63"/>
        <v/>
      </c>
      <c r="EB45" s="822" t="str">
        <f t="shared" si="64"/>
        <v/>
      </c>
      <c r="EC45" s="856" t="str">
        <f t="shared" si="65"/>
        <v/>
      </c>
      <c r="ED45" s="1006">
        <f t="shared" si="66"/>
        <v>0</v>
      </c>
      <c r="EE45" s="1293" t="str">
        <f t="shared" si="67"/>
        <v/>
      </c>
      <c r="EF45" s="1293" t="str">
        <f t="shared" si="68"/>
        <v/>
      </c>
      <c r="EG45" s="1293" t="str">
        <f t="shared" si="69"/>
        <v/>
      </c>
      <c r="EH45" s="856" t="e">
        <f t="shared" si="70"/>
        <v>#N/A</v>
      </c>
      <c r="EI45" s="856" t="e">
        <f t="shared" si="71"/>
        <v>#N/A</v>
      </c>
      <c r="EJ45" s="822" t="str">
        <f t="shared" si="72"/>
        <v/>
      </c>
      <c r="EK45" s="822" t="str">
        <f t="shared" si="72"/>
        <v/>
      </c>
      <c r="EL45" s="1293" t="str">
        <f t="shared" si="73"/>
        <v/>
      </c>
      <c r="EM45" s="822" t="str">
        <f t="shared" si="74"/>
        <v/>
      </c>
      <c r="EN45" s="822" t="str">
        <f t="shared" si="75"/>
        <v/>
      </c>
      <c r="EO45" s="856" t="e">
        <f t="shared" si="76"/>
        <v>#N/A</v>
      </c>
      <c r="EP45" s="856" t="e">
        <f t="shared" si="77"/>
        <v>#N/A</v>
      </c>
      <c r="EQ45" s="1293" t="str">
        <f t="shared" si="78"/>
        <v/>
      </c>
      <c r="ER45" s="822" t="str">
        <f t="shared" si="78"/>
        <v/>
      </c>
      <c r="ES45" s="822" t="str">
        <f t="shared" si="79"/>
        <v/>
      </c>
      <c r="ET45" s="822" t="str">
        <f t="shared" si="80"/>
        <v/>
      </c>
      <c r="EU45" s="829" t="str">
        <f t="shared" si="81"/>
        <v/>
      </c>
      <c r="EV45" s="824" t="str">
        <f t="shared" si="82"/>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83"/>
        <v/>
      </c>
      <c r="FA45" s="829" t="str">
        <f>IF(AND(DE45="G", ISBLANK(BW45), ISBLANK(BX45)),VLOOKUP(MIN(BT45:BU45),TblJoistSize!$M$3:$N$10,2),IF(OR(DE45="B", DE45="G"),MIN(BW45:BX45),""))</f>
        <v/>
      </c>
      <c r="FB45" s="829" t="str">
        <f>IF(AND(DE45="G", ISBLANK(BW45), ISBLANK(BX45)),VLOOKUP(MAX(BT45:BU45),TblJoistSize!$M$3:$N$10,2),IF(OR(DE45="B", DE45="G"),MAX(BW45:BX45),""))</f>
        <v/>
      </c>
      <c r="FC45" s="829" t="str">
        <f t="shared" si="84"/>
        <v/>
      </c>
      <c r="FD45" s="821">
        <f t="shared" si="107"/>
        <v>0</v>
      </c>
      <c r="FE45" s="821">
        <f t="shared" si="85"/>
        <v>0</v>
      </c>
      <c r="FF45" s="821">
        <f t="shared" si="86"/>
        <v>0</v>
      </c>
      <c r="FG45" s="821" t="str">
        <f t="shared" si="87"/>
        <v/>
      </c>
      <c r="FH45" s="822" t="str">
        <f t="shared" si="88"/>
        <v/>
      </c>
      <c r="FI45" s="821">
        <f t="shared" si="108"/>
        <v>0</v>
      </c>
      <c r="FJ45" s="821">
        <f t="shared" si="89"/>
        <v>0</v>
      </c>
      <c r="FK45" s="821">
        <f t="shared" si="90"/>
        <v>0</v>
      </c>
      <c r="FL45" s="821" t="str">
        <f t="shared" si="91"/>
        <v/>
      </c>
      <c r="FM45" s="822" t="str">
        <f t="shared" si="92"/>
        <v/>
      </c>
      <c r="FN45" s="822" t="e">
        <f t="shared" si="93"/>
        <v>#VALUE!</v>
      </c>
      <c r="FO45" s="940" t="e">
        <f t="shared" si="94"/>
        <v>#VALUE!</v>
      </c>
      <c r="FP45" s="940" t="e">
        <f t="shared" si="95"/>
        <v>#VALUE!</v>
      </c>
      <c r="FQ45" s="830" t="e">
        <f t="shared" si="96"/>
        <v>#VALUE!</v>
      </c>
      <c r="FR45" s="831" t="e">
        <f t="shared" si="97"/>
        <v>#VALUE!</v>
      </c>
      <c r="FS45" s="832" t="str">
        <f t="shared" si="98"/>
        <v/>
      </c>
      <c r="FT45" s="833" t="str">
        <f t="shared" si="99"/>
        <v/>
      </c>
      <c r="FU45" s="870">
        <f t="shared" si="100"/>
        <v>0</v>
      </c>
      <c r="FV45" s="871">
        <f t="shared" si="101"/>
        <v>0</v>
      </c>
      <c r="GA45" s="1791" t="str">
        <f t="shared" si="119"/>
        <v/>
      </c>
      <c r="GB45" s="1792" t="str">
        <f t="shared" si="120"/>
        <v/>
      </c>
      <c r="GC45" s="1793" t="str">
        <f t="shared" si="121"/>
        <v/>
      </c>
      <c r="GD45" s="1794" t="str">
        <f t="shared" si="122"/>
        <v/>
      </c>
      <c r="GE45" s="1795" t="str">
        <f t="shared" si="102"/>
        <v/>
      </c>
      <c r="GF45" s="600" t="str">
        <f t="shared" si="103"/>
        <v/>
      </c>
      <c r="GG45" s="1132"/>
      <c r="GH45" s="1133"/>
      <c r="GI45" s="1132"/>
      <c r="GJ45" s="1133"/>
      <c r="GK45" s="1638">
        <f t="shared" si="104"/>
        <v>0</v>
      </c>
      <c r="GL45" s="1636" t="e">
        <f t="shared" si="105"/>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10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10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t="12" hidden="1" thickBot="1" x14ac:dyDescent="0.25"/>
    <row r="51" spans="1:192" ht="12" hidden="1" thickBot="1" x14ac:dyDescent="0.25"/>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339"/>
      <c r="CQ57" s="2340"/>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3">IF(GF57="","",BE57)</f>
        <v/>
      </c>
      <c r="GB57" s="619" t="str">
        <f t="shared" ref="GB57" si="124">IF(GF57="","",BF57)</f>
        <v/>
      </c>
      <c r="GC57" s="621" t="str">
        <f t="shared" ref="GC57" si="125">IF(GF57="","",IF(CV57="",0,CV57))</f>
        <v/>
      </c>
      <c r="GD57" s="622" t="str">
        <f t="shared" ref="GD57" si="126">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t="s">
        <v>1685</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342" t="s">
        <v>524</v>
      </c>
      <c r="EM71" s="2343"/>
      <c r="EN71" s="2343"/>
      <c r="EO71" s="2344"/>
    </row>
    <row r="72" spans="1:145" ht="15" customHeight="1" thickBot="1" x14ac:dyDescent="0.25">
      <c r="EL72" s="2495" t="s">
        <v>535</v>
      </c>
      <c r="EM72" s="2498" t="s">
        <v>536</v>
      </c>
      <c r="EN72" s="2498" t="s">
        <v>537</v>
      </c>
      <c r="EO72" s="2501" t="s">
        <v>538</v>
      </c>
    </row>
    <row r="73" spans="1:145" ht="15" customHeight="1" thickBot="1" x14ac:dyDescent="0.25">
      <c r="EJ73" s="2502" t="s">
        <v>542</v>
      </c>
      <c r="EL73" s="2496"/>
      <c r="EM73" s="2499"/>
      <c r="EN73" s="2499"/>
      <c r="EO73" s="2403"/>
    </row>
    <row r="74" spans="1:145" ht="15" customHeight="1" thickBot="1" x14ac:dyDescent="0.25">
      <c r="EJ74" s="2503"/>
      <c r="EL74" s="2497"/>
      <c r="EM74" s="2500"/>
      <c r="EN74" s="2500"/>
      <c r="EO74" s="2404"/>
    </row>
    <row r="75" spans="1:145" ht="15" customHeight="1" thickTop="1" x14ac:dyDescent="0.2">
      <c r="EJ75" s="507">
        <f t="shared" ref="EJ75:EJ104" si="127">IF(AU16="","",IF(OR(AU16="K",AU16="KCS"),(BE16*12+BF16+IF(CU16="M",MAX(CV16,$CX$4),0)+IF(DE16="M",MAX(DF16,$CX$4),0))/12,IF(OR(AU16="LH",AU16="DLH"),(BE16*12+BF16+8-MAX(MAX(BH16,BI16)/2,DC16)-MAX(MAX(BT16,BU16)/2,DM16))/12,IF(OR(AU16="JS",AU16="HDR"),""))))</f>
        <v>0.66666666666666663</v>
      </c>
      <c r="EL75" s="445"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446" t="str">
        <f t="shared" ref="EM75:EM104" si="128">IF(BD16="","",IF(EL75="-","-",IF(EO75="No",0,IF(AZ16/12&lt;60,1,IF(AZ16/12&lt;100,2,EL75)))))</f>
        <v/>
      </c>
      <c r="EN75" s="447" t="str">
        <f>IF(BD16="","",IF(ISERROR(VLOOKUP(BD16,TblJoistSize!$A$1:$G$274,2,FALSE)),"-",VLOOKUP(BD16,TblJoistSize!$A$1:$G$274,2,FALSE)))</f>
        <v/>
      </c>
      <c r="EO75" s="448" t="str">
        <f t="shared" ref="EO75:EO104" si="129">IF(BD16="","",IF(EN75="-","-",IF(EN75="NM","No",IF(EN75&lt;=AZ16/12,"Yes","No"))))</f>
        <v/>
      </c>
    </row>
    <row r="76" spans="1:145" ht="15" customHeight="1" x14ac:dyDescent="0.2">
      <c r="EJ76" s="507">
        <f t="shared" si="127"/>
        <v>0.66666666666666663</v>
      </c>
      <c r="EL76" s="445"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446" t="str">
        <f t="shared" si="128"/>
        <v/>
      </c>
      <c r="EN76" s="447" t="str">
        <f>IF(BD17="","",IF(ISERROR(VLOOKUP(BD17,TblJoistSize!$A$1:$G$274,2,FALSE)),"-",VLOOKUP(BD17,TblJoistSize!$A$1:$G$274,2,FALSE)))</f>
        <v/>
      </c>
      <c r="EO76" s="448" t="str">
        <f t="shared" si="129"/>
        <v/>
      </c>
    </row>
    <row r="77" spans="1:145" ht="15" customHeight="1" x14ac:dyDescent="0.2">
      <c r="EJ77" s="507">
        <f t="shared" si="127"/>
        <v>0.66666666666666663</v>
      </c>
      <c r="EL77" s="445"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446" t="str">
        <f t="shared" si="128"/>
        <v/>
      </c>
      <c r="EN77" s="447" t="str">
        <f>IF(BD18="","",IF(ISERROR(VLOOKUP(BD18,TblJoistSize!$A$1:$G$274,2,FALSE)),"-",VLOOKUP(BD18,TblJoistSize!$A$1:$G$274,2,FALSE)))</f>
        <v/>
      </c>
      <c r="EO77" s="448" t="str">
        <f t="shared" si="129"/>
        <v/>
      </c>
    </row>
    <row r="78" spans="1:145" ht="15" customHeight="1" x14ac:dyDescent="0.2">
      <c r="EJ78" s="507">
        <f t="shared" si="127"/>
        <v>0.66666666666666663</v>
      </c>
      <c r="EL78" s="445"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446" t="str">
        <f t="shared" si="128"/>
        <v/>
      </c>
      <c r="EN78" s="447" t="str">
        <f>IF(BD19="","",IF(ISERROR(VLOOKUP(BD19,TblJoistSize!$A$1:$G$274,2,FALSE)),"-",VLOOKUP(BD19,TblJoistSize!$A$1:$G$274,2,FALSE)))</f>
        <v/>
      </c>
      <c r="EO78" s="448" t="str">
        <f t="shared" si="129"/>
        <v/>
      </c>
    </row>
    <row r="79" spans="1:145" ht="15" customHeight="1" x14ac:dyDescent="0.2">
      <c r="EJ79" s="507">
        <f t="shared" si="127"/>
        <v>0.66666666666666663</v>
      </c>
      <c r="EL79" s="445"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446" t="str">
        <f t="shared" si="128"/>
        <v/>
      </c>
      <c r="EN79" s="447" t="str">
        <f>IF(BD20="","",IF(ISERROR(VLOOKUP(BD20,TblJoistSize!$A$1:$G$274,2,FALSE)),"-",VLOOKUP(BD20,TblJoistSize!$A$1:$G$274,2,FALSE)))</f>
        <v/>
      </c>
      <c r="EO79" s="448" t="str">
        <f t="shared" si="129"/>
        <v/>
      </c>
    </row>
    <row r="80" spans="1:145" ht="15" customHeight="1" x14ac:dyDescent="0.2">
      <c r="EJ80" s="507">
        <f t="shared" si="127"/>
        <v>0.66666666666666663</v>
      </c>
      <c r="EL80" s="445"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446" t="str">
        <f t="shared" si="128"/>
        <v/>
      </c>
      <c r="EN80" s="447" t="str">
        <f>IF(BD21="","",IF(ISERROR(VLOOKUP(BD21,TblJoistSize!$A$1:$G$274,2,FALSE)),"-",VLOOKUP(BD21,TblJoistSize!$A$1:$G$274,2,FALSE)))</f>
        <v/>
      </c>
      <c r="EO80" s="448" t="str">
        <f t="shared" si="129"/>
        <v/>
      </c>
    </row>
    <row r="81" spans="140:145" ht="15" customHeight="1" x14ac:dyDescent="0.2">
      <c r="EJ81" s="507">
        <f t="shared" si="127"/>
        <v>0.66666666666666663</v>
      </c>
      <c r="EL81" s="445"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446" t="str">
        <f t="shared" si="128"/>
        <v/>
      </c>
      <c r="EN81" s="447" t="str">
        <f>IF(BD22="","",IF(ISERROR(VLOOKUP(BD22,TblJoistSize!$A$1:$G$274,2,FALSE)),"-",VLOOKUP(BD22,TblJoistSize!$A$1:$G$274,2,FALSE)))</f>
        <v/>
      </c>
      <c r="EO81" s="448" t="str">
        <f t="shared" si="129"/>
        <v/>
      </c>
    </row>
    <row r="82" spans="140:145" ht="15" customHeight="1" x14ac:dyDescent="0.2">
      <c r="EJ82" s="507" t="str">
        <f t="shared" si="127"/>
        <v/>
      </c>
      <c r="EL82" s="44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446" t="str">
        <f t="shared" si="128"/>
        <v/>
      </c>
      <c r="EN82" s="447" t="str">
        <f>IF(BD23="","",IF(ISERROR(VLOOKUP(BD23,TblJoistSize!$A$1:$G$274,2,FALSE)),"-",VLOOKUP(BD23,TblJoistSize!$A$1:$G$274,2,FALSE)))</f>
        <v/>
      </c>
      <c r="EO82" s="448" t="str">
        <f t="shared" si="129"/>
        <v/>
      </c>
    </row>
    <row r="83" spans="140:145" ht="15" customHeight="1" x14ac:dyDescent="0.2">
      <c r="EJ83" s="507" t="str">
        <f t="shared" si="127"/>
        <v/>
      </c>
      <c r="EL83" s="44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446" t="str">
        <f t="shared" si="128"/>
        <v/>
      </c>
      <c r="EN83" s="447" t="str">
        <f>IF(BD24="","",IF(ISERROR(VLOOKUP(BD24,TblJoistSize!$A$1:$G$274,2,FALSE)),"-",VLOOKUP(BD24,TblJoistSize!$A$1:$G$274,2,FALSE)))</f>
        <v/>
      </c>
      <c r="EO83" s="448" t="str">
        <f t="shared" si="129"/>
        <v/>
      </c>
    </row>
    <row r="84" spans="140:145" ht="15" customHeight="1" x14ac:dyDescent="0.2">
      <c r="EJ84" s="507" t="str">
        <f t="shared" si="127"/>
        <v/>
      </c>
      <c r="EL84" s="44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446" t="str">
        <f t="shared" si="128"/>
        <v/>
      </c>
      <c r="EN84" s="447" t="str">
        <f>IF(BD25="","",IF(ISERROR(VLOOKUP(BD25,TblJoistSize!$A$1:$G$274,2,FALSE)),"-",VLOOKUP(BD25,TblJoistSize!$A$1:$G$274,2,FALSE)))</f>
        <v/>
      </c>
      <c r="EO84" s="448" t="str">
        <f t="shared" si="129"/>
        <v/>
      </c>
    </row>
    <row r="85" spans="140:145" ht="15" customHeight="1" x14ac:dyDescent="0.2">
      <c r="EJ85" s="507" t="str">
        <f t="shared" si="127"/>
        <v/>
      </c>
      <c r="EL85" s="44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446" t="str">
        <f t="shared" si="128"/>
        <v/>
      </c>
      <c r="EN85" s="447" t="str">
        <f>IF(BD26="","",IF(ISERROR(VLOOKUP(BD26,TblJoistSize!$A$1:$G$274,2,FALSE)),"-",VLOOKUP(BD26,TblJoistSize!$A$1:$G$274,2,FALSE)))</f>
        <v/>
      </c>
      <c r="EO85" s="448" t="str">
        <f t="shared" si="129"/>
        <v/>
      </c>
    </row>
    <row r="86" spans="140:145" ht="15" customHeight="1" x14ac:dyDescent="0.2">
      <c r="EJ86" s="507" t="str">
        <f t="shared" si="127"/>
        <v/>
      </c>
      <c r="EL86" s="44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446" t="str">
        <f t="shared" si="128"/>
        <v/>
      </c>
      <c r="EN86" s="447" t="str">
        <f>IF(BD27="","",IF(ISERROR(VLOOKUP(BD27,TblJoistSize!$A$1:$G$274,2,FALSE)),"-",VLOOKUP(BD27,TblJoistSize!$A$1:$G$274,2,FALSE)))</f>
        <v/>
      </c>
      <c r="EO86" s="448" t="str">
        <f t="shared" si="129"/>
        <v/>
      </c>
    </row>
    <row r="87" spans="140:145" ht="15" customHeight="1" x14ac:dyDescent="0.2">
      <c r="EJ87" s="507" t="str">
        <f t="shared" si="127"/>
        <v/>
      </c>
      <c r="EL87" s="44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446" t="str">
        <f t="shared" si="128"/>
        <v/>
      </c>
      <c r="EN87" s="447" t="str">
        <f>IF(BD28="","",IF(ISERROR(VLOOKUP(BD28,TblJoistSize!$A$1:$G$274,2,FALSE)),"-",VLOOKUP(BD28,TblJoistSize!$A$1:$G$274,2,FALSE)))</f>
        <v/>
      </c>
      <c r="EO87" s="448" t="str">
        <f t="shared" si="129"/>
        <v/>
      </c>
    </row>
    <row r="88" spans="140:145" ht="15" customHeight="1" x14ac:dyDescent="0.2">
      <c r="EJ88" s="507" t="str">
        <f t="shared" si="127"/>
        <v/>
      </c>
      <c r="EL88" s="44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446" t="str">
        <f t="shared" si="128"/>
        <v/>
      </c>
      <c r="EN88" s="447" t="str">
        <f>IF(BD29="","",IF(ISERROR(VLOOKUP(BD29,TblJoistSize!$A$1:$G$274,2,FALSE)),"-",VLOOKUP(BD29,TblJoistSize!$A$1:$G$274,2,FALSE)))</f>
        <v/>
      </c>
      <c r="EO88" s="448" t="str">
        <f t="shared" si="129"/>
        <v/>
      </c>
    </row>
    <row r="89" spans="140:145" ht="15" customHeight="1" x14ac:dyDescent="0.2">
      <c r="EJ89" s="507" t="str">
        <f t="shared" si="127"/>
        <v/>
      </c>
      <c r="EL89" s="44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446" t="str">
        <f t="shared" si="128"/>
        <v/>
      </c>
      <c r="EN89" s="447" t="str">
        <f>IF(BD30="","",IF(ISERROR(VLOOKUP(BD30,TblJoistSize!$A$1:$G$274,2,FALSE)),"-",VLOOKUP(BD30,TblJoistSize!$A$1:$G$274,2,FALSE)))</f>
        <v/>
      </c>
      <c r="EO89" s="448" t="str">
        <f t="shared" si="129"/>
        <v/>
      </c>
    </row>
    <row r="90" spans="140:145" ht="15" customHeight="1" x14ac:dyDescent="0.2">
      <c r="EJ90" s="507" t="str">
        <f t="shared" si="127"/>
        <v/>
      </c>
      <c r="EL90" s="44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446" t="str">
        <f t="shared" si="128"/>
        <v/>
      </c>
      <c r="EN90" s="447" t="str">
        <f>IF(BD31="","",IF(ISERROR(VLOOKUP(BD31,TblJoistSize!$A$1:$G$274,2,FALSE)),"-",VLOOKUP(BD31,TblJoistSize!$A$1:$G$274,2,FALSE)))</f>
        <v/>
      </c>
      <c r="EO90" s="448" t="str">
        <f t="shared" si="129"/>
        <v/>
      </c>
    </row>
    <row r="91" spans="140:145" ht="15" customHeight="1" x14ac:dyDescent="0.2">
      <c r="EJ91" s="507" t="str">
        <f t="shared" si="127"/>
        <v/>
      </c>
      <c r="EL91" s="44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446" t="str">
        <f t="shared" si="128"/>
        <v/>
      </c>
      <c r="EN91" s="447" t="str">
        <f>IF(BD32="","",IF(ISERROR(VLOOKUP(BD32,TblJoistSize!$A$1:$G$274,2,FALSE)),"-",VLOOKUP(BD32,TblJoistSize!$A$1:$G$274,2,FALSE)))</f>
        <v/>
      </c>
      <c r="EO91" s="448" t="str">
        <f t="shared" si="129"/>
        <v/>
      </c>
    </row>
    <row r="92" spans="140:145" ht="15" customHeight="1" x14ac:dyDescent="0.2">
      <c r="EJ92" s="507" t="str">
        <f t="shared" si="127"/>
        <v/>
      </c>
      <c r="EL92" s="44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446" t="str">
        <f t="shared" si="128"/>
        <v/>
      </c>
      <c r="EN92" s="447" t="str">
        <f>IF(BD33="","",IF(ISERROR(VLOOKUP(BD33,TblJoistSize!$A$1:$G$274,2,FALSE)),"-",VLOOKUP(BD33,TblJoistSize!$A$1:$G$274,2,FALSE)))</f>
        <v/>
      </c>
      <c r="EO92" s="448" t="str">
        <f t="shared" si="129"/>
        <v/>
      </c>
    </row>
    <row r="93" spans="140:145" ht="15" customHeight="1" x14ac:dyDescent="0.2">
      <c r="EJ93" s="507" t="str">
        <f t="shared" si="127"/>
        <v/>
      </c>
      <c r="EL93" s="44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446" t="str">
        <f t="shared" si="128"/>
        <v/>
      </c>
      <c r="EN93" s="447" t="str">
        <f>IF(BD34="","",IF(ISERROR(VLOOKUP(BD34,TblJoistSize!$A$1:$G$274,2,FALSE)),"-",VLOOKUP(BD34,TblJoistSize!$A$1:$G$274,2,FALSE)))</f>
        <v/>
      </c>
      <c r="EO93" s="448" t="str">
        <f t="shared" si="129"/>
        <v/>
      </c>
    </row>
    <row r="94" spans="140:145" ht="15" customHeight="1" x14ac:dyDescent="0.2">
      <c r="EJ94" s="507" t="str">
        <f t="shared" si="127"/>
        <v/>
      </c>
      <c r="EL94" s="44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446" t="str">
        <f t="shared" si="128"/>
        <v/>
      </c>
      <c r="EN94" s="447" t="str">
        <f>IF(BD35="","",IF(ISERROR(VLOOKUP(BD35,TblJoistSize!$A$1:$G$274,2,FALSE)),"-",VLOOKUP(BD35,TblJoistSize!$A$1:$G$274,2,FALSE)))</f>
        <v/>
      </c>
      <c r="EO94" s="448" t="str">
        <f t="shared" si="129"/>
        <v/>
      </c>
    </row>
    <row r="95" spans="140:145" ht="15" customHeight="1" x14ac:dyDescent="0.2">
      <c r="EJ95" s="507" t="str">
        <f t="shared" si="127"/>
        <v/>
      </c>
      <c r="EL95" s="44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446" t="str">
        <f t="shared" si="128"/>
        <v/>
      </c>
      <c r="EN95" s="447" t="str">
        <f>IF(BD36="","",IF(ISERROR(VLOOKUP(BD36,TblJoistSize!$A$1:$G$274,2,FALSE)),"-",VLOOKUP(BD36,TblJoistSize!$A$1:$G$274,2,FALSE)))</f>
        <v/>
      </c>
      <c r="EO95" s="448" t="str">
        <f t="shared" si="129"/>
        <v/>
      </c>
    </row>
    <row r="96" spans="140:145" ht="15" customHeight="1" x14ac:dyDescent="0.2">
      <c r="EJ96" s="507" t="str">
        <f t="shared" si="127"/>
        <v/>
      </c>
      <c r="EL96" s="44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446" t="str">
        <f t="shared" si="128"/>
        <v/>
      </c>
      <c r="EN96" s="447" t="str">
        <f>IF(BD37="","",IF(ISERROR(VLOOKUP(BD37,TblJoistSize!$A$1:$G$274,2,FALSE)),"-",VLOOKUP(BD37,TblJoistSize!$A$1:$G$274,2,FALSE)))</f>
        <v/>
      </c>
      <c r="EO96" s="448" t="str">
        <f t="shared" si="129"/>
        <v/>
      </c>
    </row>
    <row r="97" spans="140:145" ht="15" customHeight="1" x14ac:dyDescent="0.2">
      <c r="EJ97" s="507" t="str">
        <f t="shared" si="127"/>
        <v/>
      </c>
      <c r="EL97" s="44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446" t="str">
        <f t="shared" si="128"/>
        <v/>
      </c>
      <c r="EN97" s="447" t="str">
        <f>IF(BD38="","",IF(ISERROR(VLOOKUP(BD38,TblJoistSize!$A$1:$G$274,2,FALSE)),"-",VLOOKUP(BD38,TblJoistSize!$A$1:$G$274,2,FALSE)))</f>
        <v/>
      </c>
      <c r="EO97" s="448" t="str">
        <f t="shared" si="129"/>
        <v/>
      </c>
    </row>
    <row r="98" spans="140:145" ht="15" customHeight="1" x14ac:dyDescent="0.2">
      <c r="EJ98" s="507" t="str">
        <f t="shared" si="127"/>
        <v/>
      </c>
      <c r="EL98" s="44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446" t="str">
        <f t="shared" si="128"/>
        <v/>
      </c>
      <c r="EN98" s="447" t="str">
        <f>IF(BD39="","",IF(ISERROR(VLOOKUP(BD39,TblJoistSize!$A$1:$G$274,2,FALSE)),"-",VLOOKUP(BD39,TblJoistSize!$A$1:$G$274,2,FALSE)))</f>
        <v/>
      </c>
      <c r="EO98" s="448" t="str">
        <f t="shared" si="129"/>
        <v/>
      </c>
    </row>
    <row r="99" spans="140:145" ht="15" customHeight="1" x14ac:dyDescent="0.2">
      <c r="EJ99" s="507" t="str">
        <f t="shared" si="127"/>
        <v/>
      </c>
      <c r="EL99" s="44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446" t="str">
        <f t="shared" si="128"/>
        <v/>
      </c>
      <c r="EN99" s="447" t="str">
        <f>IF(BD40="","",IF(ISERROR(VLOOKUP(BD40,TblJoistSize!$A$1:$G$274,2,FALSE)),"-",VLOOKUP(BD40,TblJoistSize!$A$1:$G$274,2,FALSE)))</f>
        <v/>
      </c>
      <c r="EO99" s="448" t="str">
        <f t="shared" si="129"/>
        <v/>
      </c>
    </row>
    <row r="100" spans="140:145" ht="15" customHeight="1" x14ac:dyDescent="0.2">
      <c r="EJ100" s="507" t="str">
        <f t="shared" si="127"/>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28"/>
        <v/>
      </c>
      <c r="EN100" s="447" t="str">
        <f>IF(BD41="","",IF(ISERROR(VLOOKUP(BD41,TblJoistSize!$A$1:$G$274,2,FALSE)),"-",VLOOKUP(BD41,TblJoistSize!$A$1:$G$274,2,FALSE)))</f>
        <v/>
      </c>
      <c r="EO100" s="448" t="str">
        <f t="shared" si="129"/>
        <v/>
      </c>
    </row>
    <row r="101" spans="140:145" x14ac:dyDescent="0.2">
      <c r="EJ101" s="507" t="str">
        <f t="shared" si="127"/>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28"/>
        <v/>
      </c>
      <c r="EN101" s="447" t="str">
        <f>IF(BD42="","",IF(ISERROR(VLOOKUP(BD42,TblJoistSize!$A$1:$G$274,2,FALSE)),"-",VLOOKUP(BD42,TblJoistSize!$A$1:$G$274,2,FALSE)))</f>
        <v/>
      </c>
      <c r="EO101" s="448" t="str">
        <f t="shared" si="129"/>
        <v/>
      </c>
    </row>
    <row r="102" spans="140:145" x14ac:dyDescent="0.2">
      <c r="EJ102" s="507" t="str">
        <f t="shared" si="127"/>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28"/>
        <v/>
      </c>
      <c r="EN102" s="447" t="str">
        <f>IF(BD43="","",IF(ISERROR(VLOOKUP(BD43,TblJoistSize!$A$1:$G$274,2,FALSE)),"-",VLOOKUP(BD43,TblJoistSize!$A$1:$G$274,2,FALSE)))</f>
        <v/>
      </c>
      <c r="EO102" s="448" t="str">
        <f t="shared" si="129"/>
        <v/>
      </c>
    </row>
    <row r="103" spans="140:145" x14ac:dyDescent="0.2">
      <c r="EJ103" s="507" t="str">
        <f t="shared" si="127"/>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28"/>
        <v/>
      </c>
      <c r="EN103" s="447" t="str">
        <f>IF(BD44="","",IF(ISERROR(VLOOKUP(BD44,TblJoistSize!$A$1:$G$274,2,FALSE)),"-",VLOOKUP(BD44,TblJoistSize!$A$1:$G$274,2,FALSE)))</f>
        <v/>
      </c>
      <c r="EO103" s="448" t="str">
        <f t="shared" si="129"/>
        <v/>
      </c>
    </row>
    <row r="104" spans="140:145" x14ac:dyDescent="0.2">
      <c r="EJ104" s="507" t="str">
        <f t="shared" si="127"/>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28"/>
        <v/>
      </c>
      <c r="EN104" s="447" t="str">
        <f>IF(BD45="","",IF(ISERROR(VLOOKUP(BD45,TblJoistSize!$A$1:$G$274,2,FALSE)),"-",VLOOKUP(BD45,TblJoistSize!$A$1:$G$274,2,FALSE)))</f>
        <v/>
      </c>
      <c r="EO104" s="448" t="str">
        <f t="shared" si="129"/>
        <v/>
      </c>
    </row>
  </sheetData>
  <sheetProtection algorithmName="SHA-512" hashValue="NWkkTflTVsdtz9gwfznFimqCNEn28qlfI5I2Zy5DTmNiyo8496wKO45ewAw5bLYL4lWdRGAmD5rDNJ5BxsZ8+g==" saltValue="Pqxgh8iSPd25GRA1trNCbw==" spinCount="100000" sheet="1" objects="1" scenarios="1" selectLockedCells="1"/>
  <dataConsolidate link="1"/>
  <mergeCells count="190">
    <mergeCell ref="CC6:CF6"/>
    <mergeCell ref="M7:S7"/>
    <mergeCell ref="C9:O9"/>
    <mergeCell ref="S9:AA9"/>
    <mergeCell ref="C10:O10"/>
    <mergeCell ref="S10:W10"/>
    <mergeCell ref="Z10:AA10"/>
    <mergeCell ref="P1:S1"/>
    <mergeCell ref="P2:S3"/>
    <mergeCell ref="P4:S4"/>
    <mergeCell ref="A5:M5"/>
    <mergeCell ref="M6:T6"/>
    <mergeCell ref="Y6:Z6"/>
    <mergeCell ref="HA12:IF13"/>
    <mergeCell ref="AU13:AU15"/>
    <mergeCell ref="AV13:AW15"/>
    <mergeCell ref="BB13:BF13"/>
    <mergeCell ref="BG13:BR13"/>
    <mergeCell ref="BS13:CD13"/>
    <mergeCell ref="CE13:CE15"/>
    <mergeCell ref="CF13:CG14"/>
    <mergeCell ref="FH12:FH15"/>
    <mergeCell ref="FI12:FI15"/>
    <mergeCell ref="FJ12:FJ15"/>
    <mergeCell ref="FK12:FK15"/>
    <mergeCell ref="FL12:FL15"/>
    <mergeCell ref="FM12:FM15"/>
    <mergeCell ref="FB12:FB15"/>
    <mergeCell ref="FC12:FC15"/>
    <mergeCell ref="FD12:FD15"/>
    <mergeCell ref="FE12:FE15"/>
    <mergeCell ref="FF12:FF15"/>
    <mergeCell ref="FG12:FG15"/>
    <mergeCell ref="EV12:EV15"/>
    <mergeCell ref="EW12:EW15"/>
    <mergeCell ref="EX12:EX15"/>
    <mergeCell ref="EY12:EY15"/>
    <mergeCell ref="CU13:DD13"/>
    <mergeCell ref="DE13:DN13"/>
    <mergeCell ref="GA13:GJ13"/>
    <mergeCell ref="A14:A15"/>
    <mergeCell ref="B14:B15"/>
    <mergeCell ref="C14:C15"/>
    <mergeCell ref="D14:E15"/>
    <mergeCell ref="F14:H14"/>
    <mergeCell ref="I14:K14"/>
    <mergeCell ref="L14:M14"/>
    <mergeCell ref="FN12:FN15"/>
    <mergeCell ref="FQ12:FR13"/>
    <mergeCell ref="EZ12:EZ15"/>
    <mergeCell ref="FA12:FA15"/>
    <mergeCell ref="BB11:CB12"/>
    <mergeCell ref="CD11:CG12"/>
    <mergeCell ref="CN12:CO14"/>
    <mergeCell ref="CP12:CQ14"/>
    <mergeCell ref="CR12:CR15"/>
    <mergeCell ref="CS12:CS15"/>
    <mergeCell ref="BC14:BC15"/>
    <mergeCell ref="BD14:BD15"/>
    <mergeCell ref="BE14:BF15"/>
    <mergeCell ref="BG14:BG15"/>
    <mergeCell ref="BH14:BI15"/>
    <mergeCell ref="BJ14:BJ15"/>
    <mergeCell ref="BK14:BL15"/>
    <mergeCell ref="BM14:BM15"/>
    <mergeCell ref="BN14:BN15"/>
    <mergeCell ref="BO14:BO15"/>
    <mergeCell ref="N14:P14"/>
    <mergeCell ref="Q14:S14"/>
    <mergeCell ref="T14:X14"/>
    <mergeCell ref="Y14:Z14"/>
    <mergeCell ref="AZ14:AZ15"/>
    <mergeCell ref="BB14:BB15"/>
    <mergeCell ref="BZ14:BZ15"/>
    <mergeCell ref="CA14:CA15"/>
    <mergeCell ref="CB14:CD14"/>
    <mergeCell ref="CH14:CJ14"/>
    <mergeCell ref="CK14:CK15"/>
    <mergeCell ref="CL14:CM14"/>
    <mergeCell ref="BP14:BR14"/>
    <mergeCell ref="BS14:BS15"/>
    <mergeCell ref="BT14:BU15"/>
    <mergeCell ref="BV14:BV15"/>
    <mergeCell ref="BW14:BX15"/>
    <mergeCell ref="BY14:BY15"/>
    <mergeCell ref="DA14:DA15"/>
    <mergeCell ref="DB14:DB15"/>
    <mergeCell ref="DC14:DC15"/>
    <mergeCell ref="DD14:DD15"/>
    <mergeCell ref="DE14:DE15"/>
    <mergeCell ref="DF14:DF15"/>
    <mergeCell ref="CU14:CU15"/>
    <mergeCell ref="CV14:CV15"/>
    <mergeCell ref="CW14:CW15"/>
    <mergeCell ref="CX14:CX15"/>
    <mergeCell ref="CY14:CY15"/>
    <mergeCell ref="CZ14:CZ15"/>
    <mergeCell ref="DM14:DM15"/>
    <mergeCell ref="DN14:DN15"/>
    <mergeCell ref="DO14:DO15"/>
    <mergeCell ref="DP14:DP15"/>
    <mergeCell ref="DQ14:DQ15"/>
    <mergeCell ref="DR14:DR15"/>
    <mergeCell ref="DG14:DG15"/>
    <mergeCell ref="DH14:DH15"/>
    <mergeCell ref="DI14:DI15"/>
    <mergeCell ref="DJ14:DJ15"/>
    <mergeCell ref="DK14:DK15"/>
    <mergeCell ref="DL14:DL15"/>
    <mergeCell ref="DZ14:EA14"/>
    <mergeCell ref="EB14:EB15"/>
    <mergeCell ref="EC14:EC15"/>
    <mergeCell ref="ED14:ED15"/>
    <mergeCell ref="EE14:EE15"/>
    <mergeCell ref="EF14:EG14"/>
    <mergeCell ref="DS14:DS15"/>
    <mergeCell ref="DT14:DU14"/>
    <mergeCell ref="DV14:DV15"/>
    <mergeCell ref="DW14:DW15"/>
    <mergeCell ref="DX14:DX15"/>
    <mergeCell ref="DY14:DY15"/>
    <mergeCell ref="ES14:ES15"/>
    <mergeCell ref="ET14:ET15"/>
    <mergeCell ref="EU14:EU15"/>
    <mergeCell ref="FO14:FO15"/>
    <mergeCell ref="FP14:FP15"/>
    <mergeCell ref="FQ14:FQ15"/>
    <mergeCell ref="EH14:EI14"/>
    <mergeCell ref="EJ14:EK14"/>
    <mergeCell ref="EL14:EL15"/>
    <mergeCell ref="EM14:EN14"/>
    <mergeCell ref="EO14:EP14"/>
    <mergeCell ref="EQ14:ER14"/>
    <mergeCell ref="GI14:GJ14"/>
    <mergeCell ref="GK14:GK15"/>
    <mergeCell ref="GL14:GL15"/>
    <mergeCell ref="FR14:FR15"/>
    <mergeCell ref="FS14:FS15"/>
    <mergeCell ref="FT14:FT15"/>
    <mergeCell ref="FU14:FV14"/>
    <mergeCell ref="GA14:GB14"/>
    <mergeCell ref="GC14:GD14"/>
    <mergeCell ref="F15:G15"/>
    <mergeCell ref="I15:J15"/>
    <mergeCell ref="N15:O15"/>
    <mergeCell ref="Q15:R15"/>
    <mergeCell ref="T15:U15"/>
    <mergeCell ref="V15:W15"/>
    <mergeCell ref="HY14:HY15"/>
    <mergeCell ref="HZ14:HZ15"/>
    <mergeCell ref="IA14:IA15"/>
    <mergeCell ref="HS14:HS15"/>
    <mergeCell ref="HT14:HT15"/>
    <mergeCell ref="HU14:HU15"/>
    <mergeCell ref="HV14:HV15"/>
    <mergeCell ref="HW14:HW15"/>
    <mergeCell ref="HX14:HX15"/>
    <mergeCell ref="HM14:HM15"/>
    <mergeCell ref="HN14:HN15"/>
    <mergeCell ref="HO14:HO15"/>
    <mergeCell ref="HP14:HP15"/>
    <mergeCell ref="HQ14:HQ15"/>
    <mergeCell ref="HR14:HR15"/>
    <mergeCell ref="HG14:HG15"/>
    <mergeCell ref="HH14:HH15"/>
    <mergeCell ref="HI14:HI15"/>
    <mergeCell ref="CP57:CQ57"/>
    <mergeCell ref="EL71:EO71"/>
    <mergeCell ref="EL72:EL74"/>
    <mergeCell ref="EM72:EM74"/>
    <mergeCell ref="EN72:EN74"/>
    <mergeCell ref="EO72:EO74"/>
    <mergeCell ref="EJ73:EJ74"/>
    <mergeCell ref="IE14:IE15"/>
    <mergeCell ref="IF14:IF15"/>
    <mergeCell ref="IB14:IB15"/>
    <mergeCell ref="IC14:IC15"/>
    <mergeCell ref="ID14:ID15"/>
    <mergeCell ref="HJ14:HJ15"/>
    <mergeCell ref="HK14:HK15"/>
    <mergeCell ref="HL14:HL15"/>
    <mergeCell ref="GM14:GM15"/>
    <mergeCell ref="HA14:HA15"/>
    <mergeCell ref="HB14:HB15"/>
    <mergeCell ref="HC14:HC15"/>
    <mergeCell ref="HD14:HE15"/>
    <mergeCell ref="HF14:HF15"/>
    <mergeCell ref="GE14:GE15"/>
    <mergeCell ref="GF14:GF15"/>
    <mergeCell ref="GG14:GH14"/>
  </mergeCells>
  <conditionalFormatting sqref="EF57">
    <cfRule type="cellIs" dxfId="163" priority="53" stopIfTrue="1" operator="notEqual">
      <formula>$EG57</formula>
    </cfRule>
  </conditionalFormatting>
  <conditionalFormatting sqref="EM57">
    <cfRule type="cellIs" dxfId="162" priority="54" stopIfTrue="1" operator="notEqual">
      <formula>$EN57</formula>
    </cfRule>
  </conditionalFormatting>
  <conditionalFormatting sqref="P2:S4">
    <cfRule type="cellIs" dxfId="161" priority="56" stopIfTrue="1" operator="equal">
      <formula>""</formula>
    </cfRule>
  </conditionalFormatting>
  <conditionalFormatting sqref="EF16:EF45">
    <cfRule type="cellIs" dxfId="160" priority="52" stopIfTrue="1" operator="notEqual">
      <formula>$EG16</formula>
    </cfRule>
  </conditionalFormatting>
  <conditionalFormatting sqref="CC7">
    <cfRule type="expression" dxfId="159" priority="51" stopIfTrue="1">
      <formula>ISBLANK($CC$7)</formula>
    </cfRule>
  </conditionalFormatting>
  <conditionalFormatting sqref="CC6">
    <cfRule type="expression" dxfId="158" priority="50" stopIfTrue="1">
      <formula>ISBLANK($CC$6)</formula>
    </cfRule>
  </conditionalFormatting>
  <conditionalFormatting sqref="M7">
    <cfRule type="expression" dxfId="157" priority="48" stopIfTrue="1">
      <formula>OR(ISBLANK($M$7),$M$7="")</formula>
    </cfRule>
    <cfRule type="expression" dxfId="156" priority="49" stopIfTrue="1">
      <formula>NOT(OR(COUNTIF(masterFinishList, $M$7) &gt; 0, COUNTIF($M$7, "Other:*") &gt; 0))</formula>
    </cfRule>
  </conditionalFormatting>
  <conditionalFormatting sqref="BD16:BD45">
    <cfRule type="expression" dxfId="155" priority="47">
      <formula>AND(NOT($AY16),NOT($AP16))</formula>
    </cfRule>
  </conditionalFormatting>
  <conditionalFormatting sqref="C16:C45">
    <cfRule type="expression" dxfId="154" priority="45">
      <formula>AND(NOT($AY16),NOT($AP16))</formula>
    </cfRule>
  </conditionalFormatting>
  <conditionalFormatting sqref="X16:X45">
    <cfRule type="expression" dxfId="153" priority="28">
      <formula>$X16=0</formula>
    </cfRule>
  </conditionalFormatting>
  <conditionalFormatting sqref="CG16:CG45">
    <cfRule type="expression" dxfId="152" priority="55">
      <formula>OR(CH16&lt;&gt;"",CI16&lt;&gt;"",CJ16&lt;&gt;"",CK16&lt;&gt;"",CL16&lt;&gt;"",CM16&lt;&gt;"",CP16&lt;&gt;"",CQ16&lt;&gt;"")</formula>
    </cfRule>
  </conditionalFormatting>
  <conditionalFormatting sqref="BE16:BF45">
    <cfRule type="expression" dxfId="151" priority="57">
      <formula>AND(NOT($AY16),AND($AZ16,AND($AK16&lt;&gt;"HDR",$AK16&lt;&gt;"JS",$AJ16&gt;=8)))</formula>
    </cfRule>
  </conditionalFormatting>
  <conditionalFormatting sqref="D16:E45">
    <cfRule type="expression" dxfId="150" priority="46">
      <formula>AND(NOT($AY16),AND($AZ16,AND($AK16&lt;&gt;"HDR",$AK16&lt;&gt;"JS",$AJ16&gt;=8)))</formula>
    </cfRule>
    <cfRule type="expression" dxfId="149" priority="80" stopIfTrue="1">
      <formula xml:space="preserve"> AND($GM16 &gt;= 0.125, $GL16 &gt; 0)</formula>
    </cfRule>
  </conditionalFormatting>
  <conditionalFormatting sqref="AA12">
    <cfRule type="expression" dxfId="148" priority="44">
      <formula>OR(ISBLANK(AA12),AA12="")</formula>
    </cfRule>
  </conditionalFormatting>
  <conditionalFormatting sqref="A16:S45 X16:AA45 BB16:CD45">
    <cfRule type="expression" dxfId="147" priority="58">
      <formula>$AC16</formula>
    </cfRule>
  </conditionalFormatting>
  <conditionalFormatting sqref="BG16:BG45">
    <cfRule type="expression" dxfId="146" priority="29">
      <formula>AND(NOT($AY16),ISERROR(CU16))</formula>
    </cfRule>
    <cfRule type="expression" dxfId="145" priority="42">
      <formula>AND(NOT($AY16),OR(CP16&lt;&gt;"", CU16=""))</formula>
    </cfRule>
  </conditionalFormatting>
  <conditionalFormatting sqref="BH16:BH45">
    <cfRule type="expression" dxfId="144" priority="36">
      <formula>AND(NOT($AY16),OR($CU16="M",$CU16="C",AND($CU16="B",$DC16&gt;0)))</formula>
    </cfRule>
    <cfRule type="expression" dxfId="143" priority="37">
      <formula>AND(NOT($AY16),AND(BH16="",BI16="",OR($CU16="B",$CU16="G")))</formula>
    </cfRule>
    <cfRule type="expression" dxfId="142" priority="38">
      <formula>AND(NOT($AY16),(BH16/2)/COS(RADIANS(BM16))+CV16-DW16&lt;VLOOKUP(AU16,$DF$2:$DJ$9,5,FALSE))</formula>
    </cfRule>
  </conditionalFormatting>
  <conditionalFormatting sqref="BI16:BI45">
    <cfRule type="expression" dxfId="141" priority="39">
      <formula>AND(NOT($AY16),OR($CU16="M",$CU16="C",AND($CU16="B",$DC16&gt;0)))</formula>
    </cfRule>
    <cfRule type="expression" dxfId="140" priority="40">
      <formula>AND(NOT($AY16),AND(BH16="",BI16="",OR($CU16="B",$CU16="G")))</formula>
    </cfRule>
    <cfRule type="expression" dxfId="139" priority="41">
      <formula>AND(NOT($AY16),(BI16/2)/COS(RADIANS(BM16))+CV16-DW16&lt;VLOOKUP(AU16,$DF$2:$DJ$9,5,FALSE))</formula>
    </cfRule>
  </conditionalFormatting>
  <conditionalFormatting sqref="BK16:BK45">
    <cfRule type="expression" dxfId="138" priority="30">
      <formula>AND(NOT($AY16),OR($CU16="M",$CU16="C",AND($CU16="B",$DA16&lt;&gt;"")))</formula>
    </cfRule>
    <cfRule type="expression" dxfId="137" priority="31">
      <formula>AND(NOT($AY16),AND(BJ16="X",BK16="",BL16=""))</formula>
    </cfRule>
    <cfRule type="expression" dxfId="136" priority="32">
      <formula>AND(NOT($AY16),EZ16="ERR")</formula>
    </cfRule>
  </conditionalFormatting>
  <conditionalFormatting sqref="BL16:BL45">
    <cfRule type="expression" dxfId="135" priority="33">
      <formula>AND(NOT($AY16),OR($CU16="M",$CU16="C",AND($CU16="B",$DA16&lt;&gt;"")))</formula>
    </cfRule>
    <cfRule type="expression" dxfId="134" priority="34">
      <formula>AND(NOT($AY16),AND(BJ16="X",BK16="",BL16=""))</formula>
    </cfRule>
    <cfRule type="expression" dxfId="133" priority="35">
      <formula>AND(NOT($AY16),EZ16="ERR")</formula>
    </cfRule>
  </conditionalFormatting>
  <conditionalFormatting sqref="A16:B45 BB16:BC45">
    <cfRule type="expression" dxfId="132" priority="43">
      <formula>AND(NOT($AE$1),$B16=0,$AD$1="M")</formula>
    </cfRule>
  </conditionalFormatting>
  <conditionalFormatting sqref="AA16:AA45">
    <cfRule type="expression" dxfId="131" priority="27">
      <formula>AND(NOT($AY16),LEN(AA16)&gt;31)</formula>
    </cfRule>
  </conditionalFormatting>
  <conditionalFormatting sqref="GA16:GB45">
    <cfRule type="expression" dxfId="130" priority="26" stopIfTrue="1">
      <formula>$GM16&gt;=0.125</formula>
    </cfRule>
  </conditionalFormatting>
  <conditionalFormatting sqref="BO16:BO45">
    <cfRule type="expression" dxfId="129" priority="21">
      <formula>AND(BO16="X",CY16="")</formula>
    </cfRule>
    <cfRule type="expression" dxfId="128" priority="22">
      <formula>AND(BO16="",CY16&lt;&gt;"")</formula>
    </cfRule>
  </conditionalFormatting>
  <conditionalFormatting sqref="CA16:CA45">
    <cfRule type="expression" dxfId="127" priority="23">
      <formula>AND(CA16="X",DI16="")</formula>
    </cfRule>
    <cfRule type="expression" dxfId="126" priority="24">
      <formula>AND(CA16="",DI16&lt;&gt;"")</formula>
    </cfRule>
  </conditionalFormatting>
  <conditionalFormatting sqref="CE16:CG45">
    <cfRule type="expression" dxfId="125" priority="25">
      <formula>$AC16</formula>
    </cfRule>
  </conditionalFormatting>
  <conditionalFormatting sqref="EM16:EM45">
    <cfRule type="cellIs" dxfId="124" priority="20" stopIfTrue="1" operator="notEqual">
      <formula>$EN16</formula>
    </cfRule>
  </conditionalFormatting>
  <conditionalFormatting sqref="U16:U45">
    <cfRule type="expression" dxfId="123" priority="16">
      <formula>AND(NOT($AY16),NOT(AR16),$P16&lt;&gt;3)</formula>
    </cfRule>
  </conditionalFormatting>
  <conditionalFormatting sqref="W16:W45">
    <cfRule type="expression" dxfId="122" priority="18">
      <formula>AND(NOT($AY16),NOT(AT16),$S16&lt;&gt;3)</formula>
    </cfRule>
  </conditionalFormatting>
  <conditionalFormatting sqref="T16:T45">
    <cfRule type="expression" dxfId="121" priority="15">
      <formula>AND(NOT($AY16),NOT(AR16),$P16&lt;&gt;3)</formula>
    </cfRule>
  </conditionalFormatting>
  <conditionalFormatting sqref="V16:V45">
    <cfRule type="expression" dxfId="120" priority="17">
      <formula>AND(NOT($AY16),NOT(AT16),$S16&lt;&gt;3)</formula>
    </cfRule>
  </conditionalFormatting>
  <conditionalFormatting sqref="T16:W45">
    <cfRule type="expression" dxfId="119" priority="19">
      <formula>$AC16</formula>
    </cfRule>
  </conditionalFormatting>
  <conditionalFormatting sqref="C57">
    <cfRule type="expression" dxfId="118" priority="12">
      <formula>AND(NOT($AY57),NOT($AP57))</formula>
    </cfRule>
  </conditionalFormatting>
  <conditionalFormatting sqref="X57">
    <cfRule type="expression" dxfId="117" priority="10">
      <formula>$X57=0</formula>
    </cfRule>
  </conditionalFormatting>
  <conditionalFormatting sqref="D57:E57">
    <cfRule type="expression" dxfId="116" priority="13">
      <formula>AND(NOT($AY57),AND($AZ57,AND($AK57&lt;&gt;"HDR",$AK57&lt;&gt;"JS",$AJ57&gt;=8)))</formula>
    </cfRule>
  </conditionalFormatting>
  <conditionalFormatting sqref="A57:S57 X57:AA57">
    <cfRule type="expression" dxfId="115" priority="14">
      <formula>$AC57</formula>
    </cfRule>
  </conditionalFormatting>
  <conditionalFormatting sqref="A57:B57">
    <cfRule type="expression" dxfId="114" priority="11">
      <formula>AND(NOT($AE$1),$B57=0,$AD$1="M")</formula>
    </cfRule>
  </conditionalFormatting>
  <conditionalFormatting sqref="AA57">
    <cfRule type="expression" dxfId="113" priority="9">
      <formula>AND(NOT($AY57),LEN(AA57)&gt;31)</formula>
    </cfRule>
  </conditionalFormatting>
  <conditionalFormatting sqref="U57">
    <cfRule type="expression" dxfId="112" priority="5">
      <formula>AND(NOT($AY57),NOT(AR57),$P57&lt;&gt;3)</formula>
    </cfRule>
  </conditionalFormatting>
  <conditionalFormatting sqref="W57">
    <cfRule type="expression" dxfId="111" priority="7">
      <formula>AND(NOT($AY57),NOT(AT57),$S57&lt;&gt;3)</formula>
    </cfRule>
  </conditionalFormatting>
  <conditionalFormatting sqref="T57">
    <cfRule type="expression" dxfId="110" priority="4">
      <formula>AND(NOT($AY57),NOT(AR57),$P57&lt;&gt;3)</formula>
    </cfRule>
  </conditionalFormatting>
  <conditionalFormatting sqref="V57">
    <cfRule type="expression" dxfId="109" priority="6">
      <formula>AND(NOT($AY57),NOT(AT57),$S57&lt;&gt;3)</formula>
    </cfRule>
  </conditionalFormatting>
  <conditionalFormatting sqref="T57:W57">
    <cfRule type="expression" dxfId="108" priority="8">
      <formula>$AC57</formula>
    </cfRule>
  </conditionalFormatting>
  <conditionalFormatting sqref="BQ16:BQ45">
    <cfRule type="expression" dxfId="107" priority="3">
      <formula>CP16&lt;&gt;""</formula>
    </cfRule>
  </conditionalFormatting>
  <conditionalFormatting sqref="CC16:CC45">
    <cfRule type="expression" dxfId="106" priority="2">
      <formula>CQ16&lt;&gt;""</formula>
    </cfRule>
  </conditionalFormatting>
  <conditionalFormatting sqref="BS16:BS45">
    <cfRule type="expression" dxfId="105" priority="59">
      <formula>AND(NOT($AY16),ISERROR(DE16))</formula>
    </cfRule>
    <cfRule type="expression" dxfId="104" priority="60">
      <formula>AND(NOT($AY16),OR(DE16="", CQ16&lt;&gt;""))</formula>
    </cfRule>
  </conditionalFormatting>
  <conditionalFormatting sqref="BW16:BW45">
    <cfRule type="expression" dxfId="103" priority="61">
      <formula>AND(NOT($AY16),OR($DE16="M",$DE16="C",AND($DE16="B",$DK16&lt;&gt;"")))</formula>
    </cfRule>
    <cfRule type="expression" dxfId="102" priority="62">
      <formula>AND(NOT($AY16),AND(BV16="X",BW16="",BX16=""))</formula>
    </cfRule>
    <cfRule type="expression" dxfId="101" priority="63">
      <formula>AND(NOT($AY16),FC16="ERR")</formula>
    </cfRule>
  </conditionalFormatting>
  <conditionalFormatting sqref="BX16:BX45">
    <cfRule type="expression" dxfId="100" priority="64">
      <formula>AND(NOT($AY16),OR($DE16="M",$DE16="C",AND($DE16="B",$DK16&lt;&gt;"")))</formula>
    </cfRule>
    <cfRule type="expression" dxfId="99" priority="65">
      <formula>AND(NOT($AY16),AND(BV16="X",BW16="",BX16=""))</formula>
    </cfRule>
    <cfRule type="expression" dxfId="98" priority="66">
      <formula>AND(NOT($AY16),FC16="ERR")</formula>
    </cfRule>
  </conditionalFormatting>
  <conditionalFormatting sqref="BT16:BT45">
    <cfRule type="expression" dxfId="97" priority="67">
      <formula>AND(NOT($AY16),OR($DE16="M",$DE16="C",AND($DE16="B",$DM16&gt;0)))</formula>
    </cfRule>
    <cfRule type="expression" dxfId="96" priority="68">
      <formula>AND(NOT($AY16),AND(BT16="",BU16="",OR($DE16="B",$DE16="G")))</formula>
    </cfRule>
    <cfRule type="expression" dxfId="95" priority="69">
      <formula>AND(NOT($AY16),(BT16/2)/COS(RADIANS(BY16))+DF16-EC16&lt;VLOOKUP(AU16,$DF$2:$DJ$9,5,FALSE))</formula>
    </cfRule>
  </conditionalFormatting>
  <conditionalFormatting sqref="BU16:BU45">
    <cfRule type="expression" dxfId="94" priority="70">
      <formula>AND(NOT($AY16),OR($DE16="M",$DE16="C",AND($DE16="B",$DM16&gt;0)))</formula>
    </cfRule>
    <cfRule type="expression" dxfId="93" priority="71">
      <formula>AND(NOT($AY16),AND(BT16="",BU16="",OR($DE16="B",$DE16="G")))</formula>
    </cfRule>
    <cfRule type="expression" dxfId="92" priority="72">
      <formula>AND(NOT($AY16),(BU16/2)/COS(RADIANS(BY16))+DF16-EC16&lt;VLOOKUP(AU16,$DF$2:$DJ$9,5,FALSE))</formula>
    </cfRule>
  </conditionalFormatting>
  <conditionalFormatting sqref="BZ16:BZ45 BN16:BN45">
    <cfRule type="expression" dxfId="91" priority="73">
      <formula>AND(NOT($AY16),AND(ISBLANK(BN16),AND(NOT(ISBLANK(BM16)),$CE16&lt;&gt;0)))</formula>
    </cfRule>
  </conditionalFormatting>
  <conditionalFormatting sqref="BJ16:BJ45">
    <cfRule type="expression" dxfId="90" priority="74">
      <formula>AND(NOT($AY16),OR($CU16="C",AND($CU16="M",$DA16&gt;0)))</formula>
    </cfRule>
    <cfRule type="expression" dxfId="89" priority="75">
      <formula>AND(NOT($AY16),OR(NOT(IF(AND(OR(MID($BB16,1,1)="T",($BE16+$BF16/12)/IF(ABS($CE16)&gt;$DQ$1,COS($DO16),1)&gt;=40),OR($CU16="B",$CU16="G")),"X","")="X"),$EZ16="ERR"))</formula>
    </cfRule>
    <cfRule type="expression" dxfId="88" priority="76">
      <formula>AND(NOT($AY16),$BJ16&lt;&gt;"X",$BJ16&lt;&gt;IF(AND(OR(MID(BB16,1,1)="T",($BE16+$BF16/12)/IF(ABS($CE16)&gt;$DQ$1,COS($DO16),1)&gt;=40),OR($CU16="B",$CU16="G")),"X",""))</formula>
    </cfRule>
  </conditionalFormatting>
  <conditionalFormatting sqref="BV16:BV45">
    <cfRule type="expression" dxfId="87" priority="77">
      <formula>AND(NOT($AY16),OR($DE16="C",AND($DE16="M",$DK16&gt;0)))</formula>
    </cfRule>
    <cfRule type="expression" dxfId="86" priority="78">
      <formula>AND(NOT($AY16),OR(NOT(IF(AND(OR(MID($BB16,1,1)="T",($BE16+$BF16/12)/IF(ABS($CE16)&gt;$DQ$1,COS($DO16),1)&gt;=40),OR($DE16="B",$DE16="G")),"X","")="X"),$FC16="ERR"))</formula>
    </cfRule>
    <cfRule type="expression" dxfId="85" priority="79">
      <formula>AND(NOT($AY16),$BV16&lt;&gt;"X",$BV16&lt;&gt;IF(AND(OR(MID(BB16,1,1)="T",($BE16+$BF16/12)/IF(ABS($CE16)&gt;$DQ$1,COS($DO16),1)&gt;=40),OR($DE16="B",$DE16="G")),"X",""))</formula>
    </cfRule>
  </conditionalFormatting>
  <conditionalFormatting sqref="GA57:GB57">
    <cfRule type="expression" dxfId="84" priority="1" stopIfTrue="1">
      <formula>$GM57&gt;=0.125</formula>
    </cfRule>
  </conditionalFormatting>
  <dataValidations count="14">
    <dataValidation type="whole" operator="greaterThan" allowBlank="1" showInputMessage="1" showErrorMessage="1" errorTitle="Quantity Error" error="Value must be an integer greater than -1000." sqref="B16:B45 BC16:BC45" xr:uid="{552F47FE-B19D-4F2F-8974-5311196D00F9}">
      <formula1>-1001</formula1>
    </dataValidation>
    <dataValidation type="decimal" operator="greaterThan" allowBlank="1" showInputMessage="1" showErrorMessage="1" errorTitle="Input Error" error="Positive Numeric Values Only!" sqref="BR16:BR45 CD16:CD45" xr:uid="{482EB459-4B52-45C5-B59F-49EC13FCCAD1}">
      <formula1>0</formula1>
    </dataValidation>
    <dataValidation type="decimal" allowBlank="1" showInputMessage="1" showErrorMessage="1" errorTitle="Input Error" error="Numbers from 0&quot; to 11 7/8&quot; only!" sqref="GB16:GB45 GB57" xr:uid="{DD39A368-F57C-409E-B8C8-8288CBA9B04B}">
      <formula1>0</formula1>
      <formula2>11.875</formula2>
    </dataValidation>
    <dataValidation type="whole" operator="greaterThanOrEqual" allowBlank="1" showInputMessage="1" showErrorMessage="1" errorTitle="Input Error" error="Positive Integers Only!" sqref="GA16:GA45 GA57" xr:uid="{8CE50FDC-6FF4-4314-8754-5D0DDA016037}">
      <formula1>0</formula1>
    </dataValidation>
    <dataValidation type="decimal" allowBlank="1" showInputMessage="1" showErrorMessage="1" errorTitle="Input Error" error="Numeric Values Only!" sqref="GC16:GD45 GC57:GD57 BP16:BP45 CB16:CB45" xr:uid="{090D8D79-FEC8-4CB8-BD06-0D645DF56711}">
      <formula1>-1200</formula1>
      <formula2>1200</formula2>
    </dataValidation>
    <dataValidation type="decimal" operator="lessThanOrEqual" allowBlank="1" showInputMessage="1" errorTitle="BL Over-Ride Error!" error="Base Length can't be past Joist Overall Length!  See section for Maximum Over-Ride Dimension." sqref="BQ16:BQ45" xr:uid="{CCBA8A94-DB6E-4EE4-916C-6F9A7B6DD4B5}">
      <formula1>$CV16</formula1>
    </dataValidation>
    <dataValidation type="decimal" operator="lessThanOrEqual" allowBlank="1" showInputMessage="1" errorTitle="BL Over-Ride Error!" error="Base Length can't be past Joist Overall Length!  See section for Maximum Over-Ride Dimension." sqref="CC16:CC45" xr:uid="{D73C91A7-3158-4D96-9CD1-E3A522E345B6}">
      <formula1>$DF16</formula1>
    </dataValidation>
    <dataValidation type="whole" operator="greaterThanOrEqual" allowBlank="1" showInputMessage="1" showErrorMessage="1" sqref="B57" xr:uid="{593F7BD0-EDC9-4EA0-AB89-09860773E6A1}">
      <formula1>0</formula1>
    </dataValidation>
    <dataValidation type="decimal" operator="greaterThan" allowBlank="1" showInputMessage="1" showErrorMessage="1" errorTitle="Dimensional Error" error="Only positive numeric values can be entered here." sqref="L16:M45 L57:M57" xr:uid="{CB71D312-E4F8-4C8E-A4A4-7AE74F654BD9}">
      <formula1>0</formula1>
    </dataValidation>
    <dataValidation type="decimal" operator="notEqual" allowBlank="1" showInputMessage="1" showErrorMessage="1" errorTitle="input Error" error="Enter + or - Numbers Only._x000a_Do NOT use &quot;&lt;&quot; or &quot;&gt;&quot;." sqref="Y16:Z45 Y57:Z57" xr:uid="{06D4766E-D48A-43DA-9802-9450567F30AC}">
      <formula1>0</formula1>
    </dataValidation>
    <dataValidation type="decimal" operator="greaterThanOrEqual" allowBlank="1" showInputMessage="1" showErrorMessage="1" errorTitle="Dimensional Error" error="&quot;Inches&quot; must be a number." sqref="BH16:BI45 BK16:BL45 BT16:BU45 BW16:BX45" xr:uid="{FF49EADB-A32A-44A6-ABA9-44A15B79C03A}">
      <formula1>0</formula1>
    </dataValidation>
    <dataValidation type="decimal" allowBlank="1" showInputMessage="1" showErrorMessage="1" errorTitle="Dimensional Error" error="&quot;Inches&quot; must be a number from 0 to 11.875." sqref="BF16:BF45 G16:G45 J16:J45 W16:W45 U16:U45 E16:E45 G57 J57 W57 U57 E57" xr:uid="{C74388EC-9241-41E7-9AE6-976AE3B48BCB}">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F3F346FA-CEBC-48BE-82A5-0D62DB5E6061}">
      <formula1>0</formula1>
    </dataValidation>
    <dataValidation type="list" allowBlank="1" showInputMessage="1" sqref="CC6:CF6 M7:S7" xr:uid="{3A31AE13-E7E3-4C73-A879-C51A373B7358}">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C5F3B-F875-49F0-9404-B1C352C03EF1}">
  <sheetPr codeName="Sheet36">
    <tabColor indexed="41"/>
  </sheetPr>
  <dimension ref="A1:IC301"/>
  <sheetViews>
    <sheetView showGridLines="0" zoomScaleNormal="100" zoomScaleSheetLayoutView="105" workbookViewId="0">
      <selection activeCell="O7" sqref="O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197"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ht="14.45" customHeight="1" thickBot="1" x14ac:dyDescent="0.25">
      <c r="A1" s="374"/>
      <c r="B1" s="374"/>
      <c r="C1" s="374"/>
      <c r="D1" s="374"/>
      <c r="E1" s="373"/>
      <c r="F1" s="373"/>
      <c r="G1" s="373"/>
      <c r="H1" s="373"/>
      <c r="I1" s="374"/>
      <c r="J1" s="1848" t="str">
        <f>IF(R1="","",VLOOKUP(R1,'Job Info.'!X:AA,4,FALSE))</f>
        <v>Master</v>
      </c>
      <c r="K1" s="1848"/>
      <c r="L1" s="1848"/>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c r="HS1" s="245"/>
      <c r="HT1" s="245"/>
      <c r="HU1" s="245"/>
      <c r="HV1" s="245"/>
      <c r="HW1" s="245"/>
      <c r="HX1" s="245"/>
      <c r="HY1" s="245"/>
      <c r="HZ1" s="245"/>
      <c r="IA1" s="245"/>
      <c r="IB1" s="245"/>
    </row>
    <row r="2" spans="1:237" ht="12.95" customHeight="1" thickTop="1" x14ac:dyDescent="0.2">
      <c r="A2" s="374"/>
      <c r="B2" s="374"/>
      <c r="C2" s="374"/>
      <c r="D2" s="374"/>
      <c r="E2" s="382"/>
      <c r="F2" s="382"/>
      <c r="G2" s="382"/>
      <c r="H2" s="382"/>
      <c r="I2" s="374"/>
      <c r="J2" s="1853" t="str">
        <f>IF(R1="","",IF(VLOOKUP(R1,'Job Info.'!X:Z,2,FALSE),"Released for Fabrication",""))</f>
        <v/>
      </c>
      <c r="K2" s="1854"/>
      <c r="L2" s="1855"/>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c r="HR2" s="245"/>
      <c r="HS2" s="245"/>
      <c r="HT2" s="245"/>
      <c r="HU2" s="245"/>
      <c r="HV2" s="245"/>
      <c r="HW2" s="245"/>
      <c r="HX2" s="245"/>
      <c r="HY2" s="245"/>
      <c r="HZ2" s="245"/>
      <c r="IA2" s="245"/>
      <c r="IB2" s="245"/>
      <c r="IC2" s="245"/>
    </row>
    <row r="3" spans="1:237" ht="12.95" customHeight="1" x14ac:dyDescent="0.2">
      <c r="A3" s="374"/>
      <c r="B3" s="374"/>
      <c r="C3" s="374"/>
      <c r="D3" s="374"/>
      <c r="E3" s="373"/>
      <c r="F3" s="374"/>
      <c r="G3" s="374"/>
      <c r="H3" s="374"/>
      <c r="I3" s="374"/>
      <c r="J3" s="1856"/>
      <c r="K3" s="1857"/>
      <c r="L3" s="1858"/>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c r="HR3" s="245"/>
      <c r="HS3" s="245"/>
      <c r="HT3" s="245"/>
      <c r="HU3" s="245"/>
      <c r="HV3" s="245"/>
      <c r="HW3" s="245"/>
      <c r="HX3" s="245"/>
      <c r="HY3" s="245"/>
      <c r="HZ3" s="245"/>
      <c r="IA3" s="245"/>
      <c r="IB3" s="245"/>
      <c r="IC3" s="245"/>
    </row>
    <row r="4" spans="1:237" ht="12.95" customHeight="1" thickBot="1" x14ac:dyDescent="0.25">
      <c r="A4" s="374"/>
      <c r="B4" s="374"/>
      <c r="C4" s="374"/>
      <c r="D4" s="374"/>
      <c r="E4" s="374"/>
      <c r="F4" s="374"/>
      <c r="G4" s="374"/>
      <c r="H4" s="374"/>
      <c r="I4" s="374"/>
      <c r="J4" s="1859" t="str">
        <f>IF(R1="","",IF(VLOOKUP(R1,'Job Info.'!X:Z,2,FALSE),VLOOKUP(R1,'Job Info.'!X:Z,3,FALSE),""))</f>
        <v/>
      </c>
      <c r="K4" s="1860"/>
      <c r="L4" s="1861"/>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c r="HR4" s="245"/>
      <c r="HS4" s="245"/>
      <c r="HT4" s="245"/>
      <c r="HU4" s="245"/>
      <c r="HV4" s="245"/>
      <c r="HW4" s="245"/>
      <c r="HX4" s="245"/>
      <c r="HY4" s="245"/>
      <c r="HZ4" s="245"/>
      <c r="IA4" s="245"/>
      <c r="IB4" s="245"/>
      <c r="IC4" s="245"/>
    </row>
    <row r="5" spans="1:237" ht="12.95" customHeight="1" thickTop="1" x14ac:dyDescent="0.2">
      <c r="A5" s="2100" t="str">
        <f ca="1">'Job Info.'!D11</f>
        <v>8200 Woolery Way | Fallon, NV 89406 | www.newmill.com</v>
      </c>
      <c r="B5" s="2423"/>
      <c r="C5" s="2423"/>
      <c r="D5" s="2423"/>
      <c r="E5" s="2423"/>
      <c r="F5" s="2423"/>
      <c r="G5" s="2423"/>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c r="HR5" s="245"/>
      <c r="HS5" s="245"/>
      <c r="HT5" s="245"/>
      <c r="HU5" s="245"/>
      <c r="HV5" s="245"/>
      <c r="HW5" s="245"/>
      <c r="HX5" s="245"/>
      <c r="HY5" s="245"/>
      <c r="HZ5" s="245"/>
      <c r="IA5" s="245"/>
      <c r="IB5" s="245"/>
      <c r="IC5" s="245"/>
    </row>
    <row r="6" spans="1:237" ht="12.95" customHeight="1" x14ac:dyDescent="0.2">
      <c r="A6" s="374"/>
      <c r="B6" s="374"/>
      <c r="C6" s="374"/>
      <c r="D6" s="374"/>
      <c r="E6" s="373"/>
      <c r="F6" s="374"/>
      <c r="G6" s="374"/>
      <c r="H6" s="374"/>
      <c r="I6" s="374"/>
      <c r="J6" s="374"/>
      <c r="K6" s="374"/>
      <c r="L6" s="374"/>
      <c r="M6" s="374"/>
      <c r="N6" s="460" t="s">
        <v>20</v>
      </c>
      <c r="O6" s="2539">
        <f>IF(ISBLANK('Job Info.'!D8),"",'Job Info.'!D8)</f>
        <v>45048</v>
      </c>
      <c r="P6" s="2539"/>
      <c r="R6" s="503" t="s">
        <v>1132</v>
      </c>
      <c r="GZ6" s="245"/>
      <c r="HA6" s="245"/>
      <c r="HB6" s="245"/>
      <c r="HC6" s="245"/>
      <c r="HD6" s="247"/>
      <c r="HE6" s="381"/>
      <c r="HF6" s="245"/>
      <c r="HG6" s="245"/>
      <c r="HH6" s="245"/>
      <c r="HI6" s="245"/>
      <c r="HJ6" s="245"/>
      <c r="HK6" s="245"/>
      <c r="HL6" s="245"/>
      <c r="HM6" s="245"/>
      <c r="HN6" s="245"/>
      <c r="HO6" s="245"/>
      <c r="HP6" s="245"/>
      <c r="HQ6" s="245"/>
      <c r="HR6" s="245"/>
      <c r="HS6" s="245"/>
      <c r="HT6" s="245"/>
      <c r="HU6" s="245"/>
      <c r="HV6" s="245"/>
      <c r="HW6" s="245"/>
      <c r="HX6" s="245"/>
      <c r="HY6" s="245"/>
      <c r="HZ6" s="245"/>
      <c r="IA6" s="245"/>
      <c r="IB6" s="245"/>
      <c r="IC6" s="245"/>
    </row>
    <row r="7" spans="1:237" ht="12.95" customHeight="1" x14ac:dyDescent="0.2">
      <c r="A7" s="395" t="s">
        <v>39</v>
      </c>
      <c r="B7" s="374"/>
      <c r="C7" s="374"/>
      <c r="D7" s="374"/>
      <c r="E7" s="374"/>
      <c r="F7" s="374"/>
      <c r="G7" s="467"/>
      <c r="H7" s="460" t="s">
        <v>26</v>
      </c>
      <c r="I7" s="2667" t="s">
        <v>1389</v>
      </c>
      <c r="J7" s="2668"/>
      <c r="K7" s="2668"/>
      <c r="L7" s="1940"/>
      <c r="M7" s="374"/>
      <c r="N7" s="460" t="s">
        <v>21</v>
      </c>
      <c r="O7" s="1175" t="str">
        <f>CONCATENATE(R7, " of ",IF(ISBLANK('Job Info.'!D9),"",'Job Info.'!D9))</f>
        <v>19 of 19</v>
      </c>
      <c r="P7" s="662"/>
      <c r="R7" s="1083">
        <v>19</v>
      </c>
      <c r="GZ7" s="245"/>
      <c r="HA7" s="245"/>
      <c r="HB7" s="245"/>
      <c r="HC7" s="245"/>
      <c r="HD7" s="247"/>
      <c r="HE7" s="381"/>
      <c r="HF7" s="245"/>
      <c r="HG7" s="245"/>
      <c r="HH7" s="245"/>
      <c r="HI7" s="245"/>
      <c r="HJ7" s="245"/>
      <c r="HK7" s="245"/>
      <c r="HL7" s="245"/>
      <c r="HM7" s="245"/>
      <c r="HN7" s="245"/>
      <c r="HO7" s="245"/>
      <c r="HP7" s="245"/>
      <c r="HQ7" s="245"/>
      <c r="HR7" s="245"/>
      <c r="HS7" s="245"/>
      <c r="HT7" s="245"/>
      <c r="HU7" s="245"/>
      <c r="HV7" s="245"/>
      <c r="HW7" s="245"/>
      <c r="HX7" s="245"/>
      <c r="HY7" s="245"/>
      <c r="HZ7" s="245"/>
      <c r="IA7" s="245"/>
      <c r="IB7" s="245"/>
      <c r="IC7" s="245"/>
    </row>
    <row r="8" spans="1:237" ht="2.85" customHeight="1" x14ac:dyDescent="0.2">
      <c r="A8" s="374"/>
      <c r="B8" s="374"/>
      <c r="C8" s="374"/>
      <c r="D8" s="374"/>
      <c r="E8" s="374"/>
      <c r="F8" s="374"/>
      <c r="G8" s="374"/>
      <c r="H8" s="374"/>
      <c r="I8" s="2534" t="str">
        <f>IF(I7="NO PAINT - GALV","GALV. BOLTS","")</f>
        <v/>
      </c>
      <c r="J8" s="2534"/>
      <c r="K8" s="2534"/>
      <c r="L8" s="374"/>
      <c r="M8" s="374"/>
      <c r="N8" s="374"/>
      <c r="O8" s="374"/>
      <c r="P8" s="374"/>
      <c r="GZ8" s="245"/>
      <c r="HA8" s="245"/>
      <c r="HB8" s="245"/>
      <c r="HC8" s="245"/>
      <c r="HD8" s="247"/>
      <c r="HE8" s="381"/>
      <c r="HF8" s="245"/>
      <c r="HG8" s="245"/>
      <c r="HH8" s="245"/>
      <c r="HI8" s="245"/>
      <c r="HJ8" s="245"/>
      <c r="HK8" s="245"/>
      <c r="HL8" s="245"/>
      <c r="HM8" s="245"/>
      <c r="HN8" s="245"/>
      <c r="HO8" s="245"/>
      <c r="HP8" s="245"/>
      <c r="HQ8" s="245"/>
      <c r="HR8" s="245"/>
      <c r="HS8" s="245"/>
      <c r="HT8" s="245"/>
      <c r="HU8" s="245"/>
      <c r="HV8" s="245"/>
      <c r="HW8" s="245"/>
      <c r="HX8" s="245"/>
      <c r="HY8" s="245"/>
      <c r="HZ8" s="245"/>
      <c r="IA8" s="245"/>
      <c r="IB8" s="245"/>
      <c r="IC8" s="245"/>
    </row>
    <row r="9" spans="1:237" ht="12.2" customHeight="1" x14ac:dyDescent="0.2">
      <c r="A9" s="471" t="s">
        <v>1</v>
      </c>
      <c r="B9" s="239"/>
      <c r="C9" s="1824" t="str">
        <f>IF(ISBLANK('Job Info.'!D3),"",'Job Info.'!D3)</f>
        <v>MINDEN UPS BLDG 1</v>
      </c>
      <c r="D9" s="1824"/>
      <c r="E9" s="1824"/>
      <c r="F9" s="1824"/>
      <c r="G9" s="1903"/>
      <c r="H9" s="468"/>
      <c r="I9" s="458" t="s">
        <v>2</v>
      </c>
      <c r="J9" s="1824" t="str">
        <f>IF(ISBLANK('Job Info.'!D5),"",'Job Info.'!D5)</f>
        <v>NN22-0071</v>
      </c>
      <c r="K9" s="1824"/>
      <c r="L9" s="1824"/>
      <c r="M9" s="1824"/>
      <c r="N9" s="1824"/>
      <c r="O9" s="1824"/>
      <c r="P9" s="1825"/>
      <c r="GZ9" s="245"/>
      <c r="HA9" s="245"/>
      <c r="HB9" s="245"/>
      <c r="HC9" s="245"/>
      <c r="HD9" s="247"/>
      <c r="HE9" s="381"/>
      <c r="HF9" s="245"/>
      <c r="HG9" s="245"/>
      <c r="HH9" s="245"/>
      <c r="HI9" s="245"/>
      <c r="HJ9" s="245"/>
      <c r="HK9" s="245"/>
      <c r="HL9" s="245"/>
      <c r="HM9" s="245"/>
      <c r="HN9" s="245"/>
      <c r="HO9" s="245"/>
      <c r="HP9" s="245"/>
      <c r="HQ9" s="245"/>
      <c r="HR9" s="245"/>
      <c r="HS9" s="245"/>
      <c r="HT9" s="245"/>
      <c r="HU9" s="245"/>
      <c r="HV9" s="245"/>
      <c r="HW9" s="245"/>
      <c r="HX9" s="245"/>
      <c r="HY9" s="245"/>
      <c r="HZ9" s="245"/>
      <c r="IA9" s="245"/>
      <c r="IB9" s="245"/>
      <c r="IC9" s="245"/>
    </row>
    <row r="10" spans="1:237" ht="12.2" customHeight="1" x14ac:dyDescent="0.2">
      <c r="A10" s="471" t="s">
        <v>3</v>
      </c>
      <c r="B10" s="239"/>
      <c r="C10" s="1824" t="str">
        <f>IF(ISBLANK('Job Info.'!D4),"",'Job Info.'!D4)</f>
        <v>MINDEN, NV</v>
      </c>
      <c r="D10" s="1824"/>
      <c r="E10" s="1824"/>
      <c r="F10" s="1824"/>
      <c r="G10" s="1903"/>
      <c r="H10" s="468"/>
      <c r="I10" s="471" t="s">
        <v>22</v>
      </c>
      <c r="J10" s="1824" t="str">
        <f>IF(ISBLANK('Job Info.'!D6),"",'Job Info.'!D6)</f>
        <v>JMM</v>
      </c>
      <c r="K10" s="1824"/>
      <c r="L10" s="1825"/>
      <c r="M10" s="469"/>
      <c r="N10" s="458" t="s">
        <v>23</v>
      </c>
      <c r="O10" s="1824" t="str">
        <f>IF(ISBLANK('Job Info.'!D7),"",'Job Info.'!D7)</f>
        <v>NR</v>
      </c>
      <c r="P10" s="1825"/>
      <c r="GZ10" s="245"/>
      <c r="HA10" s="245"/>
      <c r="HB10" s="245"/>
      <c r="HC10" s="245"/>
      <c r="HD10" s="247"/>
      <c r="HE10" s="381"/>
      <c r="HF10" s="245"/>
      <c r="HG10" s="245"/>
      <c r="HH10" s="245"/>
      <c r="HI10" s="245"/>
      <c r="HJ10" s="245"/>
      <c r="HK10" s="245"/>
      <c r="HL10" s="245"/>
      <c r="HM10" s="245"/>
      <c r="HN10" s="245"/>
      <c r="HO10" s="245"/>
      <c r="HP10" s="245"/>
      <c r="HY10" s="255"/>
      <c r="HZ10" s="255"/>
      <c r="IA10" s="245"/>
      <c r="IB10" s="245"/>
      <c r="IC10" s="245"/>
    </row>
    <row r="11" spans="1:237" ht="49.5" customHeight="1" x14ac:dyDescent="0.2">
      <c r="A11" s="19"/>
      <c r="B11" s="19"/>
      <c r="C11" s="19"/>
      <c r="D11" s="19"/>
      <c r="E11" s="19"/>
      <c r="F11" s="19"/>
      <c r="G11" s="19"/>
      <c r="H11" s="19"/>
      <c r="I11" s="19"/>
      <c r="J11" s="19"/>
      <c r="K11" s="19"/>
      <c r="L11" s="19"/>
      <c r="M11" s="19"/>
      <c r="N11" s="19"/>
      <c r="O11" s="19"/>
      <c r="P11" s="19"/>
      <c r="GZ11" s="245"/>
      <c r="HA11" s="245"/>
      <c r="HB11" s="245"/>
      <c r="HC11" s="245"/>
      <c r="HD11" s="247"/>
      <c r="HE11" s="381"/>
      <c r="HF11" s="245"/>
      <c r="HG11" s="245"/>
      <c r="HH11" s="245"/>
      <c r="HI11" s="245"/>
      <c r="HJ11" s="245"/>
      <c r="HK11" s="245"/>
      <c r="HL11" s="245"/>
      <c r="HM11" s="245"/>
      <c r="HN11" s="245"/>
      <c r="HO11" s="245"/>
      <c r="HP11" s="245"/>
      <c r="HY11" s="245"/>
      <c r="HZ11" s="245"/>
      <c r="IA11" s="245"/>
      <c r="IB11" s="245"/>
      <c r="IC11" s="245"/>
    </row>
    <row r="12" spans="1:237" ht="12.6" customHeight="1" x14ac:dyDescent="0.2">
      <c r="A12" s="2532"/>
      <c r="B12" s="2532"/>
      <c r="C12" s="2532"/>
      <c r="D12" s="2532"/>
      <c r="E12" s="2532"/>
      <c r="F12" s="1109"/>
      <c r="G12" s="1108"/>
      <c r="H12" s="24"/>
      <c r="I12" s="24"/>
      <c r="J12" s="24"/>
      <c r="K12" s="24"/>
      <c r="L12" s="25"/>
      <c r="M12" s="2532"/>
      <c r="N12" s="2532"/>
      <c r="O12" s="25"/>
      <c r="P12" s="19"/>
      <c r="GZ12" s="245"/>
      <c r="HW12" s="1285"/>
      <c r="HY12" s="245"/>
      <c r="HZ12" s="245"/>
      <c r="IA12" s="245"/>
      <c r="IB12" s="245"/>
      <c r="IC12" s="245"/>
    </row>
    <row r="13" spans="1:237" ht="12.6" customHeight="1" x14ac:dyDescent="0.25">
      <c r="A13" s="26"/>
      <c r="B13" s="26"/>
      <c r="C13" s="26"/>
      <c r="D13" s="1109"/>
      <c r="E13" s="1109"/>
      <c r="F13" s="1109"/>
      <c r="G13" s="1109"/>
      <c r="H13" s="1109"/>
      <c r="I13" s="1109"/>
      <c r="J13" s="1109"/>
      <c r="K13" s="1109"/>
      <c r="L13" s="25"/>
      <c r="M13" s="25"/>
      <c r="N13" s="25"/>
      <c r="O13" s="25"/>
      <c r="P13" s="19"/>
      <c r="GZ13" s="245"/>
      <c r="HW13" s="1285"/>
      <c r="HY13" s="245"/>
      <c r="HZ13" s="245"/>
      <c r="IA13" s="245"/>
      <c r="IB13" s="245"/>
      <c r="IC13" s="245"/>
    </row>
    <row r="14" spans="1:237" ht="12.6" customHeight="1" x14ac:dyDescent="0.25">
      <c r="A14" s="25"/>
      <c r="B14" s="26"/>
      <c r="C14" s="26"/>
      <c r="D14" s="1109"/>
      <c r="E14" s="1109"/>
      <c r="F14" s="1109"/>
      <c r="G14" s="1109"/>
      <c r="H14" s="1109"/>
      <c r="I14" s="1109"/>
      <c r="J14" s="1109"/>
      <c r="K14" s="1109"/>
      <c r="L14" s="25"/>
      <c r="M14" s="25"/>
      <c r="N14" s="25"/>
      <c r="O14" s="25"/>
      <c r="P14" s="19"/>
      <c r="GZ14" s="245"/>
      <c r="HW14" s="1285"/>
      <c r="IC14" s="245"/>
    </row>
    <row r="15" spans="1:237" ht="12.6" customHeight="1" x14ac:dyDescent="0.25">
      <c r="A15" s="26"/>
      <c r="B15" s="26"/>
      <c r="C15" s="26"/>
      <c r="D15" s="25"/>
      <c r="E15" s="1109"/>
      <c r="F15" s="1109"/>
      <c r="G15" s="1109"/>
      <c r="H15" s="1109"/>
      <c r="I15" s="1109"/>
      <c r="J15" s="1109"/>
      <c r="K15" s="1109"/>
      <c r="L15" s="25"/>
      <c r="M15" s="25"/>
      <c r="N15" s="25"/>
      <c r="O15" s="25"/>
      <c r="P15" s="19"/>
      <c r="GZ15" s="245"/>
      <c r="IC15" s="245"/>
    </row>
    <row r="16" spans="1:237" ht="12.6" customHeight="1" x14ac:dyDescent="0.25">
      <c r="A16" s="26"/>
      <c r="B16" s="26"/>
      <c r="C16" s="26"/>
      <c r="D16" s="1109"/>
      <c r="E16" s="1109"/>
      <c r="F16" s="1109"/>
      <c r="G16" s="1109"/>
      <c r="H16" s="1109"/>
      <c r="I16" s="1109"/>
      <c r="J16" s="1109"/>
      <c r="K16" s="1109"/>
      <c r="L16" s="25"/>
      <c r="M16" s="25"/>
      <c r="N16" s="25"/>
      <c r="O16" s="25"/>
      <c r="P16" s="19"/>
      <c r="GZ16" s="245"/>
      <c r="IC16" s="245"/>
    </row>
    <row r="17" spans="1:225" ht="12.6" customHeight="1" x14ac:dyDescent="0.25">
      <c r="A17" s="26"/>
      <c r="B17" s="26"/>
      <c r="C17" s="26"/>
      <c r="D17" s="25"/>
      <c r="E17" s="25"/>
      <c r="F17" s="1109"/>
      <c r="G17" s="1109"/>
      <c r="H17" s="1109"/>
      <c r="I17" s="1109"/>
      <c r="J17" s="1109"/>
      <c r="K17" s="1109"/>
      <c r="L17" s="25"/>
      <c r="M17" s="25"/>
      <c r="N17" s="25"/>
      <c r="O17" s="25"/>
      <c r="P17" s="19"/>
    </row>
    <row r="18" spans="1:225" ht="12.6" customHeight="1" x14ac:dyDescent="0.25">
      <c r="A18" s="26"/>
      <c r="B18" s="26"/>
      <c r="C18" s="26"/>
      <c r="D18" s="2533"/>
      <c r="E18" s="2533"/>
      <c r="F18" s="25"/>
      <c r="G18" s="1109"/>
      <c r="H18" s="1109"/>
      <c r="I18" s="1109"/>
      <c r="J18" s="1109"/>
      <c r="K18" s="1109"/>
      <c r="L18" s="25"/>
      <c r="M18" s="25"/>
      <c r="N18" s="25"/>
      <c r="O18" s="25"/>
      <c r="P18" s="19"/>
    </row>
    <row r="19" spans="1:225" ht="12.6" customHeight="1" x14ac:dyDescent="0.2">
      <c r="A19" s="25"/>
      <c r="B19" s="25"/>
      <c r="C19" s="25"/>
      <c r="D19" s="25"/>
      <c r="E19" s="25"/>
      <c r="F19" s="1109"/>
      <c r="G19" s="25"/>
      <c r="H19" s="25"/>
      <c r="I19" s="25"/>
      <c r="J19" s="25"/>
      <c r="K19" s="25"/>
      <c r="L19" s="25"/>
      <c r="M19" s="25"/>
      <c r="N19" s="25"/>
      <c r="O19" s="25"/>
      <c r="P19" s="19"/>
    </row>
    <row r="20" spans="1:225" ht="12.6" customHeight="1" x14ac:dyDescent="0.2">
      <c r="A20" s="25"/>
      <c r="B20" s="25"/>
      <c r="C20" s="25"/>
      <c r="D20" s="25"/>
      <c r="E20" s="25"/>
      <c r="F20" s="1109"/>
      <c r="G20" s="25"/>
      <c r="H20" s="25"/>
      <c r="I20" s="25"/>
      <c r="J20" s="25"/>
      <c r="K20" s="25"/>
      <c r="L20" s="25"/>
      <c r="M20" s="25"/>
      <c r="N20" s="25"/>
      <c r="O20" s="25"/>
      <c r="P20" s="19"/>
    </row>
    <row r="21" spans="1:225" ht="12.6" customHeight="1" x14ac:dyDescent="0.2">
      <c r="A21" s="2531"/>
      <c r="B21" s="2531"/>
      <c r="C21" s="2531"/>
      <c r="D21" s="1113"/>
      <c r="E21" s="28"/>
      <c r="F21" s="29"/>
      <c r="G21" s="28"/>
      <c r="H21" s="28"/>
      <c r="I21" s="28"/>
      <c r="J21" s="28"/>
      <c r="K21" s="28"/>
      <c r="L21" s="28"/>
      <c r="M21" s="28"/>
      <c r="N21" s="28"/>
      <c r="O21" s="28"/>
      <c r="P21" s="19"/>
    </row>
    <row r="22" spans="1:225" ht="12.6" customHeight="1" thickBot="1" x14ac:dyDescent="0.25">
      <c r="A22" s="2530"/>
      <c r="B22" s="2530"/>
      <c r="C22" s="2530"/>
      <c r="D22" s="1112"/>
      <c r="E22" s="28"/>
      <c r="F22" s="28"/>
      <c r="G22" s="1112"/>
      <c r="H22" s="28"/>
      <c r="I22" s="28"/>
      <c r="J22" s="28"/>
      <c r="K22" s="28"/>
      <c r="L22" s="28"/>
      <c r="M22" s="28"/>
      <c r="N22" s="28"/>
      <c r="O22" s="28"/>
      <c r="P22" s="19"/>
      <c r="HA22" s="255">
        <v>1</v>
      </c>
      <c r="HB22" s="255">
        <f t="shared" ref="HB22:HP22" si="0">HA22+1</f>
        <v>2</v>
      </c>
      <c r="HC22" s="255">
        <f t="shared" si="0"/>
        <v>3</v>
      </c>
      <c r="HD22" s="255">
        <f t="shared" si="0"/>
        <v>4</v>
      </c>
      <c r="HE22" s="255">
        <f t="shared" si="0"/>
        <v>5</v>
      </c>
      <c r="HF22" s="255">
        <f t="shared" si="0"/>
        <v>6</v>
      </c>
      <c r="HG22" s="255">
        <f t="shared" si="0"/>
        <v>7</v>
      </c>
      <c r="HH22" s="255">
        <f t="shared" si="0"/>
        <v>8</v>
      </c>
      <c r="HI22" s="255">
        <f t="shared" si="0"/>
        <v>9</v>
      </c>
      <c r="HJ22" s="255">
        <f t="shared" si="0"/>
        <v>10</v>
      </c>
      <c r="HK22" s="255">
        <f t="shared" si="0"/>
        <v>11</v>
      </c>
      <c r="HL22" s="255">
        <f t="shared" si="0"/>
        <v>12</v>
      </c>
      <c r="HM22" s="255">
        <f t="shared" si="0"/>
        <v>13</v>
      </c>
      <c r="HN22" s="255">
        <f t="shared" si="0"/>
        <v>14</v>
      </c>
      <c r="HO22" s="255">
        <f t="shared" si="0"/>
        <v>15</v>
      </c>
      <c r="HP22" s="255">
        <f t="shared" si="0"/>
        <v>16</v>
      </c>
    </row>
    <row r="23" spans="1:225" ht="12.6" customHeight="1" thickTop="1" x14ac:dyDescent="0.2">
      <c r="A23" s="2530"/>
      <c r="B23" s="2530"/>
      <c r="C23" s="2530"/>
      <c r="D23" s="1112"/>
      <c r="E23" s="28"/>
      <c r="F23" s="28"/>
      <c r="G23" s="1112"/>
      <c r="H23" s="28"/>
      <c r="I23" s="28"/>
      <c r="J23" s="28"/>
      <c r="K23" s="28"/>
      <c r="L23" s="28"/>
      <c r="M23" s="28"/>
      <c r="N23" s="28"/>
      <c r="O23" s="28"/>
      <c r="P23" s="19"/>
      <c r="HA23" s="2508" t="s">
        <v>621</v>
      </c>
      <c r="HB23" s="1931"/>
      <c r="HC23" s="1931"/>
      <c r="HD23" s="1931"/>
      <c r="HE23" s="1931"/>
      <c r="HF23" s="1931"/>
      <c r="HG23" s="1931"/>
      <c r="HH23" s="1931"/>
      <c r="HI23" s="1931"/>
      <c r="HJ23" s="1931"/>
      <c r="HK23" s="1931"/>
      <c r="HL23" s="1931"/>
      <c r="HM23" s="1931"/>
      <c r="HN23" s="1931"/>
      <c r="HO23" s="1931"/>
      <c r="HP23" s="1932"/>
    </row>
    <row r="24" spans="1:225" ht="12.6" customHeight="1" thickBot="1" x14ac:dyDescent="0.3">
      <c r="A24" s="1114"/>
      <c r="B24" s="27"/>
      <c r="C24" s="27"/>
      <c r="D24" s="3"/>
      <c r="E24" s="3"/>
      <c r="F24" s="3"/>
      <c r="G24" s="3"/>
      <c r="H24" s="3"/>
      <c r="I24" s="3"/>
      <c r="J24" s="3"/>
      <c r="K24" s="3"/>
      <c r="L24" s="3"/>
      <c r="M24" s="3"/>
      <c r="N24" s="3"/>
      <c r="O24" s="3"/>
      <c r="P24" s="19"/>
      <c r="R24" s="245"/>
      <c r="S24" s="245"/>
      <c r="T24" s="245"/>
      <c r="U24" s="245"/>
      <c r="V24" s="245"/>
      <c r="W24" s="245"/>
      <c r="X24" s="245"/>
      <c r="Y24" s="245"/>
      <c r="Z24" s="245"/>
      <c r="AA24" s="245"/>
      <c r="HA24" s="2188"/>
      <c r="HB24" s="2189"/>
      <c r="HC24" s="2189"/>
      <c r="HD24" s="2189"/>
      <c r="HE24" s="2189"/>
      <c r="HF24" s="2189"/>
      <c r="HG24" s="2189"/>
      <c r="HH24" s="2189"/>
      <c r="HI24" s="2189"/>
      <c r="HJ24" s="2189"/>
      <c r="HK24" s="2189"/>
      <c r="HL24" s="2189"/>
      <c r="HM24" s="2189"/>
      <c r="HN24" s="2189"/>
      <c r="HO24" s="2189"/>
      <c r="HP24" s="2190"/>
    </row>
    <row r="25" spans="1:225" s="23" customFormat="1" ht="12.6" customHeight="1" thickTop="1" thickBot="1" x14ac:dyDescent="0.25">
      <c r="A25" s="2520" t="s">
        <v>40</v>
      </c>
      <c r="B25" s="2521"/>
      <c r="C25" s="2526" t="s">
        <v>130</v>
      </c>
      <c r="D25" s="1986" t="s">
        <v>673</v>
      </c>
      <c r="E25" s="2524" t="s">
        <v>674</v>
      </c>
      <c r="F25" s="2517" t="s">
        <v>36</v>
      </c>
      <c r="G25" s="2426" t="s">
        <v>79</v>
      </c>
      <c r="H25" s="2424"/>
      <c r="I25" s="2519" t="s">
        <v>675</v>
      </c>
      <c r="J25" s="2424"/>
      <c r="K25" s="2524" t="s">
        <v>107</v>
      </c>
      <c r="L25" s="2538"/>
      <c r="M25" s="2535" t="s">
        <v>108</v>
      </c>
      <c r="N25" s="2526" t="s">
        <v>109</v>
      </c>
      <c r="O25" s="2517" t="s">
        <v>110</v>
      </c>
      <c r="P25" s="1059" t="s">
        <v>676</v>
      </c>
      <c r="Q25" s="1410"/>
      <c r="R25" s="426"/>
      <c r="S25" s="426"/>
      <c r="T25" s="426"/>
      <c r="U25" s="426">
        <f>COUNTA(U27:U300)</f>
        <v>13</v>
      </c>
      <c r="V25" s="2542" t="s">
        <v>797</v>
      </c>
      <c r="W25" s="426">
        <f>COUNTA(W27:W300)</f>
        <v>9</v>
      </c>
      <c r="X25" s="2540" t="s">
        <v>946</v>
      </c>
      <c r="Y25" s="2541"/>
      <c r="Z25" s="2541"/>
      <c r="AA25" s="2541"/>
      <c r="AB25" s="426"/>
      <c r="AC25" s="2529" t="s">
        <v>1137</v>
      </c>
      <c r="AD25" s="1922"/>
      <c r="AE25" s="426">
        <f>COUNTA(AE27:AE300)</f>
        <v>166</v>
      </c>
      <c r="HA25" s="2509" t="s">
        <v>632</v>
      </c>
      <c r="HB25" s="2511" t="s">
        <v>1148</v>
      </c>
      <c r="HC25" s="2511" t="s">
        <v>1134</v>
      </c>
      <c r="HD25" s="2506" t="s">
        <v>1144</v>
      </c>
      <c r="HE25" s="2506" t="s">
        <v>660</v>
      </c>
      <c r="HF25" s="2513" t="s">
        <v>677</v>
      </c>
      <c r="HG25" s="2513" t="s">
        <v>1149</v>
      </c>
      <c r="HH25" s="2513" t="s">
        <v>1150</v>
      </c>
      <c r="HI25" s="2513" t="s">
        <v>1151</v>
      </c>
      <c r="HJ25" s="2513" t="s">
        <v>1152</v>
      </c>
      <c r="HK25" s="2513" t="s">
        <v>1153</v>
      </c>
      <c r="HL25" s="2513" t="s">
        <v>1154</v>
      </c>
      <c r="HM25" s="2513" t="s">
        <v>1145</v>
      </c>
      <c r="HN25" s="2506" t="s">
        <v>1146</v>
      </c>
      <c r="HO25" s="2506" t="s">
        <v>1147</v>
      </c>
      <c r="HP25" s="2515" t="s">
        <v>480</v>
      </c>
    </row>
    <row r="26" spans="1:225" s="23" customFormat="1" ht="12.6" customHeight="1" thickTop="1" thickBot="1" x14ac:dyDescent="0.25">
      <c r="A26" s="2522"/>
      <c r="B26" s="2523"/>
      <c r="C26" s="2527"/>
      <c r="D26" s="1987"/>
      <c r="E26" s="2525"/>
      <c r="F26" s="2528"/>
      <c r="G26" s="1111" t="s">
        <v>632</v>
      </c>
      <c r="H26" s="1066" t="s">
        <v>171</v>
      </c>
      <c r="I26" s="1071" t="s">
        <v>632</v>
      </c>
      <c r="J26" s="1110" t="s">
        <v>171</v>
      </c>
      <c r="K26" s="2522"/>
      <c r="L26" s="2518"/>
      <c r="M26" s="1982"/>
      <c r="N26" s="2523"/>
      <c r="O26" s="2518"/>
      <c r="P26" s="1060" t="s">
        <v>57</v>
      </c>
      <c r="Q26" s="1408" t="s">
        <v>1101</v>
      </c>
      <c r="R26" s="372" t="s">
        <v>170</v>
      </c>
      <c r="S26" s="372" t="s">
        <v>788</v>
      </c>
      <c r="T26" s="372" t="s">
        <v>1136</v>
      </c>
      <c r="U26" s="426" t="s">
        <v>794</v>
      </c>
      <c r="V26" s="2543"/>
      <c r="W26" s="426" t="s">
        <v>660</v>
      </c>
      <c r="X26" s="426" t="s">
        <v>661</v>
      </c>
      <c r="Y26" s="426" t="s">
        <v>662</v>
      </c>
      <c r="Z26" s="426" t="s">
        <v>663</v>
      </c>
      <c r="AA26" s="426" t="s">
        <v>664</v>
      </c>
      <c r="AB26" s="426" t="s">
        <v>677</v>
      </c>
      <c r="AC26" s="426" t="s">
        <v>1138</v>
      </c>
      <c r="AD26" s="426" t="s">
        <v>1139</v>
      </c>
      <c r="AE26" s="426" t="s">
        <v>819</v>
      </c>
      <c r="AF26" s="426" t="s">
        <v>1135</v>
      </c>
      <c r="HA26" s="2510"/>
      <c r="HB26" s="2512"/>
      <c r="HC26" s="2512"/>
      <c r="HD26" s="2507"/>
      <c r="HE26" s="2507"/>
      <c r="HF26" s="2514"/>
      <c r="HG26" s="2514"/>
      <c r="HH26" s="2514"/>
      <c r="HI26" s="2514"/>
      <c r="HJ26" s="2514"/>
      <c r="HK26" s="2514"/>
      <c r="HL26" s="2514"/>
      <c r="HM26" s="2514"/>
      <c r="HN26" s="2507"/>
      <c r="HO26" s="2507"/>
      <c r="HP26" s="2516"/>
    </row>
    <row r="27" spans="1:225" ht="12.6" customHeight="1" thickTop="1" x14ac:dyDescent="0.25">
      <c r="A27" s="1448" t="s">
        <v>1505</v>
      </c>
      <c r="B27" s="1449"/>
      <c r="C27" s="1681">
        <v>921</v>
      </c>
      <c r="D27" s="1450">
        <v>1510</v>
      </c>
      <c r="E27" s="1448" t="s">
        <v>658</v>
      </c>
      <c r="F27" s="1451"/>
      <c r="G27" s="1448"/>
      <c r="H27" s="714"/>
      <c r="I27" s="1452"/>
      <c r="J27" s="1453"/>
      <c r="K27" s="1454">
        <v>20</v>
      </c>
      <c r="L27" s="1455">
        <v>0</v>
      </c>
      <c r="M27" s="1456"/>
      <c r="N27" s="1457"/>
      <c r="O27" s="1458"/>
      <c r="P27" s="1459"/>
      <c r="Q27" s="1409" t="b">
        <v>0</v>
      </c>
      <c r="R27" s="470" t="b">
        <v>0</v>
      </c>
      <c r="S27" s="464" t="b">
        <f>AND($S$1,C27=0)</f>
        <v>0</v>
      </c>
      <c r="T27" s="464" t="b">
        <f>IF(OR(ISBLANK(D27),ISBLANK(E27),ISBLANK(F27),ISERROR(MATCH(F27,$AB$27:$AB$34,0))),FALSE,IF(ISERROR(FIND("B",$E27)),FALSE,IF(ISBLANK($D27),FALSE,IF(ISERROR(VLOOKUP(TRIM($D27),$AE$27:$AF$192,2,FALSE)),TRUE,VLOOKUP(TRIM($F27),$AB$27:$AD$34,IF(ISERROR(FIND("X",$E27)),3,2),FALSE)&lt;=VLOOKUP(TRIM($D27),$AE$27:$AF$192,2,FALSE)))))</f>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7" t="s">
        <v>1505</v>
      </c>
      <c r="HB27" s="1148"/>
      <c r="HC27" s="1148">
        <v>920</v>
      </c>
      <c r="HD27" s="1153">
        <v>1510</v>
      </c>
      <c r="HE27" s="1154" t="s">
        <v>658</v>
      </c>
      <c r="HF27" s="1148"/>
      <c r="HG27" s="1148"/>
      <c r="HH27" s="1148"/>
      <c r="HI27" s="1155"/>
      <c r="HJ27" s="1148"/>
      <c r="HK27" s="1148">
        <v>20</v>
      </c>
      <c r="HL27" s="1148">
        <v>0</v>
      </c>
      <c r="HM27" s="1148"/>
      <c r="HN27" s="1148"/>
      <c r="HO27" s="1148"/>
      <c r="HP27" s="1156"/>
      <c r="HQ27" s="1173"/>
    </row>
    <row r="28" spans="1:225" ht="12.6" customHeight="1" x14ac:dyDescent="0.25">
      <c r="A28" s="1448" t="s">
        <v>1506</v>
      </c>
      <c r="B28" s="1449"/>
      <c r="C28" s="1681">
        <v>64</v>
      </c>
      <c r="D28" s="1450">
        <v>1210</v>
      </c>
      <c r="E28" s="1448" t="s">
        <v>727</v>
      </c>
      <c r="F28" s="1451"/>
      <c r="G28" s="1448"/>
      <c r="H28" s="714">
        <v>32</v>
      </c>
      <c r="I28" s="1452"/>
      <c r="J28" s="1453">
        <v>32</v>
      </c>
      <c r="K28" s="1454">
        <v>4</v>
      </c>
      <c r="L28" s="1455">
        <v>11</v>
      </c>
      <c r="M28" s="1456"/>
      <c r="N28" s="1457"/>
      <c r="O28" s="1458"/>
      <c r="P28" s="1459"/>
      <c r="Q28" s="1409" t="b">
        <v>0</v>
      </c>
      <c r="R28" s="470" t="b">
        <v>0</v>
      </c>
      <c r="S28" s="464" t="b">
        <f t="shared" ref="S28:S42" si="1">AND($S$1,C28=0)</f>
        <v>0</v>
      </c>
      <c r="T28" s="464" t="b">
        <f t="shared" ref="T28:T42" si="2">IF(OR(ISBLANK(D28),ISBLANK(E28),ISBLANK(F28),ISERROR(MATCH(F28,$AB$27:$AB$34,0))),FALSE,IF(ISERROR(FIND("B",$E28)),FALSE,IF(ISBLANK($D28),FALSE,IF(ISERROR(VLOOKUP(TRIM($D28),$AE$27:$AF$192,2,FALSE)),TRUE,VLOOKUP(TRIM($F28),$AB$27:$AD$34,IF(ISERROR(FIND("X",$E28)),3,2),FALSE)&lt;=VLOOKUP(TRIM($D28),$AE$27:$AF$192,2,FALSE)))))</f>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t="s">
        <v>1506</v>
      </c>
      <c r="HB28" s="1150"/>
      <c r="HC28" s="1150">
        <v>64</v>
      </c>
      <c r="HD28" s="1157">
        <v>1210</v>
      </c>
      <c r="HE28" s="1158" t="s">
        <v>727</v>
      </c>
      <c r="HF28" s="1150"/>
      <c r="HG28" s="1150"/>
      <c r="HH28" s="1150">
        <v>32</v>
      </c>
      <c r="HI28" s="1159"/>
      <c r="HJ28" s="1150">
        <v>32</v>
      </c>
      <c r="HK28" s="1150">
        <v>4</v>
      </c>
      <c r="HL28" s="1150">
        <v>11</v>
      </c>
      <c r="HM28" s="1150"/>
      <c r="HN28" s="1150"/>
      <c r="HO28" s="1150"/>
      <c r="HP28" s="1160"/>
      <c r="HQ28" s="1173"/>
    </row>
    <row r="29" spans="1:225" ht="12.6" customHeight="1" x14ac:dyDescent="0.25">
      <c r="A29" s="1448" t="s">
        <v>1507</v>
      </c>
      <c r="B29" s="1449"/>
      <c r="C29" s="1681">
        <v>8</v>
      </c>
      <c r="D29" s="1450">
        <v>1210</v>
      </c>
      <c r="E29" s="1448" t="s">
        <v>727</v>
      </c>
      <c r="F29" s="1451"/>
      <c r="G29" s="1448"/>
      <c r="H29" s="714">
        <v>44</v>
      </c>
      <c r="I29" s="1452"/>
      <c r="J29" s="1453">
        <v>44</v>
      </c>
      <c r="K29" s="1454">
        <v>4</v>
      </c>
      <c r="L29" s="1455">
        <v>11</v>
      </c>
      <c r="M29" s="1456"/>
      <c r="N29" s="1457"/>
      <c r="O29" s="1458"/>
      <c r="P29" s="1459"/>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t="s">
        <v>1507</v>
      </c>
      <c r="HB29" s="1150"/>
      <c r="HC29" s="1150">
        <v>8</v>
      </c>
      <c r="HD29" s="1157">
        <v>1210</v>
      </c>
      <c r="HE29" s="1158" t="s">
        <v>727</v>
      </c>
      <c r="HF29" s="1150"/>
      <c r="HG29" s="1150"/>
      <c r="HH29" s="1150">
        <v>44</v>
      </c>
      <c r="HI29" s="1159"/>
      <c r="HJ29" s="1150">
        <v>44</v>
      </c>
      <c r="HK29" s="1150">
        <v>4</v>
      </c>
      <c r="HL29" s="1150">
        <v>11</v>
      </c>
      <c r="HM29" s="1150"/>
      <c r="HN29" s="1150"/>
      <c r="HO29" s="1150"/>
      <c r="HP29" s="1160"/>
      <c r="HQ29" s="1173"/>
    </row>
    <row r="30" spans="1:225" ht="12.6" customHeight="1" x14ac:dyDescent="0.25">
      <c r="A30" s="1448" t="s">
        <v>1508</v>
      </c>
      <c r="B30" s="1449"/>
      <c r="C30" s="1681">
        <v>8</v>
      </c>
      <c r="D30" s="1450">
        <v>1510</v>
      </c>
      <c r="E30" s="1448" t="s">
        <v>665</v>
      </c>
      <c r="F30" s="1451"/>
      <c r="G30" s="1448" t="s">
        <v>1450</v>
      </c>
      <c r="H30" s="714">
        <v>32</v>
      </c>
      <c r="I30" s="1452"/>
      <c r="J30" s="1453">
        <v>32</v>
      </c>
      <c r="K30" s="1454">
        <v>5</v>
      </c>
      <c r="L30" s="1455">
        <v>5.375</v>
      </c>
      <c r="M30" s="1456"/>
      <c r="N30" s="1457"/>
      <c r="O30" s="1458"/>
      <c r="P30" s="1459"/>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t="s">
        <v>1508</v>
      </c>
      <c r="HB30" s="1150"/>
      <c r="HC30" s="1150">
        <v>8</v>
      </c>
      <c r="HD30" s="1157">
        <v>1510</v>
      </c>
      <c r="HE30" s="1158" t="s">
        <v>665</v>
      </c>
      <c r="HF30" s="1150"/>
      <c r="HG30" s="1150" t="s">
        <v>1450</v>
      </c>
      <c r="HH30" s="1150">
        <v>32</v>
      </c>
      <c r="HI30" s="1159"/>
      <c r="HJ30" s="1150">
        <v>32</v>
      </c>
      <c r="HK30" s="1150">
        <v>5</v>
      </c>
      <c r="HL30" s="1150">
        <v>5.375</v>
      </c>
      <c r="HM30" s="1150"/>
      <c r="HN30" s="1150"/>
      <c r="HO30" s="1150"/>
      <c r="HP30" s="1160"/>
      <c r="HQ30" s="1173"/>
    </row>
    <row r="31" spans="1:225" ht="12.6" customHeight="1" x14ac:dyDescent="0.25">
      <c r="A31" s="1448" t="s">
        <v>1509</v>
      </c>
      <c r="B31" s="1449"/>
      <c r="C31" s="1681">
        <v>12</v>
      </c>
      <c r="D31" s="1450">
        <v>1210</v>
      </c>
      <c r="E31" s="1448" t="s">
        <v>665</v>
      </c>
      <c r="F31" s="1451" t="s">
        <v>667</v>
      </c>
      <c r="G31" s="1448" t="s">
        <v>1450</v>
      </c>
      <c r="H31" s="714">
        <v>32</v>
      </c>
      <c r="I31" s="1452"/>
      <c r="J31" s="1453">
        <v>32</v>
      </c>
      <c r="K31" s="1812">
        <v>6</v>
      </c>
      <c r="L31" s="1813">
        <v>2.375</v>
      </c>
      <c r="M31" s="1456"/>
      <c r="N31" s="1457"/>
      <c r="O31" s="1458"/>
      <c r="P31" s="1459"/>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t="s">
        <v>1509</v>
      </c>
      <c r="HB31" s="1150"/>
      <c r="HC31" s="1150">
        <v>8</v>
      </c>
      <c r="HD31" s="1157">
        <v>1210</v>
      </c>
      <c r="HE31" s="1158" t="s">
        <v>665</v>
      </c>
      <c r="HF31" s="1150" t="s">
        <v>667</v>
      </c>
      <c r="HG31" s="1150" t="s">
        <v>1450</v>
      </c>
      <c r="HH31" s="1150">
        <v>32</v>
      </c>
      <c r="HI31" s="1159"/>
      <c r="HJ31" s="1150">
        <v>32</v>
      </c>
      <c r="HK31" s="1150">
        <v>5</v>
      </c>
      <c r="HL31" s="1150">
        <v>5.375</v>
      </c>
      <c r="HM31" s="1150"/>
      <c r="HN31" s="1150"/>
      <c r="HO31" s="1150"/>
      <c r="HP31" s="1160"/>
      <c r="HQ31" s="1173"/>
    </row>
    <row r="32" spans="1:225" ht="12.6" customHeight="1" x14ac:dyDescent="0.25">
      <c r="A32" s="1448" t="s">
        <v>1510</v>
      </c>
      <c r="B32" s="1449"/>
      <c r="C32" s="1681">
        <v>408</v>
      </c>
      <c r="D32" s="1450">
        <v>1210</v>
      </c>
      <c r="E32" s="1448" t="s">
        <v>729</v>
      </c>
      <c r="F32" s="1451" t="s">
        <v>667</v>
      </c>
      <c r="G32" s="1448" t="s">
        <v>1450</v>
      </c>
      <c r="H32" s="714">
        <v>32</v>
      </c>
      <c r="I32" s="1452" t="s">
        <v>1451</v>
      </c>
      <c r="J32" s="1453">
        <v>32</v>
      </c>
      <c r="K32" s="1454">
        <v>6</v>
      </c>
      <c r="L32" s="1455">
        <v>2.625</v>
      </c>
      <c r="M32" s="1456"/>
      <c r="N32" s="1457"/>
      <c r="O32" s="1458"/>
      <c r="P32" s="1459"/>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t="s">
        <v>1510</v>
      </c>
      <c r="HB32" s="1150"/>
      <c r="HC32" s="1150">
        <v>408</v>
      </c>
      <c r="HD32" s="1157">
        <v>1210</v>
      </c>
      <c r="HE32" s="1158" t="s">
        <v>729</v>
      </c>
      <c r="HF32" s="1150" t="s">
        <v>667</v>
      </c>
      <c r="HG32" s="1150" t="s">
        <v>1450</v>
      </c>
      <c r="HH32" s="1150">
        <v>32</v>
      </c>
      <c r="HI32" s="1159" t="s">
        <v>1451</v>
      </c>
      <c r="HJ32" s="1150">
        <v>32</v>
      </c>
      <c r="HK32" s="1150">
        <v>6</v>
      </c>
      <c r="HL32" s="1150">
        <v>2.625</v>
      </c>
      <c r="HM32" s="1150"/>
      <c r="HN32" s="1150"/>
      <c r="HO32" s="1150"/>
      <c r="HP32" s="1160"/>
      <c r="HQ32" s="1173"/>
    </row>
    <row r="33" spans="1:225" ht="12.6" customHeight="1" x14ac:dyDescent="0.25">
      <c r="A33" s="1448" t="s">
        <v>1511</v>
      </c>
      <c r="B33" s="1449"/>
      <c r="C33" s="1681">
        <v>8</v>
      </c>
      <c r="D33" s="1450">
        <v>1210</v>
      </c>
      <c r="E33" s="1448" t="s">
        <v>729</v>
      </c>
      <c r="F33" s="1451" t="s">
        <v>667</v>
      </c>
      <c r="G33" s="1448" t="s">
        <v>1459</v>
      </c>
      <c r="H33" s="714">
        <v>32</v>
      </c>
      <c r="I33" s="1452" t="s">
        <v>1459</v>
      </c>
      <c r="J33" s="1453">
        <v>32</v>
      </c>
      <c r="K33" s="1454">
        <v>4</v>
      </c>
      <c r="L33" s="1455">
        <v>10.625</v>
      </c>
      <c r="M33" s="1456"/>
      <c r="N33" s="1457"/>
      <c r="O33" s="1458"/>
      <c r="P33" s="1459"/>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t="s">
        <v>1511</v>
      </c>
      <c r="HB33" s="1150"/>
      <c r="HC33" s="1150">
        <v>8</v>
      </c>
      <c r="HD33" s="1157">
        <v>1210</v>
      </c>
      <c r="HE33" s="1158" t="s">
        <v>729</v>
      </c>
      <c r="HF33" s="1150" t="s">
        <v>667</v>
      </c>
      <c r="HG33" s="1150" t="s">
        <v>1459</v>
      </c>
      <c r="HH33" s="1150">
        <v>32</v>
      </c>
      <c r="HI33" s="1159" t="s">
        <v>1459</v>
      </c>
      <c r="HJ33" s="1150">
        <v>32</v>
      </c>
      <c r="HK33" s="1150">
        <v>4</v>
      </c>
      <c r="HL33" s="1150">
        <v>10.625</v>
      </c>
      <c r="HM33" s="1150"/>
      <c r="HN33" s="1150"/>
      <c r="HO33" s="1150"/>
      <c r="HP33" s="1160"/>
      <c r="HQ33" s="1173"/>
    </row>
    <row r="34" spans="1:225" ht="12.6" customHeight="1" x14ac:dyDescent="0.25">
      <c r="A34" s="1448" t="s">
        <v>1512</v>
      </c>
      <c r="B34" s="1449"/>
      <c r="C34" s="1681">
        <v>612</v>
      </c>
      <c r="D34" s="1450">
        <v>1210</v>
      </c>
      <c r="E34" s="1448" t="s">
        <v>729</v>
      </c>
      <c r="F34" s="1451" t="s">
        <v>667</v>
      </c>
      <c r="G34" s="1448" t="s">
        <v>1477</v>
      </c>
      <c r="H34" s="714">
        <v>44</v>
      </c>
      <c r="I34" s="1452" t="s">
        <v>1478</v>
      </c>
      <c r="J34" s="1453">
        <v>44</v>
      </c>
      <c r="K34" s="1454">
        <v>6</v>
      </c>
      <c r="L34" s="1455">
        <v>2.625</v>
      </c>
      <c r="M34" s="1456"/>
      <c r="N34" s="1457"/>
      <c r="O34" s="1458"/>
      <c r="P34" s="1459"/>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t="s">
        <v>1512</v>
      </c>
      <c r="HB34" s="1150"/>
      <c r="HC34" s="1150">
        <v>612</v>
      </c>
      <c r="HD34" s="1157">
        <v>1210</v>
      </c>
      <c r="HE34" s="1158" t="s">
        <v>729</v>
      </c>
      <c r="HF34" s="1150" t="s">
        <v>667</v>
      </c>
      <c r="HG34" s="1150" t="s">
        <v>1477</v>
      </c>
      <c r="HH34" s="1150">
        <v>44</v>
      </c>
      <c r="HI34" s="1159" t="s">
        <v>1478</v>
      </c>
      <c r="HJ34" s="1150">
        <v>44</v>
      </c>
      <c r="HK34" s="1150">
        <v>6</v>
      </c>
      <c r="HL34" s="1150">
        <v>2.625</v>
      </c>
      <c r="HM34" s="1150"/>
      <c r="HN34" s="1150"/>
      <c r="HO34" s="1150"/>
      <c r="HP34" s="1160"/>
      <c r="HQ34" s="1173"/>
    </row>
    <row r="35" spans="1:225" ht="12.6" customHeight="1" x14ac:dyDescent="0.25">
      <c r="A35" s="1448" t="s">
        <v>1513</v>
      </c>
      <c r="B35" s="1449"/>
      <c r="C35" s="1681">
        <v>12</v>
      </c>
      <c r="D35" s="1450">
        <v>1210</v>
      </c>
      <c r="E35" s="1448" t="s">
        <v>728</v>
      </c>
      <c r="F35" s="1451" t="s">
        <v>667</v>
      </c>
      <c r="G35" s="1448" t="s">
        <v>1487</v>
      </c>
      <c r="H35" s="714">
        <v>44</v>
      </c>
      <c r="I35" s="1452"/>
      <c r="J35" s="1453">
        <v>36</v>
      </c>
      <c r="K35" s="1454">
        <v>6</v>
      </c>
      <c r="L35" s="1455">
        <v>2.375</v>
      </c>
      <c r="M35" s="1456"/>
      <c r="N35" s="1457"/>
      <c r="O35" s="1458"/>
      <c r="P35" s="1459"/>
      <c r="Q35" s="1409" t="b">
        <v>0</v>
      </c>
      <c r="R35" s="470" t="b">
        <v>0</v>
      </c>
      <c r="S35" s="464" t="b">
        <f t="shared" si="1"/>
        <v>0</v>
      </c>
      <c r="T35" s="464" t="b">
        <f t="shared" si="2"/>
        <v>0</v>
      </c>
      <c r="U35" s="628" t="s">
        <v>814</v>
      </c>
      <c r="V35" s="378"/>
      <c r="W35" s="378" t="s">
        <v>706</v>
      </c>
      <c r="X35" s="378" t="b">
        <v>0</v>
      </c>
      <c r="Y35" s="378" t="b">
        <v>0</v>
      </c>
      <c r="Z35" s="378" t="b">
        <v>0</v>
      </c>
      <c r="AA35" s="378" t="b">
        <v>0</v>
      </c>
      <c r="AB35" s="378" t="s">
        <v>1697</v>
      </c>
      <c r="AC35" s="378">
        <v>1.5</v>
      </c>
      <c r="AD35" s="378">
        <v>1.5</v>
      </c>
      <c r="AE35" s="628" t="s">
        <v>823</v>
      </c>
      <c r="AF35" s="1125">
        <v>1.375</v>
      </c>
      <c r="HA35" s="1149" t="s">
        <v>1513</v>
      </c>
      <c r="HB35" s="1150"/>
      <c r="HC35" s="1150">
        <v>12</v>
      </c>
      <c r="HD35" s="1157">
        <v>1210</v>
      </c>
      <c r="HE35" s="1158" t="s">
        <v>728</v>
      </c>
      <c r="HF35" s="1150" t="s">
        <v>667</v>
      </c>
      <c r="HG35" s="1150" t="s">
        <v>1487</v>
      </c>
      <c r="HH35" s="1150">
        <v>44</v>
      </c>
      <c r="HI35" s="1159"/>
      <c r="HJ35" s="1150">
        <v>36</v>
      </c>
      <c r="HK35" s="1150">
        <v>6</v>
      </c>
      <c r="HL35" s="1150">
        <v>2.375</v>
      </c>
      <c r="HM35" s="1150"/>
      <c r="HN35" s="1150"/>
      <c r="HO35" s="1150"/>
      <c r="HP35" s="1160"/>
      <c r="HQ35" s="1173"/>
    </row>
    <row r="36" spans="1:225" ht="12.6" customHeight="1" x14ac:dyDescent="0.25">
      <c r="A36" s="1448" t="s">
        <v>1514</v>
      </c>
      <c r="B36" s="1449"/>
      <c r="C36" s="1681">
        <v>12</v>
      </c>
      <c r="D36" s="1450">
        <v>1210</v>
      </c>
      <c r="E36" s="1448" t="s">
        <v>729</v>
      </c>
      <c r="F36" s="1451" t="s">
        <v>667</v>
      </c>
      <c r="G36" s="1448" t="s">
        <v>1488</v>
      </c>
      <c r="H36" s="714">
        <v>44</v>
      </c>
      <c r="I36" s="1452" t="s">
        <v>1488</v>
      </c>
      <c r="J36" s="1453">
        <v>44</v>
      </c>
      <c r="K36" s="1454">
        <v>4</v>
      </c>
      <c r="L36" s="1455">
        <v>10.625</v>
      </c>
      <c r="M36" s="1456"/>
      <c r="N36" s="1457"/>
      <c r="O36" s="1458"/>
      <c r="P36" s="1459"/>
      <c r="Q36" s="1409" t="b">
        <v>0</v>
      </c>
      <c r="R36" s="470" t="b">
        <v>0</v>
      </c>
      <c r="S36" s="464" t="b">
        <f t="shared" si="1"/>
        <v>0</v>
      </c>
      <c r="T36" s="464" t="b">
        <f t="shared" si="2"/>
        <v>0</v>
      </c>
      <c r="U36" s="628" t="s">
        <v>815</v>
      </c>
      <c r="V36" s="378"/>
      <c r="W36" s="378"/>
      <c r="X36" s="378"/>
      <c r="Y36" s="378"/>
      <c r="Z36" s="378"/>
      <c r="AA36" s="378"/>
      <c r="AB36" s="378" t="s">
        <v>1698</v>
      </c>
      <c r="AC36" s="378">
        <v>1.75</v>
      </c>
      <c r="AD36" s="378">
        <v>1.75</v>
      </c>
      <c r="AE36" s="628" t="s">
        <v>824</v>
      </c>
      <c r="AF36" s="1125">
        <v>1.5</v>
      </c>
      <c r="HA36" s="1149" t="s">
        <v>1514</v>
      </c>
      <c r="HB36" s="1150"/>
      <c r="HC36" s="1150">
        <v>12</v>
      </c>
      <c r="HD36" s="1157">
        <v>1210</v>
      </c>
      <c r="HE36" s="1158" t="s">
        <v>729</v>
      </c>
      <c r="HF36" s="1150" t="s">
        <v>667</v>
      </c>
      <c r="HG36" s="1150" t="s">
        <v>1488</v>
      </c>
      <c r="HH36" s="1150">
        <v>44</v>
      </c>
      <c r="HI36" s="1159" t="s">
        <v>1488</v>
      </c>
      <c r="HJ36" s="1150">
        <v>44</v>
      </c>
      <c r="HK36" s="1150">
        <v>4</v>
      </c>
      <c r="HL36" s="1150">
        <v>10.625</v>
      </c>
      <c r="HM36" s="1150"/>
      <c r="HN36" s="1150"/>
      <c r="HO36" s="1150"/>
      <c r="HP36" s="1160"/>
      <c r="HQ36" s="1173"/>
    </row>
    <row r="37" spans="1:225" ht="12.6" customHeight="1" x14ac:dyDescent="0.25">
      <c r="A37" s="1448"/>
      <c r="B37" s="1449"/>
      <c r="C37" s="1681"/>
      <c r="D37" s="1450"/>
      <c r="E37" s="1448"/>
      <c r="F37" s="1451"/>
      <c r="G37" s="1448"/>
      <c r="H37" s="714"/>
      <c r="I37" s="1452"/>
      <c r="J37" s="1453"/>
      <c r="K37" s="1454"/>
      <c r="L37" s="1455"/>
      <c r="M37" s="1456"/>
      <c r="N37" s="1457"/>
      <c r="O37" s="1458"/>
      <c r="P37" s="1459"/>
      <c r="Q37" s="1409" t="b">
        <v>0</v>
      </c>
      <c r="R37" s="470" t="b">
        <v>0</v>
      </c>
      <c r="S37" s="464" t="b">
        <f t="shared" si="1"/>
        <v>0</v>
      </c>
      <c r="T37" s="464" t="b">
        <f t="shared" si="2"/>
        <v>0</v>
      </c>
      <c r="U37" s="628" t="s">
        <v>816</v>
      </c>
      <c r="V37" s="378"/>
      <c r="W37" s="378"/>
      <c r="X37" s="378"/>
      <c r="Y37" s="378"/>
      <c r="Z37" s="378"/>
      <c r="AA37" s="378"/>
      <c r="AB37" s="378" t="s">
        <v>1699</v>
      </c>
      <c r="AC37" s="378">
        <v>1.5</v>
      </c>
      <c r="AD37" s="378">
        <v>1.5</v>
      </c>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1448"/>
      <c r="B38" s="1449"/>
      <c r="C38" s="1681"/>
      <c r="D38" s="1450"/>
      <c r="E38" s="1448"/>
      <c r="F38" s="1451"/>
      <c r="G38" s="1448"/>
      <c r="H38" s="714"/>
      <c r="I38" s="1452"/>
      <c r="J38" s="1453"/>
      <c r="K38" s="1454"/>
      <c r="L38" s="1455"/>
      <c r="M38" s="1456"/>
      <c r="N38" s="1457"/>
      <c r="O38" s="1458"/>
      <c r="P38" s="1459"/>
      <c r="Q38" s="1409" t="b">
        <v>0</v>
      </c>
      <c r="R38" s="470" t="b">
        <v>0</v>
      </c>
      <c r="S38" s="464" t="b">
        <f t="shared" si="1"/>
        <v>0</v>
      </c>
      <c r="T38" s="464" t="b">
        <f t="shared" si="2"/>
        <v>0</v>
      </c>
      <c r="U38" s="628" t="s">
        <v>817</v>
      </c>
      <c r="V38" s="378"/>
      <c r="W38" s="378"/>
      <c r="X38" s="378"/>
      <c r="Y38" s="378"/>
      <c r="Z38" s="378"/>
      <c r="AA38" s="378"/>
      <c r="AB38" s="378" t="s">
        <v>1700</v>
      </c>
      <c r="AC38" s="378">
        <v>1.75</v>
      </c>
      <c r="AD38" s="378">
        <v>1.75</v>
      </c>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1448"/>
      <c r="B39" s="1449"/>
      <c r="C39" s="1681"/>
      <c r="D39" s="1450"/>
      <c r="E39" s="1448"/>
      <c r="F39" s="1451"/>
      <c r="G39" s="1448"/>
      <c r="H39" s="714"/>
      <c r="I39" s="1452"/>
      <c r="J39" s="1453"/>
      <c r="K39" s="1454"/>
      <c r="L39" s="1455"/>
      <c r="M39" s="1456"/>
      <c r="N39" s="1457"/>
      <c r="O39" s="1458"/>
      <c r="P39" s="1459"/>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1448"/>
      <c r="B40" s="1449"/>
      <c r="C40" s="1681"/>
      <c r="D40" s="1450"/>
      <c r="E40" s="1448"/>
      <c r="F40" s="1451"/>
      <c r="G40" s="1448"/>
      <c r="H40" s="714"/>
      <c r="I40" s="1452"/>
      <c r="J40" s="1453"/>
      <c r="K40" s="1454"/>
      <c r="L40" s="1455"/>
      <c r="M40" s="1456"/>
      <c r="N40" s="1457"/>
      <c r="O40" s="1458"/>
      <c r="P40" s="1459"/>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1448"/>
      <c r="B41" s="1449"/>
      <c r="C41" s="1681"/>
      <c r="D41" s="1450"/>
      <c r="E41" s="1448"/>
      <c r="F41" s="1451"/>
      <c r="G41" s="1448"/>
      <c r="H41" s="714"/>
      <c r="I41" s="1452"/>
      <c r="J41" s="1453"/>
      <c r="K41" s="1454"/>
      <c r="L41" s="1455"/>
      <c r="M41" s="1456"/>
      <c r="N41" s="1457"/>
      <c r="O41" s="1458"/>
      <c r="P41" s="1459"/>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1460"/>
      <c r="B42" s="1461"/>
      <c r="C42" s="1682"/>
      <c r="D42" s="1462"/>
      <c r="E42" s="1460"/>
      <c r="F42" s="1463"/>
      <c r="G42" s="1460"/>
      <c r="H42" s="1464"/>
      <c r="I42" s="1465"/>
      <c r="J42" s="1466"/>
      <c r="K42" s="1467"/>
      <c r="L42" s="1468"/>
      <c r="M42" s="1469"/>
      <c r="N42" s="1470"/>
      <c r="O42" s="1471"/>
      <c r="P42" s="1472"/>
      <c r="Q42" s="1409" t="b">
        <v>0</v>
      </c>
      <c r="R42" s="470" t="b">
        <v>0</v>
      </c>
      <c r="S42" s="464" t="b">
        <f t="shared" si="1"/>
        <v>0</v>
      </c>
      <c r="T42" s="464" t="b">
        <f t="shared" si="2"/>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SUM(C27:C42)</f>
        <v>2065</v>
      </c>
      <c r="E47" s="30" t="b">
        <f>SUMIF(E27:E42,"BA*",C27:C42)&gt;0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2" t="s">
        <v>1174</v>
      </c>
      <c r="AE60" s="628" t="s">
        <v>848</v>
      </c>
      <c r="AF60" s="1125">
        <v>2.375</v>
      </c>
    </row>
    <row r="61" spans="1:32" ht="12.6" hidden="1" customHeight="1" x14ac:dyDescent="0.2">
      <c r="A61" s="894" t="s">
        <v>1692</v>
      </c>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1" ht="12.6" customHeight="1" x14ac:dyDescent="0.2">
      <c r="AE301" s="635" t="s">
        <v>938</v>
      </c>
    </row>
  </sheetData>
  <sheetProtection algorithmName="SHA-512" hashValue="fRMxYfJO1eYbPxi5XEn/ggingHNTftXFiz0stNziR2XHTJG1MiVhdnw3uKZTAPm7gWcDuwAFVNW6FFVTOLrgFw==" saltValue="wvwp8onzq4283fUNy46jMw==" spinCount="100000" sheet="1" objects="1" scenarios="1" selectLockedCells="1"/>
  <mergeCells count="50">
    <mergeCell ref="J1:L1"/>
    <mergeCell ref="J2:L3"/>
    <mergeCell ref="J4:L4"/>
    <mergeCell ref="A5:G5"/>
    <mergeCell ref="O6:P6"/>
    <mergeCell ref="A22:C22"/>
    <mergeCell ref="I8:K8"/>
    <mergeCell ref="C9:G9"/>
    <mergeCell ref="J9:P9"/>
    <mergeCell ref="C10:G10"/>
    <mergeCell ref="J10:L10"/>
    <mergeCell ref="O10:P10"/>
    <mergeCell ref="A12:C12"/>
    <mergeCell ref="D12:E12"/>
    <mergeCell ref="M12:N12"/>
    <mergeCell ref="D18:E18"/>
    <mergeCell ref="A21:C21"/>
    <mergeCell ref="I7:L7"/>
    <mergeCell ref="A23:C23"/>
    <mergeCell ref="HA23:HP24"/>
    <mergeCell ref="A25:B26"/>
    <mergeCell ref="C25:C26"/>
    <mergeCell ref="D25:D26"/>
    <mergeCell ref="E25:E26"/>
    <mergeCell ref="F25:F26"/>
    <mergeCell ref="G25:H25"/>
    <mergeCell ref="I25:J25"/>
    <mergeCell ref="K25:L26"/>
    <mergeCell ref="HF25:HF26"/>
    <mergeCell ref="M25:M26"/>
    <mergeCell ref="N25:N26"/>
    <mergeCell ref="O25:O26"/>
    <mergeCell ref="V25:V26"/>
    <mergeCell ref="X25:AA25"/>
    <mergeCell ref="AC25:AD25"/>
    <mergeCell ref="HA25:HA26"/>
    <mergeCell ref="HB25:HB26"/>
    <mergeCell ref="HC25:HC26"/>
    <mergeCell ref="HD25:HD26"/>
    <mergeCell ref="HE25:HE26"/>
    <mergeCell ref="HM25:HM26"/>
    <mergeCell ref="HN25:HN26"/>
    <mergeCell ref="HO25:HO26"/>
    <mergeCell ref="HP25:HP26"/>
    <mergeCell ref="HG25:HG26"/>
    <mergeCell ref="HH25:HH26"/>
    <mergeCell ref="HI25:HI26"/>
    <mergeCell ref="HJ25:HJ26"/>
    <mergeCell ref="HK25:HK26"/>
    <mergeCell ref="HL25:HL26"/>
  </mergeCells>
  <conditionalFormatting sqref="J2:L4">
    <cfRule type="cellIs" dxfId="83" priority="12" stopIfTrue="1" operator="equal">
      <formula>""</formula>
    </cfRule>
  </conditionalFormatting>
  <conditionalFormatting sqref="G7">
    <cfRule type="cellIs" dxfId="82" priority="13" stopIfTrue="1" operator="equal">
      <formula>"NO PAINT"</formula>
    </cfRule>
  </conditionalFormatting>
  <conditionalFormatting sqref="I7:K7">
    <cfRule type="expression" dxfId="81" priority="14" stopIfTrue="1">
      <formula>NOT(OR(COUNTIF(masterFinishList, $I$7) &gt; 0, COUNTIF($I$7, "Other:*") &gt; 0))</formula>
    </cfRule>
  </conditionalFormatting>
  <conditionalFormatting sqref="C27:C42 A27:A42">
    <cfRule type="expression" dxfId="80" priority="6">
      <formula>AND(NOT($S$1),$C27=0,OR($R$1="",$R$1="M"))</formula>
    </cfRule>
  </conditionalFormatting>
  <conditionalFormatting sqref="F27:F42">
    <cfRule type="expression" dxfId="79" priority="10">
      <formula>OR(ISERROR(VLOOKUP(E27,$V$27:$V$42,1,FALSE)),ISERROR(VLOOKUP(F27,$AB$27:$AB$42,1,FALSE)))</formula>
    </cfRule>
  </conditionalFormatting>
  <conditionalFormatting sqref="D27:D42">
    <cfRule type="expression" dxfId="78" priority="8">
      <formula>OR(ISERROR(VLOOKUP(TRIM(D27),$AE$27:$AE$300,1,FALSE)),AND(NOT(ISERROR(VLOOKUP(E27,$V$27:$V$300,1,FALSE))),NOT(ISERROR(VLOOKUP(TRIM(D27),$U$27:$U$300,1,FALSE)))))</formula>
    </cfRule>
  </conditionalFormatting>
  <conditionalFormatting sqref="E27:E42">
    <cfRule type="expression" dxfId="77" priority="9">
      <formula>OR(ISERROR(VLOOKUP(E27,$W$27:$W$42,1,FALSE)),AND(NOT(ISERROR(VLOOKUP(E27,$V$27:$V$300,1,FALSE))),NOT(ISERROR(VLOOKUP(D27,$U$27:$U$300,1,FALSE)))))</formula>
    </cfRule>
  </conditionalFormatting>
  <conditionalFormatting sqref="I7:L7">
    <cfRule type="cellIs" dxfId="76" priority="7" operator="equal">
      <formula>0</formula>
    </cfRule>
  </conditionalFormatting>
  <conditionalFormatting sqref="A27:P42">
    <cfRule type="expression" dxfId="75" priority="11">
      <formula>$Q27</formula>
    </cfRule>
  </conditionalFormatting>
  <conditionalFormatting sqref="A36:A42">
    <cfRule type="expression" dxfId="74" priority="5">
      <formula>AND(NOT($S$1),$C36=0,OR($R$1="",$R$1="M"))</formula>
    </cfRule>
  </conditionalFormatting>
  <conditionalFormatting sqref="G27:G42">
    <cfRule type="expression" dxfId="73" priority="4">
      <formula>NOT(VLOOKUP($E27,$W$27:$AA$42,2,FALSE))</formula>
    </cfRule>
  </conditionalFormatting>
  <conditionalFormatting sqref="I27:I42">
    <cfRule type="expression" dxfId="72" priority="3">
      <formula>NOT(VLOOKUP($E27,$W$27:$AA$42,4,FALSE))</formula>
    </cfRule>
  </conditionalFormatting>
  <conditionalFormatting sqref="H27">
    <cfRule type="expression" dxfId="71" priority="2">
      <formula>NOT(VLOOKUP($E27,$W$27:$AA$42,3,FALSE))</formula>
    </cfRule>
  </conditionalFormatting>
  <conditionalFormatting sqref="J27:J42">
    <cfRule type="expression" dxfId="70" priority="1">
      <formula>NOT(VLOOKUP($E27,$W$27:$AA$42,5,FALSE))</formula>
    </cfRule>
  </conditionalFormatting>
  <dataValidations count="6">
    <dataValidation type="whole" operator="greaterThan" allowBlank="1" showInputMessage="1" showErrorMessage="1" errorTitle="Quantity Error" error="Value must be an integer greater than -1000." sqref="C27:C42" xr:uid="{07C10BC8-7DC4-4799-AC1A-8EA44E2CB2F7}">
      <formula1>-1001</formula1>
    </dataValidation>
    <dataValidation type="list" allowBlank="1" showInputMessage="1" sqref="I7:L7" xr:uid="{181157E5-6184-45AA-8C76-0A0501CBBA1C}">
      <formula1>masterFinishList</formula1>
    </dataValidation>
    <dataValidation type="decimal" allowBlank="1" showInputMessage="1" showErrorMessage="1" errorTitle="Dimensional Error" error="&quot;Inches&quot; must be a number from 0 to 11.875." sqref="L27:L42" xr:uid="{E1795FF2-8680-4645-A40C-13911914E5CB}">
      <formula1>0</formula1>
      <formula2>11.875</formula2>
    </dataValidation>
    <dataValidation type="whole" operator="greaterThanOrEqual" allowBlank="1" showErrorMessage="1" errorTitle="Dimensional Error" error="&quot;Feet&quot; can only be whole numbers." sqref="K27:K42" xr:uid="{EC513CC5-4E84-49A6-91D5-2FDF390DAA00}">
      <formula1>0</formula1>
    </dataValidation>
    <dataValidation type="list" allowBlank="1" errorTitle="Invalid Bridging Type" error="You MUST use a bridging type provided in the list." sqref="E27:E42" xr:uid="{766CF00F-22C6-43B4-A8B6-813CD1171D28}">
      <formula1>OFFSET($W$27,0,0,$W$25)</formula1>
    </dataValidation>
    <dataValidation type="list" allowBlank="1" showInputMessage="1" sqref="F27:F42" xr:uid="{651513AE-510D-4720-9DBB-EFD6DFAB9584}">
      <formula1>"BC1,BC2,BC3,BC4,BC5,BC6,BC7,BC8,OHA1,OHA2,OHP1,OHP2"</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customUI/_rels/customUI.xml.rels><?xml version="1.0" encoding="UTF-8" standalone="yes"?>
<Relationships xmlns="http://schemas.openxmlformats.org/package/2006/relationships"><Relationship Id="AddSpNote32" Type="http://schemas.openxmlformats.org/officeDocument/2006/relationships/image" Target="images/AddSpNote320.png"/><Relationship Id="ReNum32" Type="http://schemas.openxmlformats.org/officeDocument/2006/relationships/image" Target="images/ReNum320.png"/><Relationship Id="AddBrdg32" Type="http://schemas.openxmlformats.org/officeDocument/2006/relationships/image" Target="images/AddBrdg320.png"/><Relationship Id="PrintInput32" Type="http://schemas.openxmlformats.org/officeDocument/2006/relationships/image" Target="images/PrintInput320.png"/><Relationship Id="PrintSel32" Type="http://schemas.openxmlformats.org/officeDocument/2006/relationships/image" Target="images/PrintSel320.png"/><Relationship Id="AddJSeq32" Type="http://schemas.openxmlformats.org/officeDocument/2006/relationships/image" Target="images/AddJSeq320.png"/><Relationship Id="AddKey32" Type="http://schemas.openxmlformats.org/officeDocument/2006/relationships/image" Target="images/AddKey320.png"/><Relationship Id="AddLdNote32" Type="http://schemas.openxmlformats.org/officeDocument/2006/relationships/image" Target="images/AddLdNote320.png"/><Relationship Id="AddPrNote32" Type="http://schemas.openxmlformats.org/officeDocument/2006/relationships/image" Target="images/AddPrNote320.png"/><Relationship Id="AddJst32" Type="http://schemas.openxmlformats.org/officeDocument/2006/relationships/image" Target="images/AddJst320.png"/><Relationship Id="BOMSet32" Type="http://schemas.openxmlformats.org/officeDocument/2006/relationships/image" Target="images/BOMSet320.png"/><Relationship Id="AddGir32" Type="http://schemas.openxmlformats.org/officeDocument/2006/relationships/image" Target="images/AddGir320.png"/><Relationship Id="DelPage32" Type="http://schemas.openxmlformats.org/officeDocument/2006/relationships/image" Target="images/DelPage320.png"/></Relationships>
</file>

<file path=customUI/_rels/customUI14.xml.rels><?xml version="1.0" encoding="UTF-8" standalone="yes"?>
<Relationships xmlns="http://schemas.openxmlformats.org/package/2006/relationships"><Relationship Id="AddSpNote32" Type="http://schemas.openxmlformats.org/officeDocument/2006/relationships/image" Target="images/AddSpNote32.png"/><Relationship Id="ReNum32" Type="http://schemas.openxmlformats.org/officeDocument/2006/relationships/image" Target="images/ReNum32.png"/><Relationship Id="AddBrdg32" Type="http://schemas.openxmlformats.org/officeDocument/2006/relationships/image" Target="images/AddBrdg32.png"/><Relationship Id="PrintInput32" Type="http://schemas.openxmlformats.org/officeDocument/2006/relationships/image" Target="images/PrintInput32.png"/><Relationship Id="PrintSel32" Type="http://schemas.openxmlformats.org/officeDocument/2006/relationships/image" Target="images/PrintSel32.png"/><Relationship Id="AddJSeq32" Type="http://schemas.openxmlformats.org/officeDocument/2006/relationships/image" Target="images/AddJSeq32.png"/><Relationship Id="AddKey32" Type="http://schemas.openxmlformats.org/officeDocument/2006/relationships/image" Target="images/AddKey32.png"/><Relationship Id="AddLdNote32" Type="http://schemas.openxmlformats.org/officeDocument/2006/relationships/image" Target="images/AddLdNote32.png"/><Relationship Id="AddPrNote32" Type="http://schemas.openxmlformats.org/officeDocument/2006/relationships/image" Target="images/AddPrNote32.png"/><Relationship Id="AddJst32" Type="http://schemas.openxmlformats.org/officeDocument/2006/relationships/image" Target="images/AddJst32.png"/><Relationship Id="BOMSet32" Type="http://schemas.openxmlformats.org/officeDocument/2006/relationships/image" Target="images/BOMSet32.png"/><Relationship Id="AddGir32" Type="http://schemas.openxmlformats.org/officeDocument/2006/relationships/image" Target="images/AddGir32.png"/><Relationship Id="DelPage32" Type="http://schemas.openxmlformats.org/officeDocument/2006/relationships/image" Target="images/DelPage32.png"/></Relationships>
</file>

<file path=customUI/customUI.xml><?xml version="1.0" encoding="utf-8"?>
<customUI xmlns="http://schemas.microsoft.com/office/2006/01/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customUI/customUI14.xml><?xml version="1.0" encoding="utf-8"?>
<customUI xmlns="http://schemas.microsoft.com/office/2009/07/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88</vt:i4>
      </vt:variant>
    </vt:vector>
  </HeadingPairs>
  <TitlesOfParts>
    <vt:vector size="130" baseType="lpstr">
      <vt:lpstr>TblJoistSize</vt:lpstr>
      <vt:lpstr>tblGirderData</vt:lpstr>
      <vt:lpstr>tblJoistData</vt:lpstr>
      <vt:lpstr>C_A</vt:lpstr>
      <vt:lpstr>P_A</vt:lpstr>
      <vt:lpstr>P_B</vt:lpstr>
      <vt:lpstr>L_A</vt:lpstr>
      <vt:lpstr>N_A</vt:lpstr>
      <vt:lpstr>K_A</vt:lpstr>
      <vt:lpstr>S_A</vt:lpstr>
      <vt:lpstr>G_A</vt:lpstr>
      <vt:lpstr>G_B</vt:lpstr>
      <vt:lpstr>J_A</vt:lpstr>
      <vt:lpstr>J_B</vt:lpstr>
      <vt:lpstr>B_A</vt:lpstr>
      <vt:lpstr>B_B</vt:lpstr>
      <vt:lpstr>Discrepancy Check</vt:lpstr>
      <vt:lpstr>SectInfo</vt:lpstr>
      <vt:lpstr>Job Info.</vt:lpstr>
      <vt:lpstr>C (1)</vt:lpstr>
      <vt:lpstr>P (1)</vt:lpstr>
      <vt:lpstr>N (1)</vt:lpstr>
      <vt:lpstr>L (1)</vt:lpstr>
      <vt:lpstr>L (2)</vt:lpstr>
      <vt:lpstr>L (3)</vt:lpstr>
      <vt:lpstr>L (4)</vt:lpstr>
      <vt:lpstr>L (5)</vt:lpstr>
      <vt:lpstr>L (6)</vt:lpstr>
      <vt:lpstr>L (7)</vt:lpstr>
      <vt:lpstr>L (8)</vt:lpstr>
      <vt:lpstr>L (9)</vt:lpstr>
      <vt:lpstr>L (10)</vt:lpstr>
      <vt:lpstr>K (1)</vt:lpstr>
      <vt:lpstr>S (1)</vt:lpstr>
      <vt:lpstr>S (2)</vt:lpstr>
      <vt:lpstr>S (3)</vt:lpstr>
      <vt:lpstr>S (4)</vt:lpstr>
      <vt:lpstr>J (1)</vt:lpstr>
      <vt:lpstr>J (2)</vt:lpstr>
      <vt:lpstr>J (3)</vt:lpstr>
      <vt:lpstr>J (4)</vt:lpstr>
      <vt:lpstr>B (1)</vt:lpstr>
      <vt:lpstr>'B (1)'!masterFinishList</vt:lpstr>
      <vt:lpstr>'C (1)'!masterFinishList</vt:lpstr>
      <vt:lpstr>'J (1)'!masterFinishList</vt:lpstr>
      <vt:lpstr>'J (2)'!masterFinishList</vt:lpstr>
      <vt:lpstr>'J (3)'!masterFinishList</vt:lpstr>
      <vt:lpstr>'J (4)'!masterFinishList</vt:lpstr>
      <vt:lpstr>'K (1)'!masterFinishList</vt:lpstr>
      <vt:lpstr>'L (1)'!masterFinishList</vt:lpstr>
      <vt:lpstr>'L (10)'!masterFinishList</vt:lpstr>
      <vt:lpstr>'L (2)'!masterFinishList</vt:lpstr>
      <vt:lpstr>'L (3)'!masterFinishList</vt:lpstr>
      <vt:lpstr>'L (4)'!masterFinishList</vt:lpstr>
      <vt:lpstr>'L (5)'!masterFinishList</vt:lpstr>
      <vt:lpstr>'L (6)'!masterFinishList</vt:lpstr>
      <vt:lpstr>'L (7)'!masterFinishList</vt:lpstr>
      <vt:lpstr>'L (8)'!masterFinishList</vt:lpstr>
      <vt:lpstr>'L (9)'!masterFinishList</vt:lpstr>
      <vt:lpstr>'N (1)'!masterFinishList</vt:lpstr>
      <vt:lpstr>'P (1)'!masterFinishList</vt:lpstr>
      <vt:lpstr>'S (1)'!masterFinishList</vt:lpstr>
      <vt:lpstr>'S (2)'!masterFinishList</vt:lpstr>
      <vt:lpstr>'S (3)'!masterFinishList</vt:lpstr>
      <vt:lpstr>'S (4)'!masterFinishList</vt:lpstr>
      <vt:lpstr>masterFinishList</vt:lpstr>
      <vt:lpstr>'L (1)'!Pos</vt:lpstr>
      <vt:lpstr>'L (10)'!Pos</vt:lpstr>
      <vt:lpstr>'L (2)'!Pos</vt:lpstr>
      <vt:lpstr>'L (3)'!Pos</vt:lpstr>
      <vt:lpstr>'L (4)'!Pos</vt:lpstr>
      <vt:lpstr>'L (5)'!Pos</vt:lpstr>
      <vt:lpstr>'L (6)'!Pos</vt:lpstr>
      <vt:lpstr>'L (7)'!Pos</vt:lpstr>
      <vt:lpstr>'L (8)'!Pos</vt:lpstr>
      <vt:lpstr>'L (9)'!Pos</vt:lpstr>
      <vt:lpstr>Pos</vt:lpstr>
      <vt:lpstr>'B (1)'!Print_Area</vt:lpstr>
      <vt:lpstr>B_A!Print_Area</vt:lpstr>
      <vt:lpstr>B_B!Print_Area</vt:lpstr>
      <vt:lpstr>'C (1)'!Print_Area</vt:lpstr>
      <vt:lpstr>C_A!Print_Area</vt:lpstr>
      <vt:lpstr>'Discrepancy Check'!Print_Area</vt:lpstr>
      <vt:lpstr>G_A!Print_Area</vt:lpstr>
      <vt:lpstr>G_B!Print_Area</vt:lpstr>
      <vt:lpstr>'J (1)'!Print_Area</vt:lpstr>
      <vt:lpstr>'J (2)'!Print_Area</vt:lpstr>
      <vt:lpstr>'J (3)'!Print_Area</vt:lpstr>
      <vt:lpstr>'J (4)'!Print_Area</vt:lpstr>
      <vt:lpstr>J_A!Print_Area</vt:lpstr>
      <vt:lpstr>J_B!Print_Area</vt:lpstr>
      <vt:lpstr>'Job Info.'!Print_Area</vt:lpstr>
      <vt:lpstr>'K (1)'!Print_Area</vt:lpstr>
      <vt:lpstr>K_A!Print_Area</vt:lpstr>
      <vt:lpstr>'L (1)'!Print_Area</vt:lpstr>
      <vt:lpstr>'L (10)'!Print_Area</vt:lpstr>
      <vt:lpstr>'L (2)'!Print_Area</vt:lpstr>
      <vt:lpstr>'L (3)'!Print_Area</vt:lpstr>
      <vt:lpstr>'L (4)'!Print_Area</vt:lpstr>
      <vt:lpstr>'L (5)'!Print_Area</vt:lpstr>
      <vt:lpstr>'L (6)'!Print_Area</vt:lpstr>
      <vt:lpstr>'L (7)'!Print_Area</vt:lpstr>
      <vt:lpstr>'L (8)'!Print_Area</vt:lpstr>
      <vt:lpstr>'L (9)'!Print_Area</vt:lpstr>
      <vt:lpstr>L_A!Print_Area</vt:lpstr>
      <vt:lpstr>'N (1)'!Print_Area</vt:lpstr>
      <vt:lpstr>N_A!Print_Area</vt:lpstr>
      <vt:lpstr>'P (1)'!Print_Area</vt:lpstr>
      <vt:lpstr>P_A!Print_Area</vt:lpstr>
      <vt:lpstr>P_B!Print_Area</vt:lpstr>
      <vt:lpstr>'S (1)'!Print_Area</vt:lpstr>
      <vt:lpstr>'S (2)'!Print_Area</vt:lpstr>
      <vt:lpstr>'S (3)'!Print_Area</vt:lpstr>
      <vt:lpstr>'S (4)'!Print_Area</vt:lpstr>
      <vt:lpstr>S_A!Print_Area</vt:lpstr>
      <vt:lpstr>SectInfo!Print_Area</vt:lpstr>
      <vt:lpstr>'J (1)'!Print_Titles</vt:lpstr>
      <vt:lpstr>J_A!Print_Titles</vt:lpstr>
      <vt:lpstr>SectInfo!Print_Titles</vt:lpstr>
      <vt:lpstr>'L (1)'!Type</vt:lpstr>
      <vt:lpstr>'L (10)'!Type</vt:lpstr>
      <vt:lpstr>'L (2)'!Type</vt:lpstr>
      <vt:lpstr>'L (3)'!Type</vt:lpstr>
      <vt:lpstr>'L (4)'!Type</vt:lpstr>
      <vt:lpstr>'L (5)'!Type</vt:lpstr>
      <vt:lpstr>'L (6)'!Type</vt:lpstr>
      <vt:lpstr>'L (7)'!Type</vt:lpstr>
      <vt:lpstr>'L (8)'!Type</vt:lpstr>
      <vt:lpstr>'L (9)'!Type</vt:lpstr>
      <vt:lpstr>Type</vt:lpstr>
    </vt:vector>
  </TitlesOfParts>
  <Company>New Millennium Building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Joist BOM</dc:title>
  <dc:creator>Sellers, Rich</dc:creator>
  <cp:lastModifiedBy>Shannon, Darien</cp:lastModifiedBy>
  <cp:lastPrinted>2020-08-05T13:55:21Z</cp:lastPrinted>
  <dcterms:created xsi:type="dcterms:W3CDTF">2000-11-20T22:20:26Z</dcterms:created>
  <dcterms:modified xsi:type="dcterms:W3CDTF">2023-05-12T13:49:17Z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 Sellers</vt:lpwstr>
  </property>
</Properties>
</file>